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Q:\LGF3\LGF3Data\NNDR 1 - 3\NNDR1\2020-21\Stats Release\Working tables\"/>
    </mc:Choice>
  </mc:AlternateContent>
  <xr:revisionPtr revIDLastSave="0" documentId="13_ncr:1_{ECD74D28-26B0-4254-966A-ED1FBD1F7A72}" xr6:coauthVersionLast="45" xr6:coauthVersionMax="45" xr10:uidLastSave="{00000000-0000-0000-0000-000000000000}"/>
  <bookViews>
    <workbookView xWindow="-120" yWindow="-120" windowWidth="22800" windowHeight="13410" tabRatio="899" xr2:uid="{00000000-000D-0000-FFFF-FFFF00000000}"/>
  </bookViews>
  <sheets>
    <sheet name="Metadata" sheetId="77" r:id="rId1"/>
    <sheet name="Part 1" sheetId="1" r:id="rId2"/>
    <sheet name="Part 2" sheetId="6" r:id="rId3"/>
    <sheet name="Part 3" sheetId="41" r:id="rId4"/>
    <sheet name="Part 3 DA summary" sheetId="51" r:id="rId5"/>
    <sheet name="Part 4" sheetId="23" r:id="rId6"/>
    <sheet name="DataSheet1" sheetId="72" r:id="rId7"/>
    <sheet name="DataSheet2" sheetId="73" r:id="rId8"/>
    <sheet name="DataSheet3" sheetId="75" r:id="rId9"/>
    <sheet name="DataSheetDA" sheetId="71" r:id="rId10"/>
    <sheet name="DataSheet4" sheetId="74" r:id="rId11"/>
    <sheet name="LA List" sheetId="53" state="hidden" r:id="rId12"/>
    <sheet name="Data" sheetId="9" state="hidden" r:id="rId13"/>
    <sheet name="LA_info" sheetId="55" state="hidden" r:id="rId14"/>
  </sheets>
  <externalReferences>
    <externalReference r:id="rId15"/>
    <externalReference r:id="rId16"/>
    <externalReference r:id="rId17"/>
    <externalReference r:id="rId18"/>
    <externalReference r:id="rId19"/>
    <externalReference r:id="rId20"/>
  </externalReferences>
  <definedNames>
    <definedName name="\R">#REF!</definedName>
    <definedName name="_CTR1" localSheetId="4">'Part 3 DA summary'!#REF!</definedName>
    <definedName name="_CTR1">#REF!</definedName>
    <definedName name="_xlnm._FilterDatabase" localSheetId="12" hidden="1">Data!#REF!</definedName>
    <definedName name="_xlnm._FilterDatabase" hidden="1">#REF!</definedName>
    <definedName name="_Order1" hidden="1">255</definedName>
    <definedName name="_Order2" hidden="1">0</definedName>
    <definedName name="adj_factor">'Part 1'!#REF!</definedName>
    <definedName name="Adur">[1]DATA!#REF!</definedName>
    <definedName name="BRprint1">#REF!</definedName>
    <definedName name="BRprint2">#REF!</definedName>
    <definedName name="cccc">'[2]BR1 Form'!#REF!</definedName>
    <definedName name="CERDATA">'[3]Section A'!#REF!</definedName>
    <definedName name="CONTACT" localSheetId="4">'Part 3 DA summary'!#REF!</definedName>
    <definedName name="CONTACT">'Part 1'!$L$12:$P$14</definedName>
    <definedName name="CTRprint1" localSheetId="4">'Part 3 DA summary'!$B$1:$J$1</definedName>
    <definedName name="CTRprint1">#REF!</definedName>
    <definedName name="CTRprint2" localSheetId="4">'Part 3 DA summary'!$B$7:$J$54</definedName>
    <definedName name="CTRprint2">#REF!</definedName>
    <definedName name="datanew">[4]Data!$A$8:$CH$334</definedName>
    <definedName name="datar" localSheetId="4">#REF!</definedName>
    <definedName name="datar">Data!$A$7:$BD$321</definedName>
    <definedName name="detruse" localSheetId="4">'Part 3 DA summary'!#REF!</definedName>
    <definedName name="detruse">#REF!</definedName>
    <definedName name="dtlruse">#REF!</definedName>
    <definedName name="Import_AuditData">#REF!</definedName>
    <definedName name="Import_FormData">#REF!</definedName>
    <definedName name="Import_LA_Name">'Part 1'!$L$12</definedName>
    <definedName name="Import_NotesData">#REF!</definedName>
    <definedName name="Import_ValidationData">#REF!</definedName>
    <definedName name="LAcodes">#REF!</definedName>
    <definedName name="LAlist">#REF!</definedName>
    <definedName name="LAlist2">#REF!</definedName>
    <definedName name="NNDR1">#REF!</definedName>
    <definedName name="NNDR1S">#REF!</definedName>
    <definedName name="numberhered">#REF!</definedName>
    <definedName name="Part1">#REF!</definedName>
    <definedName name="Part2">#REF!</definedName>
    <definedName name="Part3">#REF!</definedName>
    <definedName name="Part4">#REF!</definedName>
    <definedName name="_xlnm.Print_Area" localSheetId="12">Data!$AP$1:$BA$321</definedName>
    <definedName name="_xlnm.Print_Area" localSheetId="1">'Part 1'!$A$1:$Z$167</definedName>
    <definedName name="_xlnm.Print_Area" localSheetId="2">'Part 2'!$A$1:$U$185</definedName>
    <definedName name="_xlnm.Print_Area" localSheetId="3">'Part 3'!$A$1:$R$71</definedName>
    <definedName name="_xlnm.Print_Area" localSheetId="4">'Part 3 DA summary'!$A$1:$AC$55</definedName>
    <definedName name="_xlnm.Print_Area" localSheetId="5">'Part 4'!$A$1:$O$63</definedName>
    <definedName name="_xlnm.Print_Area">'[3]Section A'!#REF!</definedName>
    <definedName name="_xlnm.Print_Titles" localSheetId="12">Data!$1:$7</definedName>
    <definedName name="_xlnm.Print_Titles" localSheetId="1">'Part 1'!$1:$6</definedName>
    <definedName name="_xlnm.Print_Titles" localSheetId="2">'Part 2'!$1:$12</definedName>
    <definedName name="_xlnm.Print_Titles" localSheetId="4">'Part 3 DA summary'!$1:$4</definedName>
    <definedName name="_xlnm.Print_Titles">#N/A</definedName>
    <definedName name="QRC4R1" localSheetId="4">'[5]BR1 Form'!#REF!</definedName>
    <definedName name="QRC4R1">'[2]BR1 Form'!#REF!</definedName>
    <definedName name="QRC4R10" localSheetId="4">'[5]BR1 Form'!#REF!</definedName>
    <definedName name="QRC4R10">'[2]BR1 Form'!#REF!</definedName>
    <definedName name="QRC4R12" localSheetId="4">'[5]BR1 Form'!#REF!</definedName>
    <definedName name="QRC4R12">'[2]BR1 Form'!#REF!</definedName>
    <definedName name="QRC4R13" localSheetId="4">'[5]BR1 Form'!#REF!</definedName>
    <definedName name="QRC4R13">'[2]BR1 Form'!#REF!</definedName>
    <definedName name="QRC4R14" localSheetId="4">'[5]BR1 Form'!#REF!</definedName>
    <definedName name="QRC4R14">'[2]BR1 Form'!#REF!</definedName>
    <definedName name="QRC4R15" localSheetId="4">'[5]BR1 Form'!#REF!</definedName>
    <definedName name="QRC4R15">'[2]BR1 Form'!#REF!</definedName>
    <definedName name="QRC4R17" localSheetId="4">'[5]BR1 Form'!#REF!</definedName>
    <definedName name="QRC4R17">'[2]BR1 Form'!#REF!</definedName>
    <definedName name="QRC4R18" localSheetId="4">'[5]BR1 Form'!#REF!</definedName>
    <definedName name="QRC4R18">'[2]BR1 Form'!#REF!</definedName>
    <definedName name="QRC4R19" localSheetId="4">'[5]BR1 Form'!#REF!</definedName>
    <definedName name="QRC4R19">'[2]BR1 Form'!#REF!</definedName>
    <definedName name="QRC4R20" localSheetId="4">'[5]BR1 Form'!#REF!</definedName>
    <definedName name="QRC4R20">'[2]BR1 Form'!#REF!</definedName>
    <definedName name="QRC4R21" localSheetId="4">'[5]BR1 Form'!#REF!</definedName>
    <definedName name="QRC4R21">'[2]BR1 Form'!#REF!</definedName>
    <definedName name="QRC4R22" localSheetId="4">'[5]BR1 Form'!#REF!</definedName>
    <definedName name="QRC4R22">'[2]BR1 Form'!#REF!</definedName>
    <definedName name="QRC4R23" localSheetId="4">'[5]BR1 Form'!#REF!</definedName>
    <definedName name="QRC4R23">'[2]BR1 Form'!#REF!</definedName>
    <definedName name="QRC4R24" localSheetId="4">'[5]BR1 Form'!#REF!</definedName>
    <definedName name="QRC4R24">'[2]BR1 Form'!#REF!</definedName>
    <definedName name="QRC4R3" localSheetId="4">'[5]BR1 Form'!#REF!</definedName>
    <definedName name="QRC4R3">'[2]BR1 Form'!#REF!</definedName>
    <definedName name="QRC4R5" localSheetId="4">'[5]BR1 Form'!#REF!</definedName>
    <definedName name="QRC4R5">'[2]BR1 Form'!#REF!</definedName>
    <definedName name="QRC4R8" localSheetId="4">'[5]BR1 Form'!#REF!</definedName>
    <definedName name="QRC4R8">'[2]BR1 Form'!#REF!</definedName>
    <definedName name="QRC4R9" localSheetId="4">'[5]BR1 Form'!#REF!</definedName>
    <definedName name="QRC4R9">'[2]BR1 Form'!#REF!</definedName>
    <definedName name="s">'[2]BR1 Form'!#REF!</definedName>
    <definedName name="Table" localSheetId="4">#REF!</definedName>
    <definedName name="Table">#REF!</definedName>
    <definedName name="table1">#REF!</definedName>
    <definedName name="Table2">#REF!</definedName>
    <definedName name="TABLE4">#REF!</definedName>
    <definedName name="TABLES">'[6]Billing Table'!$A$10:$S$416</definedName>
    <definedName name="tiersplit">#REF!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 i="6" l="1"/>
  <c r="L13" i="1"/>
  <c r="N34" i="23" l="1"/>
  <c r="N12" i="23"/>
  <c r="K15" i="23"/>
  <c r="K28" i="23"/>
  <c r="N25" i="23"/>
  <c r="Y136" i="1"/>
  <c r="Y106" i="1"/>
  <c r="Y112" i="1"/>
  <c r="Y110" i="1"/>
  <c r="Q68" i="1"/>
  <c r="T68" i="1"/>
  <c r="J73" i="6" l="1"/>
  <c r="R73" i="6"/>
  <c r="N73" i="6"/>
  <c r="L12" i="1" l="1"/>
  <c r="W122" i="1"/>
  <c r="X122" i="1"/>
  <c r="Q129" i="1" l="1"/>
  <c r="T129" i="1"/>
  <c r="C37" i="1"/>
  <c r="A1" i="55"/>
  <c r="N68" i="1"/>
  <c r="N129" i="1" s="1"/>
  <c r="C7" i="6"/>
  <c r="C122" i="1"/>
  <c r="C7" i="41"/>
  <c r="C7" i="23"/>
  <c r="C57" i="1"/>
  <c r="E3" i="51"/>
  <c r="B14" i="51" l="1"/>
  <c r="B16" i="51"/>
  <c r="B18" i="51"/>
  <c r="B20" i="51"/>
  <c r="B22" i="51"/>
  <c r="B24" i="51"/>
  <c r="B26" i="51"/>
  <c r="B28" i="51"/>
  <c r="B30" i="51"/>
  <c r="B32" i="51"/>
  <c r="B34" i="51"/>
  <c r="B36" i="51"/>
  <c r="B38" i="51"/>
  <c r="B40" i="51"/>
  <c r="B42" i="51"/>
  <c r="B44" i="51"/>
  <c r="B46" i="51"/>
  <c r="B48" i="51"/>
  <c r="B50" i="51"/>
  <c r="B52" i="51"/>
  <c r="B13" i="51"/>
  <c r="B17" i="51"/>
  <c r="B21" i="51"/>
  <c r="B25" i="51"/>
  <c r="B29" i="51"/>
  <c r="B33" i="51"/>
  <c r="B37" i="51"/>
  <c r="B41" i="51"/>
  <c r="B45" i="51"/>
  <c r="B49" i="51"/>
  <c r="B53" i="51"/>
  <c r="B15" i="51"/>
  <c r="B31" i="51"/>
  <c r="B47" i="51"/>
  <c r="B23" i="51"/>
  <c r="B39" i="51"/>
  <c r="C3" i="51"/>
  <c r="B19" i="51"/>
  <c r="B51" i="51"/>
  <c r="B27" i="51"/>
  <c r="B35" i="51"/>
  <c r="B43" i="51"/>
  <c r="AA35" i="51" l="1"/>
  <c r="Q35" i="51"/>
  <c r="I35" i="51"/>
  <c r="W35" i="51"/>
  <c r="O35" i="51"/>
  <c r="G35" i="51"/>
  <c r="S35" i="51"/>
  <c r="K35" i="51"/>
  <c r="C35" i="51"/>
  <c r="E35" i="51"/>
  <c r="U35" i="51"/>
  <c r="M35" i="51"/>
  <c r="AA31" i="51"/>
  <c r="Q31" i="51"/>
  <c r="I31" i="51"/>
  <c r="W31" i="51"/>
  <c r="O31" i="51"/>
  <c r="G31" i="51"/>
  <c r="S31" i="51"/>
  <c r="K31" i="51"/>
  <c r="C31" i="51"/>
  <c r="E31" i="51"/>
  <c r="U31" i="51"/>
  <c r="M31" i="51"/>
  <c r="AA45" i="51"/>
  <c r="Q45" i="51"/>
  <c r="I45" i="51"/>
  <c r="W45" i="51"/>
  <c r="O45" i="51"/>
  <c r="G45" i="51"/>
  <c r="S45" i="51"/>
  <c r="K45" i="51"/>
  <c r="C45" i="51"/>
  <c r="U45" i="51"/>
  <c r="M45" i="51"/>
  <c r="E45" i="51"/>
  <c r="AA29" i="51"/>
  <c r="Q29" i="51"/>
  <c r="I29" i="51"/>
  <c r="W29" i="51"/>
  <c r="O29" i="51"/>
  <c r="G29" i="51"/>
  <c r="S29" i="51"/>
  <c r="K29" i="51"/>
  <c r="C29" i="51"/>
  <c r="U29" i="51"/>
  <c r="M29" i="51"/>
  <c r="E29" i="51"/>
  <c r="C13" i="51"/>
  <c r="S13" i="51"/>
  <c r="K13" i="51"/>
  <c r="AA13" i="51"/>
  <c r="W13" i="51"/>
  <c r="AA46" i="51"/>
  <c r="Q46" i="51"/>
  <c r="I46" i="51"/>
  <c r="W46" i="51"/>
  <c r="O46" i="51"/>
  <c r="G46" i="51"/>
  <c r="S46" i="51"/>
  <c r="K46" i="51"/>
  <c r="C46" i="51"/>
  <c r="Y46" i="51" s="1"/>
  <c r="U46" i="51"/>
  <c r="E46" i="51"/>
  <c r="M46" i="51"/>
  <c r="AA38" i="51"/>
  <c r="Q38" i="51"/>
  <c r="I38" i="51"/>
  <c r="W38" i="51"/>
  <c r="O38" i="51"/>
  <c r="G38" i="51"/>
  <c r="S38" i="51"/>
  <c r="K38" i="51"/>
  <c r="C38" i="51"/>
  <c r="E38" i="51"/>
  <c r="U38" i="51"/>
  <c r="M38" i="51"/>
  <c r="AA30" i="51"/>
  <c r="Q30" i="51"/>
  <c r="I30" i="51"/>
  <c r="W30" i="51"/>
  <c r="O30" i="51"/>
  <c r="G30" i="51"/>
  <c r="S30" i="51"/>
  <c r="K30" i="51"/>
  <c r="C30" i="51"/>
  <c r="E30" i="51"/>
  <c r="U30" i="51"/>
  <c r="M30" i="51"/>
  <c r="S22" i="51"/>
  <c r="K22" i="51"/>
  <c r="C22" i="51"/>
  <c r="Y22" i="51" s="1"/>
  <c r="U22" i="51"/>
  <c r="AA22" i="51"/>
  <c r="Q22" i="51"/>
  <c r="I22" i="51"/>
  <c r="E22" i="51"/>
  <c r="W22" i="51"/>
  <c r="O22" i="51"/>
  <c r="G22" i="51"/>
  <c r="M22" i="51"/>
  <c r="S14" i="51"/>
  <c r="K14" i="51"/>
  <c r="C14" i="51"/>
  <c r="M14" i="51"/>
  <c r="AA14" i="51"/>
  <c r="Q14" i="51"/>
  <c r="I14" i="51"/>
  <c r="E14" i="51"/>
  <c r="W14" i="51"/>
  <c r="O14" i="51"/>
  <c r="G14" i="51"/>
  <c r="U14" i="51"/>
  <c r="AA27" i="51"/>
  <c r="Q27" i="51"/>
  <c r="I27" i="51"/>
  <c r="W27" i="51"/>
  <c r="O27" i="51"/>
  <c r="G27" i="51"/>
  <c r="S27" i="51"/>
  <c r="K27" i="51"/>
  <c r="C27" i="51"/>
  <c r="E27" i="51"/>
  <c r="M27" i="51"/>
  <c r="U27" i="51"/>
  <c r="AA39" i="51"/>
  <c r="Q39" i="51"/>
  <c r="I39" i="51"/>
  <c r="W39" i="51"/>
  <c r="O39" i="51"/>
  <c r="G39" i="51"/>
  <c r="S39" i="51"/>
  <c r="K39" i="51"/>
  <c r="C39" i="51"/>
  <c r="E39" i="51"/>
  <c r="M39" i="51"/>
  <c r="U39" i="51"/>
  <c r="S15" i="51"/>
  <c r="K15" i="51"/>
  <c r="C15" i="51"/>
  <c r="M15" i="51"/>
  <c r="AA15" i="51"/>
  <c r="Q15" i="51"/>
  <c r="I15" i="51"/>
  <c r="E15" i="51"/>
  <c r="W15" i="51"/>
  <c r="O15" i="51"/>
  <c r="G15" i="51"/>
  <c r="U15" i="51"/>
  <c r="AA41" i="51"/>
  <c r="Q41" i="51"/>
  <c r="I41" i="51"/>
  <c r="W41" i="51"/>
  <c r="O41" i="51"/>
  <c r="G41" i="51"/>
  <c r="S41" i="51"/>
  <c r="K41" i="51"/>
  <c r="C41" i="51"/>
  <c r="U41" i="51"/>
  <c r="M41" i="51"/>
  <c r="E41" i="51"/>
  <c r="AA25" i="51"/>
  <c r="W25" i="51"/>
  <c r="S25" i="51"/>
  <c r="U25" i="51"/>
  <c r="K25" i="51"/>
  <c r="C25" i="51"/>
  <c r="E25" i="51"/>
  <c r="Q25" i="51"/>
  <c r="I25" i="51"/>
  <c r="M25" i="51"/>
  <c r="O25" i="51"/>
  <c r="G25" i="51"/>
  <c r="AA52" i="51"/>
  <c r="Q52" i="51"/>
  <c r="I52" i="51"/>
  <c r="W52" i="51"/>
  <c r="O52" i="51"/>
  <c r="G52" i="51"/>
  <c r="S52" i="51"/>
  <c r="K52" i="51"/>
  <c r="C52" i="51"/>
  <c r="Y52" i="51" s="1"/>
  <c r="M52" i="51"/>
  <c r="E52" i="51"/>
  <c r="U52" i="51"/>
  <c r="AA44" i="51"/>
  <c r="Q44" i="51"/>
  <c r="I44" i="51"/>
  <c r="W44" i="51"/>
  <c r="O44" i="51"/>
  <c r="G44" i="51"/>
  <c r="S44" i="51"/>
  <c r="K44" i="51"/>
  <c r="C44" i="51"/>
  <c r="M44" i="51"/>
  <c r="E44" i="51"/>
  <c r="U44" i="51"/>
  <c r="AA36" i="51"/>
  <c r="Q36" i="51"/>
  <c r="I36" i="51"/>
  <c r="W36" i="51"/>
  <c r="O36" i="51"/>
  <c r="G36" i="51"/>
  <c r="S36" i="51"/>
  <c r="K36" i="51"/>
  <c r="C36" i="51"/>
  <c r="M36" i="51"/>
  <c r="E36" i="51"/>
  <c r="U36" i="51"/>
  <c r="AA28" i="51"/>
  <c r="Q28" i="51"/>
  <c r="I28" i="51"/>
  <c r="W28" i="51"/>
  <c r="O28" i="51"/>
  <c r="G28" i="51"/>
  <c r="S28" i="51"/>
  <c r="K28" i="51"/>
  <c r="C28" i="51"/>
  <c r="M28" i="51"/>
  <c r="E28" i="51"/>
  <c r="U28" i="51"/>
  <c r="S20" i="51"/>
  <c r="K20" i="51"/>
  <c r="C20" i="51"/>
  <c r="M20" i="51"/>
  <c r="AA20" i="51"/>
  <c r="Q20" i="51"/>
  <c r="I20" i="51"/>
  <c r="E20" i="51"/>
  <c r="W20" i="51"/>
  <c r="O20" i="51"/>
  <c r="G20" i="51"/>
  <c r="U20" i="51"/>
  <c r="AA51" i="51"/>
  <c r="Q51" i="51"/>
  <c r="I51" i="51"/>
  <c r="W51" i="51"/>
  <c r="O51" i="51"/>
  <c r="G51" i="51"/>
  <c r="S51" i="51"/>
  <c r="K51" i="51"/>
  <c r="C51" i="51"/>
  <c r="Y51" i="51" s="1"/>
  <c r="E51" i="51"/>
  <c r="M51" i="51"/>
  <c r="U51" i="51"/>
  <c r="S23" i="51"/>
  <c r="K23" i="51"/>
  <c r="C23" i="51"/>
  <c r="Y23" i="51" s="1"/>
  <c r="U23" i="51"/>
  <c r="AA23" i="51"/>
  <c r="Q23" i="51"/>
  <c r="I23" i="51"/>
  <c r="E23" i="51"/>
  <c r="W23" i="51"/>
  <c r="O23" i="51"/>
  <c r="G23" i="51"/>
  <c r="M23" i="51"/>
  <c r="AA53" i="51"/>
  <c r="Q53" i="51"/>
  <c r="I53" i="51"/>
  <c r="W53" i="51"/>
  <c r="O53" i="51"/>
  <c r="G53" i="51"/>
  <c r="S53" i="51"/>
  <c r="K53" i="51"/>
  <c r="C53" i="51"/>
  <c r="Y53" i="51" s="1"/>
  <c r="U53" i="51"/>
  <c r="M53" i="51"/>
  <c r="E53" i="51"/>
  <c r="AA37" i="51"/>
  <c r="Q37" i="51"/>
  <c r="I37" i="51"/>
  <c r="W37" i="51"/>
  <c r="O37" i="51"/>
  <c r="G37" i="51"/>
  <c r="S37" i="51"/>
  <c r="K37" i="51"/>
  <c r="C37" i="51"/>
  <c r="Y37" i="51" s="1"/>
  <c r="U37" i="51"/>
  <c r="M37" i="51"/>
  <c r="E37" i="51"/>
  <c r="S21" i="51"/>
  <c r="K21" i="51"/>
  <c r="C21" i="51"/>
  <c r="Y21" i="51" s="1"/>
  <c r="M21" i="51"/>
  <c r="AA21" i="51"/>
  <c r="Q21" i="51"/>
  <c r="I21" i="51"/>
  <c r="E21" i="51"/>
  <c r="W21" i="51"/>
  <c r="O21" i="51"/>
  <c r="G21" i="51"/>
  <c r="U21" i="51"/>
  <c r="AA50" i="51"/>
  <c r="Q50" i="51"/>
  <c r="I50" i="51"/>
  <c r="W50" i="51"/>
  <c r="O50" i="51"/>
  <c r="G50" i="51"/>
  <c r="S50" i="51"/>
  <c r="K50" i="51"/>
  <c r="C50" i="51"/>
  <c r="Y50" i="51" s="1"/>
  <c r="U50" i="51"/>
  <c r="E50" i="51"/>
  <c r="M50" i="51"/>
  <c r="AA42" i="51"/>
  <c r="Q42" i="51"/>
  <c r="I42" i="51"/>
  <c r="W42" i="51"/>
  <c r="O42" i="51"/>
  <c r="G42" i="51"/>
  <c r="S42" i="51"/>
  <c r="K42" i="51"/>
  <c r="C42" i="51"/>
  <c r="E42" i="51"/>
  <c r="U42" i="51"/>
  <c r="M42" i="51"/>
  <c r="AA34" i="51"/>
  <c r="Q34" i="51"/>
  <c r="I34" i="51"/>
  <c r="W34" i="51"/>
  <c r="O34" i="51"/>
  <c r="G34" i="51"/>
  <c r="S34" i="51"/>
  <c r="K34" i="51"/>
  <c r="C34" i="51"/>
  <c r="Y34" i="51" s="1"/>
  <c r="E34" i="51"/>
  <c r="U34" i="51"/>
  <c r="M34" i="51"/>
  <c r="AA26" i="51"/>
  <c r="Q26" i="51"/>
  <c r="I26" i="51"/>
  <c r="W26" i="51"/>
  <c r="O26" i="51"/>
  <c r="G26" i="51"/>
  <c r="S26" i="51"/>
  <c r="K26" i="51"/>
  <c r="C26" i="51"/>
  <c r="Y26" i="51" s="1"/>
  <c r="U26" i="51"/>
  <c r="M26" i="51"/>
  <c r="E26" i="51"/>
  <c r="S18" i="51"/>
  <c r="K18" i="51"/>
  <c r="C18" i="51"/>
  <c r="U18" i="51"/>
  <c r="AA18" i="51"/>
  <c r="Q18" i="51"/>
  <c r="I18" i="51"/>
  <c r="E18" i="51"/>
  <c r="W18" i="51"/>
  <c r="O18" i="51"/>
  <c r="G18" i="51"/>
  <c r="M18" i="51"/>
  <c r="AA43" i="51"/>
  <c r="Q43" i="51"/>
  <c r="I43" i="51"/>
  <c r="W43" i="51"/>
  <c r="O43" i="51"/>
  <c r="G43" i="51"/>
  <c r="S43" i="51"/>
  <c r="K43" i="51"/>
  <c r="C43" i="51"/>
  <c r="Y43" i="51" s="1"/>
  <c r="E43" i="51"/>
  <c r="M43" i="51"/>
  <c r="U43" i="51"/>
  <c r="S19" i="51"/>
  <c r="K19" i="51"/>
  <c r="C19" i="51"/>
  <c r="M19" i="51"/>
  <c r="AA19" i="51"/>
  <c r="Q19" i="51"/>
  <c r="I19" i="51"/>
  <c r="E19" i="51"/>
  <c r="W19" i="51"/>
  <c r="O19" i="51"/>
  <c r="G19" i="51"/>
  <c r="U19" i="51"/>
  <c r="AA47" i="51"/>
  <c r="Q47" i="51"/>
  <c r="I47" i="51"/>
  <c r="W47" i="51"/>
  <c r="O47" i="51"/>
  <c r="G47" i="51"/>
  <c r="S47" i="51"/>
  <c r="K47" i="51"/>
  <c r="C47" i="51"/>
  <c r="Y47" i="51" s="1"/>
  <c r="E47" i="51"/>
  <c r="M47" i="51"/>
  <c r="U47" i="51"/>
  <c r="AA49" i="51"/>
  <c r="Q49" i="51"/>
  <c r="I49" i="51"/>
  <c r="W49" i="51"/>
  <c r="O49" i="51"/>
  <c r="G49" i="51"/>
  <c r="S49" i="51"/>
  <c r="K49" i="51"/>
  <c r="C49" i="51"/>
  <c r="Y49" i="51" s="1"/>
  <c r="U49" i="51"/>
  <c r="M49" i="51"/>
  <c r="E49" i="51"/>
  <c r="AA33" i="51"/>
  <c r="Q33" i="51"/>
  <c r="I33" i="51"/>
  <c r="W33" i="51"/>
  <c r="O33" i="51"/>
  <c r="G33" i="51"/>
  <c r="S33" i="51"/>
  <c r="K33" i="51"/>
  <c r="C33" i="51"/>
  <c r="U33" i="51"/>
  <c r="M33" i="51"/>
  <c r="E33" i="51"/>
  <c r="S17" i="51"/>
  <c r="K17" i="51"/>
  <c r="C17" i="51"/>
  <c r="U17" i="51"/>
  <c r="AA17" i="51"/>
  <c r="Q17" i="51"/>
  <c r="I17" i="51"/>
  <c r="E17" i="51"/>
  <c r="W17" i="51"/>
  <c r="O17" i="51"/>
  <c r="G17" i="51"/>
  <c r="M17" i="51"/>
  <c r="AA48" i="51"/>
  <c r="Q48" i="51"/>
  <c r="I48" i="51"/>
  <c r="W48" i="51"/>
  <c r="O48" i="51"/>
  <c r="G48" i="51"/>
  <c r="S48" i="51"/>
  <c r="K48" i="51"/>
  <c r="C48" i="51"/>
  <c r="M48" i="51"/>
  <c r="E48" i="51"/>
  <c r="U48" i="51"/>
  <c r="AA40" i="51"/>
  <c r="Q40" i="51"/>
  <c r="I40" i="51"/>
  <c r="W40" i="51"/>
  <c r="O40" i="51"/>
  <c r="G40" i="51"/>
  <c r="S40" i="51"/>
  <c r="K40" i="51"/>
  <c r="C40" i="51"/>
  <c r="Y40" i="51" s="1"/>
  <c r="M40" i="51"/>
  <c r="E40" i="51"/>
  <c r="U40" i="51"/>
  <c r="AA32" i="51"/>
  <c r="Q32" i="51"/>
  <c r="I32" i="51"/>
  <c r="W32" i="51"/>
  <c r="O32" i="51"/>
  <c r="G32" i="51"/>
  <c r="S32" i="51"/>
  <c r="K32" i="51"/>
  <c r="C32" i="51"/>
  <c r="Y32" i="51" s="1"/>
  <c r="M32" i="51"/>
  <c r="E32" i="51"/>
  <c r="U32" i="51"/>
  <c r="S24" i="51"/>
  <c r="K24" i="51"/>
  <c r="C24" i="51"/>
  <c r="Y24" i="51" s="1"/>
  <c r="E24" i="51"/>
  <c r="AA24" i="51"/>
  <c r="Q24" i="51"/>
  <c r="I24" i="51"/>
  <c r="M24" i="51"/>
  <c r="W24" i="51"/>
  <c r="O24" i="51"/>
  <c r="G24" i="51"/>
  <c r="U24" i="51"/>
  <c r="S16" i="51"/>
  <c r="K16" i="51"/>
  <c r="C16" i="51"/>
  <c r="M16" i="51"/>
  <c r="AA16" i="51"/>
  <c r="Q16" i="51"/>
  <c r="I16" i="51"/>
  <c r="E16" i="51"/>
  <c r="W16" i="51"/>
  <c r="O16" i="51"/>
  <c r="G16" i="51"/>
  <c r="U16" i="51"/>
  <c r="Y42" i="51"/>
  <c r="Y31" i="51"/>
  <c r="Y45" i="51"/>
  <c r="Y29" i="51"/>
  <c r="Y33" i="51"/>
  <c r="Y35" i="51"/>
  <c r="Y18" i="51" l="1"/>
  <c r="Y14" i="51"/>
  <c r="Y17" i="51"/>
  <c r="Y15" i="51"/>
  <c r="Y16" i="51"/>
  <c r="Y20" i="51"/>
  <c r="Y41" i="51"/>
  <c r="Y19" i="51"/>
  <c r="Y25" i="51"/>
  <c r="Y44" i="51"/>
  <c r="Y36" i="51"/>
  <c r="Y27" i="51"/>
  <c r="Y48" i="51"/>
  <c r="Y38" i="51"/>
  <c r="Y39" i="51"/>
  <c r="Y28" i="51"/>
  <c r="Y30" i="51"/>
  <c r="W6" i="51"/>
  <c r="Y13" i="51" l="1"/>
  <c r="K6" i="51" l="1"/>
  <c r="AA6" i="51"/>
  <c r="S6" i="51"/>
  <c r="Y6" i="51"/>
  <c r="I17" i="23" l="1"/>
  <c r="L25" i="23"/>
  <c r="L34" i="23"/>
  <c r="I45" i="23"/>
  <c r="L55" i="23"/>
  <c r="O15" i="41"/>
  <c r="G23" i="41"/>
  <c r="K28" i="41"/>
  <c r="O33" i="41"/>
  <c r="K37" i="41"/>
  <c r="G48" i="41"/>
  <c r="K53" i="41"/>
  <c r="G59" i="41"/>
  <c r="G65" i="41"/>
  <c r="O69" i="41"/>
  <c r="I19" i="23"/>
  <c r="I28" i="23"/>
  <c r="I37" i="23"/>
  <c r="L60" i="23"/>
  <c r="G20" i="41"/>
  <c r="G35" i="41"/>
  <c r="O28" i="41"/>
  <c r="K48" i="41"/>
  <c r="O53" i="41"/>
  <c r="O59" i="41"/>
  <c r="O65" i="41"/>
  <c r="L12" i="23"/>
  <c r="I21" i="23"/>
  <c r="I30" i="23"/>
  <c r="I39" i="23"/>
  <c r="I51" i="23"/>
  <c r="G15" i="41"/>
  <c r="K20" i="41"/>
  <c r="O23" i="41"/>
  <c r="G33" i="41"/>
  <c r="K35" i="41"/>
  <c r="K43" i="41"/>
  <c r="O48" i="41"/>
  <c r="G56" i="41"/>
  <c r="G61" i="41"/>
  <c r="G69" i="41"/>
  <c r="I15" i="23"/>
  <c r="I23" i="23"/>
  <c r="I32" i="23"/>
  <c r="I42" i="23"/>
  <c r="I53" i="23"/>
  <c r="K23" i="41"/>
  <c r="K39" i="41"/>
  <c r="K15" i="41"/>
  <c r="O20" i="41"/>
  <c r="G28" i="41"/>
  <c r="K33" i="41"/>
  <c r="O35" i="41"/>
  <c r="O43" i="41"/>
  <c r="G53" i="41"/>
  <c r="O56" i="41"/>
  <c r="O61" i="41"/>
  <c r="K69" i="41"/>
  <c r="I48" i="23"/>
  <c r="R173" i="6" l="1"/>
  <c r="J15" i="6" l="1"/>
  <c r="N173" i="6"/>
  <c r="J162" i="6"/>
  <c r="R159" i="6"/>
  <c r="R145" i="6"/>
  <c r="J141" i="6"/>
  <c r="R125" i="6"/>
  <c r="N122" i="6"/>
  <c r="J119" i="6"/>
  <c r="R113" i="6"/>
  <c r="N107" i="6"/>
  <c r="N100" i="6"/>
  <c r="J96" i="6"/>
  <c r="R85" i="6"/>
  <c r="N70" i="6"/>
  <c r="J67" i="6"/>
  <c r="R61" i="6"/>
  <c r="N58" i="6"/>
  <c r="J55" i="6"/>
  <c r="R47" i="6"/>
  <c r="N42" i="6"/>
  <c r="N36" i="6"/>
  <c r="J32" i="6"/>
  <c r="R25" i="6"/>
  <c r="J22" i="6"/>
  <c r="J181" i="6"/>
  <c r="N162" i="6"/>
  <c r="R156" i="6"/>
  <c r="J153" i="6"/>
  <c r="N141" i="6"/>
  <c r="J132" i="6"/>
  <c r="J128" i="6"/>
  <c r="R122" i="6"/>
  <c r="N119" i="6"/>
  <c r="J116" i="6"/>
  <c r="R107" i="6"/>
  <c r="J103" i="6"/>
  <c r="N96" i="6"/>
  <c r="J93" i="6"/>
  <c r="N81" i="6"/>
  <c r="R70" i="6"/>
  <c r="N67" i="6"/>
  <c r="J64" i="6"/>
  <c r="R58" i="6"/>
  <c r="N55" i="6"/>
  <c r="J53" i="6"/>
  <c r="R42" i="6"/>
  <c r="J38" i="6"/>
  <c r="N32" i="6"/>
  <c r="J29" i="6"/>
  <c r="N22" i="6"/>
  <c r="R181" i="6"/>
  <c r="J165" i="6"/>
  <c r="R153" i="6"/>
  <c r="N138" i="6"/>
  <c r="R128" i="6"/>
  <c r="N125" i="6"/>
  <c r="R116" i="6"/>
  <c r="J107" i="6"/>
  <c r="R93" i="6"/>
  <c r="J70" i="6"/>
  <c r="R64" i="6"/>
  <c r="N61" i="6"/>
  <c r="J58" i="6"/>
  <c r="R53" i="6"/>
  <c r="N47" i="6"/>
  <c r="J42" i="6"/>
  <c r="J36" i="6"/>
  <c r="R29" i="6"/>
  <c r="N25" i="6"/>
  <c r="N20" i="6"/>
  <c r="R15" i="6"/>
  <c r="N153" i="6"/>
  <c r="J145" i="6"/>
  <c r="J125" i="6"/>
  <c r="R119" i="6"/>
  <c r="N103" i="6"/>
  <c r="R96" i="6"/>
  <c r="R67" i="6"/>
  <c r="N64" i="6"/>
  <c r="J61" i="6"/>
  <c r="R55" i="6"/>
  <c r="N53" i="6"/>
  <c r="J47" i="6"/>
  <c r="N38" i="6"/>
  <c r="R32" i="6"/>
  <c r="N29" i="6"/>
  <c r="J25" i="6"/>
  <c r="J20" i="6"/>
  <c r="N15" i="6"/>
  <c r="J85" i="6" l="1"/>
  <c r="J113" i="6"/>
  <c r="N128" i="6"/>
  <c r="N181" i="6"/>
  <c r="N93" i="6"/>
  <c r="N116" i="6"/>
  <c r="J138" i="6"/>
  <c r="J159" i="6"/>
  <c r="N131" i="6"/>
  <c r="J100" i="6"/>
  <c r="J122" i="6"/>
  <c r="N145" i="6"/>
  <c r="N165" i="6"/>
  <c r="R162" i="6"/>
  <c r="N78" i="6"/>
  <c r="J173" i="6"/>
  <c r="N156" i="6"/>
  <c r="J78" i="6"/>
  <c r="N169" i="6"/>
  <c r="N85" i="6"/>
  <c r="N113" i="6"/>
  <c r="J156" i="6"/>
  <c r="J169" i="6"/>
  <c r="J81" i="6"/>
  <c r="N159" i="6"/>
  <c r="N155" i="1"/>
  <c r="T155" i="1"/>
  <c r="Q155" i="1"/>
  <c r="J54" i="6"/>
  <c r="N54" i="6"/>
  <c r="K25" i="1" l="1"/>
  <c r="K30" i="1"/>
  <c r="K34" i="1"/>
  <c r="K40" i="1"/>
  <c r="K45" i="1"/>
  <c r="K49" i="1"/>
  <c r="K72" i="1"/>
  <c r="Q72" i="1"/>
  <c r="W72" i="1"/>
  <c r="N76" i="1"/>
  <c r="T76" i="1"/>
  <c r="K79" i="1"/>
  <c r="Q79" i="1"/>
  <c r="W79" i="1"/>
  <c r="N81" i="1"/>
  <c r="T81" i="1"/>
  <c r="N84" i="1"/>
  <c r="N86" i="1"/>
  <c r="N88" i="1"/>
  <c r="W88" i="1"/>
  <c r="Q90" i="1"/>
  <c r="W90" i="1"/>
  <c r="Q92" i="1"/>
  <c r="W92" i="1"/>
  <c r="W94" i="1"/>
  <c r="Q96" i="1"/>
  <c r="W96" i="1"/>
  <c r="W98" i="1"/>
  <c r="N104" i="1"/>
  <c r="T104" i="1"/>
  <c r="K106" i="1"/>
  <c r="Q106" i="1"/>
  <c r="W106" i="1"/>
  <c r="N108" i="1"/>
  <c r="T108" i="1"/>
  <c r="K110" i="1"/>
  <c r="Q110" i="1"/>
  <c r="W110" i="1"/>
  <c r="N112" i="1"/>
  <c r="T112" i="1"/>
  <c r="K116" i="1"/>
  <c r="Q116" i="1"/>
  <c r="W116" i="1"/>
  <c r="Q133" i="1"/>
  <c r="W133" i="1"/>
  <c r="Q136" i="1"/>
  <c r="W136" i="1"/>
  <c r="Q138" i="1"/>
  <c r="W138" i="1"/>
  <c r="Q140" i="1"/>
  <c r="W140" i="1"/>
  <c r="Q143" i="1"/>
  <c r="W143" i="1"/>
  <c r="Q152" i="1" l="1"/>
  <c r="Q149" i="1"/>
  <c r="Q146" i="1"/>
  <c r="W162" i="1"/>
  <c r="W158" i="1"/>
  <c r="W155" i="1"/>
  <c r="W152" i="1"/>
  <c r="W149" i="1"/>
  <c r="W146" i="1"/>
  <c r="Q162" i="1"/>
  <c r="Q158" i="1"/>
  <c r="N162" i="1"/>
  <c r="N158" i="1"/>
  <c r="N146" i="1"/>
  <c r="N143" i="1"/>
  <c r="N140" i="1"/>
  <c r="N138" i="1"/>
  <c r="N136" i="1"/>
  <c r="N133" i="1"/>
  <c r="N116" i="1"/>
  <c r="Q112" i="1"/>
  <c r="T110" i="1"/>
  <c r="W108" i="1"/>
  <c r="K108" i="1"/>
  <c r="N106" i="1"/>
  <c r="Q104" i="1"/>
  <c r="N98" i="1"/>
  <c r="N96" i="1"/>
  <c r="T92" i="1"/>
  <c r="T90" i="1"/>
  <c r="Q88" i="1"/>
  <c r="W84" i="1"/>
  <c r="Q81" i="1"/>
  <c r="T79" i="1"/>
  <c r="W76" i="1"/>
  <c r="K76" i="1"/>
  <c r="N72" i="1"/>
  <c r="K47" i="1"/>
  <c r="K37" i="1"/>
  <c r="K27" i="1"/>
  <c r="T158" i="1"/>
  <c r="T146" i="1"/>
  <c r="T143" i="1"/>
  <c r="T140" i="1"/>
  <c r="T138" i="1"/>
  <c r="T136" i="1"/>
  <c r="T133" i="1"/>
  <c r="T116" i="1"/>
  <c r="W112" i="1"/>
  <c r="K112" i="1"/>
  <c r="N110" i="1"/>
  <c r="Q108" i="1"/>
  <c r="T106" i="1"/>
  <c r="W104" i="1"/>
  <c r="K104" i="1"/>
  <c r="T96" i="1"/>
  <c r="N94" i="1"/>
  <c r="N92" i="1"/>
  <c r="N90" i="1"/>
  <c r="W86" i="1"/>
  <c r="W81" i="1"/>
  <c r="K81" i="1"/>
  <c r="N79" i="1"/>
  <c r="Q76" i="1"/>
  <c r="T72" i="1"/>
  <c r="K52" i="1"/>
  <c r="K42" i="1"/>
  <c r="K32" i="1"/>
  <c r="T152" i="1" l="1"/>
  <c r="T149" i="1"/>
  <c r="N152" i="1"/>
  <c r="N149" i="1"/>
  <c r="T162" i="1"/>
  <c r="K19" i="1"/>
  <c r="E13" i="51" l="1"/>
  <c r="G13" i="51"/>
  <c r="I13" i="51"/>
  <c r="M13" i="51"/>
  <c r="O13" i="51"/>
  <c r="Q13" i="51"/>
  <c r="U13" i="51"/>
  <c r="U6" i="51" l="1"/>
  <c r="E6" i="51"/>
  <c r="M6" i="51"/>
  <c r="Q6" i="51"/>
  <c r="I6" i="51"/>
  <c r="O6" i="51"/>
  <c r="G6" i="51"/>
  <c r="U7" i="51" l="1"/>
</calcChain>
</file>

<file path=xl/sharedStrings.xml><?xml version="1.0" encoding="utf-8"?>
<sst xmlns="http://schemas.openxmlformats.org/spreadsheetml/2006/main" count="11128" uniqueCount="1998">
  <si>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</si>
  <si>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</si>
  <si>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</si>
  <si>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</si>
  <si>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</si>
  <si>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</si>
  <si>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</si>
  <si>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</si>
  <si>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</si>
  <si>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</si>
  <si>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</si>
  <si>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</si>
  <si>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</si>
  <si>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</si>
  <si>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</si>
  <si>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</si>
  <si>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</si>
  <si>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</si>
  <si>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</si>
  <si>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</si>
  <si>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</si>
  <si>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</si>
  <si>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</si>
  <si>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</si>
  <si>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</si>
  <si>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</si>
  <si>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</si>
  <si>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</si>
  <si>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</si>
  <si>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</si>
  <si>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</si>
  <si>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</si>
  <si>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</si>
  <si>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TOTAL
(All BA Area)</t>
  </si>
  <si>
    <t xml:space="preserve">PART 1A: NON-DOMESTIC RATING INCOME </t>
  </si>
  <si>
    <t>COST OF COLLECTION (See Note A)</t>
  </si>
  <si>
    <t>Central
Government</t>
  </si>
  <si>
    <t>Estimated Surplus/Deficit on Collection Fund</t>
  </si>
  <si>
    <t xml:space="preserve">of which: </t>
  </si>
  <si>
    <t>GLA - functions exc police</t>
  </si>
  <si>
    <t>Retained NNDR shares</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</si>
  <si>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</si>
  <si>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</si>
  <si>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</si>
  <si>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</si>
  <si>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</si>
  <si>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</si>
  <si>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</si>
  <si>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</si>
  <si>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</si>
  <si>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</si>
  <si>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</si>
  <si>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</si>
  <si>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</si>
  <si>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</si>
  <si>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</si>
  <si>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</si>
  <si>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</si>
  <si>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</si>
  <si>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</si>
  <si>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</si>
  <si>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</si>
  <si>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</si>
  <si>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</si>
  <si>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</si>
  <si>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</si>
  <si>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</si>
  <si>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</si>
  <si>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</si>
  <si>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</si>
  <si>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</si>
  <si>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</si>
  <si>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</si>
  <si>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</si>
  <si>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</si>
  <si>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</si>
  <si>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</si>
  <si>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</si>
  <si>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</si>
  <si>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</si>
  <si>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</si>
  <si>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</si>
  <si>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</si>
  <si>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</si>
  <si>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</si>
  <si>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</si>
  <si>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</si>
  <si>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</si>
  <si>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</si>
  <si>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</si>
  <si>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</si>
  <si>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</si>
  <si>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</si>
  <si>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</si>
  <si>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</si>
  <si>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</si>
  <si>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</si>
  <si>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</si>
  <si>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</si>
  <si>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</si>
  <si>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</si>
  <si>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</si>
  <si>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</si>
  <si>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</si>
  <si>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</si>
  <si>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</si>
  <si>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</si>
  <si>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</si>
  <si>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</si>
  <si>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</si>
  <si>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</si>
  <si>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</si>
  <si>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</si>
  <si>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</si>
  <si>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</si>
  <si>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</si>
  <si>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</si>
  <si>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</si>
  <si>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</si>
  <si>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</si>
  <si>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</si>
  <si>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</si>
  <si>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</si>
  <si>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</si>
  <si>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</si>
  <si>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</si>
  <si>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</si>
  <si>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</si>
  <si>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</si>
  <si>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</si>
  <si>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</si>
  <si>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</si>
  <si>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</si>
  <si>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</si>
  <si>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</si>
  <si>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</si>
  <si>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</si>
  <si>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</si>
  <si>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</si>
  <si>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</si>
  <si>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</si>
  <si>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</si>
  <si>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</si>
  <si>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</si>
  <si>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</si>
  <si>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</si>
  <si>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</si>
  <si>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</si>
  <si>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</si>
  <si>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</si>
  <si>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</si>
  <si>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</si>
  <si>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</si>
  <si>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</si>
  <si>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</si>
  <si>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</si>
  <si>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</si>
  <si>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</si>
  <si>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</si>
  <si>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</si>
  <si>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</si>
  <si>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</si>
  <si>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</si>
  <si>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</si>
  <si>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</si>
  <si>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</si>
  <si>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</si>
  <si>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</si>
  <si>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</si>
  <si>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</si>
  <si>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</si>
  <si>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</si>
  <si>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</si>
  <si>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</si>
  <si>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</si>
  <si>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</si>
  <si>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</si>
  <si>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</si>
  <si>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</si>
  <si>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</si>
  <si>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</si>
  <si>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</si>
  <si>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</si>
  <si>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</si>
  <si>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</si>
  <si>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</si>
  <si>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</si>
  <si>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</si>
  <si>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</si>
  <si>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</si>
  <si>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</si>
  <si>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</si>
  <si>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</si>
  <si>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</si>
  <si>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</si>
  <si>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</si>
  <si>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</si>
  <si>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</si>
  <si>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</si>
  <si>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</si>
  <si>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</si>
  <si>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</si>
  <si>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</si>
  <si>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</si>
  <si>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</si>
  <si>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</si>
  <si>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</si>
  <si>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</si>
  <si>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</si>
  <si>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</si>
  <si>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</si>
  <si>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</si>
  <si>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</si>
  <si>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</si>
  <si>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</si>
  <si>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</si>
  <si>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</si>
  <si>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</si>
  <si>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</si>
  <si>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</si>
  <si>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</si>
  <si>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</si>
  <si>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</si>
  <si>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</si>
  <si>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</si>
  <si>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</si>
  <si>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</si>
  <si>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</si>
  <si>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</si>
  <si>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</si>
  <si>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</si>
  <si>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</si>
  <si>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</si>
  <si>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</si>
  <si>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</si>
  <si>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</si>
  <si>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</si>
  <si>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</si>
  <si>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</si>
  <si>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</si>
  <si>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</si>
  <si>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</si>
  <si>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</si>
  <si>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</si>
  <si>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</si>
  <si>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</si>
  <si>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</si>
  <si>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</si>
  <si>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</si>
  <si>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</si>
  <si>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</si>
  <si>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</si>
  <si>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</si>
  <si>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</si>
  <si>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5.  Renewable Energy</t>
  </si>
  <si>
    <t xml:space="preserve">OPENING BALANCE </t>
  </si>
  <si>
    <t>PART 1B: PAYMENTS</t>
  </si>
  <si>
    <t>PART 2: NET RATES PAYABLE</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</si>
  <si>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</si>
  <si>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</si>
  <si>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</si>
  <si>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</si>
  <si>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</si>
  <si>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</si>
  <si>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</si>
  <si>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</si>
  <si>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</si>
  <si>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</si>
  <si>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</si>
  <si>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</si>
  <si>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</si>
  <si>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</si>
  <si>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</si>
  <si>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</si>
  <si>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</si>
  <si>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</si>
  <si>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</si>
  <si>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</si>
  <si>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</si>
  <si>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</si>
  <si>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</si>
  <si>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</si>
  <si>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</si>
  <si>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</si>
  <si>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</si>
  <si>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</si>
  <si>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</si>
  <si>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</si>
  <si>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</si>
  <si>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</si>
  <si>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</si>
  <si>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</si>
  <si>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</si>
  <si>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</si>
  <si>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</si>
  <si>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</si>
  <si>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</si>
  <si>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</si>
  <si>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</si>
  <si>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</si>
  <si>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</si>
  <si>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</si>
  <si>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</si>
  <si>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</si>
  <si>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</si>
  <si>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</si>
  <si>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</si>
  <si>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</si>
  <si>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</si>
  <si>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</si>
  <si>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</si>
  <si>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</si>
  <si>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</si>
  <si>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</si>
  <si>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</si>
  <si>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</si>
  <si>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</si>
  <si>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</si>
  <si>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</si>
  <si>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</si>
  <si>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</si>
  <si>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</si>
  <si>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</si>
  <si>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</si>
  <si>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</si>
  <si>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</si>
  <si>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</si>
  <si>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</si>
  <si>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</si>
  <si>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</si>
  <si>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</si>
  <si>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</si>
  <si>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</si>
  <si>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</si>
  <si>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</si>
  <si>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</si>
  <si>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</si>
  <si>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</si>
  <si>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</si>
  <si>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</si>
  <si>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</si>
  <si>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</si>
  <si>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</si>
  <si>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</si>
  <si>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</si>
  <si>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</si>
  <si>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</si>
  <si>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</si>
  <si>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</si>
  <si>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</si>
  <si>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</si>
  <si>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</si>
  <si>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</si>
  <si>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</si>
  <si>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</si>
  <si>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</si>
  <si>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</si>
  <si>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</si>
  <si>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</si>
  <si>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</si>
  <si>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</si>
  <si>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</si>
  <si>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</si>
  <si>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</si>
  <si>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</si>
  <si>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</si>
  <si>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</si>
  <si>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</si>
  <si>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</si>
  <si>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</si>
  <si>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</si>
  <si>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</si>
  <si>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</si>
  <si>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</si>
  <si>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</si>
  <si>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</si>
  <si>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</si>
  <si>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</si>
  <si>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</si>
  <si>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</si>
  <si>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</si>
  <si>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</si>
  <si>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</si>
  <si>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</si>
  <si>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</si>
  <si>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</si>
  <si>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</si>
  <si>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</si>
  <si>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</si>
  <si>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</si>
  <si>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</si>
  <si>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</si>
  <si>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</si>
  <si>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</si>
  <si>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</si>
  <si>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</si>
  <si>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</si>
  <si>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</si>
  <si>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</si>
  <si>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</si>
  <si>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</si>
  <si>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</si>
  <si>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</si>
  <si>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</si>
  <si>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</si>
  <si>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</si>
  <si>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</si>
  <si>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</si>
  <si>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</si>
  <si>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</si>
  <si>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</si>
  <si>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</si>
  <si>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</si>
  <si>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</si>
  <si>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</si>
  <si>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</si>
  <si>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</si>
  <si>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</si>
  <si>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</si>
  <si>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</si>
  <si>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</si>
  <si>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</si>
  <si>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</si>
  <si>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</si>
  <si>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</si>
  <si>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</si>
  <si>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</si>
  <si>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</si>
  <si>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</si>
  <si>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</si>
  <si>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</si>
  <si>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</si>
  <si>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</si>
  <si>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</si>
  <si>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</si>
  <si>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</si>
  <si>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</si>
  <si>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</si>
  <si>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</si>
  <si>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</si>
  <si>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</si>
  <si>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</si>
  <si>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</si>
  <si>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</si>
  <si>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</si>
  <si>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</si>
  <si>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</si>
  <si>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</si>
  <si>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</si>
  <si>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</si>
  <si>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</si>
  <si>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</si>
  <si>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</si>
  <si>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</si>
  <si>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</si>
  <si>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</si>
  <si>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</si>
  <si>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</si>
  <si>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</si>
  <si>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</si>
  <si>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</si>
  <si>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</si>
  <si>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</si>
  <si>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</si>
  <si>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</si>
  <si>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</si>
  <si>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</si>
  <si>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</si>
  <si>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</si>
  <si>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</si>
  <si>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</si>
  <si>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</si>
  <si>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</si>
  <si>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</si>
  <si>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</si>
  <si>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</si>
  <si>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</si>
  <si>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</si>
  <si>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</si>
  <si>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</si>
  <si>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</si>
  <si>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</si>
  <si>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</si>
  <si>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</si>
  <si>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</si>
  <si>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</si>
  <si>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</si>
  <si>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</si>
  <si>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</si>
  <si>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</si>
  <si>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</si>
  <si>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</si>
  <si>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</si>
  <si>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</si>
  <si>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</si>
  <si>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</si>
  <si>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</si>
  <si>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</si>
  <si>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</si>
  <si>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</si>
  <si>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</si>
  <si>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</si>
  <si>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</si>
  <si>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</si>
  <si>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</si>
  <si>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</si>
  <si>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</si>
  <si>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</si>
  <si>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</si>
  <si>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</si>
  <si>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</si>
  <si>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</si>
  <si>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</si>
  <si>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</si>
  <si>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</si>
  <si>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</si>
  <si>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</si>
  <si>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</si>
  <si>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EZZZZ</t>
  </si>
  <si>
    <t xml:space="preserve">Select your local authority's name from this list: </t>
  </si>
  <si>
    <t>Partially occupied hereditaments</t>
  </si>
  <si>
    <t>Empty premises</t>
  </si>
  <si>
    <t>Fire</t>
  </si>
  <si>
    <t>NA</t>
  </si>
  <si>
    <t>UA</t>
  </si>
  <si>
    <t>Avon Fire Authority</t>
  </si>
  <si>
    <t>Bristol UA</t>
  </si>
  <si>
    <t>South Gloucestershire UA</t>
  </si>
  <si>
    <t>North Somerset UA</t>
  </si>
  <si>
    <t>Luton UA</t>
  </si>
  <si>
    <t>Bedfordshire Fire Authority</t>
  </si>
  <si>
    <t>Bracknell Forest UA</t>
  </si>
  <si>
    <t>Berkshire Fire Authority</t>
  </si>
  <si>
    <t>West Berkshire UA</t>
  </si>
  <si>
    <t>Reading UA</t>
  </si>
  <si>
    <t>Slough UA</t>
  </si>
  <si>
    <t>Wokingham UA</t>
  </si>
  <si>
    <t>Milton Keynes UA</t>
  </si>
  <si>
    <t>Buckinghamshire Fire Authority</t>
  </si>
  <si>
    <t>Buckinghamshire</t>
  </si>
  <si>
    <t>Peterborough UA</t>
  </si>
  <si>
    <t>Cambridgeshire Fire Authority</t>
  </si>
  <si>
    <t>Cambridgeshire</t>
  </si>
  <si>
    <t>Halton UA</t>
  </si>
  <si>
    <t>Cheshire Fire Authority</t>
  </si>
  <si>
    <t>Warrington UA</t>
  </si>
  <si>
    <t>Cheshire West and Chester UA</t>
  </si>
  <si>
    <t>Hartlepool UA</t>
  </si>
  <si>
    <t>Cleveland Fire Authority</t>
  </si>
  <si>
    <t>Middlesbrough UA</t>
  </si>
  <si>
    <t>Stockton-on-Tees UA</t>
  </si>
  <si>
    <t>County</t>
  </si>
  <si>
    <t>Cumbria</t>
  </si>
  <si>
    <t>Derby UA</t>
  </si>
  <si>
    <t>Derbyshire Fire Authority</t>
  </si>
  <si>
    <t>Derbyshire</t>
  </si>
  <si>
    <t xml:space="preserve">COLLECTABLE RATES </t>
  </si>
  <si>
    <t>Plymouth UA</t>
  </si>
  <si>
    <t>Devon and Somerset Fire Authority</t>
  </si>
  <si>
    <t>Torbay UA</t>
  </si>
  <si>
    <t>Devon</t>
  </si>
  <si>
    <t>Dorset Fire Authority</t>
  </si>
  <si>
    <t>Dorset</t>
  </si>
  <si>
    <t>Darlington UA</t>
  </si>
  <si>
    <t>Durham Fire Authority</t>
  </si>
  <si>
    <t>East Sussex Fire Authority</t>
  </si>
  <si>
    <t>East Sussex</t>
  </si>
  <si>
    <t>Southend-on-Sea UA</t>
  </si>
  <si>
    <t>Essex Fire Authority</t>
  </si>
  <si>
    <t>Thurrock UA</t>
  </si>
  <si>
    <t>Essex</t>
  </si>
  <si>
    <t>Gloucestershire</t>
  </si>
  <si>
    <t>Portsmouth UA</t>
  </si>
  <si>
    <t>Hampshire Fire Authority</t>
  </si>
  <si>
    <t>Southampton UA</t>
  </si>
  <si>
    <t>Hampshire</t>
  </si>
  <si>
    <t>Herefordshire UA</t>
  </si>
  <si>
    <t>Hereford and Worcester Fire Authority</t>
  </si>
  <si>
    <t>Worcestershire</t>
  </si>
  <si>
    <t>Hertfordshire</t>
  </si>
  <si>
    <t>East Riding of Yorkshire UA</t>
  </si>
  <si>
    <t>Humberside Fire Authority</t>
  </si>
  <si>
    <t>North East Lincolnshire UA</t>
  </si>
  <si>
    <t>North Lincolnshire UA</t>
  </si>
  <si>
    <t>Medway UA</t>
  </si>
  <si>
    <t>Kent Fire Authority</t>
  </si>
  <si>
    <t>Kent</t>
  </si>
  <si>
    <t>Blackburn with Darwen UA</t>
  </si>
  <si>
    <t>Lancashire Fire Authority</t>
  </si>
  <si>
    <t>Blackpool UA</t>
  </si>
  <si>
    <t>Lancashire</t>
  </si>
  <si>
    <t>Leicester UA</t>
  </si>
  <si>
    <t>Leicestershire Fire Authority</t>
  </si>
  <si>
    <t>Rutland UA</t>
  </si>
  <si>
    <t>Leicestershire</t>
  </si>
  <si>
    <t>Lincolnshire</t>
  </si>
  <si>
    <t>Norfolk</t>
  </si>
  <si>
    <t>York UA</t>
  </si>
  <si>
    <t>North Yorkshire Fire Authority</t>
  </si>
  <si>
    <t>North Yorkshire</t>
  </si>
  <si>
    <t>Northamptonshire</t>
  </si>
  <si>
    <t>Nottingham UA</t>
  </si>
  <si>
    <t>Nottinghamshire Fire Authority</t>
  </si>
  <si>
    <t>Nottinghamshire</t>
  </si>
  <si>
    <t>Oxfordshire</t>
  </si>
  <si>
    <t>Shropshire Fire Authority</t>
  </si>
  <si>
    <t>Somerset</t>
  </si>
  <si>
    <t>Stoke-on-Trent UA</t>
  </si>
  <si>
    <t>Staffordshire Fire Authority</t>
  </si>
  <si>
    <t>Staffordshire</t>
  </si>
  <si>
    <t>Suffolk</t>
  </si>
  <si>
    <t>Surrey</t>
  </si>
  <si>
    <t>Warwickshire</t>
  </si>
  <si>
    <t>West Sussex</t>
  </si>
  <si>
    <t>Swindon UA</t>
  </si>
  <si>
    <t>Wiltshire Fire Authority</t>
  </si>
  <si>
    <t>MD</t>
  </si>
  <si>
    <t>Greater Manchester Fire</t>
  </si>
  <si>
    <t>Merseyside Fire</t>
  </si>
  <si>
    <t>South Yorkshire Fire</t>
  </si>
  <si>
    <t>Tyne and Wear Fire</t>
  </si>
  <si>
    <t>West Midlands Fire</t>
  </si>
  <si>
    <t>West Yorkshire Fire</t>
  </si>
  <si>
    <t>Greater London Authority</t>
  </si>
  <si>
    <t>£</t>
  </si>
  <si>
    <t>2.  Sums due to the authority</t>
  </si>
  <si>
    <t xml:space="preserve">3.  Sums due from the authority </t>
  </si>
  <si>
    <t>Authority Name</t>
  </si>
  <si>
    <t>E-code</t>
  </si>
  <si>
    <t>Column 1</t>
  </si>
  <si>
    <t>Column 2</t>
  </si>
  <si>
    <t>Column 3</t>
  </si>
  <si>
    <t>Column 4</t>
  </si>
  <si>
    <t>Small Business Rate Relief</t>
  </si>
  <si>
    <t>Community Amateur Sports Clubs (CASCs)</t>
  </si>
  <si>
    <t>Non-profit making bodies</t>
  </si>
  <si>
    <t>Small rural businesses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</si>
  <si>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</si>
  <si>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</si>
  <si>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</si>
  <si>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</si>
  <si>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Total</t>
  </si>
  <si>
    <t>TOTAL FOR THE YEAR</t>
  </si>
  <si>
    <t xml:space="preserve">NET RATES PAYABLE </t>
  </si>
  <si>
    <t>5.  Legal costs</t>
  </si>
  <si>
    <t>6.  Allowance for cost of collection</t>
  </si>
  <si>
    <t>4. Cost of collection formula</t>
  </si>
  <si>
    <t>SPECIAL AUTHORITY DEDUCTIONS</t>
  </si>
  <si>
    <t>Column 5</t>
  </si>
  <si>
    <t>4.  Estimated growth/decline in gross rates</t>
  </si>
  <si>
    <t>Charitable occupation</t>
  </si>
  <si>
    <t>Rural shops etc</t>
  </si>
  <si>
    <t>Rural rate relief</t>
  </si>
  <si>
    <t>Other ratepayers</t>
  </si>
  <si>
    <t>NATIONAL NON-DOMESTIC RATES RETURN - NNDR1</t>
  </si>
  <si>
    <t>of which:</t>
  </si>
  <si>
    <t>13. of which: relief on existing properties where a 2nd property is occupied</t>
  </si>
  <si>
    <t>1. Rateable Value at</t>
  </si>
  <si>
    <t>(LESS) LOSSES</t>
  </si>
  <si>
    <t xml:space="preserve">PART 4: ESTIMATED COLLECTION FUND BALANCE </t>
  </si>
  <si>
    <t xml:space="preserve">COLLECTIBLE RATES </t>
  </si>
  <si>
    <t xml:space="preserve">TRANSITIONAL PROTECTION PAYMENTS </t>
  </si>
  <si>
    <t xml:space="preserve">NON-DOMESTIC RATING INCOME </t>
  </si>
  <si>
    <t xml:space="preserve">DISREGARDED AMOUNTS </t>
  </si>
  <si>
    <t>4.  Net Rates payable less losses</t>
  </si>
  <si>
    <t>8.  Net cost of transitional arrangements</t>
  </si>
  <si>
    <t>10. Forecast net cost of transitional arrangements</t>
  </si>
  <si>
    <t>11. Sum due to/(from) authority</t>
  </si>
  <si>
    <t xml:space="preserve">1.  Net amount receivable from rate payers after taking account of transitional adjustments, empty property rate, mandatory and discretionary reliefs and accounting adjustments </t>
  </si>
  <si>
    <t xml:space="preserve">TOTAL:  </t>
  </si>
  <si>
    <t>1.  Sum payable by rate payers after taking account of transitional adjustments, empty property rate, mandatory and discretionary reliefs</t>
  </si>
  <si>
    <t>No.</t>
  </si>
  <si>
    <t>Local Authority</t>
  </si>
  <si>
    <t>Ecodes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</si>
  <si>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</si>
  <si>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</si>
  <si>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</si>
  <si>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</si>
  <si>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</si>
  <si>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</si>
  <si>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</si>
  <si>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</si>
  <si>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</si>
  <si>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</si>
  <si>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</si>
  <si>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</si>
  <si>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</si>
  <si>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</si>
  <si>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</si>
  <si>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</si>
  <si>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</si>
  <si>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</si>
  <si>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</si>
  <si>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</si>
  <si>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</si>
  <si>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</si>
  <si>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</si>
  <si>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</si>
  <si>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</si>
  <si>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</si>
  <si>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</si>
  <si>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</si>
  <si>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</si>
  <si>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</si>
  <si>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</si>
  <si>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</si>
  <si>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</si>
  <si>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</si>
  <si>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</si>
  <si>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</si>
  <si>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</si>
  <si>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</si>
  <si>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</si>
  <si>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</si>
  <si>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</si>
  <si>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</si>
  <si>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</si>
  <si>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</si>
  <si>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</si>
  <si>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</si>
  <si>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</si>
  <si>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</si>
  <si>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</si>
  <si>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</si>
  <si>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</si>
  <si>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</si>
  <si>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</si>
  <si>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</si>
  <si>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</si>
  <si>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</si>
  <si>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</si>
  <si>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</si>
  <si>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</si>
  <si>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</si>
  <si>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</si>
  <si>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</si>
  <si>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</si>
  <si>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</si>
  <si>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</si>
  <si>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</si>
  <si>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</si>
  <si>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</si>
  <si>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</si>
  <si>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</si>
  <si>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</si>
  <si>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</si>
  <si>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</si>
  <si>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</si>
  <si>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</si>
  <si>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</si>
  <si>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</si>
  <si>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</si>
  <si>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</si>
  <si>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</si>
  <si>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</si>
  <si>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</si>
  <si>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</si>
  <si>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</si>
  <si>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</si>
  <si>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</si>
  <si>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</si>
  <si>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</si>
  <si>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</si>
  <si>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</si>
  <si>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</si>
  <si>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</si>
  <si>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</si>
  <si>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</si>
  <si>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</si>
  <si>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</si>
  <si>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</si>
  <si>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</si>
  <si>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</si>
  <si>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</si>
  <si>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</si>
  <si>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</si>
  <si>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</si>
  <si>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</si>
  <si>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</si>
  <si>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</si>
  <si>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E0604</t>
  </si>
  <si>
    <t>Chesterfield</t>
  </si>
  <si>
    <t>E1033</t>
  </si>
  <si>
    <t>Chichester</t>
  </si>
  <si>
    <t>E3833</t>
  </si>
  <si>
    <t>Chiltern</t>
  </si>
  <si>
    <t>E0432</t>
  </si>
  <si>
    <t>Chorley</t>
  </si>
  <si>
    <t>E2334</t>
  </si>
  <si>
    <t>City of London</t>
  </si>
  <si>
    <t>BA Area (exc. Designated areas)</t>
  </si>
  <si>
    <t>Designated
areas</t>
  </si>
  <si>
    <t>Sheffield City region</t>
  </si>
  <si>
    <t>Enterprise Area</t>
  </si>
  <si>
    <t>West of England</t>
  </si>
  <si>
    <t>Notts Broxtowe</t>
  </si>
  <si>
    <t>Sheffield City Region</t>
  </si>
  <si>
    <t>NewQuay Aerohub</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</si>
  <si>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</si>
  <si>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</si>
  <si>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</si>
  <si>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</si>
  <si>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</si>
  <si>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</si>
  <si>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</si>
  <si>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</si>
  <si>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</si>
  <si>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</si>
  <si>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</si>
  <si>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</si>
  <si>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</si>
  <si>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</si>
  <si>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</si>
  <si>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</si>
  <si>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</si>
  <si>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</si>
  <si>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</si>
  <si>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</si>
  <si>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</si>
  <si>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</si>
  <si>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</si>
  <si>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10. sums retained by billing authority</t>
  </si>
  <si>
    <t>11. sums retained by major precepting authority</t>
  </si>
  <si>
    <t xml:space="preserve">     (+ = increase, - = decrease)</t>
  </si>
  <si>
    <t>6.  Revenue foregone because increases in rates have been deferred (Show as -ve)</t>
  </si>
  <si>
    <t>14. Additional yield from the small business supplement (Show as +ve)</t>
  </si>
  <si>
    <t>Birmingham City Centre</t>
  </si>
  <si>
    <t>9.  Amounts retained in respect of Renewable Energy Schemes
(See Note B)</t>
  </si>
  <si>
    <t>7.  Additional income received because reductions in rates have been deferred
(Show as +ve)</t>
  </si>
  <si>
    <t>Relief given to Case A hereditaments</t>
  </si>
  <si>
    <t>Relief given to Case B hereditaments</t>
  </si>
  <si>
    <t>PART 3: COLLECTABLE RATES AND DISREGARDED AMOUNTS</t>
  </si>
  <si>
    <r>
      <t>9</t>
    </r>
    <r>
      <rPr>
        <sz val="12"/>
        <color indexed="10"/>
        <rFont val="Arial"/>
        <family val="2"/>
      </rPr>
      <t xml:space="preserve">. </t>
    </r>
    <r>
      <rPr>
        <sz val="12"/>
        <rFont val="Arial"/>
        <family val="2"/>
      </rPr>
      <t>Changes as a result of estimated growth / decline in cost of transitional arrangements 
(+ = decline, - = increase)</t>
    </r>
  </si>
  <si>
    <t>MANDATORY RELIEFS (See Note G) (All data should be entered as -ve unless specified otherwise)</t>
  </si>
  <si>
    <t>UNOCCUPIED PROPERTY (See Note H) (All data should be entered as -ve unless specified otherwise)</t>
  </si>
  <si>
    <t>DISCRETIONARY RELIEFS (See Note J) (All data should be entered as -ve unless specified otherwise)</t>
  </si>
  <si>
    <t>DISCRETIONARY RELIEFS FUNDED THROUGH SECTION 31 GRANT
(See Note K) (All data should be entered as -ve unless specified otherwise)</t>
  </si>
  <si>
    <t>Manchester City Airport</t>
  </si>
  <si>
    <t>Infinity Park</t>
  </si>
  <si>
    <t>BUSINESS RATES CREDITS AND CHARGES</t>
  </si>
  <si>
    <t xml:space="preserve">OTHER RATES RETENTION SCHEME CHARGES </t>
  </si>
  <si>
    <t xml:space="preserve">   </t>
  </si>
  <si>
    <t xml:space="preserve">OTHER RATES RETENTION SCHEME CREDITS </t>
  </si>
  <si>
    <t>3. Sums written off in excess of the allowance for non-collection</t>
  </si>
  <si>
    <t>4. Changes to the allowance for non-collection</t>
  </si>
  <si>
    <t xml:space="preserve">5. Amounts charged against the provision for appeals following RV list changes </t>
  </si>
  <si>
    <t>6. Changes to the provision for appeals</t>
  </si>
  <si>
    <t>7. Total business rates credits and charges (Total lines 2 to 6)</t>
  </si>
  <si>
    <t xml:space="preserve">9.  Transfers/payments to the Collection Fund for end-year reconciliations </t>
  </si>
  <si>
    <r>
      <t xml:space="preserve">11.  Total Other Credits </t>
    </r>
    <r>
      <rPr>
        <sz val="12"/>
        <rFont val="Arial"/>
        <family val="2"/>
      </rPr>
      <t>(Total lines 8 to 10)</t>
    </r>
  </si>
  <si>
    <t xml:space="preserve">14  Payments made, or to be made to, major precepting authorities in respect of business </t>
  </si>
  <si>
    <t xml:space="preserve">16.  Transfers made, or to be made, to the billing authority's General Fund; and payments made, </t>
  </si>
  <si>
    <t>17. Transfers/payments from the Collection Fund for end-year reconciliations</t>
  </si>
  <si>
    <r>
      <t xml:space="preserve">19.  Total Other Charges </t>
    </r>
    <r>
      <rPr>
        <sz val="12"/>
        <rFont val="Arial"/>
        <family val="2"/>
      </rPr>
      <t>(Total lines 12 to 18)</t>
    </r>
  </si>
  <si>
    <t>15. Net cost of small business rate relief (line 12 + line 14)</t>
  </si>
  <si>
    <t>Additional yield from the small business supplement</t>
  </si>
  <si>
    <t>Net cost of small business rate relief (line 12-line 14)</t>
  </si>
  <si>
    <t>Forecast of net rates payable by rate payers after taking account of transitional adjustments</t>
  </si>
  <si>
    <t>MIRA extension</t>
  </si>
  <si>
    <t>Infinity Park Extension</t>
  </si>
  <si>
    <t>Newcastle upon Tyne</t>
  </si>
  <si>
    <t>Nine Elms and Battersea Power station</t>
  </si>
  <si>
    <t>Nine Elms</t>
  </si>
  <si>
    <t>DISREGARDED AMOUNTS</t>
  </si>
  <si>
    <t>DEDUCTIONS FROM CENTRAL SHARE</t>
  </si>
  <si>
    <t>20.  Opening balance plus total credits, less total charges (Total lines 1, 7, 11 &amp;19)</t>
  </si>
  <si>
    <t>VOA Data</t>
  </si>
  <si>
    <t>Part 2 Line 5</t>
  </si>
  <si>
    <t>Part 2 Line 12</t>
  </si>
  <si>
    <t>Part 2 Line 14</t>
  </si>
  <si>
    <t>Part 2 Line 15</t>
  </si>
  <si>
    <t>Part 2 Line 16</t>
  </si>
  <si>
    <t>Part 2 Line 17</t>
  </si>
  <si>
    <t>Part 2 Line 18</t>
  </si>
  <si>
    <t>Part 2 Line 23</t>
  </si>
  <si>
    <t>Part 2 Line 28</t>
  </si>
  <si>
    <t>Part 2 Line 29</t>
  </si>
  <si>
    <t>Part 2 Line 30</t>
  </si>
  <si>
    <t>Part 2 Line 31</t>
  </si>
  <si>
    <t>Part 2 Line 32</t>
  </si>
  <si>
    <t>Part 2 Line 33</t>
  </si>
  <si>
    <t>Part 2 Line 34</t>
  </si>
  <si>
    <t>Part 2 Line 39</t>
  </si>
  <si>
    <t>Part 2 Line 40</t>
  </si>
  <si>
    <t>Part 3 Line 3</t>
  </si>
  <si>
    <t>Growth Pilot Areas</t>
  </si>
  <si>
    <t>Port of Bristol</t>
  </si>
  <si>
    <t>Baseline</t>
  </si>
  <si>
    <t>EZ Name</t>
  </si>
  <si>
    <t>Ezcode</t>
  </si>
  <si>
    <t>ecode</t>
  </si>
  <si>
    <t>ecodes</t>
  </si>
  <si>
    <t>Select an authority</t>
  </si>
  <si>
    <t>Designated Areas</t>
  </si>
  <si>
    <t>Sum payable by rate payers after taking account of transitional adjustments, empty property rate, mandatory and discretionary reliefs</t>
  </si>
  <si>
    <t>NET RATES PAYABLE</t>
  </si>
  <si>
    <t>Estimated bad debts in respect of 2017-18 rates payable</t>
  </si>
  <si>
    <t>LOSSES</t>
  </si>
  <si>
    <t xml:space="preserve">Estimated repayments in respect of 2017-18 rates payable </t>
  </si>
  <si>
    <t>Net Rates payable less losses</t>
  </si>
  <si>
    <t xml:space="preserve"> Renewable Energy</t>
  </si>
  <si>
    <t>Total Disregarded Amounts</t>
  </si>
  <si>
    <t>8.  Amounts retained in respect of Designated Areas</t>
  </si>
  <si>
    <t>Rural Rate Relief</t>
  </si>
  <si>
    <t>Designated Area</t>
  </si>
  <si>
    <t>Total Designated Area value</t>
  </si>
  <si>
    <t>NNDR1</t>
  </si>
  <si>
    <t>Part 3 Line 1</t>
  </si>
  <si>
    <t>Windsor and Maidenhead UA</t>
  </si>
  <si>
    <t>St. Helens</t>
  </si>
  <si>
    <t>Redcar and Cleveland UA</t>
  </si>
  <si>
    <t>Kingston upon Hull UA</t>
  </si>
  <si>
    <t>Isle of Wight UA</t>
  </si>
  <si>
    <t>Isles of Scilly UA</t>
  </si>
  <si>
    <t>Epsom and Ewell</t>
  </si>
  <si>
    <t>King’s Lynn and West Norfolk</t>
  </si>
  <si>
    <t>Brighton and Hove UA</t>
  </si>
  <si>
    <t>Basingstoke and Deane</t>
  </si>
  <si>
    <t>Bath and North East Somerset UA</t>
  </si>
  <si>
    <t>Telford and Wrekin UA</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</si>
  <si>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</si>
  <si>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</si>
  <si>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</si>
  <si>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</si>
  <si>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</si>
  <si>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</si>
  <si>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</si>
  <si>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</si>
  <si>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</si>
  <si>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</si>
  <si>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</si>
  <si>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</si>
  <si>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</si>
  <si>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</si>
  <si>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</si>
  <si>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</si>
  <si>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</si>
  <si>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</si>
  <si>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</si>
  <si>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</si>
  <si>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</si>
  <si>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</si>
  <si>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</si>
  <si>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</si>
  <si>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</si>
  <si>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</si>
  <si>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</si>
  <si>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</si>
  <si>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</si>
  <si>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</si>
  <si>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</si>
  <si>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</si>
  <si>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</si>
  <si>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</si>
  <si>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</si>
  <si>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</si>
  <si>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</si>
  <si>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</si>
  <si>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</si>
  <si>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</si>
  <si>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</si>
  <si>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</si>
  <si>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</si>
  <si>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</si>
  <si>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</si>
  <si>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</si>
  <si>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</si>
  <si>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</si>
  <si>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</si>
  <si>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</si>
  <si>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</si>
  <si>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</si>
  <si>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</si>
  <si>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</si>
  <si>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</si>
  <si>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</si>
  <si>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</si>
  <si>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</si>
  <si>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</si>
  <si>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</si>
  <si>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</si>
  <si>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</si>
  <si>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</si>
  <si>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</si>
  <si>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</si>
  <si>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</si>
  <si>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</si>
  <si>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</si>
  <si>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</si>
  <si>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</si>
  <si>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</si>
  <si>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</si>
  <si>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</si>
  <si>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</si>
  <si>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</si>
  <si>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</si>
  <si>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</si>
  <si>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</si>
  <si>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</si>
  <si>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</si>
  <si>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</si>
  <si>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</si>
  <si>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</si>
  <si>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</si>
  <si>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</si>
  <si>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</si>
  <si>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</si>
  <si>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</si>
  <si>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</si>
  <si>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</si>
  <si>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</si>
  <si>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</si>
  <si>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</si>
  <si>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</si>
  <si>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</si>
  <si>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</si>
  <si>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</si>
  <si>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</si>
  <si>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</si>
  <si>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</si>
  <si>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</si>
  <si>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</si>
  <si>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</si>
  <si>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</si>
  <si>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Rochester Airport Technology Park</t>
  </si>
  <si>
    <t>New Anglia EZ: Sproughton Road</t>
  </si>
  <si>
    <t>New Anglia EZ: Mill Lane</t>
  </si>
  <si>
    <t>Tees Valley EZ Growth Extension: Middlesbrough historic quarter</t>
  </si>
  <si>
    <t>Ceramics Valley: Chatterley Valley West</t>
  </si>
  <si>
    <t>North Bank of the Tyne extension</t>
  </si>
  <si>
    <t>Newcastle International Airport Business Park</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</si>
  <si>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</si>
  <si>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</si>
  <si>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</si>
  <si>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</si>
  <si>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</si>
  <si>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</si>
  <si>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</si>
  <si>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</si>
  <si>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</si>
  <si>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</si>
  <si>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</si>
  <si>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</si>
  <si>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</si>
  <si>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</si>
  <si>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</si>
  <si>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</si>
  <si>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</si>
  <si>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</si>
  <si>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</si>
  <si>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</si>
  <si>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</si>
  <si>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</si>
  <si>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</si>
  <si>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</si>
  <si>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</si>
  <si>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</si>
  <si>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</si>
  <si>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</si>
  <si>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</si>
  <si>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</si>
  <si>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</si>
  <si>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</si>
  <si>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</si>
  <si>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</si>
  <si>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</si>
  <si>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</si>
  <si>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</si>
  <si>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</si>
  <si>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</si>
  <si>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</si>
  <si>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</si>
  <si>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</si>
  <si>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</si>
  <si>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</si>
  <si>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</si>
  <si>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</si>
  <si>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</si>
  <si>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</si>
  <si>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</si>
  <si>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</si>
  <si>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</si>
  <si>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</si>
  <si>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</si>
  <si>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</si>
  <si>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</si>
  <si>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</si>
  <si>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formula</t>
  </si>
  <si>
    <t>Relief Given to Case A Hereditaments</t>
  </si>
  <si>
    <t>Column 9  for non Pilot Authorities</t>
  </si>
  <si>
    <t>Compensation Due</t>
  </si>
  <si>
    <t xml:space="preserve">Transitional Protection Payment  </t>
  </si>
  <si>
    <t>A</t>
  </si>
  <si>
    <t>B</t>
  </si>
  <si>
    <t>Supporting Small Businesses Relief</t>
  </si>
  <si>
    <t>Forecast of relief to be provided in 2017-18
(New Empty properties)</t>
  </si>
  <si>
    <t>Forecast of relief to be provided in 2017-18
(Long term empty properties)</t>
  </si>
  <si>
    <t>ii. RV between £12001 and £15000 receive the discount on a sliding scale</t>
  </si>
  <si>
    <t>Discretionary Relief S31 new empty property relief</t>
  </si>
  <si>
    <t>Discretionary Relief S31 long term empty property  relief</t>
  </si>
  <si>
    <t>Forecast of relief to be provided in 2017-18
(In lieu of transitional relief)</t>
  </si>
  <si>
    <t>34. Cost to authorities of providing relief</t>
  </si>
  <si>
    <t>Development Area - Gateshead Quays and Baltic Business Centre</t>
  </si>
  <si>
    <t>Greater Manchester Airport City 2</t>
  </si>
  <si>
    <t>Multiplier Cap</t>
  </si>
  <si>
    <t>Discretionary Scheme</t>
  </si>
  <si>
    <t>DESIGNATED AREAS IN 100% PILOT AREAS</t>
  </si>
  <si>
    <t>IAMP</t>
  </si>
  <si>
    <t>Brent Cross LGZ</t>
  </si>
  <si>
    <t>Croydon LGZ</t>
  </si>
  <si>
    <t>35. Cost to authorities of providing relief</t>
  </si>
  <si>
    <t>DESIGNATED AREAS RELIEF</t>
  </si>
  <si>
    <t xml:space="preserve">1. Opening Balance (From Collection Fund Statement) </t>
  </si>
  <si>
    <t>COLLECTIBLE RATES</t>
  </si>
  <si>
    <t/>
  </si>
  <si>
    <t>Other Income for 2019-20</t>
  </si>
  <si>
    <t>36. Cost to authorities of providing relief</t>
  </si>
  <si>
    <t>Estimated bad debts in respect of 2019-20 rates payable</t>
  </si>
  <si>
    <t xml:space="preserve">Estimated repayments in respect of 2019-20 rates payable </t>
  </si>
  <si>
    <t>2020-21</t>
  </si>
  <si>
    <t>Folkestone &amp; Hythe</t>
  </si>
  <si>
    <t>Shale Gas</t>
  </si>
  <si>
    <t>Part 4 Line 20</t>
  </si>
  <si>
    <t>i. RV between £0 and £12000 that will receive the 100% discount</t>
  </si>
  <si>
    <t>E1204</t>
  </si>
  <si>
    <t>Dorset Council</t>
  </si>
  <si>
    <t>E1203</t>
  </si>
  <si>
    <t>East Suffolk</t>
  </si>
  <si>
    <t>E3538</t>
  </si>
  <si>
    <t>Somerset West &amp; Taunton</t>
  </si>
  <si>
    <t>E3336</t>
  </si>
  <si>
    <t>West Suffolk</t>
  </si>
  <si>
    <t>E3539</t>
  </si>
  <si>
    <t>13.  Line 1 plus line 2, minus lines 3, 6 - 9 and 12</t>
  </si>
  <si>
    <t xml:space="preserve">15. Non-domestic rating income from rates retention scheme </t>
  </si>
  <si>
    <t>16.(less) deductions from central share</t>
  </si>
  <si>
    <t>18. add: cost of collection allowance</t>
  </si>
  <si>
    <t>19. add: amounts retained in respect of Designated Areas</t>
  </si>
  <si>
    <t xml:space="preserve">20. add: amounts retained in respect of renewable energy schemes </t>
  </si>
  <si>
    <t>21. add: amounts retained in respect of shale gas schemes</t>
  </si>
  <si>
    <t>22. add: qualifying relief in Designated Areas</t>
  </si>
  <si>
    <t>23. add: City of London Offset</t>
  </si>
  <si>
    <t>24. add: additional retained Growth in Pilot Areas</t>
  </si>
  <si>
    <t>25. add: in respect of Port of Bristol hereditament</t>
  </si>
  <si>
    <t>Percentages to be used to distribute the collection fund surplus deficit</t>
  </si>
  <si>
    <t>Bournemouth, Christchurch &amp; Poole</t>
  </si>
  <si>
    <t>29.  Total amount due to authorities</t>
  </si>
  <si>
    <t>32. Cost to authorities of maintaining relief on "first" property</t>
  </si>
  <si>
    <t xml:space="preserve">33. Cost to authorities of providing 100% rural rate relief </t>
  </si>
  <si>
    <t>37. Cost to authorities of providing relief</t>
  </si>
  <si>
    <t xml:space="preserve">7.  Transitional Protection Payment </t>
  </si>
  <si>
    <t xml:space="preserve">8.  Baseline </t>
  </si>
  <si>
    <t>9. Total Disregarded Amounts</t>
  </si>
  <si>
    <t>10. Designated Areas Qualifying Relief</t>
  </si>
  <si>
    <t>16. Total Deductions</t>
  </si>
  <si>
    <t>31a. Additional compensation for loss of supplementary multipler income</t>
  </si>
  <si>
    <t>30. Cost of cap on 2014-15, 2015-16 and post-2018-19 small business rates multipliers</t>
  </si>
  <si>
    <t>12. Amounts retained in respect of Shale Gas Schemes (see Note C)</t>
  </si>
  <si>
    <t>6.  Shale Gas (see Note C)</t>
  </si>
  <si>
    <t>38. Cost to authorities of providing relief</t>
  </si>
  <si>
    <t>Retail discount</t>
  </si>
  <si>
    <t>Telecoms Relief</t>
  </si>
  <si>
    <t>Retail Discount</t>
  </si>
  <si>
    <t xml:space="preserve">26a. "In-year surplus (positive) /deficit (negative) </t>
  </si>
  <si>
    <t>27a. "Prior-year" surplus (positive) / deficit (negative)</t>
  </si>
  <si>
    <t>Designated Areas qualifying relief in 100% pilot areas</t>
  </si>
  <si>
    <t>PART 1C: SECTION 31 GRANT (See Note D)</t>
  </si>
  <si>
    <t>GROSS RATES PAYABLE
(All data should be entered as +ve unless specified otherwise) - see Note E</t>
  </si>
  <si>
    <t xml:space="preserve">TRANSITIONAL ARRANGEMENTS (See Note F) </t>
  </si>
  <si>
    <t xml:space="preserve">TRANSITIONAL PROTECTION PAYMENTS (See Note F(a)) </t>
  </si>
  <si>
    <t>22. add: qualifying relief in Enterprise Zones</t>
  </si>
  <si>
    <t>Estimated sums due from Government via Section 31 grant, to compensate authorities for the cost of changes to the business rates system announced 
in the 2013 to 2016 Autumn Statements and 2017 (March and November) &amp; 2018 (October) Budgets</t>
  </si>
  <si>
    <t>Additional compensation for loss of supplementary multipler income - SBRR RV BA</t>
  </si>
  <si>
    <t>Additional compensation for loss of supplementary multipler income - SBRR RV DA</t>
  </si>
  <si>
    <t>Collection fund closing balance at 31 March 2018 with revisions</t>
  </si>
  <si>
    <t>Data from Page 1</t>
  </si>
  <si>
    <t>Data from Page 2</t>
  </si>
  <si>
    <t>Data from Page 3</t>
  </si>
  <si>
    <t xml:space="preserve">1.  Net amount receivable from rate payers </t>
  </si>
  <si>
    <t xml:space="preserve">4. Cost of collection </t>
  </si>
  <si>
    <t xml:space="preserve">7. City of London Offset </t>
  </si>
  <si>
    <t xml:space="preserve">9.  Amounts retained in respect of Renewable Energy </t>
  </si>
  <si>
    <t>Fire Authority (if applicable)</t>
  </si>
  <si>
    <t>Class</t>
  </si>
  <si>
    <t>Region</t>
  </si>
  <si>
    <t>SD</t>
  </si>
  <si>
    <t>SE</t>
  </si>
  <si>
    <t>NW</t>
  </si>
  <si>
    <t>EM</t>
  </si>
  <si>
    <t>E</t>
  </si>
  <si>
    <t>OLB</t>
  </si>
  <si>
    <t>L</t>
  </si>
  <si>
    <t>Met</t>
  </si>
  <si>
    <t>YH</t>
  </si>
  <si>
    <t>SW</t>
  </si>
  <si>
    <t>WM</t>
  </si>
  <si>
    <t>ILB</t>
  </si>
  <si>
    <t>NE</t>
  </si>
  <si>
    <t>England</t>
  </si>
  <si>
    <t xml:space="preserve">12.  Amounts retained in respect of Shale Gas </t>
  </si>
  <si>
    <t>14. % of non-domestic rating income</t>
  </si>
  <si>
    <t>16. (less) qualifying relief in Enterprise Zones</t>
  </si>
  <si>
    <t>17. Total Non-domestic rating income from rates retention scheme</t>
  </si>
  <si>
    <t>26. % of non-domestic rating income for in year surplus/deficit</t>
  </si>
  <si>
    <r>
      <t xml:space="preserve">26a. </t>
    </r>
    <r>
      <rPr>
        <b/>
        <i/>
        <sz val="10"/>
        <rFont val="Arial"/>
        <family val="2"/>
      </rPr>
      <t>In</t>
    </r>
    <r>
      <rPr>
        <b/>
        <sz val="10"/>
        <rFont val="Arial"/>
        <family val="2"/>
      </rPr>
      <t xml:space="preserve"> year surplus/deficit</t>
    </r>
  </si>
  <si>
    <t>27. % of non-domestic rating income for prior year surplus/deficit</t>
  </si>
  <si>
    <r>
      <t xml:space="preserve">27a. </t>
    </r>
    <r>
      <rPr>
        <b/>
        <i/>
        <sz val="10"/>
        <rFont val="Arial"/>
        <family val="2"/>
      </rPr>
      <t>Prior</t>
    </r>
    <r>
      <rPr>
        <b/>
        <sz val="10"/>
        <rFont val="Arial"/>
        <family val="2"/>
      </rPr>
      <t xml:space="preserve"> year surplus/deficit</t>
    </r>
  </si>
  <si>
    <t>30. Cost of cap on small business rates multiplier</t>
  </si>
  <si>
    <t>31. Cost of temporary doubling SBRR and threshold changes</t>
  </si>
  <si>
    <t>31a. Additional compensation for loss of supplementary multiplier income</t>
  </si>
  <si>
    <t>Date</t>
  </si>
  <si>
    <t>1. Total rateable value</t>
  </si>
  <si>
    <t>2. Small Business Rate Multiplier</t>
  </si>
  <si>
    <t>4. Estimated growth/decline in gross rates</t>
  </si>
  <si>
    <t xml:space="preserve">6. Revenue foregone because increases in rates have been deferred </t>
  </si>
  <si>
    <t xml:space="preserve">7. Additional income received because reductions in rates have been deferred </t>
  </si>
  <si>
    <t>8. Net cost of transitional arrangements</t>
  </si>
  <si>
    <t>9. Changes as a result of estimated growth/decline in transitional relief</t>
  </si>
  <si>
    <t>11. TPP : Sum due to/(from) authority</t>
  </si>
  <si>
    <t>13. SBRR : relief on existing properties where a 2nd property is occupied</t>
  </si>
  <si>
    <t>14. SBRR : Additional yield from the supplement</t>
  </si>
  <si>
    <t>15. SBRR : Net cost of SBRR</t>
  </si>
  <si>
    <t>46. Net rates payable</t>
  </si>
  <si>
    <t>1. Net rates payable</t>
  </si>
  <si>
    <t>4. Collectible rates</t>
  </si>
  <si>
    <t>5. Disregarded amount : Renewable Energy</t>
  </si>
  <si>
    <t xml:space="preserve">6. Disregarded amount : Transitional Protection Payment </t>
  </si>
  <si>
    <t xml:space="preserve">7. Disregarded amount : Baseline </t>
  </si>
  <si>
    <t>8. Disregarded Amount : Total</t>
  </si>
  <si>
    <t>9. Designated Areas Qualifying Relief - 100% Pilots</t>
  </si>
  <si>
    <t>10. Designated Areas Qualifying Relief -  Non 100% Pilot Areas</t>
  </si>
  <si>
    <t>11. Net Rates Payable for Growth Baseline comparison</t>
  </si>
  <si>
    <t>12. Growth Baseline</t>
  </si>
  <si>
    <t>13. Additional Growth in Growth Pilot Areas</t>
  </si>
  <si>
    <t xml:space="preserve">14. Port of Bristol </t>
  </si>
  <si>
    <t>15. Total Deduction from Central Share</t>
  </si>
  <si>
    <t>6. Disregarded amount : Shale Gas</t>
  </si>
  <si>
    <t>1. Opening Balance from Collection Fund Statement</t>
  </si>
  <si>
    <t>7. Total business rates credits and charges</t>
  </si>
  <si>
    <t xml:space="preserve">9. Transfers/payments to the Collection Fund for end-year reconciliations </t>
  </si>
  <si>
    <t>11. Total Other Credits</t>
  </si>
  <si>
    <t xml:space="preserve">19. Total Other Charges </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</si>
  <si>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</si>
  <si>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</si>
  <si>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</si>
  <si>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</si>
  <si>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</si>
  <si>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</si>
  <si>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</si>
  <si>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</si>
  <si>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</si>
  <si>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</si>
  <si>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</si>
  <si>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</si>
  <si>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</si>
  <si>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</si>
  <si>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</si>
  <si>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</si>
  <si>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</si>
  <si>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</si>
  <si>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</si>
  <si>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</si>
  <si>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</si>
  <si>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</si>
  <si>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</si>
  <si>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</si>
  <si>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</si>
  <si>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</si>
  <si>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</si>
  <si>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</si>
  <si>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</si>
  <si>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</si>
  <si>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</si>
  <si>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</si>
  <si>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</si>
  <si>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</si>
  <si>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</si>
  <si>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</si>
  <si>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</si>
  <si>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</si>
  <si>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</si>
  <si>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</si>
  <si>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</si>
  <si>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</si>
  <si>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</si>
  <si>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</si>
  <si>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</si>
  <si>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</si>
  <si>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</si>
  <si>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</si>
  <si>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</si>
  <si>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</si>
  <si>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</si>
  <si>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</si>
  <si>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</si>
  <si>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</si>
  <si>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</si>
  <si>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</si>
  <si>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</si>
  <si>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</si>
  <si>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</si>
  <si>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</si>
  <si>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</si>
  <si>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</si>
  <si>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</si>
  <si>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</si>
  <si>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</si>
  <si>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</si>
  <si>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</si>
  <si>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</si>
  <si>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</si>
  <si>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</si>
  <si>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</si>
  <si>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</si>
  <si>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</si>
  <si>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</si>
  <si>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</si>
  <si>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</si>
  <si>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</si>
  <si>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</si>
  <si>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</si>
  <si>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</si>
  <si>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</si>
  <si>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</si>
  <si>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</si>
  <si>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</si>
  <si>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</si>
  <si>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</si>
  <si>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</si>
  <si>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</si>
  <si>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</si>
  <si>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</si>
  <si>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</si>
  <si>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</si>
  <si>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</si>
  <si>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</si>
  <si>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</si>
  <si>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</si>
  <si>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</si>
  <si>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</si>
  <si>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</si>
  <si>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</si>
  <si>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</si>
  <si>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</si>
  <si>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</si>
  <si>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</si>
  <si>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</si>
  <si>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</si>
  <si>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</si>
  <si>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</si>
  <si>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</si>
  <si>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</si>
  <si>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</si>
  <si>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</si>
  <si>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</si>
  <si>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</si>
  <si>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</si>
  <si>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</si>
  <si>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</si>
  <si>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</si>
  <si>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</si>
  <si>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</si>
  <si>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</si>
  <si>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</si>
  <si>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</si>
  <si>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</si>
  <si>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</si>
  <si>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</si>
  <si>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</si>
  <si>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</si>
  <si>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</si>
  <si>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</si>
  <si>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</si>
  <si>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</si>
  <si>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</si>
  <si>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</si>
  <si>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</si>
  <si>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</si>
  <si>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</si>
  <si>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</si>
  <si>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</si>
  <si>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</si>
  <si>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</si>
  <si>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</si>
  <si>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</si>
  <si>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</si>
  <si>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</si>
  <si>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</si>
  <si>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</si>
  <si>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</si>
  <si>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</si>
  <si>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</si>
  <si>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</si>
  <si>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</si>
  <si>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</si>
  <si>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</si>
  <si>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</si>
  <si>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</si>
  <si>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</si>
  <si>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</si>
  <si>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</si>
  <si>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</si>
  <si>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</si>
  <si>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</si>
  <si>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</si>
  <si>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</si>
  <si>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</si>
  <si>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</si>
  <si>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</si>
  <si>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</si>
  <si>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</si>
  <si>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</si>
  <si>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</si>
  <si>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</si>
  <si>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</si>
  <si>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</si>
  <si>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</si>
  <si>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</si>
  <si>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</si>
  <si>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</si>
  <si>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</si>
  <si>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</si>
  <si>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</si>
  <si>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</si>
  <si>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</si>
  <si>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</si>
  <si>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</si>
  <si>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</si>
  <si>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</si>
  <si>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</si>
  <si>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</si>
  <si>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</si>
  <si>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</si>
  <si>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</si>
  <si>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</si>
  <si>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</si>
  <si>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</si>
  <si>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</si>
  <si>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</si>
  <si>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</si>
  <si>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</si>
  <si>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</si>
  <si>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</si>
  <si>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</si>
  <si>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</si>
  <si>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</si>
  <si>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</si>
  <si>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</si>
  <si>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</si>
  <si>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</si>
  <si>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</si>
  <si>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</si>
  <si>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</si>
  <si>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</si>
  <si>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</si>
  <si>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</si>
  <si>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</si>
  <si>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</si>
  <si>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</si>
  <si>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</si>
  <si>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</si>
  <si>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E4305EZ1</t>
  </si>
  <si>
    <t>E4305EZ2</t>
  </si>
  <si>
    <t>E4607EZ1</t>
  </si>
  <si>
    <t>E2344EZ1</t>
  </si>
  <si>
    <t>E2701EZ1</t>
  </si>
  <si>
    <t>UNLOCK</t>
  </si>
  <si>
    <t>E3538EZ3</t>
  </si>
  <si>
    <t>E3538EZ2</t>
  </si>
  <si>
    <t>E3538EZ1</t>
  </si>
  <si>
    <t>E1203EZ1</t>
  </si>
  <si>
    <t>E3531EZ1</t>
  </si>
  <si>
    <t>ONS Code</t>
  </si>
  <si>
    <t>Background</t>
  </si>
  <si>
    <t xml:space="preserve">Data from this workbook have been used to compile the National Statistics release "National non-domestic rates collected by local authorities in England 2015-16" which was published on 23 November 2016. This is available on the Department’s website at </t>
  </si>
  <si>
    <t>https://www.gov.uk/government/collections/national-non-domestic-rates-collected-by-councils</t>
  </si>
  <si>
    <t xml:space="preserve">The form is split into 4 separate parts.
</t>
  </si>
  <si>
    <t>Part 1</t>
  </si>
  <si>
    <t>Provides the headline forecast numbers for non-domestic rating income, allowable deductions and disregarded amounts.</t>
  </si>
  <si>
    <t>Part 2</t>
  </si>
  <si>
    <t>Part 3</t>
  </si>
  <si>
    <t>Part 4</t>
  </si>
  <si>
    <t>Definitions</t>
  </si>
  <si>
    <t>Public Enquiries</t>
  </si>
  <si>
    <t>Revisions</t>
  </si>
  <si>
    <t>For enquiries about these data please contact: nndr.statistics@communities.gov.uk</t>
  </si>
  <si>
    <t>Net rates payable by ratepayers after taking account of any reliefs awarded leading to figures for collectible rates and disregarded amounts for the year.</t>
  </si>
  <si>
    <t>Collectible Rates taking into account of adjustments for bad debts and appeal provisions, Disregarded Amounts and Deductions from Central Share</t>
  </si>
  <si>
    <t>E0402</t>
  </si>
  <si>
    <t>Buckinghamshire Council</t>
  </si>
  <si>
    <t xml:space="preserve">Buckinghamshire Council </t>
  </si>
  <si>
    <t>34 Cost to authorities of providing Supporting Small Business relief</t>
  </si>
  <si>
    <t>35 Cost to authorities of providing Discretionary Scheme relief</t>
  </si>
  <si>
    <t>36. Amount of Designated Areas qualifying relief in 100% pilot areas</t>
  </si>
  <si>
    <t xml:space="preserve">37. Cost of providing Telecomms relief </t>
  </si>
  <si>
    <t>38 Cost to authorities of providing Retail Discount relief</t>
  </si>
  <si>
    <t xml:space="preserve">39.  Amount of Section 31 grant </t>
  </si>
  <si>
    <t>Data taken from NNDR1 2019-20</t>
  </si>
  <si>
    <t>Data taken from NNDR1(Supplementary) 2019-20</t>
  </si>
  <si>
    <t>2019-20 NNDR1</t>
  </si>
  <si>
    <t>2018-19 NNDR3 only</t>
  </si>
  <si>
    <t>FIXED</t>
  </si>
  <si>
    <t>CALC BY LPA FROM 1ST PRINCIPALS</t>
  </si>
  <si>
    <t>Allowance for cost of
collection for 2020-21</t>
  </si>
  <si>
    <t>Aggregate rateable value on rating list on 2 October 2019 (closest to 30 Sept 2019 as poss)</t>
  </si>
  <si>
    <t>Forecast gross rates payable in 2019-20</t>
  </si>
  <si>
    <t>Forecast of relief to be provided in 2019-20 (SBR)</t>
  </si>
  <si>
    <t>Forecast of relief to be provided in 2019-20
(Charitable occupation)</t>
  </si>
  <si>
    <t>Forecast of relief to be provided in 2019-20
(CASCs)</t>
  </si>
  <si>
    <t>Forecast of relief to be provided in 2019-20
(Rural rate)</t>
  </si>
  <si>
    <t>Forecast of relief to be provided in 2019-20
(Partially occupied)</t>
  </si>
  <si>
    <t>Forecast of relief to be provided in 2019-20
(Empty premises)</t>
  </si>
  <si>
    <t>Forecast of relief to be provided in  2019-20 
(Non-profit making bodies)</t>
  </si>
  <si>
    <t>Forecast of relief to be provided in  2019-20
(CASCs)</t>
  </si>
  <si>
    <t>Forecast of relief to be provided in 2019-20
(Rural shops)</t>
  </si>
  <si>
    <t>Forecast of relief to be provided in 2019-20
(Small rural businesses)</t>
  </si>
  <si>
    <t>Forecast of relief to be provided in 2019-20
(Other ratepayers)</t>
  </si>
  <si>
    <t>Forecast of relief to be provided in 2019-20
(Rural Rate Relief)</t>
  </si>
  <si>
    <t>Forecast of relief to be provided in 2019-20
(Local Newspapers)</t>
  </si>
  <si>
    <t>Mandatory Relief for charitable occupation
31-12-18</t>
  </si>
  <si>
    <t>Mandatory Relief for community amateur sports clubs 31-12-18</t>
  </si>
  <si>
    <t>Mandatory Relief for rural general stores etc 31-12-18</t>
  </si>
  <si>
    <t>Mandatory Relief for partly occupied premises 31-12-18</t>
  </si>
  <si>
    <t>Mandatory Relief for empty premises 31-12-18</t>
  </si>
  <si>
    <t>Discretionary Relief for charitable occupation 31-12-18</t>
  </si>
  <si>
    <t>Discretionary Relief for non profit making bodies 31-12-18</t>
  </si>
  <si>
    <t>Discretionary Relief for community amateur sports clubs 31-12-18</t>
  </si>
  <si>
    <t>Discretionary Relief for rural shops 31-12-18</t>
  </si>
  <si>
    <t>Discretionary Relief for other small rural businesses 31-12-18</t>
  </si>
  <si>
    <t>Discretionary Relief for Enterprise Zones granted discounts 31-12-18</t>
  </si>
  <si>
    <t>Discretionary Relief Subject to S47 local discount 31-12-18</t>
  </si>
  <si>
    <t>SBR  relief scheme by paying the additional supplement as at 31-12-18</t>
  </si>
  <si>
    <t>Discount from  SBR relief as at  31-12-18</t>
  </si>
  <si>
    <t>Paying SBR multiplier and not estimated to receive a discount
31-12-18</t>
  </si>
  <si>
    <t>Number of hereditaments - as at 2 October 2019 (closest to 30 September 2019)</t>
  </si>
  <si>
    <t>Supporting Small Business Relief (S31) in 19-20</t>
  </si>
  <si>
    <t>Surplus/deficit on Collection Fund at 31 March 2019</t>
  </si>
  <si>
    <t>Collection fund closing balance at 31 March 2019 (NOT IN USE)</t>
  </si>
  <si>
    <t xml:space="preserve">For Part 1 Line 4 </t>
  </si>
  <si>
    <t>Updated</t>
  </si>
  <si>
    <t>Part 2 Line 24</t>
  </si>
  <si>
    <t>Part 2 Line 35</t>
  </si>
  <si>
    <t>Part 2 Line 38 (NO LONGER REQUIRED)</t>
  </si>
  <si>
    <t>Part 2 Line 39 (NO LONGER REQUIRED)</t>
  </si>
  <si>
    <t>Part 2 Line 40 (NO LONGER REQUIRED)</t>
  </si>
  <si>
    <t>Part 5 Line 30 of NNDR3 18-19</t>
  </si>
  <si>
    <t>Oct 2018 exercise - updated with Jan revisions to NNDR32</t>
  </si>
  <si>
    <t>Oct 2018 exercise</t>
  </si>
  <si>
    <t>Provided</t>
  </si>
  <si>
    <t>21. Mandatory - changes as a result of estimated growth/decline in relief</t>
  </si>
  <si>
    <t>26. Changes as a result of estimated growth/decline in unoccupied property relief</t>
  </si>
  <si>
    <t>34. Case A hereditament relief</t>
  </si>
  <si>
    <t>35. Case B hereditament relief</t>
  </si>
  <si>
    <t>37. Discretionary - changes as a result of estimated growth/decline in relief</t>
  </si>
  <si>
    <t>44. S31 grants - Changes as a result of estimated growth/decline</t>
  </si>
  <si>
    <t>28.  Estimated Surplus/Deficit at end of 2019-20</t>
  </si>
  <si>
    <t>2. Losses : bad debts in respect of 2020-21</t>
  </si>
  <si>
    <t>3. Losses : repayments in respect of 2020-21</t>
  </si>
  <si>
    <t>2. Business rates credited and charged to the Collection Fund in 2019-20</t>
  </si>
  <si>
    <t>8. Transitional protection payments received, or to be received in 2019-20</t>
  </si>
  <si>
    <t>10. Transfers/payments into the Collection Fund in 2019-20 in respect of a previous year's deficit</t>
  </si>
  <si>
    <t>12. Transitional protection payments made, or to be made, in 2019-20</t>
  </si>
  <si>
    <t>13. Payments to the SoS in respect of the central share in 2019-20</t>
  </si>
  <si>
    <t>14. Payments to major precepting authorities in respect of income in 2019-20</t>
  </si>
  <si>
    <t>15. Transfers to the billing authority's General Fund in respect of income in 2019-20</t>
  </si>
  <si>
    <t>16. Transfers to the billing authority's General Fund in respect of disregarded amounts in 2019-20</t>
  </si>
  <si>
    <t>18. Transfers/payments made from the Collection Fund in 2019-20 in respect of a previous year's surplus</t>
  </si>
  <si>
    <t>20. Estimated surplus/deficit opening balance plus total credits in respect of financial year 2019-20</t>
  </si>
  <si>
    <t>E0402EZ1</t>
  </si>
  <si>
    <t>E0402EZ2</t>
  </si>
  <si>
    <t>E0402EZ3</t>
  </si>
  <si>
    <t>E3539EZ1</t>
  </si>
  <si>
    <t>E3539EZ2</t>
  </si>
  <si>
    <r>
      <t xml:space="preserve">The payments to be made, during the course of </t>
    </r>
    <r>
      <rPr>
        <b/>
        <sz val="12"/>
        <rFont val="Arial"/>
        <family val="2"/>
      </rPr>
      <t>2020-21</t>
    </r>
    <r>
      <rPr>
        <sz val="12"/>
        <rFont val="Arial"/>
        <family val="2"/>
      </rPr>
      <t xml:space="preserve"> to: </t>
    </r>
  </si>
  <si>
    <t>14. % of non-domestic rating income to be allocated to each authority in 2020-21</t>
  </si>
  <si>
    <t>Non-Domestic Rating Income for 2020-21</t>
  </si>
  <si>
    <t>39.  Amount of Section 31 grant due to authorities to compensate for reliefs</t>
  </si>
  <si>
    <t xml:space="preserve"> 2020-21</t>
  </si>
  <si>
    <t>Telecomms relief</t>
  </si>
  <si>
    <t>18. Forecast of relief to be provided in 2020-21</t>
  </si>
  <si>
    <t>17. Forecast of relief to be provided in 2020-21</t>
  </si>
  <si>
    <t>16. Forecast of relief to be provided in 2020-21</t>
  </si>
  <si>
    <t>12. Forecast of relief to be provided in 2020-21</t>
  </si>
  <si>
    <t>2. Small business rating multiplier for 2020-21 (pence)</t>
  </si>
  <si>
    <t>3.  Gross rates 2020-21 (RV x multiplier)</t>
  </si>
  <si>
    <t>5. Forecast gross rates payable in 2020-21</t>
  </si>
  <si>
    <t>19. Forecast of relief to be provided in 2020-21</t>
  </si>
  <si>
    <t>21. Changes as a result of estimated growth/decline in mandatory relief
(+ = decline, - = increase)</t>
  </si>
  <si>
    <t>26.  Changes as a result of estimated growth/decline in unoccupied property 'relief'
(+ = decline, - = increase)</t>
  </si>
  <si>
    <t>28. Forecast of relief to be provided in 2020-21</t>
  </si>
  <si>
    <t>29. Forecast of relief to be provided in 2020-21</t>
  </si>
  <si>
    <t>31. Forecast of relief to be provided in 2020-21</t>
  </si>
  <si>
    <t>32. Forecast of relief to be provided in 2020-21</t>
  </si>
  <si>
    <t>33. Forecast of relief to be provided in 2020-21</t>
  </si>
  <si>
    <t>30. Forecast of relief to be provided in 2020-21</t>
  </si>
  <si>
    <t>27. Total forecast unoccupied property 'relief' to be provided in 2020-21</t>
  </si>
  <si>
    <t>25.  Forecast of unoccupied property 'relief' to be provided in 2020-21 (Line 22 + line 23)</t>
  </si>
  <si>
    <t>24. Forecast of 'relief' to be provided in 2020-21</t>
  </si>
  <si>
    <t>23. Forecast of 'relief' to be provided in 2020-21</t>
  </si>
  <si>
    <t>22. Total forecast mandatory reliefs to be provided in 2020-21</t>
  </si>
  <si>
    <t>20.  Forecast of mandatory reliefs to be provided in 2020-21 (Sum of lines 15 to 19)</t>
  </si>
  <si>
    <t>39. Forecast of relief to be provided in 2020-21</t>
  </si>
  <si>
    <t>40. Forecast of relief to be provided in 2020-21</t>
  </si>
  <si>
    <t>34. Relief given to Case A hereditaments</t>
  </si>
  <si>
    <t>35. Relief given to Case B hereditaments</t>
  </si>
  <si>
    <t>36.  Forecast of discretionary relief to be provided in 2020-21 (Sum of lines 27 to 32)</t>
  </si>
  <si>
    <t>37.  Changes as a result of estimated growth/decline in discretionary relief
(+ = decline, - = increase)</t>
  </si>
  <si>
    <t>38. Total forecast discretionary relief to be provided in 2020-21</t>
  </si>
  <si>
    <t>41. Forecast of relief to be provided in 2020-21</t>
  </si>
  <si>
    <t>43.  Forecast of discretionary reliefs funded through S31 grant to be provided in 2020-21
(Sum of lines 38 to 43)</t>
  </si>
  <si>
    <t>42. Forecast of relief to be provided in 2020-21</t>
  </si>
  <si>
    <t>44  Changes as a result of estimated growth/decline in Section 31 discretionary relief
(+ = decline, - = increase)</t>
  </si>
  <si>
    <t>45.  Total forecast of discretionary reliefs funded through S31 grant to be provided in 2020-21</t>
  </si>
  <si>
    <t>46.  Forecast of net rates payable by rate payers after taking account of transitional adjustments, unoccupied property relief, mandatory and discretionary reliefs</t>
  </si>
  <si>
    <t>2. Estimated bad debts in respect of 2020-21 rates payable</t>
  </si>
  <si>
    <t xml:space="preserve">3. Estimated repayments in respect of 2020-21 rates payable </t>
  </si>
  <si>
    <t>26. % for distribution of "in-year" surplus/deficit (ie 2019-20)</t>
  </si>
  <si>
    <t>27. % for distribution of "prior-year" surplus/deficit (ie 2018-19)</t>
  </si>
  <si>
    <t>31. Cost of doubling SBRR &amp; threshold changes for 2020-21</t>
  </si>
  <si>
    <r>
      <t>NB</t>
    </r>
    <r>
      <rPr>
        <sz val="12"/>
        <color rgb="FFFF0000"/>
        <rFont val="Arial"/>
        <family val="2"/>
      </rPr>
      <t xml:space="preserve"> To determine the amount of S31 grant due to it, the authority will have to add / deduct from the amount shown in line 40, a sum to reflect the adjustment to tariffs / top-ups in respect of the multiplier cap (See notes for Line 39)</t>
    </r>
  </si>
  <si>
    <t>8.  Transitional protection payments received, or to be received in 2019-20</t>
  </si>
  <si>
    <t>12.  Transitional protection payments made, or to be made, in 2019-20</t>
  </si>
  <si>
    <t>13. Payments made, or to be made, to the Secretary of State in respect of the central share
in 2019-20</t>
  </si>
  <si>
    <t xml:space="preserve"> rates income in 2019-20</t>
  </si>
  <si>
    <t>15. Transfers made, or to be made, to the billing authority's General Fund in respect of business rates income in 2019-20</t>
  </si>
  <si>
    <t>or to be made, to a precepting authority in respect of disregarded amounts in 2019-20</t>
  </si>
  <si>
    <t xml:space="preserve">ESTIMATED SURPLUS/(DEFICIT) ON COLLECTION FUND IN RESPECT OF FINANCIAL YEAR 2019-20 - Surplus (positive), Deficit (Negative) </t>
  </si>
  <si>
    <t>3. Gross rates 2020-21</t>
  </si>
  <si>
    <t>12. SBRR : Relief to be provided in 2020-21</t>
  </si>
  <si>
    <t>16. Mandatory - Charity : relief to be provided in 2020-21</t>
  </si>
  <si>
    <t>17. Mandatory - CASCs : relief to be provided in 2020-21</t>
  </si>
  <si>
    <t>18. Mandatory - Rural rates : relief to be provided in 2020-21</t>
  </si>
  <si>
    <t>19. Mandatory - Telecomms : relief to be provided in 2020-21</t>
  </si>
  <si>
    <t>20. Mandatory - reliefs to be provided in 2020-21</t>
  </si>
  <si>
    <t>22. Mandatory - Total forecast reliefs to be provided in 2020-21</t>
  </si>
  <si>
    <t>23. Partially occupied : relief to be provided in 2020-21</t>
  </si>
  <si>
    <t>24. Empty premises : relief to be provided in 2020-21</t>
  </si>
  <si>
    <t>25. Unoccupied property relief to be provided in 2020-21</t>
  </si>
  <si>
    <t>27. Total forecast unoccupied property relief to be provided in 2020-21</t>
  </si>
  <si>
    <t>28. Discretionary - Charity : relief to be provided in 2020-21</t>
  </si>
  <si>
    <t>29. Discretionary - non-profit making bodies : relief to be provided in 2020-21</t>
  </si>
  <si>
    <t>30. Discretionary - CASCs : relief to be provided in 2020-21</t>
  </si>
  <si>
    <t>31. Discretionary - rural shops : relief to be provided in 2020-21</t>
  </si>
  <si>
    <t>32. Discretionary small rural businesses : relief to be provided in 2020-21</t>
  </si>
  <si>
    <t>33. Discretionary - other reliefs : relief to be provided in 2020-21</t>
  </si>
  <si>
    <t>36. Discretionary - Relief to be provided in 2020-21</t>
  </si>
  <si>
    <t>38. Discretionary - Total forecast relief to be provided in 2020-21</t>
  </si>
  <si>
    <t>39. S31 grants - rural rate relief: relief to be provided in 2020-21</t>
  </si>
  <si>
    <t>40. S31 grants - supporting small businesses: relief to be provided in 2020-21</t>
  </si>
  <si>
    <t>41. S31 grants -discretionary scheme relief: relief to be provided in 2020-21</t>
  </si>
  <si>
    <t>42. S31 grants -retail discount relief: relief to be provided in 2020-21</t>
  </si>
  <si>
    <t>43. S31 grants - discretionary reliefs funded through S31 grant to be provided in 2020-21</t>
  </si>
  <si>
    <t>45. S31 grants - Total forecast of discretionary reliefs funded through S31 grant to be provided in 2020-21</t>
  </si>
  <si>
    <t>This workbook provides the detailed information on the Business Rates income forecast for 2020-21. Data within this release are used to calculate the schedule of payments under the business rates retention scheme which covers payments for the central share, tariff and top-ups, transitional protection and safety net on account. This data will also feed into forecasts of public finance which are compiled by the Office for Budget Responsibility.</t>
  </si>
  <si>
    <t xml:space="preserve">Data is collected through the NNDR1 form submitted by all 314 local authorities in England. Figures are subjected to rigorous pre-defined validation tests both within the form itself, while the form is being completed by the authority and also by MHCLG as the data are received and stored.  </t>
  </si>
  <si>
    <r>
      <rPr>
        <b/>
        <sz val="10"/>
        <rFont val="Arial"/>
        <family val="2"/>
      </rPr>
      <t>Next Update</t>
    </r>
    <r>
      <rPr>
        <sz val="10"/>
        <rFont val="Arial"/>
        <family val="2"/>
      </rPr>
      <t>:  February 2021 (2021-22 NNDR1)</t>
    </r>
  </si>
  <si>
    <t>Definitions are described in the 2020-21 NNDR1 Statistical Release on the Ministry’s website.</t>
  </si>
  <si>
    <t>E06000059</t>
  </si>
  <si>
    <t>Billing Authority</t>
  </si>
  <si>
    <t>County/GLA</t>
  </si>
  <si>
    <t>Estimated surplus/deficit on collection fund in respect of 2019-20.</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</si>
  <si>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</si>
  <si>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</si>
  <si>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</si>
  <si>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</si>
  <si>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</si>
  <si>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</si>
  <si>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</si>
  <si>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</si>
  <si>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</si>
  <si>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</si>
  <si>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</si>
  <si>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</si>
  <si>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</si>
  <si>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</si>
  <si>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</si>
  <si>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</si>
  <si>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</si>
  <si>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</si>
  <si>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</si>
  <si>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</si>
  <si>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</si>
  <si>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</si>
  <si>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</si>
  <si>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</si>
  <si>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</si>
  <si>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</si>
  <si>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</si>
  <si>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</si>
  <si>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</si>
  <si>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</si>
  <si>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</si>
  <si>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</si>
  <si>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</si>
  <si>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</si>
  <si>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</si>
  <si>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</si>
  <si>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</si>
  <si>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</si>
  <si>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</si>
  <si>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</si>
  <si>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</si>
  <si>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</si>
  <si>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</si>
  <si>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</si>
  <si>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</si>
  <si>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</si>
  <si>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</si>
  <si>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</si>
  <si>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</si>
  <si>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</si>
  <si>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</si>
  <si>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</si>
  <si>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</si>
  <si>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</si>
  <si>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</si>
  <si>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</si>
  <si>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</si>
  <si>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</si>
  <si>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</si>
  <si>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</si>
  <si>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</si>
  <si>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</si>
  <si>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</si>
  <si>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</si>
  <si>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</si>
  <si>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</si>
  <si>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</si>
  <si>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</si>
  <si>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</si>
  <si>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</si>
  <si>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</si>
  <si>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</si>
  <si>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</si>
  <si>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</si>
  <si>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</si>
  <si>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</si>
  <si>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</si>
  <si>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</si>
  <si>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</si>
  <si>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</si>
  <si>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</si>
  <si>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</si>
  <si>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</si>
  <si>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</si>
  <si>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</si>
  <si>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</si>
  <si>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</si>
  <si>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</si>
  <si>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</si>
  <si>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</si>
  <si>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</si>
  <si>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</si>
  <si>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</si>
  <si>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</si>
  <si>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</si>
  <si>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</si>
  <si>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</si>
  <si>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</si>
  <si>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</si>
  <si>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</si>
  <si>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</si>
  <si>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</si>
  <si>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</si>
  <si>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</si>
  <si>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</si>
  <si>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</si>
  <si>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</si>
  <si>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</si>
  <si>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</si>
  <si>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</si>
  <si>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</si>
  <si>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</si>
  <si>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</si>
  <si>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</si>
  <si>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</si>
  <si>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</si>
  <si>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</si>
  <si>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</si>
  <si>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</si>
  <si>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</si>
  <si>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</si>
  <si>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</si>
  <si>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</si>
  <si>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</si>
  <si>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</si>
  <si>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</si>
  <si>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</si>
  <si>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</si>
  <si>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</si>
  <si>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</si>
  <si>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</si>
  <si>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</si>
  <si>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</si>
  <si>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</si>
  <si>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</si>
  <si>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</si>
  <si>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</si>
  <si>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</si>
  <si>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</si>
  <si>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</si>
  <si>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</si>
  <si>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</si>
  <si>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</si>
  <si>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</si>
  <si>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</si>
  <si>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</si>
  <si>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</si>
  <si>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</si>
  <si>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</si>
  <si>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</si>
  <si>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</si>
  <si>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</si>
  <si>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</si>
  <si>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</si>
  <si>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</si>
  <si>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</si>
  <si>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</si>
  <si>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</si>
  <si>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</si>
  <si>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</si>
  <si>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</si>
  <si>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</si>
  <si>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</si>
  <si>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</si>
  <si>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</si>
  <si>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</si>
  <si>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</si>
  <si>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</si>
  <si>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</si>
  <si>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</si>
  <si>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</si>
  <si>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</si>
  <si>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</si>
  <si>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</si>
  <si>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</si>
  <si>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</si>
  <si>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</si>
  <si>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</si>
  <si>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</si>
  <si>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</si>
  <si>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</si>
  <si>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</si>
  <si>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</si>
  <si>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</si>
  <si>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E07000154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</si>
  <si>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</si>
  <si>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</si>
  <si>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</si>
  <si>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</si>
  <si>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</si>
  <si>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</si>
  <si>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</si>
  <si>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</si>
  <si>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</si>
  <si>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</si>
  <si>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</si>
  <si>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</si>
  <si>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</si>
  <si>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</si>
  <si>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</si>
  <si>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</si>
  <si>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</si>
  <si>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</si>
  <si>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</si>
  <si>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</si>
  <si>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</si>
  <si>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</si>
  <si>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</si>
  <si>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</si>
  <si>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</si>
  <si>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</si>
  <si>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</si>
  <si>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</si>
  <si>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</si>
  <si>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</si>
  <si>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</si>
  <si>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</si>
  <si>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</si>
  <si>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</si>
  <si>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</si>
  <si>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</si>
  <si>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</si>
  <si>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</si>
  <si>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</si>
  <si>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</si>
  <si>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</si>
  <si>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</si>
  <si>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</si>
  <si>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</si>
  <si>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</si>
  <si>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</si>
  <si>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</si>
  <si>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</si>
  <si>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</si>
  <si>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</si>
  <si>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</si>
  <si>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</si>
  <si>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</si>
  <si>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</si>
  <si>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</si>
  <si>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</si>
  <si>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</si>
  <si>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</si>
  <si>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</si>
  <si>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</si>
  <si>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</si>
  <si>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</si>
  <si>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</si>
  <si>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</si>
  <si>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</si>
  <si>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</si>
  <si>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</si>
  <si>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</si>
  <si>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</si>
  <si>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</si>
  <si>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</si>
  <si>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</si>
  <si>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</si>
  <si>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</si>
  <si>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</si>
  <si>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</si>
  <si>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</si>
  <si>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</si>
  <si>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</si>
  <si>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</si>
  <si>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</si>
  <si>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</si>
  <si>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</si>
  <si>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</si>
  <si>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</si>
  <si>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</si>
  <si>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</si>
  <si>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</si>
  <si>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</si>
  <si>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</si>
  <si>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</si>
  <si>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</si>
  <si>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</si>
  <si>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</si>
  <si>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</si>
  <si>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</si>
  <si>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</si>
  <si>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</si>
  <si>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</si>
  <si>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</si>
  <si>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</si>
  <si>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</si>
  <si>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</si>
  <si>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</si>
  <si>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</si>
  <si>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</si>
  <si>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</si>
  <si>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</si>
  <si>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</si>
  <si>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</si>
  <si>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</si>
  <si>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</si>
  <si>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</si>
  <si>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</si>
  <si>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</si>
  <si>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</si>
  <si>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</si>
  <si>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</si>
  <si>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</si>
  <si>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</si>
  <si>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</si>
  <si>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</si>
  <si>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</si>
  <si>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</si>
  <si>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</si>
  <si>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</si>
  <si>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</si>
  <si>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This data does not reflect the change to the retail discount, or include pub discount and local newspaper relief, that were announced on 27 Janaury 2020.
Data on the cost of these reliefs will be collected seperately and for 2020-21 will be published as a separate table. 
A small number of authorities have reported their retail discount based on the new level of relief.</t>
  </si>
  <si>
    <t>..</t>
  </si>
  <si>
    <r>
      <t xml:space="preserve">Dover </t>
    </r>
    <r>
      <rPr>
        <vertAlign val="superscript"/>
        <sz val="10"/>
        <rFont val="Arial"/>
        <family val="2"/>
      </rPr>
      <t>(R)</t>
    </r>
  </si>
  <si>
    <r>
      <t xml:space="preserve">Ashfield </t>
    </r>
    <r>
      <rPr>
        <vertAlign val="superscript"/>
        <sz val="10"/>
        <rFont val="Arial"/>
        <family val="2"/>
      </rPr>
      <t>(R)</t>
    </r>
  </si>
  <si>
    <r>
      <t xml:space="preserve">Coventry </t>
    </r>
    <r>
      <rPr>
        <vertAlign val="superscript"/>
        <sz val="10"/>
        <rFont val="Arial"/>
        <family val="2"/>
      </rPr>
      <t>(R)</t>
    </r>
  </si>
  <si>
    <r>
      <t xml:space="preserve">Wigan </t>
    </r>
    <r>
      <rPr>
        <vertAlign val="superscript"/>
        <sz val="10"/>
        <rFont val="Arial"/>
        <family val="2"/>
      </rPr>
      <t>(R)</t>
    </r>
  </si>
  <si>
    <r>
      <t xml:space="preserve">England </t>
    </r>
    <r>
      <rPr>
        <b/>
        <vertAlign val="superscript"/>
        <sz val="10"/>
        <rFont val="Arial"/>
        <family val="2"/>
      </rPr>
      <t>(R)</t>
    </r>
  </si>
  <si>
    <r>
      <t xml:space="preserve">Kirklees </t>
    </r>
    <r>
      <rPr>
        <vertAlign val="superscript"/>
        <sz val="10"/>
        <rFont val="Arial"/>
        <family val="2"/>
      </rPr>
      <t>(R)</t>
    </r>
  </si>
  <si>
    <r>
      <t xml:space="preserve">East Riding of Yorkshire UA </t>
    </r>
    <r>
      <rPr>
        <vertAlign val="superscript"/>
        <sz val="10"/>
        <rFont val="Arial"/>
        <family val="2"/>
      </rPr>
      <t>(R)</t>
    </r>
  </si>
  <si>
    <r>
      <t xml:space="preserve">Eastleigh </t>
    </r>
    <r>
      <rPr>
        <vertAlign val="superscript"/>
        <sz val="10"/>
        <rFont val="Arial"/>
        <family val="2"/>
      </rPr>
      <t>(R)</t>
    </r>
  </si>
  <si>
    <r>
      <t xml:space="preserve">West Lancashire </t>
    </r>
    <r>
      <rPr>
        <vertAlign val="superscript"/>
        <sz val="10"/>
        <rFont val="Arial"/>
        <family val="2"/>
      </rPr>
      <t>(R)</t>
    </r>
  </si>
  <si>
    <r>
      <t xml:space="preserve">Redditch </t>
    </r>
    <r>
      <rPr>
        <vertAlign val="superscript"/>
        <sz val="10"/>
        <rFont val="Arial"/>
        <family val="2"/>
      </rPr>
      <t>(R)</t>
    </r>
  </si>
  <si>
    <r>
      <t xml:space="preserve">Mansfield </t>
    </r>
    <r>
      <rPr>
        <vertAlign val="superscript"/>
        <sz val="10"/>
        <rFont val="Arial"/>
        <family val="2"/>
      </rPr>
      <t>(R)</t>
    </r>
  </si>
  <si>
    <r>
      <t xml:space="preserve">North Warwickshire </t>
    </r>
    <r>
      <rPr>
        <vertAlign val="superscript"/>
        <sz val="10"/>
        <rFont val="Arial"/>
        <family val="2"/>
      </rPr>
      <t>(R)</t>
    </r>
  </si>
  <si>
    <r>
      <t xml:space="preserve">Pendle </t>
    </r>
    <r>
      <rPr>
        <vertAlign val="superscript"/>
        <sz val="10"/>
        <rFont val="Arial"/>
        <family val="2"/>
      </rPr>
      <t>(R)</t>
    </r>
  </si>
  <si>
    <t>Data collection and quality</t>
  </si>
  <si>
    <t>These figures have been revised on 4 March 2020 to reflect an update to data supplied by 1 authority and a correction to a S31 grant calculation that affected 11 billing authorities. These have been marked with an (R).</t>
  </si>
  <si>
    <t>There are no planned revisions in the stats release however data has been supressed for 1 authority in the DA summary tab, as it is undergoing further validations. Data will be published in due course.</t>
  </si>
  <si>
    <t>(R) - revised on 4 March 2020. Dover's revision relates to Lines 26a, 27a and 28. All others relate to Line 31 and therefore Line 39</t>
  </si>
  <si>
    <t>(R) - Revised on 4 March 2020. Revision relates to Lines 1, 2, 7, 8 and 11</t>
  </si>
  <si>
    <t>12. Net Rates payable for Growth Baseline comparison</t>
  </si>
  <si>
    <t>11.  Designated Areas Qualifying Relief</t>
  </si>
  <si>
    <t>13. Growth Baseline</t>
  </si>
  <si>
    <t>14. Additional Growth in 'Growth Pilot' Areas</t>
  </si>
  <si>
    <t>15. In respect of Port of Bristol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</si>
</sst>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7" formatCode="#,##0.000000000000"/>
    <numFmt numFmtId="168" formatCode="#,##0.000000000000000"/>
    <numFmt numFmtId="169" formatCode="0.0"/>
    <numFmt numFmtId="170" formatCode="#,##0.0"/>
    <numFmt numFmtId="171" formatCode="dd/mm/yy;@"/>
    <numFmt numFmtId="172" formatCode="0_)"/>
    <numFmt numFmtId="173" formatCode="_(* #,##0_);_(* \(#,##0\);_(* &quot;-&quot;??_);_(@_)"/>
    <numFmt numFmtId="174" formatCode="_-* #,##0.0_-;\-* #,##0.0_-;_-* &quot;-&quot;??_-;_-@_-"/>
  </numFmts>
  <fonts count="84"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b/>
      <sz val="1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4"/>
      <name val="Arial"/>
      <family val="2"/>
    </font>
    <font>
      <b/>
      <sz val="16"/>
      <name val="Arial"/>
      <family val="2"/>
    </font>
    <font>
      <sz val="14"/>
      <name val="Arial"/>
      <family val="2"/>
    </font>
    <font>
      <sz val="12"/>
      <color indexed="10"/>
      <name val="Arial"/>
      <family val="2"/>
    </font>
    <font>
      <i/>
      <sz val="12"/>
      <name val="Arial"/>
      <family val="2"/>
    </font>
    <font>
      <sz val="12"/>
      <color indexed="10"/>
      <name val="Arial"/>
      <family val="2"/>
    </font>
    <font>
      <sz val="8"/>
      <color indexed="10"/>
      <name val="Arial"/>
      <family val="2"/>
    </font>
    <font>
      <sz val="11"/>
      <color indexed="10"/>
      <name val="Arial"/>
      <family val="2"/>
    </font>
    <font>
      <sz val="12"/>
      <color indexed="44"/>
      <name val="Arial"/>
      <family val="2"/>
    </font>
    <font>
      <sz val="12"/>
      <color indexed="10"/>
      <name val="Arial"/>
      <family val="2"/>
    </font>
    <font>
      <b/>
      <sz val="12"/>
      <color indexed="10"/>
      <name val="Arial"/>
      <family val="2"/>
    </font>
    <font>
      <sz val="9"/>
      <name val="Arial"/>
      <family val="2"/>
    </font>
    <font>
      <b/>
      <sz val="18"/>
      <name val="Arial"/>
      <family val="2"/>
    </font>
    <font>
      <b/>
      <sz val="12"/>
      <color rgb="FFFF0000"/>
      <name val="Arial"/>
      <family val="2"/>
    </font>
    <font>
      <sz val="10"/>
      <color theme="1"/>
      <name val="Arial"/>
      <family val="2"/>
    </font>
    <font>
      <b/>
      <sz val="10"/>
      <color rgb="FFFF0000"/>
      <name val="Arial"/>
      <family val="2"/>
    </font>
    <font>
      <sz val="12"/>
      <color rgb="FFFF0000"/>
      <name val="Arial"/>
      <family val="2"/>
    </font>
    <font>
      <sz val="12"/>
      <color theme="0"/>
      <name val="Arial"/>
      <family val="2"/>
    </font>
    <font>
      <b/>
      <sz val="12"/>
      <color theme="0"/>
      <name val="Arial"/>
      <family val="2"/>
    </font>
    <font>
      <sz val="10"/>
      <color theme="0"/>
      <name val="Arial"/>
      <family val="2"/>
    </font>
    <font>
      <b/>
      <sz val="11"/>
      <color rgb="FFFF0000"/>
      <name val="Arial"/>
      <family val="2"/>
    </font>
    <font>
      <sz val="10"/>
      <color rgb="FFFF0000"/>
      <name val="Arial"/>
      <family val="2"/>
    </font>
    <font>
      <strike/>
      <sz val="12"/>
      <color rgb="FFFF0000"/>
      <name val="Arial"/>
      <family val="2"/>
    </font>
    <font>
      <strike/>
      <sz val="10"/>
      <color rgb="FFFF0000"/>
      <name val="Arial"/>
      <family val="2"/>
    </font>
    <font>
      <b/>
      <sz val="12"/>
      <color rgb="FFFFFFCC"/>
      <name val="Arial"/>
      <family val="2"/>
    </font>
    <font>
      <u/>
      <sz val="10"/>
      <color theme="10"/>
      <name val="Arial"/>
      <family val="2"/>
    </font>
    <font>
      <sz val="11"/>
      <color theme="1"/>
      <name val="Calibri"/>
      <family val="2"/>
      <scheme val="minor"/>
    </font>
    <font>
      <b/>
      <sz val="10"/>
      <color indexed="10"/>
      <name val="Arial"/>
      <family val="2"/>
    </font>
    <font>
      <b/>
      <sz val="14"/>
      <color rgb="FFFFFF99"/>
      <name val="Arial"/>
      <family val="2"/>
    </font>
    <font>
      <b/>
      <sz val="13"/>
      <name val="Arial"/>
      <family val="2"/>
    </font>
    <font>
      <sz val="10"/>
      <color indexed="9"/>
      <name val="Arial"/>
      <family val="2"/>
    </font>
    <font>
      <sz val="10"/>
      <color indexed="43"/>
      <name val="Arial"/>
      <family val="2"/>
    </font>
    <font>
      <sz val="18"/>
      <color indexed="9"/>
      <name val="Arial"/>
      <family val="2"/>
    </font>
    <font>
      <b/>
      <sz val="18"/>
      <color indexed="9"/>
      <name val="Arial"/>
      <family val="2"/>
    </font>
    <font>
      <u/>
      <sz val="12"/>
      <color indexed="12"/>
      <name val="Arial"/>
      <family val="2"/>
    </font>
    <font>
      <b/>
      <sz val="18"/>
      <color rgb="FFFF0000"/>
      <name val="Arial"/>
      <family val="2"/>
    </font>
    <font>
      <sz val="14"/>
      <color rgb="FFFFFF99"/>
      <name val="Arial"/>
      <family val="2"/>
    </font>
    <font>
      <b/>
      <sz val="12"/>
      <color theme="6" tint="0.39997558519241921"/>
      <name val="Arial"/>
      <family val="2"/>
    </font>
    <font>
      <sz val="10"/>
      <color theme="6" tint="0.39997558519241921"/>
      <name val="Arial"/>
      <family val="2"/>
    </font>
    <font>
      <sz val="12"/>
      <color theme="6" tint="0.39997558519241921"/>
      <name val="Arial"/>
      <family val="2"/>
    </font>
    <font>
      <sz val="9"/>
      <color theme="6" tint="0.39997558519241921"/>
      <name val="Arial"/>
      <family val="2"/>
    </font>
    <font>
      <u/>
      <sz val="12"/>
      <name val="Arial"/>
      <family val="2"/>
    </font>
    <font>
      <sz val="12"/>
      <color theme="1" tint="0.499984740745262"/>
      <name val="Arial"/>
      <family val="2"/>
    </font>
    <font>
      <sz val="9"/>
      <color rgb="FFFF0000"/>
      <name val="Arial"/>
      <family val="2"/>
    </font>
    <font>
      <sz val="12"/>
      <color rgb="FFC4D79B"/>
      <name val="Arial"/>
      <family val="2"/>
    </font>
    <font>
      <strike/>
      <sz val="10"/>
      <color rgb="FFC4D79B"/>
      <name val="Arial"/>
      <family val="2"/>
    </font>
    <font>
      <sz val="12"/>
      <color rgb="FFFFFFCC"/>
      <name val="Arial"/>
      <family val="2"/>
    </font>
    <font>
      <sz val="10"/>
      <name val="Courier"/>
      <family val="3"/>
    </font>
    <font>
      <sz val="10"/>
      <color indexed="8"/>
      <name val="Arial"/>
      <family val="2"/>
    </font>
    <font>
      <b/>
      <i/>
      <sz val="10"/>
      <name val="Arial"/>
      <family val="2"/>
    </font>
    <font>
      <vertAlign val="superscript"/>
      <sz val="10"/>
      <name val="Arial"/>
      <family val="2"/>
    </font>
    <font>
      <b/>
      <vertAlign val="superscript"/>
      <sz val="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FFFFCC"/>
        <bgColor indexed="64"/>
      </patternFill>
    </fill>
    <fill>
      <patternFill patternType="solid">
        <fgColor rgb="FF008000"/>
        <bgColor indexed="64"/>
      </patternFill>
    </fill>
    <fill>
      <patternFill patternType="solid">
        <fgColor rgb="FF99CCFF"/>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4506668294322"/>
        <bgColor indexed="64"/>
      </patternFill>
    </fill>
    <fill>
      <patternFill patternType="solid">
        <fgColor rgb="FF00008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C4D79B"/>
        <bgColor indexed="64"/>
      </patternFill>
    </fill>
    <fill>
      <patternFill patternType="solid">
        <fgColor theme="7" tint="0.39997558519241921"/>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57"/>
      </left>
      <right/>
      <top style="medium">
        <color indexed="57"/>
      </top>
      <bottom/>
      <diagonal/>
    </border>
    <border>
      <left style="medium">
        <color indexed="57"/>
      </left>
      <right/>
      <top/>
      <bottom/>
      <diagonal/>
    </border>
    <border>
      <left style="medium">
        <color indexed="57"/>
      </left>
      <right/>
      <top/>
      <bottom style="medium">
        <color indexed="57"/>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57"/>
      </top>
      <bottom/>
      <diagonal/>
    </border>
    <border>
      <left/>
      <right/>
      <top/>
      <bottom style="medium">
        <color indexed="57"/>
      </bottom>
      <diagonal/>
    </border>
    <border>
      <left/>
      <right style="medium">
        <color indexed="31"/>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53"/>
      </right>
      <top style="medium">
        <color indexed="53"/>
      </top>
      <bottom/>
      <diagonal/>
    </border>
    <border>
      <left/>
      <right style="medium">
        <color indexed="53"/>
      </right>
      <top/>
      <bottom/>
      <diagonal/>
    </border>
    <border>
      <left/>
      <right style="medium">
        <color indexed="53"/>
      </right>
      <top/>
      <bottom style="medium">
        <color indexed="53"/>
      </bottom>
      <diagonal/>
    </border>
    <border>
      <left/>
      <right style="medium">
        <color indexed="57"/>
      </right>
      <top style="medium">
        <color indexed="57"/>
      </top>
      <bottom/>
      <diagonal/>
    </border>
    <border>
      <left/>
      <right style="medium">
        <color indexed="57"/>
      </right>
      <top/>
      <bottom/>
      <diagonal/>
    </border>
    <border>
      <left/>
      <right style="medium">
        <color indexed="57"/>
      </right>
      <top/>
      <bottom style="medium">
        <color indexed="57"/>
      </bottom>
      <diagonal/>
    </border>
    <border>
      <left style="medium">
        <color indexed="30"/>
      </left>
      <right style="medium">
        <color indexed="30"/>
      </right>
      <top style="medium">
        <color indexed="30"/>
      </top>
      <bottom style="medium">
        <color indexed="30"/>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0"/>
      </left>
      <right/>
      <top style="medium">
        <color indexed="30"/>
      </top>
      <bottom style="medium">
        <color indexed="30"/>
      </bottom>
      <diagonal/>
    </border>
    <border>
      <left/>
      <right style="medium">
        <color indexed="30"/>
      </right>
      <top style="medium">
        <color indexed="30"/>
      </top>
      <bottom style="medium">
        <color indexed="30"/>
      </bottom>
      <diagonal/>
    </border>
    <border>
      <left/>
      <right/>
      <top/>
      <bottom style="medium">
        <color indexed="17"/>
      </bottom>
      <diagonal/>
    </border>
    <border>
      <left/>
      <right/>
      <top style="medium">
        <color indexed="17"/>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rgb="FFFF6600"/>
      </left>
      <right/>
      <top/>
      <bottom/>
      <diagonal/>
    </border>
    <border>
      <left style="medium">
        <color rgb="FFFF6600"/>
      </left>
      <right/>
      <top style="medium">
        <color indexed="53"/>
      </top>
      <bottom/>
      <diagonal/>
    </border>
    <border>
      <left style="medium">
        <color rgb="FFFF6600"/>
      </left>
      <right/>
      <top/>
      <bottom style="medium">
        <color indexed="53"/>
      </bottom>
      <diagonal/>
    </border>
    <border>
      <left style="medium">
        <color rgb="FFFF6600"/>
      </left>
      <right/>
      <top/>
      <bottom style="medium">
        <color rgb="FFFF6600"/>
      </bottom>
      <diagonal/>
    </border>
    <border>
      <left style="medium">
        <color rgb="FFFF6600"/>
      </left>
      <right/>
      <top style="medium">
        <color rgb="FFFF6600"/>
      </top>
      <bottom/>
      <diagonal/>
    </border>
    <border>
      <left style="medium">
        <color rgb="FF0066CC"/>
      </left>
      <right/>
      <top style="medium">
        <color rgb="FF0066CC"/>
      </top>
      <bottom style="medium">
        <color rgb="FF0066CC"/>
      </bottom>
      <diagonal/>
    </border>
    <border>
      <left/>
      <right style="medium">
        <color rgb="FF0066CC"/>
      </right>
      <top style="medium">
        <color rgb="FF0066CC"/>
      </top>
      <bottom style="medium">
        <color rgb="FF0066CC"/>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indexed="17"/>
      </top>
      <bottom style="medium">
        <color rgb="FF008000"/>
      </bottom>
      <diagonal/>
    </border>
    <border>
      <left/>
      <right style="medium">
        <color rgb="FF008000"/>
      </right>
      <top style="medium">
        <color indexed="17"/>
      </top>
      <bottom style="medium">
        <color rgb="FF008000"/>
      </bottom>
      <diagonal/>
    </border>
    <border>
      <left/>
      <right/>
      <top style="medium">
        <color rgb="FF008000"/>
      </top>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style="medium">
        <color indexed="64"/>
      </bottom>
      <diagonal/>
    </border>
    <border>
      <left/>
      <right/>
      <top style="medium">
        <color indexed="53"/>
      </top>
      <bottom/>
      <diagonal/>
    </border>
    <border>
      <left style="medium">
        <color indexed="53"/>
      </left>
      <right/>
      <top style="medium">
        <color indexed="53"/>
      </top>
      <bottom/>
      <diagonal/>
    </border>
    <border>
      <left/>
      <right/>
      <top/>
      <bottom style="medium">
        <color rgb="FFFF6600"/>
      </bottom>
      <diagonal/>
    </border>
    <border>
      <left/>
      <right/>
      <top style="medium">
        <color rgb="FFFF6600"/>
      </top>
      <bottom/>
      <diagonal/>
    </border>
    <border>
      <left style="medium">
        <color rgb="FF008000"/>
      </left>
      <right style="medium">
        <color rgb="FF008000"/>
      </right>
      <top style="medium">
        <color rgb="FF008000"/>
      </top>
      <bottom style="medium">
        <color rgb="FF008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8000"/>
      </right>
      <top style="medium">
        <color rgb="FF008000"/>
      </top>
      <bottom style="medium">
        <color rgb="FF008000"/>
      </bottom>
      <diagonal/>
    </border>
    <border>
      <left style="medium">
        <color rgb="FF008000"/>
      </left>
      <right style="thin">
        <color rgb="FFFF0000"/>
      </right>
      <top style="medium">
        <color rgb="FF008000"/>
      </top>
      <bottom style="medium">
        <color rgb="FF008000"/>
      </bottom>
      <diagonal/>
    </border>
    <border>
      <left style="thin">
        <color rgb="FFFF0000"/>
      </left>
      <right/>
      <top style="medium">
        <color rgb="FF008000"/>
      </top>
      <bottom/>
      <diagonal/>
    </border>
    <border>
      <left/>
      <right style="medium">
        <color auto="1"/>
      </right>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thin">
        <color rgb="FFFF0000"/>
      </right>
      <top style="medium">
        <color rgb="FF008000"/>
      </top>
      <bottom/>
      <diagonal/>
    </border>
    <border>
      <left style="medium">
        <color rgb="FFCCCCFF"/>
      </left>
      <right style="medium">
        <color indexed="64"/>
      </right>
      <top/>
      <bottom/>
      <diagonal/>
    </border>
    <border>
      <left style="medium">
        <color rgb="FFCCCCFF"/>
      </left>
      <right/>
      <top style="medium">
        <color indexed="57"/>
      </top>
      <bottom/>
      <diagonal/>
    </border>
    <border>
      <left style="medium">
        <color rgb="FFCCCCFF"/>
      </left>
      <right/>
      <top/>
      <bottom/>
      <diagonal/>
    </border>
    <border>
      <left style="medium">
        <color rgb="FFCCCCFF"/>
      </left>
      <right/>
      <top/>
      <bottom style="medium">
        <color indexed="57"/>
      </bottom>
      <diagonal/>
    </border>
  </borders>
  <cellStyleXfs count="7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4" fillId="17" borderId="2">
      <alignment horizontal="right"/>
    </xf>
    <xf numFmtId="3" fontId="2" fillId="17" borderId="2">
      <alignment horizontal="right"/>
    </xf>
    <xf numFmtId="3" fontId="3" fillId="17" borderId="3">
      <alignment horizontal="right"/>
    </xf>
    <xf numFmtId="3" fontId="4" fillId="17" borderId="3">
      <alignment horizontal="right"/>
    </xf>
    <xf numFmtId="3" fontId="2" fillId="17" borderId="3">
      <alignment horizontal="right"/>
    </xf>
    <xf numFmtId="0" fontId="19" fillId="18" borderId="4"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6" fillId="7" borderId="1" applyNumberFormat="0" applyAlignment="0" applyProtection="0"/>
    <xf numFmtId="0" fontId="27" fillId="0" borderId="8" applyNumberFormat="0" applyFill="0" applyAlignment="0" applyProtection="0"/>
    <xf numFmtId="0" fontId="28" fillId="7" borderId="0" applyNumberFormat="0" applyBorder="0" applyAlignment="0" applyProtection="0"/>
    <xf numFmtId="0" fontId="2" fillId="0" borderId="0"/>
    <xf numFmtId="0" fontId="2" fillId="4" borderId="9" applyNumberFormat="0" applyFont="0" applyAlignment="0" applyProtection="0"/>
    <xf numFmtId="0" fontId="29" fillId="16" borderId="10" applyNumberFormat="0" applyAlignment="0" applyProtection="0"/>
    <xf numFmtId="9" fontId="2" fillId="0" borderId="0" applyFon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57" fillId="0" borderId="0" applyNumberFormat="0" applyFill="0" applyBorder="0" applyAlignment="0" applyProtection="0"/>
    <xf numFmtId="0" fontId="58" fillId="0" borderId="0"/>
    <xf numFmtId="0" fontId="28" fillId="7" borderId="0" applyNumberFormat="0" applyBorder="0" applyAlignment="0" applyProtection="0"/>
    <xf numFmtId="0" fontId="1" fillId="0" borderId="0"/>
    <xf numFmtId="9" fontId="2" fillId="0" borderId="0" applyFont="0" applyFill="0" applyBorder="0" applyAlignment="0" applyProtection="0"/>
    <xf numFmtId="0" fontId="58" fillId="0" borderId="0"/>
    <xf numFmtId="0" fontId="2" fillId="0" borderId="0"/>
    <xf numFmtId="164" fontId="2" fillId="0" borderId="0" applyFont="0" applyFill="0" applyBorder="0" applyAlignment="0" applyProtection="0"/>
    <xf numFmtId="0" fontId="2" fillId="0" borderId="0"/>
    <xf numFmtId="0" fontId="6" fillId="0" borderId="0"/>
    <xf numFmtId="0" fontId="66"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2" fillId="0" borderId="0"/>
    <xf numFmtId="0" fontId="2" fillId="0" borderId="0"/>
    <xf numFmtId="172" fontId="79" fillId="0" borderId="0"/>
    <xf numFmtId="0" fontId="2" fillId="0" borderId="0"/>
    <xf numFmtId="0" fontId="2" fillId="0" borderId="0"/>
    <xf numFmtId="43" fontId="2" fillId="0" borderId="0" applyFont="0" applyFill="0" applyBorder="0" applyAlignment="0" applyProtection="0"/>
  </cellStyleXfs>
  <cellXfs count="1082">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0" fillId="19" borderId="12" xfId="0" applyFill="1" applyBorder="1"/>
    <xf numFmtId="0" fontId="0" fillId="19" borderId="13" xfId="0" applyFill="1" applyBorder="1"/>
    <xf numFmtId="0" fontId="3" fillId="19" borderId="0" xfId="0" applyFont="1" applyFill="1" applyBorder="1"/>
    <xf numFmtId="0" fontId="0" fillId="19" borderId="14" xfId="0" applyFill="1" applyBorder="1"/>
    <xf numFmtId="0" fontId="6" fillId="17" borderId="0" xfId="0" applyFont="1" applyFill="1" applyBorder="1"/>
    <xf numFmtId="0" fontId="6" fillId="0" borderId="0" xfId="0" applyFont="1"/>
    <xf numFmtId="0" fontId="6" fillId="19" borderId="0" xfId="0" applyFont="1" applyFill="1" applyBorder="1"/>
    <xf numFmtId="0" fontId="6" fillId="19" borderId="15" xfId="0" applyFont="1" applyFill="1" applyBorder="1"/>
    <xf numFmtId="0" fontId="8" fillId="19" borderId="0" xfId="0" applyFont="1" applyFill="1" applyBorder="1" applyAlignment="1">
      <alignment horizontal="left"/>
    </xf>
    <xf numFmtId="0" fontId="8" fillId="19" borderId="0"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8" fillId="19" borderId="0" xfId="0" applyFont="1" applyFill="1" applyBorder="1" applyAlignment="1"/>
    <xf numFmtId="0" fontId="6" fillId="17" borderId="18" xfId="0" applyFont="1" applyFill="1" applyBorder="1"/>
    <xf numFmtId="0" fontId="6" fillId="17" borderId="19" xfId="0" applyFont="1" applyFill="1" applyBorder="1"/>
    <xf numFmtId="0" fontId="6" fillId="17" borderId="20" xfId="0" applyFont="1" applyFill="1" applyBorder="1"/>
    <xf numFmtId="0" fontId="8" fillId="17" borderId="0" xfId="0" applyFont="1" applyFill="1" applyBorder="1"/>
    <xf numFmtId="0" fontId="6" fillId="17" borderId="21" xfId="0" applyFont="1" applyFill="1" applyBorder="1"/>
    <xf numFmtId="0" fontId="6" fillId="17" borderId="22" xfId="0" applyFont="1" applyFill="1" applyBorder="1"/>
    <xf numFmtId="0" fontId="0" fillId="19" borderId="23" xfId="0" applyFill="1" applyBorder="1"/>
    <xf numFmtId="0" fontId="0" fillId="19" borderId="24" xfId="0" applyFill="1" applyBorder="1"/>
    <xf numFmtId="0" fontId="0" fillId="19" borderId="25" xfId="0" applyFill="1" applyBorder="1"/>
    <xf numFmtId="0" fontId="11" fillId="19" borderId="0" xfId="0" applyFont="1" applyFill="1" applyBorder="1"/>
    <xf numFmtId="0" fontId="12" fillId="19" borderId="0" xfId="0" applyFont="1" applyFill="1" applyBorder="1"/>
    <xf numFmtId="0" fontId="12" fillId="19" borderId="15" xfId="0" applyFont="1" applyFill="1" applyBorder="1"/>
    <xf numFmtId="0" fontId="12" fillId="17" borderId="0" xfId="0" applyFont="1" applyFill="1" applyBorder="1" applyAlignment="1">
      <alignment horizontal="center"/>
    </xf>
    <xf numFmtId="0" fontId="0" fillId="17" borderId="18" xfId="0" applyFill="1" applyBorder="1"/>
    <xf numFmtId="0" fontId="12" fillId="17" borderId="19" xfId="0" applyFont="1" applyFill="1" applyBorder="1"/>
    <xf numFmtId="0" fontId="0" fillId="17" borderId="20" xfId="0" applyFill="1" applyBorder="1"/>
    <xf numFmtId="0" fontId="11" fillId="17" borderId="0" xfId="0" applyFont="1" applyFill="1" applyBorder="1"/>
    <xf numFmtId="0" fontId="12" fillId="17" borderId="0" xfId="0" applyFont="1" applyFill="1" applyBorder="1"/>
    <xf numFmtId="0" fontId="0" fillId="17" borderId="21" xfId="0" applyFill="1" applyBorder="1"/>
    <xf numFmtId="0" fontId="12" fillId="17" borderId="22" xfId="0" applyFont="1" applyFill="1" applyBorder="1"/>
    <xf numFmtId="0" fontId="12" fillId="0" borderId="0" xfId="0" applyFont="1"/>
    <xf numFmtId="0" fontId="12" fillId="17" borderId="18" xfId="0" applyFont="1" applyFill="1" applyBorder="1"/>
    <xf numFmtId="0" fontId="12" fillId="17" borderId="20" xfId="0" applyFont="1" applyFill="1" applyBorder="1"/>
    <xf numFmtId="0" fontId="12" fillId="17" borderId="21" xfId="0" applyFont="1" applyFill="1" applyBorder="1"/>
    <xf numFmtId="0" fontId="11" fillId="19" borderId="23" xfId="0" applyFont="1" applyFill="1" applyBorder="1" applyAlignment="1">
      <alignment horizontal="left"/>
    </xf>
    <xf numFmtId="0" fontId="12" fillId="19" borderId="0" xfId="0" applyFont="1" applyFill="1" applyBorder="1" applyAlignment="1"/>
    <xf numFmtId="0" fontId="12" fillId="19" borderId="23" xfId="0" applyFont="1" applyFill="1" applyBorder="1" applyAlignment="1"/>
    <xf numFmtId="0" fontId="11" fillId="19" borderId="0" xfId="0" applyFont="1" applyFill="1" applyBorder="1" applyAlignment="1"/>
    <xf numFmtId="0" fontId="12" fillId="19" borderId="23"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0" fillId="0" borderId="0" xfId="0" applyBorder="1"/>
    <xf numFmtId="0" fontId="0" fillId="19" borderId="26" xfId="0" applyFill="1" applyBorder="1"/>
    <xf numFmtId="0" fontId="0" fillId="19" borderId="16" xfId="0" applyFill="1" applyBorder="1"/>
    <xf numFmtId="0" fontId="0" fillId="19" borderId="17" xfId="0" applyFill="1" applyBorder="1"/>
    <xf numFmtId="0" fontId="0" fillId="19" borderId="15" xfId="0" applyFill="1" applyBorder="1"/>
    <xf numFmtId="0" fontId="0" fillId="19" borderId="27" xfId="0" applyFill="1" applyBorder="1"/>
    <xf numFmtId="0" fontId="12" fillId="19" borderId="28" xfId="0" applyFont="1" applyFill="1" applyBorder="1"/>
    <xf numFmtId="0" fontId="12" fillId="19" borderId="29" xfId="0" applyFont="1" applyFill="1" applyBorder="1"/>
    <xf numFmtId="0" fontId="11" fillId="17" borderId="0" xfId="0" applyFont="1" applyFill="1" applyBorder="1" applyAlignment="1">
      <alignment horizontal="center"/>
    </xf>
    <xf numFmtId="0" fontId="0" fillId="17" borderId="22" xfId="0" applyFill="1" applyBorder="1"/>
    <xf numFmtId="0" fontId="12" fillId="19" borderId="0" xfId="0" applyFont="1" applyFill="1" applyBorder="1" applyAlignment="1">
      <alignment vertical="top" wrapText="1"/>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9" borderId="30" xfId="0" applyNumberFormat="1" applyFont="1" applyFill="1" applyBorder="1" applyAlignment="1">
      <alignment horizontal="right" vertical="center" indent="1"/>
    </xf>
    <xf numFmtId="3" fontId="11" fillId="19" borderId="28" xfId="0" applyNumberFormat="1" applyFont="1" applyFill="1" applyBorder="1" applyAlignment="1">
      <alignment horizontal="right" vertical="center" indent="1"/>
    </xf>
    <xf numFmtId="3" fontId="12" fillId="19" borderId="28" xfId="0" applyNumberFormat="1" applyFont="1" applyFill="1" applyBorder="1" applyAlignment="1">
      <alignment horizontal="right" vertical="center" indent="1"/>
    </xf>
    <xf numFmtId="3" fontId="11" fillId="19" borderId="29" xfId="0" applyNumberFormat="1" applyFont="1" applyFill="1" applyBorder="1" applyAlignment="1">
      <alignment horizontal="right" vertical="center" indent="1"/>
    </xf>
    <xf numFmtId="3" fontId="12" fillId="19" borderId="29" xfId="0" applyNumberFormat="1" applyFont="1" applyFill="1" applyBorder="1" applyAlignment="1">
      <alignment horizontal="right" vertical="center" indent="1"/>
    </xf>
    <xf numFmtId="3" fontId="12" fillId="17" borderId="19"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3" fontId="11" fillId="17" borderId="0" xfId="0" applyNumberFormat="1" applyFont="1" applyFill="1" applyBorder="1" applyAlignment="1">
      <alignment horizontal="right" vertical="center" indent="1"/>
    </xf>
    <xf numFmtId="0" fontId="6" fillId="20" borderId="26"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24" xfId="0" applyFont="1" applyFill="1" applyBorder="1" applyAlignment="1"/>
    <xf numFmtId="0" fontId="6" fillId="20" borderId="25" xfId="0" applyFont="1" applyFill="1" applyBorder="1" applyAlignment="1"/>
    <xf numFmtId="0" fontId="6" fillId="20" borderId="27" xfId="0" applyFont="1" applyFill="1" applyBorder="1" applyAlignment="1"/>
    <xf numFmtId="0" fontId="32" fillId="19" borderId="0" xfId="0" applyFont="1" applyFill="1" applyBorder="1" applyAlignment="1">
      <alignment horizontal="left"/>
    </xf>
    <xf numFmtId="3" fontId="12" fillId="19" borderId="23" xfId="0" applyNumberFormat="1" applyFont="1" applyFill="1" applyBorder="1" applyAlignment="1">
      <alignment horizontal="right" vertical="center" indent="1"/>
    </xf>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6" fillId="17" borderId="19"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center" vertical="center"/>
    </xf>
    <xf numFmtId="0" fontId="12" fillId="19" borderId="25" xfId="0" applyFont="1" applyFill="1" applyBorder="1"/>
    <xf numFmtId="3" fontId="11" fillId="19" borderId="25" xfId="0" applyNumberFormat="1" applyFont="1" applyFill="1" applyBorder="1" applyAlignment="1">
      <alignment horizontal="right" vertical="center" indent="1"/>
    </xf>
    <xf numFmtId="3" fontId="12" fillId="19" borderId="25" xfId="0" applyNumberFormat="1" applyFont="1" applyFill="1" applyBorder="1" applyAlignment="1">
      <alignment horizontal="right" vertical="center" indent="1"/>
    </xf>
    <xf numFmtId="0" fontId="6" fillId="0" borderId="25" xfId="0" applyFont="1" applyBorder="1"/>
    <xf numFmtId="0" fontId="6" fillId="0" borderId="16" xfId="0" applyFont="1" applyBorder="1"/>
    <xf numFmtId="0" fontId="6" fillId="17" borderId="25" xfId="0" applyFont="1" applyFill="1" applyBorder="1"/>
    <xf numFmtId="3" fontId="12" fillId="19" borderId="0" xfId="0" applyNumberFormat="1" applyFont="1" applyFill="1" applyBorder="1" applyAlignment="1" applyProtection="1">
      <alignment horizontal="right" vertical="center" indent="1"/>
      <protection locked="0"/>
    </xf>
    <xf numFmtId="3" fontId="12" fillId="19" borderId="30" xfId="0" applyNumberFormat="1" applyFont="1" applyFill="1" applyBorder="1" applyAlignment="1" applyProtection="1">
      <alignment horizontal="right" vertical="center" indent="1"/>
      <protection locked="0"/>
    </xf>
    <xf numFmtId="0" fontId="8" fillId="19" borderId="0" xfId="0" applyFont="1" applyFill="1" applyBorder="1" applyAlignment="1">
      <alignment vertical="top"/>
    </xf>
    <xf numFmtId="0" fontId="6" fillId="19" borderId="31" xfId="0" applyFont="1" applyFill="1" applyBorder="1"/>
    <xf numFmtId="3" fontId="37" fillId="19" borderId="31" xfId="0" applyNumberFormat="1" applyFont="1" applyFill="1" applyBorder="1" applyAlignment="1">
      <alignment horizontal="right" vertical="center"/>
    </xf>
    <xf numFmtId="3" fontId="9" fillId="19" borderId="31" xfId="0" applyNumberFormat="1" applyFont="1" applyFill="1" applyBorder="1" applyAlignment="1">
      <alignment horizontal="right" vertical="center"/>
    </xf>
    <xf numFmtId="3" fontId="39" fillId="19" borderId="31" xfId="0" applyNumberFormat="1" applyFont="1" applyFill="1" applyBorder="1" applyAlignment="1">
      <alignment horizontal="left" vertical="center" indent="1"/>
    </xf>
    <xf numFmtId="3" fontId="6" fillId="19" borderId="31" xfId="0" applyNumberFormat="1" applyFont="1" applyFill="1" applyBorder="1" applyAlignment="1">
      <alignment horizontal="left" vertical="center" indent="1"/>
    </xf>
    <xf numFmtId="3" fontId="6" fillId="19" borderId="31" xfId="0" applyNumberFormat="1" applyFont="1" applyFill="1" applyBorder="1" applyAlignment="1">
      <alignment horizontal="right" vertical="center" indent="1"/>
    </xf>
    <xf numFmtId="0" fontId="6" fillId="17" borderId="32" xfId="0" applyFont="1" applyFill="1" applyBorder="1"/>
    <xf numFmtId="3" fontId="37" fillId="17" borderId="32" xfId="0" applyNumberFormat="1" applyFont="1" applyFill="1" applyBorder="1" applyAlignment="1">
      <alignment horizontal="right" vertical="center"/>
    </xf>
    <xf numFmtId="3" fontId="9" fillId="17" borderId="32" xfId="0" applyNumberFormat="1" applyFont="1" applyFill="1" applyBorder="1" applyAlignment="1">
      <alignment horizontal="right" vertical="center"/>
    </xf>
    <xf numFmtId="3" fontId="39" fillId="17" borderId="32" xfId="0" applyNumberFormat="1" applyFont="1" applyFill="1" applyBorder="1" applyAlignment="1">
      <alignment horizontal="left" vertical="center" indent="1"/>
    </xf>
    <xf numFmtId="3" fontId="6" fillId="17" borderId="32" xfId="0" applyNumberFormat="1" applyFont="1" applyFill="1" applyBorder="1" applyAlignment="1">
      <alignment horizontal="left" vertical="center" indent="1"/>
    </xf>
    <xf numFmtId="3" fontId="6" fillId="17" borderId="32" xfId="0" applyNumberFormat="1" applyFont="1" applyFill="1" applyBorder="1" applyAlignment="1">
      <alignment horizontal="right" vertical="center" indent="1"/>
    </xf>
    <xf numFmtId="3" fontId="6" fillId="17" borderId="25" xfId="0" applyNumberFormat="1" applyFont="1" applyFill="1" applyBorder="1" applyAlignment="1">
      <alignment horizontal="left" vertical="center" indent="1"/>
    </xf>
    <xf numFmtId="3" fontId="6" fillId="17" borderId="25" xfId="0" applyNumberFormat="1" applyFont="1" applyFill="1" applyBorder="1" applyAlignment="1">
      <alignment horizontal="right" vertical="center" indent="1"/>
    </xf>
    <xf numFmtId="3" fontId="39" fillId="17" borderId="25" xfId="0" applyNumberFormat="1" applyFont="1" applyFill="1" applyBorder="1" applyAlignment="1">
      <alignment horizontal="left" vertical="center" indent="1"/>
    </xf>
    <xf numFmtId="0" fontId="6" fillId="17" borderId="33" xfId="0" applyFont="1" applyFill="1" applyBorder="1"/>
    <xf numFmtId="0" fontId="6" fillId="17" borderId="27" xfId="0" applyFont="1" applyFill="1" applyBorder="1"/>
    <xf numFmtId="0" fontId="6" fillId="19" borderId="0" xfId="0" applyFont="1" applyFill="1" applyBorder="1" applyAlignment="1">
      <alignment vertical="top"/>
    </xf>
    <xf numFmtId="3" fontId="41"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3" fontId="8" fillId="17" borderId="0" xfId="0" applyNumberFormat="1" applyFont="1" applyFill="1" applyBorder="1" applyAlignment="1">
      <alignment horizontal="right" vertical="center" indent="1"/>
    </xf>
    <xf numFmtId="0" fontId="2" fillId="0" borderId="0" xfId="0" applyFont="1"/>
    <xf numFmtId="0" fontId="0" fillId="17" borderId="43" xfId="0" applyFill="1" applyBorder="1"/>
    <xf numFmtId="0" fontId="11" fillId="17" borderId="44" xfId="0" applyFont="1" applyFill="1" applyBorder="1"/>
    <xf numFmtId="0" fontId="12" fillId="17" borderId="44" xfId="0" applyFont="1" applyFill="1" applyBorder="1"/>
    <xf numFmtId="3" fontId="12" fillId="17" borderId="44" xfId="0" applyNumberFormat="1" applyFont="1" applyFill="1" applyBorder="1" applyAlignment="1">
      <alignment horizontal="right" vertical="center" indent="1"/>
    </xf>
    <xf numFmtId="0" fontId="12" fillId="17" borderId="45" xfId="0" applyFont="1" applyFill="1" applyBorder="1"/>
    <xf numFmtId="0" fontId="0" fillId="17" borderId="46" xfId="0" applyFill="1" applyBorder="1"/>
    <xf numFmtId="0" fontId="12" fillId="17" borderId="47" xfId="0" applyFont="1" applyFill="1" applyBorder="1"/>
    <xf numFmtId="0" fontId="12" fillId="17" borderId="47" xfId="0" applyFont="1" applyFill="1" applyBorder="1" applyAlignment="1">
      <alignment horizontal="center"/>
    </xf>
    <xf numFmtId="0" fontId="0" fillId="17" borderId="48" xfId="0" applyFill="1" applyBorder="1"/>
    <xf numFmtId="0" fontId="11" fillId="17" borderId="49" xfId="0" applyFont="1" applyFill="1" applyBorder="1"/>
    <xf numFmtId="0" fontId="12" fillId="17" borderId="49" xfId="0" applyFont="1" applyFill="1" applyBorder="1"/>
    <xf numFmtId="0" fontId="12" fillId="17" borderId="50" xfId="0" applyFont="1" applyFill="1" applyBorder="1"/>
    <xf numFmtId="0" fontId="12" fillId="19" borderId="24" xfId="0" applyFont="1" applyFill="1" applyBorder="1"/>
    <xf numFmtId="0" fontId="12" fillId="19" borderId="27" xfId="0" applyFont="1" applyFill="1" applyBorder="1"/>
    <xf numFmtId="3" fontId="0" fillId="0" borderId="0" xfId="0" applyNumberFormat="1"/>
    <xf numFmtId="0" fontId="6" fillId="20" borderId="0" xfId="0" applyFont="1" applyFill="1" applyBorder="1" applyAlignment="1">
      <alignment horizontal="center"/>
    </xf>
    <xf numFmtId="0" fontId="6" fillId="20" borderId="15" xfId="0" applyFont="1" applyFill="1" applyBorder="1" applyAlignment="1">
      <alignment horizontal="center"/>
    </xf>
    <xf numFmtId="0" fontId="12" fillId="19" borderId="18" xfId="0" applyFont="1" applyFill="1" applyBorder="1" applyAlignment="1"/>
    <xf numFmtId="0" fontId="12" fillId="19" borderId="19" xfId="0" applyFont="1" applyFill="1" applyBorder="1" applyAlignment="1">
      <alignment wrapText="1"/>
    </xf>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0" fontId="12" fillId="19" borderId="20" xfId="0" applyFont="1" applyFill="1" applyBorder="1" applyAlignment="1"/>
    <xf numFmtId="0" fontId="11" fillId="19" borderId="20" xfId="0" applyFont="1" applyFill="1" applyBorder="1" applyAlignment="1"/>
    <xf numFmtId="0" fontId="12" fillId="19" borderId="21"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3" fontId="12" fillId="21" borderId="0" xfId="0" applyNumberFormat="1" applyFont="1" applyFill="1" applyBorder="1" applyAlignment="1">
      <alignment horizontal="right" vertical="center" indent="1"/>
    </xf>
    <xf numFmtId="3" fontId="11" fillId="21" borderId="0" xfId="0" applyNumberFormat="1" applyFont="1" applyFill="1" applyBorder="1" applyAlignment="1">
      <alignment horizontal="right" vertical="center" indent="1"/>
    </xf>
    <xf numFmtId="3" fontId="11" fillId="21" borderId="19" xfId="0" applyNumberFormat="1" applyFont="1" applyFill="1" applyBorder="1" applyAlignment="1">
      <alignment horizontal="right" vertical="center" indent="1"/>
    </xf>
    <xf numFmtId="3" fontId="12" fillId="21" borderId="19" xfId="0" applyNumberFormat="1" applyFont="1" applyFill="1" applyBorder="1" applyAlignment="1">
      <alignment horizontal="right" vertical="center" indent="1"/>
    </xf>
    <xf numFmtId="3" fontId="12" fillId="21" borderId="22" xfId="0" applyNumberFormat="1" applyFont="1" applyFill="1" applyBorder="1" applyAlignment="1">
      <alignment horizontal="right" vertical="center" indent="1"/>
    </xf>
    <xf numFmtId="0" fontId="0" fillId="21" borderId="0" xfId="0" applyFill="1" applyBorder="1"/>
    <xf numFmtId="3" fontId="11" fillId="21" borderId="28" xfId="0" applyNumberFormat="1" applyFont="1" applyFill="1" applyBorder="1" applyAlignment="1">
      <alignment horizontal="right" vertical="center" indent="1"/>
    </xf>
    <xf numFmtId="3" fontId="12" fillId="21" borderId="28" xfId="0" applyNumberFormat="1" applyFont="1" applyFill="1" applyBorder="1" applyAlignment="1">
      <alignment horizontal="right" vertical="center" indent="1"/>
    </xf>
    <xf numFmtId="3" fontId="11" fillId="21" borderId="29" xfId="0" applyNumberFormat="1" applyFont="1" applyFill="1" applyBorder="1" applyAlignment="1">
      <alignment horizontal="right" vertical="center" indent="1"/>
    </xf>
    <xf numFmtId="3" fontId="12" fillId="21" borderId="29" xfId="0" applyNumberFormat="1" applyFont="1" applyFill="1" applyBorder="1" applyAlignment="1">
      <alignment horizontal="right" vertical="center" indent="1"/>
    </xf>
    <xf numFmtId="3" fontId="11" fillId="21" borderId="25" xfId="0" applyNumberFormat="1" applyFont="1" applyFill="1" applyBorder="1" applyAlignment="1">
      <alignment horizontal="right" vertical="center" indent="1"/>
    </xf>
    <xf numFmtId="3" fontId="12" fillId="21" borderId="25" xfId="0" applyNumberFormat="1" applyFont="1" applyFill="1" applyBorder="1" applyAlignment="1">
      <alignment horizontal="right" vertical="center" indent="1"/>
    </xf>
    <xf numFmtId="0" fontId="12" fillId="21" borderId="0" xfId="0" applyFont="1" applyFill="1" applyBorder="1"/>
    <xf numFmtId="3" fontId="11" fillId="21" borderId="0" xfId="0" applyNumberFormat="1" applyFont="1" applyFill="1" applyBorder="1" applyAlignment="1">
      <alignment horizontal="right" vertical="center" indent="1"/>
    </xf>
    <xf numFmtId="0" fontId="45" fillId="19" borderId="0" xfId="0" applyFont="1" applyFill="1" applyBorder="1"/>
    <xf numFmtId="0" fontId="12" fillId="21" borderId="0" xfId="0" applyFont="1" applyFill="1" applyBorder="1" applyAlignment="1">
      <alignment horizontal="center"/>
    </xf>
    <xf numFmtId="0" fontId="12" fillId="21" borderId="55" xfId="0" applyFont="1" applyFill="1" applyBorder="1" applyAlignment="1">
      <alignment horizontal="center"/>
    </xf>
    <xf numFmtId="0" fontId="12" fillId="21" borderId="56" xfId="0" applyFont="1" applyFill="1" applyBorder="1"/>
    <xf numFmtId="0" fontId="12" fillId="21" borderId="57" xfId="0" applyFont="1" applyFill="1" applyBorder="1"/>
    <xf numFmtId="0" fontId="12" fillId="21" borderId="55" xfId="0" applyFont="1" applyFill="1" applyBorder="1"/>
    <xf numFmtId="0" fontId="0" fillId="21" borderId="55" xfId="0" applyFill="1" applyBorder="1"/>
    <xf numFmtId="0" fontId="0" fillId="21" borderId="56" xfId="0" applyFill="1" applyBorder="1"/>
    <xf numFmtId="0" fontId="0" fillId="21" borderId="57" xfId="0" applyFill="1" applyBorder="1"/>
    <xf numFmtId="0" fontId="0" fillId="21" borderId="58" xfId="0" applyFill="1" applyBorder="1"/>
    <xf numFmtId="0" fontId="0" fillId="21" borderId="59" xfId="0" applyFill="1" applyBorder="1"/>
    <xf numFmtId="0" fontId="0" fillId="21" borderId="60" xfId="0" applyFill="1" applyBorder="1"/>
    <xf numFmtId="0" fontId="0" fillId="21" borderId="25" xfId="0" applyFill="1" applyBorder="1"/>
    <xf numFmtId="0" fontId="0" fillId="21" borderId="16" xfId="0" applyFill="1" applyBorder="1"/>
    <xf numFmtId="0" fontId="12" fillId="21" borderId="22" xfId="0" applyFont="1" applyFill="1" applyBorder="1"/>
    <xf numFmtId="0" fontId="12" fillId="19" borderId="74" xfId="0" applyFont="1" applyFill="1" applyBorder="1"/>
    <xf numFmtId="3" fontId="12" fillId="19" borderId="75" xfId="0" applyNumberFormat="1" applyFont="1" applyFill="1" applyBorder="1" applyAlignment="1">
      <alignment horizontal="right" vertical="center" indent="1"/>
    </xf>
    <xf numFmtId="3" fontId="12" fillId="19" borderId="76" xfId="0" applyNumberFormat="1" applyFont="1" applyFill="1" applyBorder="1" applyAlignment="1">
      <alignment horizontal="right" vertical="center" indent="1"/>
    </xf>
    <xf numFmtId="3" fontId="12" fillId="21" borderId="75" xfId="0" applyNumberFormat="1" applyFont="1" applyFill="1" applyBorder="1" applyAlignment="1">
      <alignment horizontal="right" vertical="center" indent="1"/>
    </xf>
    <xf numFmtId="0" fontId="0" fillId="21" borderId="77" xfId="0" applyFill="1" applyBorder="1"/>
    <xf numFmtId="0" fontId="12" fillId="19" borderId="78" xfId="0" applyFont="1" applyFill="1" applyBorder="1"/>
    <xf numFmtId="0" fontId="0" fillId="21" borderId="79" xfId="0" applyFill="1" applyBorder="1"/>
    <xf numFmtId="0" fontId="12" fillId="19" borderId="80" xfId="0" applyFont="1" applyFill="1" applyBorder="1"/>
    <xf numFmtId="3" fontId="11" fillId="19" borderId="81" xfId="0" applyNumberFormat="1" applyFont="1" applyFill="1" applyBorder="1" applyAlignment="1">
      <alignment horizontal="right" vertical="center" indent="1"/>
    </xf>
    <xf numFmtId="3" fontId="12" fillId="19" borderId="81" xfId="0" applyNumberFormat="1" applyFont="1" applyFill="1" applyBorder="1" applyAlignment="1">
      <alignment horizontal="right" vertical="center" indent="1"/>
    </xf>
    <xf numFmtId="3" fontId="12" fillId="19" borderId="82" xfId="0" applyNumberFormat="1" applyFont="1" applyFill="1" applyBorder="1" applyAlignment="1">
      <alignment horizontal="right" vertical="center" indent="1"/>
    </xf>
    <xf numFmtId="3" fontId="12" fillId="21" borderId="81" xfId="0" applyNumberFormat="1" applyFont="1" applyFill="1" applyBorder="1" applyAlignment="1">
      <alignment horizontal="right" vertical="center" indent="1"/>
    </xf>
    <xf numFmtId="3" fontId="11" fillId="21" borderId="81" xfId="0" applyNumberFormat="1" applyFont="1" applyFill="1" applyBorder="1" applyAlignment="1">
      <alignment horizontal="right" vertical="center" indent="1"/>
    </xf>
    <xf numFmtId="0" fontId="0" fillId="21" borderId="83" xfId="0" applyFill="1" applyBorder="1"/>
    <xf numFmtId="0" fontId="12" fillId="19" borderId="84" xfId="0" applyFont="1" applyFill="1" applyBorder="1"/>
    <xf numFmtId="3" fontId="12" fillId="19" borderId="85" xfId="0" applyNumberFormat="1" applyFont="1" applyFill="1" applyBorder="1" applyAlignment="1">
      <alignment horizontal="right" vertical="center" indent="1"/>
    </xf>
    <xf numFmtId="3" fontId="12" fillId="19" borderId="86" xfId="0" applyNumberFormat="1" applyFont="1" applyFill="1" applyBorder="1" applyAlignment="1">
      <alignment horizontal="right" vertical="center" indent="1"/>
    </xf>
    <xf numFmtId="3" fontId="12" fillId="21" borderId="85" xfId="0" applyNumberFormat="1" applyFont="1" applyFill="1" applyBorder="1" applyAlignment="1">
      <alignment horizontal="right" vertical="center" indent="1"/>
    </xf>
    <xf numFmtId="0" fontId="0" fillId="21" borderId="87" xfId="0" applyFill="1" applyBorder="1"/>
    <xf numFmtId="0" fontId="12" fillId="19" borderId="88" xfId="0" applyFont="1" applyFill="1" applyBorder="1"/>
    <xf numFmtId="0" fontId="0" fillId="21" borderId="89" xfId="0" applyFill="1" applyBorder="1"/>
    <xf numFmtId="0" fontId="12" fillId="19" borderId="90" xfId="0" applyFont="1" applyFill="1" applyBorder="1"/>
    <xf numFmtId="3" fontId="11" fillId="19" borderId="91" xfId="0" applyNumberFormat="1" applyFont="1" applyFill="1" applyBorder="1" applyAlignment="1">
      <alignment horizontal="right" vertical="center" indent="1"/>
    </xf>
    <xf numFmtId="3" fontId="12" fillId="19" borderId="91" xfId="0" applyNumberFormat="1" applyFont="1" applyFill="1" applyBorder="1" applyAlignment="1">
      <alignment horizontal="right" vertical="center" indent="1"/>
    </xf>
    <xf numFmtId="3" fontId="12" fillId="19" borderId="92" xfId="0" applyNumberFormat="1" applyFont="1" applyFill="1" applyBorder="1" applyAlignment="1">
      <alignment horizontal="right" vertical="center" indent="1"/>
    </xf>
    <xf numFmtId="3" fontId="12" fillId="21" borderId="91" xfId="0" applyNumberFormat="1" applyFont="1" applyFill="1" applyBorder="1" applyAlignment="1">
      <alignment horizontal="right" vertical="center" indent="1"/>
    </xf>
    <xf numFmtId="3" fontId="11" fillId="21" borderId="91" xfId="0" applyNumberFormat="1" applyFont="1" applyFill="1" applyBorder="1" applyAlignment="1">
      <alignment horizontal="right" vertical="center" indent="1"/>
    </xf>
    <xf numFmtId="0" fontId="0" fillId="21" borderId="93" xfId="0" applyFill="1" applyBorder="1"/>
    <xf numFmtId="3" fontId="11" fillId="19" borderId="85" xfId="0" applyNumberFormat="1" applyFont="1" applyFill="1" applyBorder="1" applyAlignment="1">
      <alignment horizontal="right" vertical="center" indent="1"/>
    </xf>
    <xf numFmtId="3" fontId="11" fillId="21" borderId="85" xfId="0" applyNumberFormat="1" applyFont="1" applyFill="1" applyBorder="1" applyAlignment="1">
      <alignment horizontal="right" vertical="center" indent="1"/>
    </xf>
    <xf numFmtId="0" fontId="11" fillId="19" borderId="0" xfId="0" applyFont="1" applyFill="1" applyBorder="1" applyAlignment="1">
      <alignment horizontal="center" vertical="center"/>
    </xf>
    <xf numFmtId="0" fontId="0" fillId="21" borderId="0" xfId="0" applyFill="1" applyBorder="1" applyAlignment="1">
      <alignment horizontal="right" vertical="center" indent="1"/>
    </xf>
    <xf numFmtId="3" fontId="11" fillId="21" borderId="0" xfId="0" applyNumberFormat="1" applyFont="1" applyFill="1" applyBorder="1" applyAlignment="1">
      <alignment horizontal="right" vertical="center" indent="1"/>
    </xf>
    <xf numFmtId="0" fontId="12" fillId="0" borderId="0" xfId="0" applyFont="1" applyBorder="1"/>
    <xf numFmtId="3" fontId="45" fillId="19" borderId="0" xfId="0" applyNumberFormat="1" applyFont="1" applyFill="1" applyBorder="1" applyAlignment="1">
      <alignment horizontal="left" vertical="center" indent="1"/>
    </xf>
    <xf numFmtId="0" fontId="48" fillId="0" borderId="0" xfId="0" applyFont="1"/>
    <xf numFmtId="3" fontId="36" fillId="19" borderId="0" xfId="0" applyNumberFormat="1" applyFont="1" applyFill="1" applyBorder="1" applyAlignment="1">
      <alignment horizontal="right" vertical="center" indent="1"/>
    </xf>
    <xf numFmtId="3" fontId="11" fillId="21"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top" wrapText="1"/>
    </xf>
    <xf numFmtId="3" fontId="6" fillId="19" borderId="0" xfId="0" applyNumberFormat="1" applyFont="1" applyFill="1" applyBorder="1" applyAlignment="1">
      <alignment horizontal="right" vertical="top"/>
    </xf>
    <xf numFmtId="3" fontId="11" fillId="21" borderId="0" xfId="0" applyNumberFormat="1" applyFont="1" applyFill="1" applyBorder="1" applyAlignment="1">
      <alignment horizontal="right" vertical="center" indent="1"/>
    </xf>
    <xf numFmtId="0" fontId="36" fillId="19" borderId="0" xfId="0" applyFont="1" applyFill="1" applyBorder="1"/>
    <xf numFmtId="0" fontId="2" fillId="19" borderId="0" xfId="0" applyFont="1" applyFill="1" applyBorder="1"/>
    <xf numFmtId="0" fontId="49" fillId="19" borderId="23" xfId="0" applyFont="1" applyFill="1" applyBorder="1"/>
    <xf numFmtId="0" fontId="49" fillId="19" borderId="62" xfId="0" applyFont="1" applyFill="1" applyBorder="1"/>
    <xf numFmtId="0" fontId="49" fillId="17" borderId="63" xfId="0" applyFont="1" applyFill="1" applyBorder="1"/>
    <xf numFmtId="0" fontId="49" fillId="17" borderId="24" xfId="0" applyFont="1" applyFill="1" applyBorder="1"/>
    <xf numFmtId="0" fontId="51" fillId="19" borderId="23" xfId="0" applyFont="1" applyFill="1" applyBorder="1"/>
    <xf numFmtId="0" fontId="49" fillId="0" borderId="0" xfId="0" applyFont="1"/>
    <xf numFmtId="0" fontId="51" fillId="22" borderId="0" xfId="0" applyFont="1" applyFill="1" applyBorder="1"/>
    <xf numFmtId="3" fontId="8" fillId="21" borderId="0" xfId="0" applyNumberFormat="1" applyFont="1" applyFill="1" applyBorder="1" applyAlignment="1">
      <alignment horizontal="center" vertical="center" wrapText="1"/>
    </xf>
    <xf numFmtId="3" fontId="6" fillId="21" borderId="0" xfId="0" applyNumberFormat="1" applyFont="1" applyFill="1" applyBorder="1" applyAlignment="1">
      <alignment horizontal="right" vertical="center" indent="1"/>
    </xf>
    <xf numFmtId="0" fontId="6" fillId="21" borderId="0" xfId="0" applyFont="1" applyFill="1" applyBorder="1"/>
    <xf numFmtId="3" fontId="8" fillId="21" borderId="0" xfId="0" applyNumberFormat="1" applyFont="1" applyFill="1" applyBorder="1" applyAlignment="1">
      <alignment horizontal="center" vertical="center"/>
    </xf>
    <xf numFmtId="3" fontId="8" fillId="21" borderId="0" xfId="0" applyNumberFormat="1" applyFont="1" applyFill="1" applyBorder="1" applyAlignment="1">
      <alignment horizontal="right" vertical="center" indent="1"/>
    </xf>
    <xf numFmtId="0" fontId="6" fillId="21" borderId="55" xfId="0" applyFont="1" applyFill="1" applyBorder="1"/>
    <xf numFmtId="0" fontId="6" fillId="21" borderId="56" xfId="0" applyFont="1" applyFill="1" applyBorder="1"/>
    <xf numFmtId="0" fontId="8" fillId="21" borderId="0" xfId="0" applyFont="1" applyFill="1" applyBorder="1" applyAlignment="1">
      <alignment horizontal="right"/>
    </xf>
    <xf numFmtId="0" fontId="6" fillId="21" borderId="19" xfId="0" applyFont="1" applyFill="1" applyBorder="1"/>
    <xf numFmtId="0" fontId="11" fillId="19" borderId="0" xfId="0" applyFont="1" applyFill="1" applyBorder="1" applyAlignment="1">
      <alignment horizontal="right"/>
    </xf>
    <xf numFmtId="3" fontId="0" fillId="21" borderId="0" xfId="0" applyNumberFormat="1" applyFill="1" applyBorder="1"/>
    <xf numFmtId="0" fontId="0" fillId="21" borderId="91" xfId="0" applyFill="1" applyBorder="1"/>
    <xf numFmtId="0" fontId="45" fillId="19" borderId="0" xfId="0" applyFont="1" applyFill="1" applyBorder="1" applyAlignment="1"/>
    <xf numFmtId="0" fontId="0" fillId="22" borderId="0" xfId="0" applyFill="1" applyBorder="1"/>
    <xf numFmtId="0" fontId="0" fillId="22" borderId="0" xfId="0" applyFill="1"/>
    <xf numFmtId="3" fontId="6" fillId="21" borderId="0" xfId="0" applyNumberFormat="1" applyFont="1" applyFill="1" applyBorder="1" applyAlignment="1">
      <alignment vertical="center"/>
    </xf>
    <xf numFmtId="3" fontId="48" fillId="21" borderId="0" xfId="0" applyNumberFormat="1" applyFont="1" applyFill="1" applyBorder="1" applyAlignment="1">
      <alignment vertical="center"/>
    </xf>
    <xf numFmtId="3" fontId="6" fillId="21" borderId="19" xfId="0" applyNumberFormat="1" applyFont="1" applyFill="1" applyBorder="1" applyAlignment="1">
      <alignment vertical="center"/>
    </xf>
    <xf numFmtId="0" fontId="51" fillId="0" borderId="0" xfId="0" applyFont="1" applyBorder="1"/>
    <xf numFmtId="0" fontId="2" fillId="17" borderId="15" xfId="0" applyFont="1" applyFill="1" applyBorder="1"/>
    <xf numFmtId="3" fontId="11" fillId="21" borderId="0" xfId="0" applyNumberFormat="1" applyFont="1" applyFill="1" applyBorder="1" applyAlignment="1">
      <alignment horizontal="right" vertical="center" indent="1"/>
    </xf>
    <xf numFmtId="0" fontId="11" fillId="19" borderId="0" xfId="0" applyFont="1" applyFill="1" applyBorder="1" applyAlignment="1">
      <alignment horizontal="left"/>
    </xf>
    <xf numFmtId="0" fontId="11" fillId="19" borderId="0" xfId="0" applyFont="1" applyFill="1" applyBorder="1" applyAlignment="1">
      <alignment horizontal="center"/>
    </xf>
    <xf numFmtId="0" fontId="0" fillId="19" borderId="51" xfId="0" applyFill="1" applyBorder="1"/>
    <xf numFmtId="0" fontId="0" fillId="19" borderId="52" xfId="0" applyFill="1" applyBorder="1"/>
    <xf numFmtId="0" fontId="12" fillId="19" borderId="52" xfId="0" applyFont="1" applyFill="1" applyBorder="1"/>
    <xf numFmtId="3" fontId="12" fillId="19" borderId="52" xfId="0" applyNumberFormat="1" applyFont="1" applyFill="1" applyBorder="1" applyAlignment="1">
      <alignment horizontal="right" vertical="center" indent="1"/>
    </xf>
    <xf numFmtId="3" fontId="12" fillId="21" borderId="52" xfId="0" applyNumberFormat="1" applyFont="1" applyFill="1" applyBorder="1" applyAlignment="1">
      <alignment horizontal="right" vertical="center" indent="1"/>
    </xf>
    <xf numFmtId="0" fontId="0" fillId="21" borderId="52" xfId="0" applyFill="1" applyBorder="1"/>
    <xf numFmtId="0" fontId="0" fillId="19" borderId="53" xfId="0" applyFill="1" applyBorder="1"/>
    <xf numFmtId="0" fontId="7" fillId="20" borderId="23" xfId="0" applyFont="1" applyFill="1" applyBorder="1" applyAlignment="1">
      <alignment horizontal="center"/>
    </xf>
    <xf numFmtId="3" fontId="12" fillId="21" borderId="0" xfId="0" applyNumberFormat="1" applyFont="1" applyFill="1" applyBorder="1" applyAlignment="1">
      <alignment horizontal="center" vertical="center"/>
    </xf>
    <xf numFmtId="3" fontId="12" fillId="17" borderId="18" xfId="0" applyNumberFormat="1" applyFont="1" applyFill="1" applyBorder="1" applyAlignment="1">
      <alignment horizontal="right" vertical="center" indent="1"/>
    </xf>
    <xf numFmtId="3" fontId="12" fillId="17" borderId="20" xfId="0" applyNumberFormat="1" applyFont="1" applyFill="1" applyBorder="1" applyAlignment="1">
      <alignment horizontal="right" vertical="center" indent="1"/>
    </xf>
    <xf numFmtId="0" fontId="12" fillId="0" borderId="20" xfId="0" applyFont="1" applyBorder="1"/>
    <xf numFmtId="3" fontId="12" fillId="21" borderId="95" xfId="0" applyNumberFormat="1" applyFont="1" applyFill="1" applyBorder="1" applyAlignment="1">
      <alignment horizontal="right" vertical="center" indent="1"/>
    </xf>
    <xf numFmtId="3" fontId="12" fillId="21" borderId="94" xfId="0" applyNumberFormat="1" applyFont="1" applyFill="1" applyBorder="1" applyAlignment="1">
      <alignment horizontal="center" vertical="top"/>
    </xf>
    <xf numFmtId="3" fontId="12" fillId="21" borderId="96" xfId="0" applyNumberFormat="1" applyFont="1" applyFill="1" applyBorder="1" applyAlignment="1">
      <alignment horizontal="right" vertical="center" indent="1"/>
    </xf>
    <xf numFmtId="3" fontId="11" fillId="19" borderId="97" xfId="0" applyNumberFormat="1" applyFont="1" applyFill="1" applyBorder="1" applyAlignment="1">
      <alignment horizontal="right" vertical="center" indent="1"/>
    </xf>
    <xf numFmtId="3" fontId="11" fillId="19" borderId="98"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wrapText="1"/>
    </xf>
    <xf numFmtId="0" fontId="11" fillId="21" borderId="0" xfId="0" applyFont="1" applyFill="1" applyBorder="1" applyAlignment="1">
      <alignment horizontal="center"/>
    </xf>
    <xf numFmtId="0" fontId="3" fillId="19" borderId="0" xfId="0" applyFont="1" applyFill="1" applyBorder="1" applyAlignment="1">
      <alignment horizontal="left"/>
    </xf>
    <xf numFmtId="0" fontId="8" fillId="19" borderId="0" xfId="0" applyFont="1" applyFill="1" applyBorder="1" applyAlignment="1">
      <alignment wrapText="1"/>
    </xf>
    <xf numFmtId="0" fontId="8" fillId="19" borderId="16" xfId="0" applyFont="1" applyFill="1" applyBorder="1" applyAlignment="1">
      <alignment wrapText="1"/>
    </xf>
    <xf numFmtId="0" fontId="8" fillId="21" borderId="16" xfId="0" applyFont="1" applyFill="1" applyBorder="1" applyAlignment="1">
      <alignment wrapText="1"/>
    </xf>
    <xf numFmtId="0" fontId="8" fillId="21" borderId="0" xfId="0" applyFont="1" applyFill="1" applyBorder="1" applyAlignment="1">
      <alignment wrapText="1"/>
    </xf>
    <xf numFmtId="0" fontId="49" fillId="17" borderId="26" xfId="0" applyFont="1" applyFill="1" applyBorder="1"/>
    <xf numFmtId="0" fontId="6" fillId="19" borderId="16" xfId="0" applyFont="1" applyFill="1" applyBorder="1"/>
    <xf numFmtId="0" fontId="6" fillId="17" borderId="17" xfId="0" applyFont="1" applyFill="1" applyBorder="1"/>
    <xf numFmtId="0" fontId="50" fillId="19" borderId="23" xfId="0" applyFont="1" applyFill="1" applyBorder="1"/>
    <xf numFmtId="0" fontId="45" fillId="19" borderId="15" xfId="0" applyFont="1" applyFill="1" applyBorder="1"/>
    <xf numFmtId="3" fontId="11" fillId="21" borderId="0" xfId="0" applyNumberFormat="1" applyFont="1" applyFill="1" applyBorder="1" applyAlignment="1">
      <alignment horizontal="right" vertical="center" indent="1"/>
    </xf>
    <xf numFmtId="3" fontId="8" fillId="21" borderId="0" xfId="0" applyNumberFormat="1" applyFont="1" applyFill="1" applyBorder="1" applyAlignment="1">
      <alignment vertical="center"/>
    </xf>
    <xf numFmtId="0" fontId="55" fillId="19" borderId="0" xfId="0" applyFont="1" applyFill="1" applyBorder="1"/>
    <xf numFmtId="0" fontId="55" fillId="21" borderId="0" xfId="0" applyFont="1" applyFill="1" applyBorder="1"/>
    <xf numFmtId="3" fontId="54" fillId="21" borderId="0" xfId="0" applyNumberFormat="1" applyFont="1" applyFill="1" applyBorder="1" applyAlignment="1">
      <alignment horizontal="right" vertical="center" indent="1"/>
    </xf>
    <xf numFmtId="0" fontId="0" fillId="25" borderId="0" xfId="0" applyFill="1"/>
    <xf numFmtId="0" fontId="6" fillId="19" borderId="0" xfId="0" applyFont="1" applyFill="1" applyBorder="1" applyAlignment="1"/>
    <xf numFmtId="0" fontId="6" fillId="17" borderId="49" xfId="0" applyFont="1" applyFill="1" applyBorder="1"/>
    <xf numFmtId="3" fontId="55" fillId="21" borderId="0" xfId="0" applyNumberFormat="1" applyFont="1" applyFill="1" applyBorder="1"/>
    <xf numFmtId="0" fontId="6" fillId="19" borderId="0" xfId="0" applyFont="1" applyFill="1" applyBorder="1" applyAlignment="1">
      <alignment wrapText="1"/>
    </xf>
    <xf numFmtId="0" fontId="6" fillId="19" borderId="28" xfId="0" applyFont="1" applyFill="1" applyBorder="1"/>
    <xf numFmtId="3" fontId="45" fillId="19" borderId="0" xfId="0" applyNumberFormat="1" applyFont="1" applyFill="1" applyBorder="1" applyAlignment="1">
      <alignment horizontal="right" vertical="center" indent="1"/>
    </xf>
    <xf numFmtId="3" fontId="45" fillId="21" borderId="0" xfId="0" applyNumberFormat="1" applyFont="1" applyFill="1" applyBorder="1" applyAlignment="1">
      <alignment horizontal="right" vertical="center" indent="1"/>
    </xf>
    <xf numFmtId="3" fontId="11" fillId="21" borderId="0" xfId="0" applyNumberFormat="1" applyFont="1" applyFill="1" applyBorder="1" applyAlignment="1">
      <alignment horizontal="right" vertical="center" indent="1"/>
    </xf>
    <xf numFmtId="3" fontId="11" fillId="19" borderId="0" xfId="0" applyNumberFormat="1" applyFont="1" applyFill="1" applyBorder="1" applyAlignment="1">
      <alignment vertical="center"/>
    </xf>
    <xf numFmtId="3" fontId="45" fillId="19" borderId="0" xfId="0" applyNumberFormat="1" applyFont="1" applyFill="1" applyBorder="1" applyAlignment="1">
      <alignment vertical="center"/>
    </xf>
    <xf numFmtId="3" fontId="56" fillId="19" borderId="0" xfId="0" applyNumberFormat="1" applyFont="1" applyFill="1" applyBorder="1" applyAlignment="1">
      <alignment horizontal="right" vertical="center" indent="1"/>
    </xf>
    <xf numFmtId="3" fontId="11" fillId="19" borderId="0" xfId="0" applyNumberFormat="1" applyFont="1" applyFill="1" applyBorder="1" applyAlignment="1">
      <alignment wrapText="1"/>
    </xf>
    <xf numFmtId="3" fontId="45" fillId="19" borderId="0" xfId="0" applyNumberFormat="1" applyFont="1" applyFill="1" applyBorder="1" applyAlignment="1">
      <alignment wrapText="1"/>
    </xf>
    <xf numFmtId="3" fontId="45" fillId="19" borderId="0" xfId="0" applyNumberFormat="1" applyFont="1" applyFill="1" applyBorder="1" applyAlignment="1">
      <alignment vertical="center" wrapText="1"/>
    </xf>
    <xf numFmtId="0" fontId="53" fillId="0" borderId="0" xfId="0" applyFont="1"/>
    <xf numFmtId="0" fontId="45" fillId="22" borderId="0" xfId="0" applyFont="1" applyFill="1" applyBorder="1"/>
    <xf numFmtId="0" fontId="6" fillId="22" borderId="0" xfId="0" applyFont="1" applyFill="1"/>
    <xf numFmtId="0" fontId="51" fillId="0" borderId="0" xfId="0" applyFont="1"/>
    <xf numFmtId="0" fontId="7" fillId="20" borderId="23" xfId="0" applyFont="1" applyFill="1" applyBorder="1" applyAlignment="1">
      <alignment horizontal="center"/>
    </xf>
    <xf numFmtId="0" fontId="12" fillId="19" borderId="0" xfId="0" applyFont="1" applyFill="1" applyBorder="1" applyAlignment="1">
      <alignment wrapText="1"/>
    </xf>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19" borderId="0" xfId="0" applyFont="1" applyFill="1" applyBorder="1" applyAlignment="1">
      <alignment horizontal="left"/>
    </xf>
    <xf numFmtId="0" fontId="6" fillId="19" borderId="0" xfId="0" applyFont="1" applyFill="1" applyBorder="1" applyAlignment="1">
      <alignment wrapText="1"/>
    </xf>
    <xf numFmtId="0" fontId="6" fillId="20" borderId="16" xfId="0" applyFont="1" applyFill="1" applyBorder="1" applyAlignment="1">
      <alignment horizontal="center"/>
    </xf>
    <xf numFmtId="0" fontId="6" fillId="20" borderId="25" xfId="0" applyFont="1" applyFill="1" applyBorder="1" applyAlignment="1">
      <alignment horizontal="center"/>
    </xf>
    <xf numFmtId="0" fontId="11" fillId="19" borderId="0" xfId="0" applyFont="1" applyFill="1" applyBorder="1" applyAlignment="1">
      <alignment horizontal="left"/>
    </xf>
    <xf numFmtId="0" fontId="12" fillId="19" borderId="0" xfId="0" applyFont="1" applyFill="1" applyBorder="1" applyAlignment="1">
      <alignment horizontal="center"/>
    </xf>
    <xf numFmtId="0" fontId="45" fillId="19" borderId="0" xfId="0" applyFont="1" applyFill="1" applyBorder="1" applyAlignment="1">
      <alignment horizontal="left" vertical="center" wrapText="1"/>
    </xf>
    <xf numFmtId="3" fontId="11" fillId="21" borderId="0" xfId="0" applyNumberFormat="1" applyFont="1" applyFill="1" applyBorder="1" applyAlignment="1">
      <alignment horizontal="right" vertical="center" indent="1"/>
    </xf>
    <xf numFmtId="0" fontId="11" fillId="19" borderId="0" xfId="0" applyFont="1" applyFill="1" applyBorder="1" applyAlignment="1">
      <alignment horizontal="center" wrapText="1"/>
    </xf>
    <xf numFmtId="3" fontId="11" fillId="17" borderId="0" xfId="0" applyNumberFormat="1" applyFont="1" applyFill="1" applyBorder="1" applyAlignment="1">
      <alignment horizontal="center" vertical="center"/>
    </xf>
    <xf numFmtId="3" fontId="11" fillId="19" borderId="0" xfId="0" applyNumberFormat="1" applyFont="1" applyFill="1" applyBorder="1" applyAlignment="1">
      <alignment horizontal="center" wrapText="1"/>
    </xf>
    <xf numFmtId="0" fontId="11" fillId="19" borderId="0" xfId="0" applyFont="1" applyFill="1" applyBorder="1" applyAlignment="1">
      <alignment horizontal="center"/>
    </xf>
    <xf numFmtId="0" fontId="11" fillId="19" borderId="16" xfId="0" applyFont="1" applyFill="1" applyBorder="1"/>
    <xf numFmtId="0" fontId="12" fillId="19" borderId="16" xfId="0" applyFont="1" applyFill="1" applyBorder="1"/>
    <xf numFmtId="0" fontId="6" fillId="20" borderId="16" xfId="0" applyFont="1" applyFill="1" applyBorder="1" applyProtection="1">
      <protection locked="0"/>
    </xf>
    <xf numFmtId="0" fontId="53" fillId="22" borderId="0" xfId="0" applyFont="1" applyFill="1" applyBorder="1"/>
    <xf numFmtId="0" fontId="0" fillId="0" borderId="0" xfId="0" applyFill="1"/>
    <xf numFmtId="0" fontId="12" fillId="25" borderId="0" xfId="0" applyFont="1" applyFill="1" applyBorder="1"/>
    <xf numFmtId="0" fontId="0" fillId="25" borderId="0" xfId="0" applyFill="1" applyBorder="1"/>
    <xf numFmtId="0" fontId="48" fillId="22" borderId="0" xfId="0" applyFont="1" applyFill="1" applyBorder="1" applyAlignment="1">
      <alignment vertical="center"/>
    </xf>
    <xf numFmtId="0" fontId="2" fillId="0" borderId="0" xfId="0" applyFont="1" applyBorder="1"/>
    <xf numFmtId="0" fontId="6" fillId="20" borderId="25" xfId="0" applyFont="1" applyFill="1" applyBorder="1" applyAlignment="1">
      <alignment horizontal="right"/>
    </xf>
    <xf numFmtId="3" fontId="6" fillId="19" borderId="0" xfId="0" applyNumberFormat="1" applyFont="1" applyFill="1" applyBorder="1" applyAlignment="1">
      <alignment horizontal="right" vertical="center"/>
    </xf>
    <xf numFmtId="3" fontId="12" fillId="21" borderId="0" xfId="0" applyNumberFormat="1" applyFont="1" applyFill="1" applyBorder="1" applyAlignment="1" applyProtection="1">
      <alignment horizontal="right" vertical="center" indent="1"/>
    </xf>
    <xf numFmtId="3" fontId="11" fillId="21" borderId="0" xfId="0" applyNumberFormat="1" applyFont="1" applyFill="1" applyBorder="1" applyAlignment="1" applyProtection="1">
      <alignment horizontal="right" vertical="center" indent="1"/>
    </xf>
    <xf numFmtId="3" fontId="12" fillId="21" borderId="91" xfId="0" applyNumberFormat="1" applyFont="1" applyFill="1" applyBorder="1" applyAlignment="1" applyProtection="1">
      <alignment horizontal="right" vertical="center" indent="1"/>
    </xf>
    <xf numFmtId="3" fontId="11" fillId="21" borderId="91" xfId="0" applyNumberFormat="1" applyFont="1" applyFill="1" applyBorder="1" applyAlignment="1" applyProtection="1">
      <alignment horizontal="right" vertical="center" indent="1"/>
    </xf>
    <xf numFmtId="3" fontId="12" fillId="21" borderId="19" xfId="0" applyNumberFormat="1" applyFont="1" applyFill="1" applyBorder="1" applyAlignment="1" applyProtection="1">
      <alignment horizontal="right" vertical="center" indent="1"/>
    </xf>
    <xf numFmtId="3" fontId="11" fillId="21" borderId="19" xfId="0" applyNumberFormat="1" applyFont="1" applyFill="1" applyBorder="1" applyAlignment="1" applyProtection="1">
      <alignment horizontal="right" vertical="center" indent="1"/>
    </xf>
    <xf numFmtId="3" fontId="12" fillId="21" borderId="22" xfId="0" applyNumberFormat="1" applyFont="1" applyFill="1" applyBorder="1" applyAlignment="1" applyProtection="1">
      <alignment horizontal="right" vertical="center" indent="1"/>
    </xf>
    <xf numFmtId="3" fontId="11" fillId="21" borderId="22" xfId="0" applyNumberFormat="1" applyFont="1" applyFill="1" applyBorder="1" applyAlignment="1" applyProtection="1">
      <alignment horizontal="right" vertical="center" indent="1"/>
    </xf>
    <xf numFmtId="0" fontId="6" fillId="0" borderId="0" xfId="0" applyFont="1" applyProtection="1">
      <protection locked="0"/>
    </xf>
    <xf numFmtId="0" fontId="49" fillId="20" borderId="26" xfId="0" applyFont="1" applyFill="1" applyBorder="1" applyProtection="1">
      <protection locked="0"/>
    </xf>
    <xf numFmtId="0" fontId="6" fillId="20" borderId="17" xfId="0" applyFont="1" applyFill="1" applyBorder="1" applyProtection="1">
      <protection locked="0"/>
    </xf>
    <xf numFmtId="0" fontId="49" fillId="20" borderId="23" xfId="0" applyFont="1" applyFill="1" applyBorder="1" applyProtection="1">
      <protection locked="0"/>
    </xf>
    <xf numFmtId="0" fontId="6" fillId="20" borderId="15" xfId="0" applyFont="1" applyFill="1" applyBorder="1" applyProtection="1">
      <protection locked="0"/>
    </xf>
    <xf numFmtId="0" fontId="49" fillId="20" borderId="24" xfId="0" applyFont="1" applyFill="1" applyBorder="1" applyProtection="1">
      <protection locked="0"/>
    </xf>
    <xf numFmtId="0" fontId="6" fillId="20" borderId="25" xfId="0" applyFont="1" applyFill="1" applyBorder="1" applyProtection="1">
      <protection locked="0"/>
    </xf>
    <xf numFmtId="0" fontId="3" fillId="20" borderId="25" xfId="0" applyFont="1" applyFill="1" applyBorder="1" applyAlignment="1" applyProtection="1">
      <alignment horizontal="right"/>
      <protection locked="0"/>
    </xf>
    <xf numFmtId="0" fontId="6" fillId="20" borderId="27" xfId="0" applyFont="1" applyFill="1" applyBorder="1" applyProtection="1">
      <protection locked="0"/>
    </xf>
    <xf numFmtId="0" fontId="40" fillId="20" borderId="16" xfId="0" applyFont="1" applyFill="1" applyBorder="1" applyProtection="1">
      <protection locked="0"/>
    </xf>
    <xf numFmtId="3" fontId="11" fillId="19" borderId="0" xfId="0" applyNumberFormat="1" applyFont="1" applyFill="1" applyBorder="1" applyAlignment="1" applyProtection="1">
      <alignment horizontal="center" wrapText="1"/>
      <protection locked="0"/>
    </xf>
    <xf numFmtId="3" fontId="11" fillId="17" borderId="0" xfId="0" applyNumberFormat="1" applyFont="1" applyFill="1" applyBorder="1" applyAlignment="1">
      <alignment horizontal="center" vertical="center"/>
    </xf>
    <xf numFmtId="0" fontId="6" fillId="21" borderId="0" xfId="0" applyFont="1" applyFill="1"/>
    <xf numFmtId="0" fontId="8" fillId="25" borderId="0" xfId="0" applyFont="1" applyFill="1" applyBorder="1"/>
    <xf numFmtId="0" fontId="0" fillId="25" borderId="0" xfId="0" applyFill="1" applyBorder="1" applyProtection="1"/>
    <xf numFmtId="0" fontId="8" fillId="25" borderId="0" xfId="0" applyFont="1" applyFill="1" applyBorder="1" applyProtection="1"/>
    <xf numFmtId="0" fontId="12" fillId="25" borderId="0" xfId="0" applyFont="1" applyFill="1" applyBorder="1" applyProtection="1"/>
    <xf numFmtId="3" fontId="11" fillId="25" borderId="0" xfId="0" applyNumberFormat="1" applyFont="1" applyFill="1" applyBorder="1" applyAlignment="1" applyProtection="1">
      <alignment horizontal="right" vertical="center" indent="1"/>
    </xf>
    <xf numFmtId="3" fontId="12" fillId="25" borderId="0" xfId="0" applyNumberFormat="1" applyFont="1" applyFill="1" applyBorder="1" applyAlignment="1" applyProtection="1">
      <alignment horizontal="right" vertical="center" indent="1"/>
    </xf>
    <xf numFmtId="0" fontId="12" fillId="25" borderId="91" xfId="0" applyFont="1" applyFill="1" applyBorder="1" applyProtection="1"/>
    <xf numFmtId="3" fontId="12" fillId="25" borderId="91" xfId="0" applyNumberFormat="1" applyFont="1" applyFill="1" applyBorder="1" applyAlignment="1" applyProtection="1">
      <alignment horizontal="right" vertical="center" indent="1"/>
    </xf>
    <xf numFmtId="0" fontId="12" fillId="25" borderId="0" xfId="0" applyFont="1" applyFill="1" applyBorder="1" applyAlignment="1" applyProtection="1">
      <alignment vertical="top"/>
    </xf>
    <xf numFmtId="0" fontId="12" fillId="25" borderId="88" xfId="0" applyFont="1" applyFill="1" applyBorder="1" applyProtection="1"/>
    <xf numFmtId="3" fontId="12" fillId="25" borderId="30" xfId="0" applyNumberFormat="1" applyFont="1" applyFill="1" applyBorder="1" applyAlignment="1" applyProtection="1">
      <alignment horizontal="right" vertical="center" indent="1"/>
    </xf>
    <xf numFmtId="0" fontId="12" fillId="25" borderId="0" xfId="0" applyFont="1" applyFill="1" applyBorder="1" applyAlignment="1" applyProtection="1">
      <alignment vertical="top" wrapText="1"/>
    </xf>
    <xf numFmtId="0" fontId="12" fillId="25" borderId="90" xfId="0" applyFont="1" applyFill="1" applyBorder="1" applyProtection="1"/>
    <xf numFmtId="3" fontId="11" fillId="25" borderId="91" xfId="0" applyNumberFormat="1" applyFont="1" applyFill="1" applyBorder="1" applyAlignment="1" applyProtection="1">
      <alignment horizontal="right" vertical="center" indent="1"/>
    </xf>
    <xf numFmtId="3" fontId="12" fillId="25" borderId="92" xfId="0" applyNumberFormat="1" applyFont="1" applyFill="1" applyBorder="1" applyAlignment="1" applyProtection="1">
      <alignment horizontal="right" vertical="center" indent="1"/>
    </xf>
    <xf numFmtId="3" fontId="12" fillId="25" borderId="82" xfId="0" applyNumberFormat="1" applyFont="1" applyFill="1" applyBorder="1" applyAlignment="1" applyProtection="1">
      <alignment horizontal="right" vertical="center" indent="1"/>
    </xf>
    <xf numFmtId="0" fontId="0" fillId="25" borderId="18" xfId="0" applyFill="1" applyBorder="1" applyProtection="1"/>
    <xf numFmtId="0" fontId="12" fillId="25" borderId="19" xfId="0" applyFont="1" applyFill="1" applyBorder="1" applyProtection="1"/>
    <xf numFmtId="3" fontId="11" fillId="25" borderId="19" xfId="0" applyNumberFormat="1" applyFont="1" applyFill="1" applyBorder="1" applyAlignment="1" applyProtection="1">
      <alignment horizontal="right" vertical="center" indent="1"/>
    </xf>
    <xf numFmtId="3" fontId="12" fillId="25" borderId="19" xfId="0" applyNumberFormat="1" applyFont="1" applyFill="1" applyBorder="1" applyAlignment="1" applyProtection="1">
      <alignment horizontal="right" vertical="center" indent="1"/>
    </xf>
    <xf numFmtId="0" fontId="0" fillId="25" borderId="20" xfId="0" applyFill="1" applyBorder="1" applyProtection="1"/>
    <xf numFmtId="0" fontId="37" fillId="25" borderId="0" xfId="0" applyFont="1" applyFill="1" applyBorder="1" applyProtection="1"/>
    <xf numFmtId="0" fontId="6" fillId="25" borderId="0" xfId="0" applyFont="1" applyFill="1" applyBorder="1" applyProtection="1"/>
    <xf numFmtId="0" fontId="0" fillId="25" borderId="21" xfId="0" applyFill="1" applyBorder="1" applyProtection="1"/>
    <xf numFmtId="0" fontId="11" fillId="25" borderId="22" xfId="0" applyFont="1" applyFill="1" applyBorder="1" applyProtection="1"/>
    <xf numFmtId="0" fontId="12" fillId="25" borderId="22" xfId="0" applyFont="1" applyFill="1" applyBorder="1" applyProtection="1"/>
    <xf numFmtId="3" fontId="11" fillId="25" borderId="22" xfId="0" applyNumberFormat="1" applyFont="1" applyFill="1" applyBorder="1" applyAlignment="1" applyProtection="1">
      <alignment horizontal="right" vertical="center" indent="1"/>
    </xf>
    <xf numFmtId="3" fontId="12" fillId="25" borderId="22" xfId="0" applyNumberFormat="1" applyFont="1" applyFill="1" applyBorder="1" applyAlignment="1" applyProtection="1">
      <alignment horizontal="right" vertical="center" indent="1"/>
    </xf>
    <xf numFmtId="0" fontId="6" fillId="25" borderId="0" xfId="0" applyFont="1" applyFill="1" applyBorder="1"/>
    <xf numFmtId="3" fontId="11" fillId="21" borderId="0" xfId="0" applyNumberFormat="1" applyFont="1" applyFill="1" applyBorder="1" applyAlignment="1">
      <alignment horizontal="right" vertical="center" indent="1"/>
    </xf>
    <xf numFmtId="0" fontId="12" fillId="19" borderId="0" xfId="0" applyFont="1" applyFill="1" applyBorder="1" applyAlignment="1">
      <alignment horizontal="center"/>
    </xf>
    <xf numFmtId="0" fontId="11" fillId="19" borderId="0" xfId="0" applyFont="1" applyFill="1" applyBorder="1" applyAlignment="1">
      <alignment horizontal="center"/>
    </xf>
    <xf numFmtId="0" fontId="0" fillId="19" borderId="23" xfId="58" applyFont="1" applyFill="1" applyBorder="1" applyProtection="1"/>
    <xf numFmtId="0" fontId="0" fillId="0" borderId="0" xfId="58" applyFont="1" applyProtection="1"/>
    <xf numFmtId="0" fontId="0" fillId="0" borderId="0" xfId="58" applyFont="1" applyBorder="1" applyProtection="1"/>
    <xf numFmtId="0" fontId="59" fillId="19" borderId="0" xfId="58" applyFont="1" applyFill="1" applyBorder="1" applyAlignment="1" applyProtection="1">
      <alignment horizontal="left" vertical="center"/>
    </xf>
    <xf numFmtId="0" fontId="34" fillId="0" borderId="0" xfId="58" applyFont="1" applyAlignment="1" applyProtection="1">
      <alignment vertical="center"/>
    </xf>
    <xf numFmtId="0" fontId="32" fillId="19" borderId="15" xfId="58" applyFont="1" applyFill="1" applyBorder="1" applyAlignment="1" applyProtection="1">
      <alignment horizontal="left" vertical="center" wrapText="1"/>
    </xf>
    <xf numFmtId="0" fontId="32" fillId="19" borderId="0" xfId="58" applyFont="1" applyFill="1" applyBorder="1" applyAlignment="1" applyProtection="1">
      <alignment horizontal="right" vertical="center" indent="1"/>
    </xf>
    <xf numFmtId="0" fontId="60" fillId="19" borderId="0" xfId="58" applyFont="1" applyFill="1" applyBorder="1" applyAlignment="1" applyProtection="1">
      <alignment horizontal="left" vertical="center"/>
    </xf>
    <xf numFmtId="0" fontId="34" fillId="19" borderId="0" xfId="58" applyFont="1" applyFill="1" applyBorder="1" applyAlignment="1" applyProtection="1">
      <alignment horizontal="right" vertical="center" indent="1"/>
    </xf>
    <xf numFmtId="0" fontId="32" fillId="19" borderId="0" xfId="58" applyFont="1" applyFill="1" applyBorder="1" applyAlignment="1" applyProtection="1">
      <alignment horizontal="left" vertical="center"/>
    </xf>
    <xf numFmtId="0" fontId="0" fillId="19" borderId="15" xfId="58" applyFont="1" applyFill="1" applyBorder="1" applyProtection="1"/>
    <xf numFmtId="0" fontId="3" fillId="19" borderId="0" xfId="58" applyFont="1" applyFill="1" applyBorder="1" applyAlignment="1" applyProtection="1">
      <alignment horizontal="center"/>
    </xf>
    <xf numFmtId="0" fontId="3" fillId="19" borderId="0" xfId="58" applyFont="1" applyFill="1" applyBorder="1" applyAlignment="1" applyProtection="1">
      <alignment horizontal="center" vertical="center"/>
    </xf>
    <xf numFmtId="0" fontId="3" fillId="19" borderId="0" xfId="58" applyFont="1" applyFill="1" applyBorder="1" applyAlignment="1" applyProtection="1">
      <alignment horizontal="left" vertical="center"/>
    </xf>
    <xf numFmtId="0" fontId="0" fillId="19" borderId="0" xfId="58" applyFont="1" applyFill="1" applyBorder="1" applyProtection="1"/>
    <xf numFmtId="0" fontId="0" fillId="19" borderId="0" xfId="58" applyFont="1" applyFill="1" applyBorder="1" applyAlignment="1" applyProtection="1">
      <alignment horizontal="left" vertical="center"/>
    </xf>
    <xf numFmtId="0" fontId="35" fillId="19" borderId="0" xfId="58" applyFont="1" applyFill="1" applyBorder="1" applyAlignment="1" applyProtection="1">
      <alignment vertical="center"/>
    </xf>
    <xf numFmtId="0" fontId="61" fillId="19" borderId="0" xfId="58" applyFont="1" applyFill="1" applyBorder="1" applyAlignment="1" applyProtection="1">
      <alignment horizontal="left" vertical="top" wrapText="1"/>
    </xf>
    <xf numFmtId="0" fontId="0" fillId="19" borderId="0" xfId="58" applyFont="1" applyFill="1" applyBorder="1" applyAlignment="1" applyProtection="1">
      <alignment vertical="center"/>
    </xf>
    <xf numFmtId="3" fontId="62" fillId="19" borderId="0" xfId="58" applyNumberFormat="1" applyFont="1" applyFill="1" applyBorder="1" applyAlignment="1" applyProtection="1">
      <alignment horizontal="right" vertical="center"/>
    </xf>
    <xf numFmtId="0" fontId="62" fillId="19" borderId="0" xfId="58" applyFont="1" applyFill="1" applyBorder="1" applyAlignment="1" applyProtection="1">
      <alignment horizontal="right" vertical="center"/>
    </xf>
    <xf numFmtId="0" fontId="32" fillId="19" borderId="0" xfId="58" applyFont="1" applyFill="1" applyBorder="1" applyAlignment="1" applyProtection="1">
      <alignment vertical="center"/>
    </xf>
    <xf numFmtId="3" fontId="63" fillId="19" borderId="0" xfId="58" applyNumberFormat="1" applyFont="1" applyFill="1" applyBorder="1" applyAlignment="1" applyProtection="1">
      <alignment horizontal="right" vertical="center"/>
    </xf>
    <xf numFmtId="0" fontId="8" fillId="19" borderId="0" xfId="58" applyFont="1" applyFill="1" applyBorder="1" applyAlignment="1" applyProtection="1">
      <alignment horizontal="left" vertical="center"/>
    </xf>
    <xf numFmtId="0" fontId="0" fillId="22" borderId="25" xfId="0" applyFill="1" applyBorder="1"/>
    <xf numFmtId="0" fontId="53" fillId="22" borderId="0" xfId="0" applyFont="1" applyFill="1"/>
    <xf numFmtId="0" fontId="47" fillId="22" borderId="0" xfId="0" applyFont="1" applyFill="1" applyBorder="1"/>
    <xf numFmtId="0" fontId="2" fillId="22" borderId="0" xfId="58" applyFont="1" applyFill="1" applyBorder="1"/>
    <xf numFmtId="3" fontId="11" fillId="19" borderId="113" xfId="0" applyNumberFormat="1" applyFont="1" applyFill="1" applyBorder="1" applyAlignment="1">
      <alignment horizontal="right" vertical="center" indent="1"/>
    </xf>
    <xf numFmtId="3" fontId="11" fillId="19" borderId="114" xfId="0" applyNumberFormat="1" applyFont="1" applyFill="1" applyBorder="1" applyAlignment="1">
      <alignment horizontal="right" vertical="center" indent="1"/>
    </xf>
    <xf numFmtId="3" fontId="12" fillId="17" borderId="111" xfId="0" applyNumberFormat="1" applyFont="1" applyFill="1" applyBorder="1" applyAlignment="1">
      <alignment horizontal="right" vertical="center" indent="1"/>
    </xf>
    <xf numFmtId="0" fontId="12" fillId="25" borderId="111" xfId="0" applyFont="1" applyFill="1" applyBorder="1"/>
    <xf numFmtId="0" fontId="12" fillId="25" borderId="0" xfId="0" applyFont="1" applyFill="1" applyBorder="1" applyAlignment="1">
      <alignment horizontal="right"/>
    </xf>
    <xf numFmtId="0" fontId="12" fillId="25" borderId="22" xfId="0" applyFont="1" applyFill="1" applyBorder="1"/>
    <xf numFmtId="3" fontId="12" fillId="17" borderId="112" xfId="0" applyNumberFormat="1" applyFont="1" applyFill="1" applyBorder="1" applyAlignment="1">
      <alignment horizontal="right" vertical="center" indent="1"/>
    </xf>
    <xf numFmtId="3" fontId="12" fillId="19" borderId="94" xfId="0" applyNumberFormat="1" applyFont="1" applyFill="1" applyBorder="1" applyAlignment="1">
      <alignment horizontal="right" vertical="center" indent="1"/>
    </xf>
    <xf numFmtId="3" fontId="12" fillId="21" borderId="0" xfId="0" applyNumberFormat="1" applyFont="1" applyFill="1" applyBorder="1" applyAlignment="1">
      <alignment horizontal="center" vertical="top"/>
    </xf>
    <xf numFmtId="0" fontId="12" fillId="21" borderId="111" xfId="0" applyFont="1" applyFill="1" applyBorder="1"/>
    <xf numFmtId="0" fontId="33" fillId="19" borderId="0" xfId="58" applyFont="1" applyFill="1" applyBorder="1" applyAlignment="1" applyProtection="1">
      <alignment horizontal="left" vertical="center"/>
    </xf>
    <xf numFmtId="0" fontId="44" fillId="19" borderId="0" xfId="58" applyFont="1" applyFill="1" applyBorder="1" applyAlignment="1" applyProtection="1">
      <alignment vertical="center"/>
    </xf>
    <xf numFmtId="0" fontId="2" fillId="22" borderId="0" xfId="0" applyFont="1" applyFill="1"/>
    <xf numFmtId="0" fontId="67" fillId="19" borderId="0" xfId="58" applyFont="1" applyFill="1" applyBorder="1" applyAlignment="1" applyProtection="1">
      <alignment vertical="center"/>
    </xf>
    <xf numFmtId="0" fontId="8" fillId="19" borderId="0" xfId="58" applyFont="1" applyFill="1" applyBorder="1" applyAlignment="1" applyProtection="1">
      <alignment horizontal="center" vertical="center"/>
    </xf>
    <xf numFmtId="0" fontId="33" fillId="19" borderId="0" xfId="58" quotePrefix="1" applyFont="1" applyFill="1" applyBorder="1" applyAlignment="1" applyProtection="1">
      <alignment horizontal="center" vertical="center"/>
    </xf>
    <xf numFmtId="0" fontId="49" fillId="22" borderId="0" xfId="0" applyFont="1" applyFill="1"/>
    <xf numFmtId="0" fontId="12" fillId="19" borderId="0" xfId="0" applyFont="1" applyFill="1" applyBorder="1" applyAlignment="1">
      <alignment horizontal="center"/>
    </xf>
    <xf numFmtId="0" fontId="8" fillId="19" borderId="0" xfId="58" quotePrefix="1" applyFont="1" applyFill="1" applyBorder="1" applyAlignment="1" applyProtection="1">
      <alignment horizontal="center" vertical="center" wrapText="1"/>
    </xf>
    <xf numFmtId="0" fontId="8" fillId="19" borderId="0" xfId="58" quotePrefix="1" applyFont="1" applyFill="1" applyBorder="1" applyAlignment="1" applyProtection="1">
      <alignment horizontal="center" vertical="center"/>
    </xf>
    <xf numFmtId="0" fontId="68" fillId="19" borderId="23" xfId="58" applyFont="1" applyFill="1" applyBorder="1" applyAlignment="1" applyProtection="1">
      <alignment vertical="center"/>
    </xf>
    <xf numFmtId="3" fontId="32" fillId="17" borderId="115" xfId="58" applyNumberFormat="1" applyFont="1" applyFill="1" applyBorder="1" applyAlignment="1" applyProtection="1">
      <alignment horizontal="right" vertical="center" indent="1"/>
    </xf>
    <xf numFmtId="0" fontId="33" fillId="19" borderId="0" xfId="58" applyFont="1" applyFill="1" applyBorder="1" applyAlignment="1" applyProtection="1">
      <alignment horizontal="left" vertical="center" wrapText="1"/>
    </xf>
    <xf numFmtId="0" fontId="8" fillId="19" borderId="119" xfId="58" quotePrefix="1" applyFont="1" applyFill="1" applyBorder="1" applyAlignment="1" applyProtection="1">
      <alignment horizontal="center" vertical="center"/>
    </xf>
    <xf numFmtId="0" fontId="8" fillId="19" borderId="120" xfId="58" quotePrefix="1" applyFont="1" applyFill="1" applyBorder="1" applyAlignment="1" applyProtection="1">
      <alignment horizontal="center" vertical="center"/>
    </xf>
    <xf numFmtId="0" fontId="8" fillId="19" borderId="121" xfId="58" applyFont="1" applyFill="1" applyBorder="1" applyAlignment="1" applyProtection="1">
      <alignment horizontal="left" vertical="center" wrapText="1"/>
    </xf>
    <xf numFmtId="0" fontId="3" fillId="19" borderId="122" xfId="58" applyFont="1" applyFill="1" applyBorder="1" applyAlignment="1" applyProtection="1">
      <alignment horizontal="left" vertical="center"/>
    </xf>
    <xf numFmtId="0" fontId="8" fillId="19" borderId="123" xfId="58" applyFont="1" applyFill="1" applyBorder="1" applyAlignment="1" applyProtection="1">
      <alignment horizontal="left" vertical="center" wrapText="1"/>
    </xf>
    <xf numFmtId="0" fontId="61" fillId="19" borderId="119" xfId="58" applyFont="1" applyFill="1" applyBorder="1" applyAlignment="1" applyProtection="1">
      <alignment horizontal="left" vertical="top" wrapText="1"/>
    </xf>
    <xf numFmtId="0" fontId="35" fillId="19" borderId="120" xfId="58" applyFont="1" applyFill="1" applyBorder="1" applyAlignment="1" applyProtection="1">
      <alignment vertical="center"/>
    </xf>
    <xf numFmtId="3" fontId="32" fillId="17" borderId="124" xfId="58" applyNumberFormat="1" applyFont="1" applyFill="1" applyBorder="1" applyAlignment="1" applyProtection="1">
      <alignment horizontal="right" vertical="center" indent="1"/>
    </xf>
    <xf numFmtId="3" fontId="32" fillId="17" borderId="125" xfId="58" applyNumberFormat="1" applyFont="1" applyFill="1" applyBorder="1" applyAlignment="1" applyProtection="1">
      <alignment horizontal="right" vertical="center" indent="1"/>
    </xf>
    <xf numFmtId="0" fontId="3" fillId="19" borderId="119" xfId="58" applyFont="1" applyFill="1" applyBorder="1" applyAlignment="1" applyProtection="1">
      <alignment horizontal="left" vertical="center"/>
    </xf>
    <xf numFmtId="0" fontId="33" fillId="19" borderId="120" xfId="58" quotePrefix="1" applyFont="1" applyFill="1" applyBorder="1" applyAlignment="1" applyProtection="1">
      <alignment horizontal="center"/>
    </xf>
    <xf numFmtId="0" fontId="8" fillId="19" borderId="119" xfId="58" applyFont="1" applyFill="1" applyBorder="1" applyAlignment="1" applyProtection="1">
      <alignment horizontal="center" vertical="center"/>
    </xf>
    <xf numFmtId="0" fontId="0" fillId="19" borderId="122" xfId="58" applyFont="1" applyFill="1" applyBorder="1" applyAlignment="1" applyProtection="1">
      <alignment horizontal="left" vertical="center"/>
    </xf>
    <xf numFmtId="0" fontId="8" fillId="19" borderId="122" xfId="58" applyFont="1" applyFill="1" applyBorder="1" applyAlignment="1" applyProtection="1">
      <alignment horizontal="left" vertical="center" wrapText="1"/>
    </xf>
    <xf numFmtId="0" fontId="3" fillId="19" borderId="118" xfId="58" applyFont="1" applyFill="1" applyBorder="1" applyAlignment="1" applyProtection="1">
      <alignment horizontal="center"/>
    </xf>
    <xf numFmtId="0" fontId="0" fillId="19" borderId="120" xfId="58" applyFont="1" applyFill="1" applyBorder="1" applyAlignment="1" applyProtection="1">
      <alignment horizontal="left" vertical="center"/>
    </xf>
    <xf numFmtId="0" fontId="32" fillId="19" borderId="120" xfId="58" applyFont="1" applyFill="1" applyBorder="1" applyAlignment="1" applyProtection="1">
      <alignment horizontal="right" vertical="center" indent="1"/>
    </xf>
    <xf numFmtId="0" fontId="8" fillId="19" borderId="122" xfId="58" applyFont="1" applyFill="1" applyBorder="1" applyAlignment="1" applyProtection="1">
      <alignment horizontal="left" vertical="center"/>
    </xf>
    <xf numFmtId="0" fontId="0" fillId="19" borderId="123" xfId="58" applyFont="1" applyFill="1" applyBorder="1" applyAlignment="1" applyProtection="1">
      <alignment horizontal="left" vertical="center"/>
    </xf>
    <xf numFmtId="0" fontId="13" fillId="19" borderId="0" xfId="58" applyFont="1" applyFill="1" applyBorder="1" applyAlignment="1" applyProtection="1">
      <alignment horizontal="center" vertical="center" wrapText="1"/>
    </xf>
    <xf numFmtId="0" fontId="13" fillId="19" borderId="0" xfId="58" applyFont="1" applyFill="1" applyBorder="1" applyAlignment="1" applyProtection="1">
      <alignment horizontal="left" vertical="center"/>
    </xf>
    <xf numFmtId="0" fontId="13" fillId="19" borderId="0" xfId="58" applyFont="1" applyFill="1" applyBorder="1" applyAlignment="1" applyProtection="1">
      <alignment horizontal="center"/>
    </xf>
    <xf numFmtId="0" fontId="14" fillId="19" borderId="0" xfId="58" applyFont="1" applyFill="1" applyBorder="1" applyProtection="1"/>
    <xf numFmtId="0" fontId="13" fillId="19" borderId="0" xfId="58" applyFont="1" applyFill="1" applyBorder="1" applyAlignment="1" applyProtection="1">
      <alignment horizontal="center" vertical="center"/>
    </xf>
    <xf numFmtId="0" fontId="47" fillId="19" borderId="119" xfId="58" applyFont="1" applyFill="1" applyBorder="1" applyAlignment="1" applyProtection="1">
      <alignment horizontal="left" vertical="center"/>
    </xf>
    <xf numFmtId="0" fontId="32" fillId="19" borderId="0" xfId="58" applyFont="1" applyFill="1" applyBorder="1" applyAlignment="1" applyProtection="1">
      <alignment horizontal="left" vertical="center" wrapText="1"/>
    </xf>
    <xf numFmtId="0" fontId="59" fillId="19" borderId="25" xfId="58" applyFont="1" applyFill="1" applyBorder="1" applyAlignment="1" applyProtection="1">
      <alignment horizontal="left" vertical="center"/>
    </xf>
    <xf numFmtId="0" fontId="32" fillId="19" borderId="27" xfId="58" applyFont="1" applyFill="1" applyBorder="1" applyAlignment="1" applyProtection="1">
      <alignment horizontal="left" vertical="center" wrapText="1"/>
    </xf>
    <xf numFmtId="0" fontId="59" fillId="19" borderId="24" xfId="58" applyFont="1" applyFill="1" applyBorder="1" applyAlignment="1" applyProtection="1">
      <alignment horizontal="left" vertical="center"/>
    </xf>
    <xf numFmtId="3" fontId="63" fillId="23" borderId="0" xfId="58" applyNumberFormat="1" applyFont="1" applyFill="1" applyBorder="1" applyAlignment="1" applyProtection="1">
      <alignment horizontal="right" vertical="center"/>
    </xf>
    <xf numFmtId="0" fontId="62" fillId="23" borderId="0" xfId="58" applyFont="1" applyFill="1" applyBorder="1" applyAlignment="1" applyProtection="1">
      <alignment horizontal="right" vertical="center"/>
    </xf>
    <xf numFmtId="3" fontId="62" fillId="23" borderId="0" xfId="58" applyNumberFormat="1" applyFont="1" applyFill="1" applyBorder="1" applyAlignment="1" applyProtection="1">
      <alignment horizontal="right" vertical="center"/>
    </xf>
    <xf numFmtId="0" fontId="3" fillId="23" borderId="0" xfId="58" applyFont="1" applyFill="1" applyBorder="1" applyAlignment="1" applyProtection="1">
      <alignment horizontal="center"/>
    </xf>
    <xf numFmtId="0" fontId="0" fillId="23" borderId="0" xfId="58" applyFont="1" applyFill="1" applyBorder="1" applyAlignment="1" applyProtection="1">
      <alignment horizontal="left" vertical="center"/>
    </xf>
    <xf numFmtId="3" fontId="32" fillId="23" borderId="115" xfId="58" applyNumberFormat="1" applyFont="1" applyFill="1" applyBorder="1" applyAlignment="1" applyProtection="1">
      <alignment horizontal="right" vertical="center" indent="1"/>
    </xf>
    <xf numFmtId="0" fontId="32" fillId="23" borderId="0" xfId="58" applyFont="1" applyFill="1" applyBorder="1" applyAlignment="1" applyProtection="1">
      <alignment horizontal="right" vertical="center" indent="1"/>
    </xf>
    <xf numFmtId="0" fontId="33" fillId="23" borderId="0" xfId="58" quotePrefix="1" applyFont="1" applyFill="1" applyBorder="1" applyAlignment="1" applyProtection="1">
      <alignment horizontal="center" vertical="center"/>
    </xf>
    <xf numFmtId="0" fontId="8" fillId="23" borderId="0" xfId="58" quotePrefix="1" applyFont="1" applyFill="1" applyBorder="1" applyAlignment="1" applyProtection="1">
      <alignment horizontal="center" vertical="center"/>
    </xf>
    <xf numFmtId="0" fontId="8" fillId="23" borderId="122" xfId="58" applyFont="1" applyFill="1" applyBorder="1" applyAlignment="1" applyProtection="1">
      <alignment horizontal="left" vertical="center" wrapText="1"/>
    </xf>
    <xf numFmtId="0" fontId="3" fillId="23" borderId="122" xfId="58" applyFont="1" applyFill="1" applyBorder="1" applyAlignment="1" applyProtection="1">
      <alignment horizontal="left" vertical="center"/>
    </xf>
    <xf numFmtId="0" fontId="13" fillId="23" borderId="0" xfId="58" applyFont="1" applyFill="1" applyBorder="1" applyAlignment="1" applyProtection="1">
      <alignment horizontal="center" vertical="center" wrapText="1"/>
    </xf>
    <xf numFmtId="0" fontId="13" fillId="23" borderId="0" xfId="58" applyFont="1" applyFill="1" applyBorder="1" applyAlignment="1" applyProtection="1">
      <alignment horizontal="center" vertical="center"/>
    </xf>
    <xf numFmtId="0" fontId="59" fillId="23" borderId="25" xfId="58" applyFont="1" applyFill="1" applyBorder="1" applyAlignment="1" applyProtection="1">
      <alignment horizontal="left" vertical="center"/>
    </xf>
    <xf numFmtId="0" fontId="59" fillId="23" borderId="0" xfId="58" applyFont="1" applyFill="1" applyBorder="1" applyAlignment="1" applyProtection="1">
      <alignment horizontal="left" vertical="center"/>
    </xf>
    <xf numFmtId="0" fontId="0" fillId="23" borderId="0" xfId="58" applyFont="1" applyFill="1" applyProtection="1"/>
    <xf numFmtId="0" fontId="3" fillId="19" borderId="0" xfId="58" quotePrefix="1" applyFont="1" applyFill="1" applyBorder="1" applyAlignment="1" applyProtection="1">
      <alignment horizontal="center"/>
    </xf>
    <xf numFmtId="0" fontId="3" fillId="19" borderId="120" xfId="58" quotePrefix="1" applyFont="1" applyFill="1" applyBorder="1" applyAlignment="1" applyProtection="1">
      <alignment horizontal="center"/>
    </xf>
    <xf numFmtId="0" fontId="3" fillId="23" borderId="0" xfId="58" quotePrefix="1" applyFont="1" applyFill="1" applyBorder="1" applyAlignment="1" applyProtection="1">
      <alignment horizontal="center"/>
    </xf>
    <xf numFmtId="0" fontId="2" fillId="19" borderId="23" xfId="58" applyFont="1" applyFill="1" applyBorder="1" applyProtection="1"/>
    <xf numFmtId="0" fontId="2" fillId="19" borderId="15" xfId="58" applyFont="1" applyFill="1" applyBorder="1" applyProtection="1"/>
    <xf numFmtId="0" fontId="2" fillId="0" borderId="0" xfId="58" applyFont="1" applyProtection="1"/>
    <xf numFmtId="3" fontId="11" fillId="21" borderId="0" xfId="0" applyNumberFormat="1" applyFont="1" applyFill="1" applyBorder="1" applyAlignment="1">
      <alignment horizontal="right" vertical="center" indent="1"/>
    </xf>
    <xf numFmtId="0" fontId="0" fillId="25" borderId="23" xfId="0" applyFill="1" applyBorder="1"/>
    <xf numFmtId="3" fontId="12" fillId="25" borderId="0" xfId="0" applyNumberFormat="1" applyFont="1" applyFill="1" applyBorder="1" applyAlignment="1">
      <alignment horizontal="right" vertical="center" indent="1"/>
    </xf>
    <xf numFmtId="0" fontId="6" fillId="25" borderId="0" xfId="0" applyFont="1" applyFill="1" applyBorder="1" applyAlignment="1">
      <alignment horizontal="left" vertical="top" wrapText="1"/>
    </xf>
    <xf numFmtId="3" fontId="11" fillId="25" borderId="0" xfId="0" applyNumberFormat="1" applyFont="1" applyFill="1" applyBorder="1" applyAlignment="1" applyProtection="1">
      <alignment horizontal="right" vertical="center" indent="1"/>
      <protection locked="0"/>
    </xf>
    <xf numFmtId="0" fontId="0" fillId="25" borderId="15" xfId="0" applyFill="1" applyBorder="1"/>
    <xf numFmtId="0" fontId="12" fillId="0" borderId="0" xfId="0" applyFont="1" applyFill="1"/>
    <xf numFmtId="3" fontId="69" fillId="21" borderId="0" xfId="0" applyNumberFormat="1" applyFont="1" applyFill="1" applyBorder="1" applyAlignment="1">
      <alignment horizontal="center" vertical="center" wrapText="1"/>
    </xf>
    <xf numFmtId="3" fontId="71" fillId="21" borderId="0" xfId="0" applyNumberFormat="1" applyFont="1" applyFill="1" applyBorder="1" applyAlignment="1">
      <alignment horizontal="right" vertical="center" indent="1"/>
    </xf>
    <xf numFmtId="0" fontId="2" fillId="22" borderId="0" xfId="0" applyFont="1" applyFill="1" applyBorder="1"/>
    <xf numFmtId="0" fontId="3" fillId="22" borderId="0" xfId="0" applyFont="1" applyFill="1" applyBorder="1"/>
    <xf numFmtId="0" fontId="14" fillId="19" borderId="0" xfId="0" applyFont="1" applyFill="1" applyBorder="1"/>
    <xf numFmtId="3" fontId="2" fillId="0" borderId="0" xfId="0" applyNumberFormat="1" applyFont="1"/>
    <xf numFmtId="3" fontId="70" fillId="21" borderId="0" xfId="0" applyNumberFormat="1" applyFont="1" applyFill="1" applyBorder="1"/>
    <xf numFmtId="3" fontId="72" fillId="21" borderId="0" xfId="0" applyNumberFormat="1" applyFont="1" applyFill="1" applyBorder="1"/>
    <xf numFmtId="0" fontId="2" fillId="17" borderId="0" xfId="0" applyFont="1" applyFill="1" applyBorder="1"/>
    <xf numFmtId="3" fontId="8" fillId="21" borderId="0" xfId="0" applyNumberFormat="1" applyFont="1" applyFill="1" applyBorder="1" applyAlignment="1">
      <alignment horizontal="right"/>
    </xf>
    <xf numFmtId="0" fontId="0" fillId="19" borderId="127" xfId="0" applyFill="1" applyBorder="1"/>
    <xf numFmtId="169" fontId="2" fillId="20" borderId="25" xfId="0" applyNumberFormat="1" applyFont="1" applyFill="1" applyBorder="1" applyAlignment="1" applyProtection="1">
      <alignment horizontal="left"/>
      <protection locked="0"/>
    </xf>
    <xf numFmtId="169" fontId="6" fillId="20" borderId="25" xfId="0" applyNumberFormat="1" applyFont="1" applyFill="1" applyBorder="1" applyAlignment="1">
      <alignment horizontal="left"/>
    </xf>
    <xf numFmtId="0" fontId="48" fillId="19" borderId="0" xfId="0" applyFont="1" applyFill="1" applyBorder="1"/>
    <xf numFmtId="0" fontId="48" fillId="21" borderId="0" xfId="0" applyFont="1" applyFill="1" applyBorder="1"/>
    <xf numFmtId="0" fontId="53" fillId="19" borderId="15" xfId="0" applyFont="1" applyFill="1" applyBorder="1"/>
    <xf numFmtId="3" fontId="8" fillId="21" borderId="0" xfId="0" applyNumberFormat="1" applyFont="1" applyFill="1" applyBorder="1" applyAlignment="1">
      <alignment horizontal="center" vertical="center"/>
    </xf>
    <xf numFmtId="3" fontId="42" fillId="19" borderId="0" xfId="0" applyNumberFormat="1" applyFont="1" applyFill="1" applyBorder="1" applyAlignment="1">
      <alignment horizontal="left" vertical="center"/>
    </xf>
    <xf numFmtId="3" fontId="69" fillId="21" borderId="72" xfId="0" applyNumberFormat="1" applyFont="1" applyFill="1" applyBorder="1" applyAlignment="1">
      <alignment horizontal="center" vertical="center"/>
    </xf>
    <xf numFmtId="0" fontId="70" fillId="21" borderId="72" xfId="0" applyFont="1" applyFill="1" applyBorder="1" applyAlignment="1">
      <alignment horizontal="center" vertical="center"/>
    </xf>
    <xf numFmtId="3" fontId="69" fillId="21" borderId="72" xfId="0" applyNumberFormat="1" applyFont="1" applyFill="1" applyBorder="1" applyAlignment="1">
      <alignment vertical="center"/>
    </xf>
    <xf numFmtId="3" fontId="11" fillId="19" borderId="0" xfId="0" applyNumberFormat="1" applyFont="1" applyFill="1" applyBorder="1" applyAlignment="1">
      <alignment horizontal="center" wrapText="1"/>
    </xf>
    <xf numFmtId="0" fontId="13" fillId="19" borderId="0" xfId="58" applyFont="1" applyFill="1" applyBorder="1" applyAlignment="1" applyProtection="1">
      <alignment horizontal="center" vertical="center" wrapText="1"/>
    </xf>
    <xf numFmtId="0" fontId="6" fillId="19" borderId="127" xfId="0" applyFont="1" applyFill="1" applyBorder="1"/>
    <xf numFmtId="0" fontId="73" fillId="19" borderId="0" xfId="0" applyFont="1" applyFill="1" applyBorder="1"/>
    <xf numFmtId="3" fontId="69" fillId="21" borderId="0" xfId="0" applyNumberFormat="1" applyFont="1" applyFill="1" applyBorder="1" applyAlignment="1">
      <alignment horizontal="center" vertical="center"/>
    </xf>
    <xf numFmtId="0" fontId="70" fillId="21" borderId="0" xfId="0" applyFont="1" applyFill="1" applyBorder="1" applyAlignment="1">
      <alignment horizontal="center" vertical="center"/>
    </xf>
    <xf numFmtId="3" fontId="69" fillId="21" borderId="0" xfId="0" applyNumberFormat="1" applyFont="1" applyFill="1" applyBorder="1" applyAlignment="1">
      <alignment vertical="center"/>
    </xf>
    <xf numFmtId="3" fontId="48" fillId="21" borderId="0" xfId="0" applyNumberFormat="1" applyFont="1" applyFill="1" applyBorder="1" applyAlignment="1">
      <alignment horizontal="right" vertical="center" indent="1"/>
    </xf>
    <xf numFmtId="3" fontId="71" fillId="21" borderId="0" xfId="0" applyNumberFormat="1" applyFont="1" applyFill="1" applyBorder="1" applyAlignment="1">
      <alignment horizontal="center" vertical="center" wrapText="1"/>
    </xf>
    <xf numFmtId="3" fontId="48" fillId="21" borderId="0" xfId="0" applyNumberFormat="1" applyFont="1" applyFill="1" applyBorder="1" applyAlignment="1">
      <alignment horizontal="center" vertical="center" wrapText="1"/>
    </xf>
    <xf numFmtId="0" fontId="12" fillId="19" borderId="127" xfId="0" applyFont="1" applyFill="1" applyBorder="1"/>
    <xf numFmtId="0" fontId="42" fillId="25" borderId="0" xfId="0" applyFont="1" applyFill="1" applyAlignment="1">
      <alignment horizontal="left" vertical="center"/>
    </xf>
    <xf numFmtId="0" fontId="2" fillId="32" borderId="0" xfId="0" applyFont="1" applyFill="1"/>
    <xf numFmtId="3" fontId="32" fillId="17" borderId="34" xfId="58" applyNumberFormat="1" applyFont="1" applyFill="1" applyBorder="1" applyAlignment="1" applyProtection="1">
      <alignment horizontal="left" vertical="center" indent="1"/>
    </xf>
    <xf numFmtId="9" fontId="45" fillId="21" borderId="73" xfId="46" applyFont="1" applyFill="1" applyBorder="1" applyAlignment="1" applyProtection="1">
      <alignment horizontal="right" vertical="center" indent="1"/>
    </xf>
    <xf numFmtId="9" fontId="45" fillId="21" borderId="73" xfId="46" applyFont="1" applyFill="1" applyBorder="1" applyAlignment="1">
      <alignment horizontal="right" vertical="center" indent="1"/>
    </xf>
    <xf numFmtId="9" fontId="45" fillId="21" borderId="0" xfId="46" applyFont="1" applyFill="1" applyBorder="1" applyAlignment="1">
      <alignment horizontal="right" vertical="center" indent="1"/>
    </xf>
    <xf numFmtId="9" fontId="45" fillId="21" borderId="0" xfId="46" applyFont="1" applyFill="1" applyBorder="1" applyAlignment="1" applyProtection="1">
      <alignment horizontal="right" vertical="center" indent="1"/>
    </xf>
    <xf numFmtId="0" fontId="74" fillId="17" borderId="21" xfId="0" applyFont="1" applyFill="1" applyBorder="1"/>
    <xf numFmtId="0" fontId="74" fillId="17" borderId="22" xfId="0" applyFont="1" applyFill="1" applyBorder="1"/>
    <xf numFmtId="0" fontId="74" fillId="21" borderId="22" xfId="0" applyFont="1" applyFill="1" applyBorder="1"/>
    <xf numFmtId="0" fontId="74" fillId="21" borderId="57" xfId="0" applyFont="1" applyFill="1" applyBorder="1"/>
    <xf numFmtId="0" fontId="74" fillId="19" borderId="15" xfId="0" applyFont="1" applyFill="1" applyBorder="1"/>
    <xf numFmtId="0" fontId="74" fillId="0" borderId="0" xfId="0" applyFont="1"/>
    <xf numFmtId="0" fontId="74" fillId="19" borderId="0" xfId="0" applyFont="1" applyFill="1" applyBorder="1"/>
    <xf numFmtId="0" fontId="74" fillId="17" borderId="32" xfId="0" applyFont="1" applyFill="1" applyBorder="1"/>
    <xf numFmtId="0" fontId="74" fillId="17" borderId="33" xfId="0" applyFont="1" applyFill="1" applyBorder="1"/>
    <xf numFmtId="3" fontId="45" fillId="19" borderId="0" xfId="0" applyNumberFormat="1" applyFont="1" applyFill="1" applyBorder="1" applyAlignment="1">
      <alignment horizontal="left" vertical="center"/>
    </xf>
    <xf numFmtId="0" fontId="8" fillId="25" borderId="0" xfId="0" applyFont="1" applyFill="1" applyBorder="1" applyAlignment="1">
      <alignment horizontal="left" vertical="top"/>
    </xf>
    <xf numFmtId="169" fontId="6" fillId="17" borderId="61" xfId="0" applyNumberFormat="1" applyFont="1" applyFill="1" applyBorder="1" applyAlignment="1" applyProtection="1">
      <alignment horizontal="center"/>
    </xf>
    <xf numFmtId="3" fontId="53" fillId="21" borderId="0" xfId="0" applyNumberFormat="1" applyFont="1" applyFill="1" applyBorder="1"/>
    <xf numFmtId="3" fontId="75" fillId="21" borderId="0" xfId="0" applyNumberFormat="1" applyFont="1" applyFill="1" applyBorder="1"/>
    <xf numFmtId="3" fontId="11" fillId="21" borderId="0" xfId="0" applyNumberFormat="1" applyFont="1" applyFill="1" applyBorder="1" applyAlignment="1">
      <alignment horizontal="right" vertical="center" indent="1"/>
    </xf>
    <xf numFmtId="0" fontId="6" fillId="25" borderId="0" xfId="0" applyFont="1" applyFill="1" applyBorder="1" applyAlignment="1">
      <alignment horizontal="left" vertical="top" wrapText="1"/>
    </xf>
    <xf numFmtId="0" fontId="12" fillId="25" borderId="23" xfId="0" applyFont="1" applyFill="1" applyBorder="1"/>
    <xf numFmtId="0" fontId="12" fillId="25" borderId="15" xfId="0" applyFont="1" applyFill="1" applyBorder="1"/>
    <xf numFmtId="0" fontId="12" fillId="36" borderId="0" xfId="0" applyFont="1" applyFill="1" applyBorder="1"/>
    <xf numFmtId="0" fontId="12" fillId="36" borderId="105" xfId="0" applyFont="1" applyFill="1" applyBorder="1"/>
    <xf numFmtId="3" fontId="77" fillId="21" borderId="0" xfId="0" applyNumberFormat="1" applyFont="1" applyFill="1" applyBorder="1"/>
    <xf numFmtId="0" fontId="78" fillId="25" borderId="0" xfId="0" applyFont="1" applyFill="1" applyBorder="1"/>
    <xf numFmtId="0" fontId="2" fillId="25" borderId="0" xfId="0" applyFont="1" applyFill="1" applyAlignment="1">
      <alignment wrapText="1"/>
    </xf>
    <xf numFmtId="0" fontId="12" fillId="19" borderId="131" xfId="0" applyFont="1" applyFill="1" applyBorder="1"/>
    <xf numFmtId="3" fontId="11" fillId="19" borderId="132" xfId="0" applyNumberFormat="1" applyFont="1" applyFill="1" applyBorder="1" applyAlignment="1">
      <alignment horizontal="right" vertical="center" indent="1"/>
    </xf>
    <xf numFmtId="0" fontId="12" fillId="19" borderId="133" xfId="0" applyFont="1" applyFill="1" applyBorder="1"/>
    <xf numFmtId="3" fontId="12" fillId="19" borderId="133" xfId="0" applyNumberFormat="1" applyFont="1" applyFill="1" applyBorder="1" applyAlignment="1">
      <alignment horizontal="right" vertical="center" indent="1"/>
    </xf>
    <xf numFmtId="3" fontId="12" fillId="19" borderId="134" xfId="0" applyNumberFormat="1" applyFont="1" applyFill="1" applyBorder="1" applyAlignment="1">
      <alignment horizontal="right" vertical="center" indent="1"/>
    </xf>
    <xf numFmtId="0" fontId="53" fillId="19" borderId="23" xfId="58" applyFont="1" applyFill="1" applyBorder="1" applyAlignment="1" applyProtection="1">
      <alignment wrapText="1"/>
    </xf>
    <xf numFmtId="0" fontId="47" fillId="19" borderId="0" xfId="58" applyFont="1" applyFill="1" applyBorder="1" applyAlignment="1" applyProtection="1">
      <alignment horizontal="left" vertical="center" wrapText="1"/>
    </xf>
    <xf numFmtId="0" fontId="47" fillId="19" borderId="119" xfId="58" applyFont="1" applyFill="1" applyBorder="1" applyAlignment="1" applyProtection="1">
      <alignment horizontal="left" vertical="center" wrapText="1"/>
    </xf>
    <xf numFmtId="0" fontId="47" fillId="19" borderId="0" xfId="58" quotePrefix="1" applyFont="1" applyFill="1" applyBorder="1" applyAlignment="1" applyProtection="1">
      <alignment horizontal="left" wrapText="1"/>
    </xf>
    <xf numFmtId="0" fontId="47" fillId="19" borderId="0" xfId="58" quotePrefix="1" applyFont="1" applyFill="1" applyBorder="1" applyAlignment="1" applyProtection="1">
      <alignment horizontal="center" wrapText="1"/>
    </xf>
    <xf numFmtId="0" fontId="47" fillId="19" borderId="130" xfId="58" quotePrefix="1" applyFont="1" applyFill="1" applyBorder="1" applyAlignment="1" applyProtection="1">
      <alignment horizontal="left" wrapText="1"/>
    </xf>
    <xf numFmtId="0" fontId="53" fillId="19" borderId="0" xfId="58" applyFont="1" applyFill="1" applyBorder="1" applyAlignment="1" applyProtection="1">
      <alignment wrapText="1"/>
    </xf>
    <xf numFmtId="0" fontId="47" fillId="19" borderId="126" xfId="58" quotePrefix="1" applyFont="1" applyFill="1" applyBorder="1" applyAlignment="1" applyProtection="1">
      <alignment horizontal="left" wrapText="1"/>
    </xf>
    <xf numFmtId="0" fontId="53" fillId="19" borderId="0" xfId="58" applyFont="1" applyFill="1" applyBorder="1" applyAlignment="1" applyProtection="1">
      <alignment vertical="center" wrapText="1"/>
    </xf>
    <xf numFmtId="0" fontId="53" fillId="19" borderId="15" xfId="58" applyFont="1" applyFill="1" applyBorder="1" applyAlignment="1" applyProtection="1">
      <alignment wrapText="1"/>
    </xf>
    <xf numFmtId="0" fontId="53" fillId="0" borderId="0" xfId="58" applyFont="1" applyAlignment="1" applyProtection="1">
      <alignment wrapText="1"/>
    </xf>
    <xf numFmtId="170" fontId="6" fillId="19" borderId="0" xfId="0" applyNumberFormat="1" applyFont="1" applyFill="1" applyBorder="1" applyAlignment="1">
      <alignment horizontal="left" vertical="center"/>
    </xf>
    <xf numFmtId="169" fontId="0" fillId="19" borderId="0" xfId="0" applyNumberFormat="1" applyFill="1" applyBorder="1" applyAlignment="1">
      <alignment horizontal="left"/>
    </xf>
    <xf numFmtId="0" fontId="51" fillId="22" borderId="0" xfId="0" applyFont="1" applyFill="1" applyProtection="1">
      <protection locked="0"/>
    </xf>
    <xf numFmtId="0" fontId="2" fillId="20" borderId="16" xfId="0" applyFont="1" applyFill="1" applyBorder="1"/>
    <xf numFmtId="0" fontId="2" fillId="20" borderId="17" xfId="0" applyFont="1" applyFill="1" applyBorder="1" applyAlignment="1">
      <alignment horizontal="center"/>
    </xf>
    <xf numFmtId="0" fontId="2" fillId="20" borderId="0" xfId="0" applyFont="1" applyFill="1" applyBorder="1" applyAlignment="1">
      <alignment horizontal="center"/>
    </xf>
    <xf numFmtId="0" fontId="0" fillId="0" borderId="51" xfId="0" applyBorder="1" applyAlignment="1">
      <alignment horizontal="center" vertical="top" wrapText="1"/>
    </xf>
    <xf numFmtId="0" fontId="0" fillId="0" borderId="110" xfId="0" applyBorder="1" applyAlignment="1">
      <alignment horizontal="center" vertical="top" wrapText="1"/>
    </xf>
    <xf numFmtId="1" fontId="2" fillId="20" borderId="41"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5" xfId="0" applyNumberFormat="1" applyFont="1" applyFill="1" applyBorder="1" applyAlignment="1">
      <alignment horizontal="center"/>
    </xf>
    <xf numFmtId="1" fontId="2" fillId="20" borderId="26" xfId="0" applyNumberFormat="1" applyFont="1" applyFill="1" applyBorder="1" applyAlignment="1">
      <alignment horizontal="center"/>
    </xf>
    <xf numFmtId="1" fontId="2" fillId="20" borderId="16" xfId="0" applyNumberFormat="1" applyFont="1" applyFill="1" applyBorder="1" applyAlignment="1">
      <alignment horizontal="center"/>
    </xf>
    <xf numFmtId="1" fontId="2" fillId="20" borderId="0" xfId="0" applyNumberFormat="1" applyFont="1" applyFill="1" applyBorder="1"/>
    <xf numFmtId="0" fontId="2" fillId="20" borderId="0" xfId="0" applyFont="1" applyFill="1" applyBorder="1"/>
    <xf numFmtId="0" fontId="2" fillId="20" borderId="15" xfId="0" applyFont="1" applyFill="1" applyBorder="1" applyAlignment="1">
      <alignment horizontal="center"/>
    </xf>
    <xf numFmtId="0" fontId="0" fillId="27" borderId="23" xfId="0" applyFill="1" applyBorder="1"/>
    <xf numFmtId="0" fontId="0" fillId="27" borderId="0" xfId="0" applyFill="1" applyBorder="1"/>
    <xf numFmtId="0" fontId="0" fillId="27" borderId="15" xfId="0" applyFill="1" applyBorder="1"/>
    <xf numFmtId="0" fontId="3" fillId="20" borderId="0" xfId="0" applyFont="1" applyFill="1" applyBorder="1" applyAlignment="1">
      <alignment horizontal="left" vertical="top"/>
    </xf>
    <xf numFmtId="0" fontId="3" fillId="0" borderId="0" xfId="0" applyFont="1" applyBorder="1" applyAlignment="1">
      <alignment horizontal="center"/>
    </xf>
    <xf numFmtId="1" fontId="2" fillId="20" borderId="42" xfId="0" applyNumberFormat="1" applyFont="1" applyFill="1" applyBorder="1" applyAlignment="1">
      <alignment horizontal="center"/>
    </xf>
    <xf numFmtId="1" fontId="2" fillId="20" borderId="25" xfId="0" applyNumberFormat="1" applyFont="1" applyFill="1" applyBorder="1" applyAlignment="1">
      <alignment horizontal="center"/>
    </xf>
    <xf numFmtId="0" fontId="2" fillId="20" borderId="25" xfId="0" applyFont="1" applyFill="1" applyBorder="1" applyAlignment="1">
      <alignment horizontal="center"/>
    </xf>
    <xf numFmtId="0" fontId="2" fillId="20" borderId="27" xfId="0" applyFont="1" applyFill="1" applyBorder="1" applyAlignment="1">
      <alignment horizontal="center"/>
    </xf>
    <xf numFmtId="0" fontId="0" fillId="27" borderId="25" xfId="0" applyFill="1" applyBorder="1"/>
    <xf numFmtId="1" fontId="2" fillId="29" borderId="51" xfId="0" applyNumberFormat="1" applyFont="1" applyFill="1" applyBorder="1" applyAlignment="1">
      <alignment horizontal="center"/>
    </xf>
    <xf numFmtId="1" fontId="2" fillId="29" borderId="51" xfId="0" applyNumberFormat="1" applyFont="1" applyFill="1" applyBorder="1"/>
    <xf numFmtId="0" fontId="2" fillId="29" borderId="110" xfId="0" applyFont="1" applyFill="1" applyBorder="1"/>
    <xf numFmtId="0" fontId="2" fillId="29" borderId="53" xfId="0" applyFont="1" applyFill="1" applyBorder="1" applyAlignment="1">
      <alignment horizontal="center"/>
    </xf>
    <xf numFmtId="0" fontId="2" fillId="29" borderId="25" xfId="0" applyFont="1" applyFill="1" applyBorder="1" applyAlignment="1">
      <alignment horizontal="center"/>
    </xf>
    <xf numFmtId="0" fontId="0" fillId="29" borderId="110" xfId="0" applyFill="1" applyBorder="1"/>
    <xf numFmtId="0" fontId="0" fillId="0" borderId="40" xfId="0" applyBorder="1" applyAlignment="1">
      <alignment horizontal="center"/>
    </xf>
    <xf numFmtId="170" fontId="2" fillId="17" borderId="26" xfId="67" applyNumberFormat="1" applyFont="1" applyFill="1" applyBorder="1"/>
    <xf numFmtId="170" fontId="2" fillId="17" borderId="16" xfId="68" applyNumberFormat="1" applyFont="1" applyFill="1" applyBorder="1"/>
    <xf numFmtId="170" fontId="80" fillId="17" borderId="17" xfId="67" applyNumberFormat="1" applyFont="1" applyFill="1" applyBorder="1" applyAlignment="1">
      <alignment horizontal="left"/>
    </xf>
    <xf numFmtId="170" fontId="2" fillId="0" borderId="40" xfId="67" applyNumberFormat="1" applyFont="1" applyBorder="1" applyAlignment="1" applyProtection="1">
      <alignment horizontal="left"/>
    </xf>
    <xf numFmtId="172" fontId="2" fillId="0" borderId="0" xfId="67" applyFont="1" applyAlignment="1" applyProtection="1">
      <alignment horizontal="left"/>
    </xf>
    <xf numFmtId="0" fontId="0" fillId="0" borderId="41" xfId="0" applyBorder="1" applyAlignment="1">
      <alignment horizontal="center"/>
    </xf>
    <xf numFmtId="170" fontId="2" fillId="17" borderId="23" xfId="67" applyNumberFormat="1" applyFont="1" applyFill="1" applyBorder="1"/>
    <xf numFmtId="170" fontId="2" fillId="17" borderId="0" xfId="68" applyNumberFormat="1" applyFont="1" applyFill="1" applyBorder="1"/>
    <xf numFmtId="170" fontId="80" fillId="17" borderId="15" xfId="67" applyNumberFormat="1" applyFont="1" applyFill="1" applyBorder="1" applyAlignment="1">
      <alignment horizontal="left"/>
    </xf>
    <xf numFmtId="170" fontId="2" fillId="0" borderId="41" xfId="67" applyNumberFormat="1" applyFont="1" applyBorder="1" applyAlignment="1" applyProtection="1">
      <alignment horizontal="left"/>
    </xf>
    <xf numFmtId="170" fontId="2" fillId="0" borderId="23" xfId="67" applyNumberFormat="1" applyFont="1" applyFill="1" applyBorder="1"/>
    <xf numFmtId="170" fontId="2" fillId="0" borderId="0" xfId="68" applyNumberFormat="1" applyFont="1" applyFill="1" applyBorder="1"/>
    <xf numFmtId="170" fontId="80" fillId="0" borderId="15" xfId="67" applyNumberFormat="1" applyFont="1" applyFill="1" applyBorder="1" applyAlignment="1">
      <alignment horizontal="left"/>
    </xf>
    <xf numFmtId="170" fontId="2" fillId="0" borderId="41" xfId="67" applyNumberFormat="1" applyFont="1" applyFill="1" applyBorder="1" applyAlignment="1" applyProtection="1">
      <alignment horizontal="left"/>
    </xf>
    <xf numFmtId="0" fontId="0" fillId="25" borderId="42" xfId="0" applyFill="1" applyBorder="1" applyAlignment="1">
      <alignment horizontal="center"/>
    </xf>
    <xf numFmtId="1" fontId="3" fillId="25" borderId="25" xfId="0" applyNumberFormat="1" applyFont="1" applyFill="1" applyBorder="1" applyAlignment="1">
      <alignment horizontal="center"/>
    </xf>
    <xf numFmtId="0" fontId="3" fillId="25" borderId="34" xfId="0" applyFont="1" applyFill="1" applyBorder="1"/>
    <xf numFmtId="0" fontId="0" fillId="0" borderId="0" xfId="0" applyAlignment="1">
      <alignment horizontal="center"/>
    </xf>
    <xf numFmtId="170" fontId="79" fillId="0" borderId="0" xfId="67" applyNumberFormat="1" applyBorder="1"/>
    <xf numFmtId="170" fontId="3" fillId="0" borderId="0" xfId="59" applyNumberFormat="1" applyFont="1" applyBorder="1" applyAlignment="1" applyProtection="1">
      <alignment horizontal="left"/>
    </xf>
    <xf numFmtId="174" fontId="3" fillId="0" borderId="0" xfId="59" applyNumberFormat="1" applyFont="1" applyBorder="1" applyAlignment="1" applyProtection="1">
      <alignment horizontal="left"/>
    </xf>
    <xf numFmtId="0" fontId="2" fillId="0" borderId="0" xfId="0" applyFont="1" applyAlignment="1">
      <alignment vertical="center"/>
    </xf>
    <xf numFmtId="0" fontId="2" fillId="0" borderId="110" xfId="0" applyFont="1" applyBorder="1" applyAlignment="1">
      <alignment horizontal="center" vertical="top" wrapText="1"/>
    </xf>
    <xf numFmtId="1" fontId="2" fillId="20" borderId="17" xfId="0" applyNumberFormat="1" applyFont="1" applyFill="1" applyBorder="1" applyAlignment="1">
      <alignment horizontal="center"/>
    </xf>
    <xf numFmtId="0" fontId="2" fillId="0" borderId="0" xfId="0" applyFont="1" applyAlignment="1">
      <alignment vertical="top"/>
    </xf>
    <xf numFmtId="0" fontId="0" fillId="0" borderId="0" xfId="0" applyAlignment="1">
      <alignment horizontal="center" vertical="top" wrapText="1"/>
    </xf>
    <xf numFmtId="0" fontId="0" fillId="27" borderId="0" xfId="0" applyFill="1"/>
    <xf numFmtId="0" fontId="0" fillId="29" borderId="51" xfId="0" applyFill="1" applyBorder="1"/>
    <xf numFmtId="0" fontId="0" fillId="29" borderId="53" xfId="0" applyFill="1" applyBorder="1"/>
    <xf numFmtId="0" fontId="3" fillId="0" borderId="15" xfId="0" applyFont="1" applyBorder="1" applyAlignment="1">
      <alignment horizontal="center"/>
    </xf>
    <xf numFmtId="0" fontId="2" fillId="17" borderId="15" xfId="0" applyFont="1" applyFill="1" applyBorder="1" applyAlignment="1">
      <alignment horizontal="left"/>
    </xf>
    <xf numFmtId="0" fontId="2" fillId="17" borderId="15" xfId="0" quotePrefix="1" applyFont="1" applyFill="1" applyBorder="1" applyAlignment="1">
      <alignment horizontal="left"/>
    </xf>
    <xf numFmtId="3" fontId="3" fillId="17" borderId="24" xfId="67" applyNumberFormat="1" applyFont="1" applyFill="1" applyBorder="1" applyAlignment="1">
      <alignment horizontal="left"/>
    </xf>
    <xf numFmtId="1" fontId="2" fillId="20" borderId="23" xfId="0" applyNumberFormat="1" applyFont="1" applyFill="1" applyBorder="1" applyAlignment="1">
      <alignment horizontal="center"/>
    </xf>
    <xf numFmtId="0" fontId="2" fillId="0" borderId="51" xfId="0" applyFont="1" applyBorder="1" applyAlignment="1">
      <alignment vertical="top"/>
    </xf>
    <xf numFmtId="0" fontId="0" fillId="27" borderId="24" xfId="0" applyFill="1" applyBorder="1"/>
    <xf numFmtId="0" fontId="2" fillId="0" borderId="53" xfId="0" applyFont="1" applyBorder="1" applyAlignment="1">
      <alignment horizontal="center" vertical="top" wrapText="1"/>
    </xf>
    <xf numFmtId="0" fontId="3" fillId="17" borderId="0" xfId="58" applyFont="1" applyFill="1" applyBorder="1"/>
    <xf numFmtId="0" fontId="3" fillId="22" borderId="0" xfId="0" applyFont="1" applyFill="1" applyBorder="1" applyAlignment="1">
      <alignment wrapText="1"/>
    </xf>
    <xf numFmtId="0" fontId="13" fillId="19" borderId="0" xfId="58" applyFont="1" applyFill="1" applyBorder="1" applyAlignment="1" applyProtection="1">
      <alignment horizontal="center" vertical="center" wrapText="1"/>
    </xf>
    <xf numFmtId="0" fontId="2" fillId="0" borderId="0" xfId="0" applyFont="1" applyFill="1" applyBorder="1" applyAlignment="1">
      <alignment horizontal="center" vertical="top" wrapText="1"/>
    </xf>
    <xf numFmtId="0" fontId="0" fillId="22" borderId="26" xfId="0" applyFill="1" applyBorder="1"/>
    <xf numFmtId="0" fontId="0" fillId="22" borderId="16" xfId="0" applyFill="1" applyBorder="1"/>
    <xf numFmtId="0" fontId="0" fillId="22" borderId="17" xfId="0" applyFill="1" applyBorder="1"/>
    <xf numFmtId="0" fontId="0" fillId="22" borderId="23" xfId="0" applyFill="1" applyBorder="1"/>
    <xf numFmtId="0" fontId="0" fillId="22" borderId="127" xfId="0" applyFill="1" applyBorder="1"/>
    <xf numFmtId="0" fontId="0" fillId="22" borderId="127" xfId="0" applyFill="1" applyBorder="1" applyAlignment="1">
      <alignment vertical="top"/>
    </xf>
    <xf numFmtId="0" fontId="0" fillId="22" borderId="0" xfId="0" applyFill="1" applyBorder="1" applyAlignment="1">
      <alignment vertical="top"/>
    </xf>
    <xf numFmtId="0" fontId="2" fillId="22" borderId="0" xfId="0" applyFont="1" applyFill="1" applyBorder="1" applyAlignment="1">
      <alignment vertical="top" wrapText="1"/>
    </xf>
    <xf numFmtId="0" fontId="2" fillId="22" borderId="127" xfId="0" applyFont="1" applyFill="1" applyBorder="1" applyAlignment="1">
      <alignment vertical="top" wrapText="1"/>
    </xf>
    <xf numFmtId="0" fontId="2" fillId="22" borderId="0" xfId="0" applyFont="1" applyFill="1" applyBorder="1" applyAlignment="1">
      <alignment horizontal="left" vertical="top" wrapText="1"/>
    </xf>
    <xf numFmtId="0" fontId="57" fillId="22" borderId="0" xfId="52" applyFill="1" applyBorder="1" applyAlignment="1">
      <alignment horizontal="left" vertical="top" wrapText="1"/>
    </xf>
    <xf numFmtId="0" fontId="57" fillId="22" borderId="0" xfId="52" applyFill="1" applyBorder="1" applyAlignment="1">
      <alignment vertical="top" wrapText="1"/>
    </xf>
    <xf numFmtId="0" fontId="3" fillId="22" borderId="0" xfId="0" applyFont="1" applyFill="1" applyBorder="1" applyAlignment="1">
      <alignment vertical="top"/>
    </xf>
    <xf numFmtId="0" fontId="0" fillId="22" borderId="0" xfId="0" applyFill="1" applyBorder="1" applyAlignment="1">
      <alignment vertical="top" wrapText="1"/>
    </xf>
    <xf numFmtId="0" fontId="0" fillId="22" borderId="127" xfId="0" applyFill="1" applyBorder="1" applyAlignment="1">
      <alignment vertical="top" wrapText="1"/>
    </xf>
    <xf numFmtId="0" fontId="2" fillId="22" borderId="0" xfId="0" applyFont="1" applyFill="1" applyBorder="1" applyAlignment="1">
      <alignment vertical="top"/>
    </xf>
    <xf numFmtId="0" fontId="0" fillId="22" borderId="24" xfId="0" applyFill="1" applyBorder="1"/>
    <xf numFmtId="0" fontId="0" fillId="22" borderId="27" xfId="0" applyFill="1" applyBorder="1"/>
    <xf numFmtId="170" fontId="80" fillId="17" borderId="127" xfId="67" applyNumberFormat="1" applyFont="1" applyFill="1" applyBorder="1" applyAlignment="1">
      <alignment horizontal="left"/>
    </xf>
    <xf numFmtId="0" fontId="2" fillId="17" borderId="127" xfId="0" applyFont="1" applyFill="1" applyBorder="1" applyAlignment="1">
      <alignment horizontal="left"/>
    </xf>
    <xf numFmtId="0" fontId="0" fillId="0" borderId="127" xfId="0" applyBorder="1"/>
    <xf numFmtId="0" fontId="0" fillId="0" borderId="0" xfId="0" applyAlignment="1">
      <alignment horizontal="center" vertical="top" wrapText="1"/>
    </xf>
    <xf numFmtId="1" fontId="2" fillId="20" borderId="26" xfId="0" applyNumberFormat="1" applyFont="1" applyFill="1" applyBorder="1"/>
    <xf numFmtId="0" fontId="0" fillId="24" borderId="0" xfId="0" applyFill="1"/>
    <xf numFmtId="0" fontId="13" fillId="22" borderId="25" xfId="0" applyFont="1" applyFill="1" applyBorder="1" applyAlignment="1">
      <alignment horizontal="center"/>
    </xf>
    <xf numFmtId="0" fontId="2" fillId="33" borderId="34" xfId="0" applyFont="1" applyFill="1" applyBorder="1"/>
    <xf numFmtId="0" fontId="2" fillId="28" borderId="34" xfId="0" applyFont="1" applyFill="1" applyBorder="1"/>
    <xf numFmtId="3" fontId="2" fillId="22" borderId="0" xfId="0" applyNumberFormat="1" applyFont="1" applyFill="1"/>
    <xf numFmtId="0" fontId="46" fillId="22" borderId="0" xfId="0" applyFont="1" applyFill="1"/>
    <xf numFmtId="0" fontId="2" fillId="29" borderId="40" xfId="0" applyFont="1" applyFill="1" applyBorder="1"/>
    <xf numFmtId="0" fontId="0" fillId="29" borderId="40" xfId="0" applyFill="1" applyBorder="1"/>
    <xf numFmtId="0" fontId="0" fillId="26" borderId="40" xfId="0" applyFill="1" applyBorder="1"/>
    <xf numFmtId="0" fontId="0" fillId="26" borderId="40" xfId="0" applyFill="1" applyBorder="1" applyAlignment="1">
      <alignment vertical="top" wrapText="1"/>
    </xf>
    <xf numFmtId="0" fontId="0" fillId="33" borderId="40" xfId="0" applyFill="1" applyBorder="1" applyAlignment="1">
      <alignment vertical="top" wrapText="1"/>
    </xf>
    <xf numFmtId="0" fontId="0" fillId="24" borderId="41" xfId="0" applyFill="1" applyBorder="1" applyAlignment="1">
      <alignment vertical="top" wrapText="1"/>
    </xf>
    <xf numFmtId="0" fontId="0" fillId="20" borderId="40" xfId="0" applyFill="1" applyBorder="1" applyAlignment="1">
      <alignment vertical="top" wrapText="1"/>
    </xf>
    <xf numFmtId="0" fontId="0" fillId="29" borderId="40" xfId="0" applyFill="1" applyBorder="1" applyAlignment="1">
      <alignment vertical="top" wrapText="1"/>
    </xf>
    <xf numFmtId="1" fontId="2" fillId="20" borderId="0" xfId="0" applyNumberFormat="1" applyFont="1" applyFill="1" applyAlignment="1">
      <alignment horizontal="center"/>
    </xf>
    <xf numFmtId="1" fontId="2" fillId="20" borderId="127" xfId="0" applyNumberFormat="1" applyFont="1" applyFill="1" applyBorder="1" applyAlignment="1">
      <alignment horizontal="center"/>
    </xf>
    <xf numFmtId="1" fontId="2" fillId="33" borderId="0" xfId="0" applyNumberFormat="1" applyFont="1" applyFill="1" applyAlignment="1">
      <alignment horizontal="center"/>
    </xf>
    <xf numFmtId="1" fontId="2" fillId="33" borderId="127" xfId="0" applyNumberFormat="1" applyFont="1" applyFill="1" applyBorder="1" applyAlignment="1">
      <alignment horizontal="center"/>
    </xf>
    <xf numFmtId="1" fontId="2" fillId="33" borderId="23" xfId="0" applyNumberFormat="1" applyFont="1" applyFill="1" applyBorder="1" applyAlignment="1">
      <alignment horizontal="center"/>
    </xf>
    <xf numFmtId="3" fontId="0" fillId="22" borderId="0" xfId="0" applyNumberFormat="1" applyFill="1"/>
    <xf numFmtId="1" fontId="2" fillId="20" borderId="23" xfId="0" applyNumberFormat="1" applyFont="1" applyFill="1" applyBorder="1"/>
    <xf numFmtId="0" fontId="2" fillId="20" borderId="0" xfId="0" applyFont="1" applyFill="1"/>
    <xf numFmtId="0" fontId="2" fillId="20" borderId="127" xfId="0" applyFont="1" applyFill="1" applyBorder="1" applyAlignment="1">
      <alignment horizontal="center"/>
    </xf>
    <xf numFmtId="0" fontId="3" fillId="29" borderId="42" xfId="0" applyFont="1" applyFill="1" applyBorder="1"/>
    <xf numFmtId="0" fontId="0" fillId="29" borderId="42" xfId="0" applyFill="1" applyBorder="1"/>
    <xf numFmtId="0" fontId="0" fillId="26" borderId="42" xfId="0" applyFill="1" applyBorder="1"/>
    <xf numFmtId="0" fontId="0" fillId="26" borderId="42" xfId="0" applyFill="1" applyBorder="1" applyAlignment="1">
      <alignment vertical="top" wrapText="1"/>
    </xf>
    <xf numFmtId="0" fontId="0" fillId="33" borderId="42" xfId="0" applyFill="1" applyBorder="1" applyAlignment="1">
      <alignment vertical="top" wrapText="1"/>
    </xf>
    <xf numFmtId="0" fontId="0" fillId="20" borderId="42" xfId="0" applyFill="1" applyBorder="1" applyAlignment="1">
      <alignment vertical="top" wrapText="1"/>
    </xf>
    <xf numFmtId="0" fontId="0" fillId="29" borderId="42" xfId="0" applyFill="1" applyBorder="1" applyAlignment="1">
      <alignment vertical="top" wrapText="1"/>
    </xf>
    <xf numFmtId="0" fontId="3" fillId="20" borderId="0" xfId="0" applyFont="1" applyFill="1" applyAlignment="1">
      <alignment horizontal="center" vertical="top" wrapText="1"/>
    </xf>
    <xf numFmtId="0" fontId="3" fillId="27" borderId="40" xfId="0" applyFont="1" applyFill="1" applyBorder="1" applyAlignment="1">
      <alignment horizontal="center" vertical="top" wrapText="1"/>
    </xf>
    <xf numFmtId="0" fontId="3" fillId="27" borderId="41" xfId="0" applyFont="1" applyFill="1" applyBorder="1" applyAlignment="1">
      <alignment horizontal="center" vertical="top" wrapText="1"/>
    </xf>
    <xf numFmtId="0" fontId="3" fillId="33" borderId="41" xfId="0" applyFont="1" applyFill="1" applyBorder="1" applyAlignment="1">
      <alignment horizontal="center" vertical="top" wrapText="1"/>
    </xf>
    <xf numFmtId="0" fontId="2" fillId="27" borderId="41" xfId="0" applyFont="1" applyFill="1" applyBorder="1" applyAlignment="1">
      <alignment horizontal="center" vertical="top" wrapText="1"/>
    </xf>
    <xf numFmtId="0" fontId="2" fillId="33" borderId="41" xfId="0" applyFont="1" applyFill="1" applyBorder="1" applyAlignment="1">
      <alignment horizontal="center" vertical="top" wrapText="1"/>
    </xf>
    <xf numFmtId="0" fontId="3" fillId="20" borderId="40" xfId="0" applyFont="1" applyFill="1" applyBorder="1" applyAlignment="1">
      <alignment horizontal="center" vertical="top" wrapText="1"/>
    </xf>
    <xf numFmtId="0" fontId="3" fillId="20" borderId="40" xfId="0" applyFont="1" applyFill="1" applyBorder="1" applyAlignment="1">
      <alignment vertical="top" wrapText="1"/>
    </xf>
    <xf numFmtId="0" fontId="3" fillId="20" borderId="17" xfId="0" applyFont="1" applyFill="1" applyBorder="1" applyAlignment="1">
      <alignment vertical="top" wrapText="1"/>
    </xf>
    <xf numFmtId="0" fontId="3" fillId="22" borderId="34" xfId="0" applyFont="1" applyFill="1" applyBorder="1" applyAlignment="1">
      <alignment vertical="top" wrapText="1"/>
    </xf>
    <xf numFmtId="0" fontId="3" fillId="33" borderId="34" xfId="0" applyFont="1" applyFill="1" applyBorder="1" applyAlignment="1">
      <alignment vertical="top" wrapText="1"/>
    </xf>
    <xf numFmtId="1" fontId="2" fillId="25" borderId="23" xfId="0" applyNumberFormat="1" applyFont="1" applyFill="1" applyBorder="1" applyAlignment="1">
      <alignment horizontal="center"/>
    </xf>
    <xf numFmtId="4" fontId="2" fillId="25" borderId="40" xfId="0" applyNumberFormat="1" applyFont="1" applyFill="1" applyBorder="1"/>
    <xf numFmtId="4" fontId="2" fillId="25" borderId="26" xfId="0" applyNumberFormat="1" applyFont="1" applyFill="1" applyBorder="1" applyAlignment="1">
      <alignment horizontal="center"/>
    </xf>
    <xf numFmtId="3" fontId="2" fillId="25" borderId="41" xfId="0" applyNumberFormat="1" applyFont="1" applyFill="1" applyBorder="1" applyAlignment="1">
      <alignment horizontal="right"/>
    </xf>
    <xf numFmtId="3" fontId="53" fillId="25" borderId="41" xfId="0" applyNumberFormat="1" applyFont="1" applyFill="1" applyBorder="1"/>
    <xf numFmtId="3" fontId="2" fillId="22" borderId="0" xfId="69" applyNumberFormat="1" applyFill="1"/>
    <xf numFmtId="3" fontId="2" fillId="22" borderId="36" xfId="69" applyNumberFormat="1" applyFill="1" applyBorder="1"/>
    <xf numFmtId="3" fontId="0" fillId="22" borderId="41" xfId="0" applyNumberFormat="1" applyFill="1" applyBorder="1"/>
    <xf numFmtId="3" fontId="0" fillId="22" borderId="127" xfId="0" applyNumberFormat="1" applyFill="1" applyBorder="1"/>
    <xf numFmtId="3" fontId="2" fillId="33" borderId="0" xfId="0" applyNumberFormat="1" applyFont="1" applyFill="1"/>
    <xf numFmtId="3" fontId="2" fillId="32" borderId="127" xfId="0" applyNumberFormat="1" applyFont="1" applyFill="1" applyBorder="1" applyAlignment="1">
      <alignment wrapText="1"/>
    </xf>
    <xf numFmtId="3" fontId="2" fillId="25" borderId="127" xfId="0" applyNumberFormat="1" applyFont="1" applyFill="1" applyBorder="1"/>
    <xf numFmtId="0" fontId="2" fillId="22" borderId="54" xfId="43" applyFill="1" applyBorder="1"/>
    <xf numFmtId="4" fontId="2" fillId="25" borderId="41" xfId="0" applyNumberFormat="1" applyFont="1" applyFill="1" applyBorder="1"/>
    <xf numFmtId="4" fontId="2" fillId="25" borderId="23" xfId="0" applyNumberFormat="1" applyFont="1" applyFill="1" applyBorder="1" applyAlignment="1">
      <alignment horizontal="center"/>
    </xf>
    <xf numFmtId="3" fontId="2" fillId="22" borderId="38" xfId="69" applyNumberFormat="1" applyFill="1" applyBorder="1"/>
    <xf numFmtId="0" fontId="2" fillId="25" borderId="41" xfId="0" applyFont="1" applyFill="1" applyBorder="1"/>
    <xf numFmtId="0" fontId="2" fillId="25" borderId="23" xfId="0" applyFont="1" applyFill="1" applyBorder="1" applyAlignment="1">
      <alignment horizontal="center"/>
    </xf>
    <xf numFmtId="3" fontId="2" fillId="25" borderId="41" xfId="0" applyNumberFormat="1" applyFont="1" applyFill="1" applyBorder="1"/>
    <xf numFmtId="1" fontId="2" fillId="34" borderId="23" xfId="0" applyNumberFormat="1" applyFont="1" applyFill="1" applyBorder="1" applyAlignment="1">
      <alignment horizontal="center"/>
    </xf>
    <xf numFmtId="4" fontId="2" fillId="34" borderId="41" xfId="0" applyNumberFormat="1" applyFont="1" applyFill="1" applyBorder="1"/>
    <xf numFmtId="4" fontId="2" fillId="34" borderId="23" xfId="0" applyNumberFormat="1" applyFont="1" applyFill="1" applyBorder="1" applyAlignment="1">
      <alignment horizontal="center"/>
    </xf>
    <xf numFmtId="3" fontId="2" fillId="34" borderId="41" xfId="0" applyNumberFormat="1" applyFont="1" applyFill="1" applyBorder="1" applyAlignment="1">
      <alignment horizontal="right"/>
    </xf>
    <xf numFmtId="3" fontId="0" fillId="34" borderId="0" xfId="0" applyNumberFormat="1" applyFill="1"/>
    <xf numFmtId="3" fontId="53" fillId="34" borderId="41" xfId="0" applyNumberFormat="1" applyFont="1" applyFill="1" applyBorder="1"/>
    <xf numFmtId="3" fontId="2" fillId="34" borderId="0" xfId="69" applyNumberFormat="1" applyFill="1"/>
    <xf numFmtId="3" fontId="2" fillId="34" borderId="36" xfId="69" applyNumberFormat="1" applyFill="1" applyBorder="1"/>
    <xf numFmtId="3" fontId="2" fillId="34" borderId="38" xfId="69" applyNumberFormat="1" applyFill="1" applyBorder="1"/>
    <xf numFmtId="3" fontId="2" fillId="34" borderId="127" xfId="0" applyNumberFormat="1" applyFont="1" applyFill="1" applyBorder="1"/>
    <xf numFmtId="0" fontId="2" fillId="34" borderId="0" xfId="0" applyFont="1" applyFill="1"/>
    <xf numFmtId="0" fontId="2" fillId="34" borderId="54" xfId="43" applyFill="1" applyBorder="1"/>
    <xf numFmtId="3" fontId="2" fillId="34" borderId="0" xfId="0" applyNumberFormat="1" applyFont="1" applyFill="1"/>
    <xf numFmtId="0" fontId="2" fillId="35" borderId="0" xfId="0" applyFont="1" applyFill="1"/>
    <xf numFmtId="4" fontId="2" fillId="25" borderId="42" xfId="0" applyNumberFormat="1" applyFont="1" applyFill="1" applyBorder="1"/>
    <xf numFmtId="4" fontId="2" fillId="25" borderId="24" xfId="0" applyNumberFormat="1" applyFont="1" applyFill="1" applyBorder="1" applyAlignment="1">
      <alignment horizontal="center"/>
    </xf>
    <xf numFmtId="3" fontId="53" fillId="25" borderId="42" xfId="0" applyNumberFormat="1" applyFont="1" applyFill="1" applyBorder="1"/>
    <xf numFmtId="3" fontId="0" fillId="22" borderId="42" xfId="0" applyNumberFormat="1" applyFill="1" applyBorder="1"/>
    <xf numFmtId="1" fontId="2" fillId="25" borderId="34" xfId="0" applyNumberFormat="1" applyFont="1" applyFill="1" applyBorder="1" applyAlignment="1">
      <alignment horizontal="center"/>
    </xf>
    <xf numFmtId="0" fontId="2" fillId="25" borderId="34" xfId="0" applyFont="1" applyFill="1" applyBorder="1"/>
    <xf numFmtId="0" fontId="2" fillId="25" borderId="51" xfId="0" applyFont="1" applyFill="1" applyBorder="1" applyAlignment="1">
      <alignment horizontal="center"/>
    </xf>
    <xf numFmtId="3" fontId="53" fillId="25" borderId="34" xfId="0" applyNumberFormat="1" applyFont="1" applyFill="1" applyBorder="1" applyAlignment="1">
      <alignment horizontal="right"/>
    </xf>
    <xf numFmtId="3" fontId="53" fillId="25" borderId="51" xfId="0" applyNumberFormat="1" applyFont="1" applyFill="1" applyBorder="1" applyAlignment="1">
      <alignment horizontal="right"/>
    </xf>
    <xf numFmtId="3" fontId="53" fillId="25" borderId="53" xfId="0" applyNumberFormat="1" applyFont="1" applyFill="1" applyBorder="1" applyAlignment="1">
      <alignment horizontal="right"/>
    </xf>
    <xf numFmtId="3" fontId="2" fillId="32" borderId="34" xfId="0" applyNumberFormat="1" applyFont="1" applyFill="1" applyBorder="1" applyAlignment="1">
      <alignment horizontal="right"/>
    </xf>
    <xf numFmtId="0" fontId="0" fillId="33" borderId="0" xfId="0" applyFill="1"/>
    <xf numFmtId="0" fontId="0" fillId="34" borderId="0" xfId="0" applyFill="1"/>
    <xf numFmtId="0" fontId="0" fillId="0" borderId="17" xfId="0" applyBorder="1"/>
    <xf numFmtId="3" fontId="11" fillId="21" borderId="0" xfId="0" applyNumberFormat="1" applyFont="1" applyFill="1" applyBorder="1" applyAlignment="1">
      <alignment horizontal="right" vertical="center" indent="1"/>
    </xf>
    <xf numFmtId="0" fontId="6" fillId="25" borderId="0" xfId="0" applyFont="1" applyFill="1" applyBorder="1" applyAlignment="1">
      <alignment horizontal="left" vertical="top" wrapText="1"/>
    </xf>
    <xf numFmtId="0" fontId="0" fillId="25" borderId="0" xfId="0" applyFill="1" applyAlignment="1">
      <alignment horizontal="left" vertical="top" wrapText="1"/>
    </xf>
    <xf numFmtId="3" fontId="8" fillId="30" borderId="0" xfId="0" applyNumberFormat="1" applyFont="1" applyFill="1" applyBorder="1" applyAlignment="1">
      <alignment horizontal="right" vertical="center" indent="1"/>
    </xf>
    <xf numFmtId="3" fontId="6" fillId="30" borderId="0" xfId="0" applyNumberFormat="1" applyFont="1" applyFill="1" applyBorder="1" applyAlignment="1">
      <alignment horizontal="right" vertical="center" indent="1"/>
    </xf>
    <xf numFmtId="0" fontId="6" fillId="30" borderId="22" xfId="0" applyFont="1" applyFill="1" applyBorder="1"/>
    <xf numFmtId="0" fontId="6" fillId="30" borderId="57" xfId="0" applyFont="1" applyFill="1" applyBorder="1"/>
    <xf numFmtId="0" fontId="6" fillId="30" borderId="56" xfId="0" applyFont="1" applyFill="1" applyBorder="1"/>
    <xf numFmtId="0" fontId="6" fillId="30" borderId="55" xfId="0" applyFont="1" applyFill="1" applyBorder="1"/>
    <xf numFmtId="0" fontId="6" fillId="30" borderId="111" xfId="0" applyFont="1" applyFill="1" applyBorder="1"/>
    <xf numFmtId="0" fontId="2" fillId="0" borderId="110" xfId="0" applyFont="1" applyBorder="1" applyAlignment="1">
      <alignment horizontal="center" vertical="top" wrapText="1"/>
    </xf>
    <xf numFmtId="0" fontId="2" fillId="0" borderId="110" xfId="0" applyFont="1" applyFill="1" applyBorder="1" applyAlignment="1">
      <alignment horizontal="center" vertical="top" wrapText="1"/>
    </xf>
    <xf numFmtId="0" fontId="2" fillId="0" borderId="51" xfId="0" applyFont="1" applyBorder="1" applyAlignment="1">
      <alignment horizontal="center" vertical="top" wrapText="1"/>
    </xf>
    <xf numFmtId="1" fontId="3" fillId="25" borderId="25" xfId="0" applyNumberFormat="1" applyFont="1" applyFill="1" applyBorder="1" applyAlignment="1">
      <alignment horizontal="left"/>
    </xf>
    <xf numFmtId="0" fontId="3" fillId="25" borderId="27" xfId="0" applyFont="1" applyFill="1" applyBorder="1"/>
    <xf numFmtId="0" fontId="0" fillId="25" borderId="110" xfId="0" applyFill="1" applyBorder="1"/>
    <xf numFmtId="0" fontId="0" fillId="25" borderId="53" xfId="0" applyFill="1" applyBorder="1"/>
    <xf numFmtId="1" fontId="2" fillId="0" borderId="40" xfId="0" applyNumberFormat="1" applyFont="1" applyFill="1" applyBorder="1" applyAlignment="1">
      <alignment horizontal="center"/>
    </xf>
    <xf numFmtId="1" fontId="2" fillId="0" borderId="16" xfId="0" applyNumberFormat="1" applyFont="1" applyFill="1" applyBorder="1"/>
    <xf numFmtId="0" fontId="2" fillId="0" borderId="16" xfId="0" applyFont="1" applyFill="1" applyBorder="1"/>
    <xf numFmtId="0" fontId="2" fillId="0" borderId="17" xfId="0" applyFont="1" applyFill="1" applyBorder="1" applyAlignment="1">
      <alignment horizontal="center"/>
    </xf>
    <xf numFmtId="0" fontId="2" fillId="0" borderId="0" xfId="0" applyFont="1" applyFill="1" applyBorder="1" applyAlignment="1">
      <alignment horizontal="center"/>
    </xf>
    <xf numFmtId="0" fontId="0" fillId="25" borderId="51" xfId="0" applyFill="1" applyBorder="1"/>
    <xf numFmtId="170" fontId="3" fillId="27" borderId="127" xfId="67" applyNumberFormat="1" applyFont="1" applyFill="1" applyBorder="1" applyAlignment="1">
      <alignment horizontal="left"/>
    </xf>
    <xf numFmtId="1" fontId="3" fillId="20" borderId="23" xfId="0" applyNumberFormat="1" applyFont="1" applyFill="1" applyBorder="1" applyAlignment="1">
      <alignment horizontal="center" vertical="top"/>
    </xf>
    <xf numFmtId="0" fontId="3" fillId="20" borderId="0" xfId="0" applyFont="1" applyFill="1" applyAlignment="1">
      <alignment vertical="top"/>
    </xf>
    <xf numFmtId="0" fontId="3" fillId="20" borderId="127" xfId="0" applyFont="1" applyFill="1" applyBorder="1" applyAlignment="1">
      <alignment horizontal="center" vertical="top"/>
    </xf>
    <xf numFmtId="3" fontId="2" fillId="22" borderId="0" xfId="69" applyNumberFormat="1" applyFill="1" applyBorder="1"/>
    <xf numFmtId="0" fontId="3" fillId="27" borderId="34" xfId="0" applyFont="1" applyFill="1" applyBorder="1" applyAlignment="1">
      <alignment vertical="top" wrapText="1"/>
    </xf>
    <xf numFmtId="0" fontId="3" fillId="20" borderId="53" xfId="0" applyFont="1" applyFill="1" applyBorder="1" applyAlignment="1">
      <alignment vertical="top" wrapText="1"/>
    </xf>
    <xf numFmtId="0" fontId="3" fillId="34" borderId="34" xfId="0" applyFont="1" applyFill="1" applyBorder="1" applyAlignment="1">
      <alignment vertical="top" wrapText="1"/>
    </xf>
    <xf numFmtId="0" fontId="0" fillId="24" borderId="34" xfId="0" applyFill="1" applyBorder="1"/>
    <xf numFmtId="0" fontId="0" fillId="22" borderId="34" xfId="0" applyFill="1" applyBorder="1"/>
    <xf numFmtId="0" fontId="2" fillId="33" borderId="34" xfId="0" applyFont="1" applyFill="1" applyBorder="1" applyAlignment="1">
      <alignment wrapText="1"/>
    </xf>
    <xf numFmtId="0" fontId="2" fillId="22" borderId="110" xfId="0" applyFont="1" applyFill="1" applyBorder="1" applyAlignment="1">
      <alignment wrapText="1"/>
    </xf>
    <xf numFmtId="0" fontId="2" fillId="27" borderId="53" xfId="0" applyFont="1" applyFill="1" applyBorder="1"/>
    <xf numFmtId="1" fontId="2" fillId="20" borderId="40" xfId="0" applyNumberFormat="1" applyFont="1" applyFill="1" applyBorder="1" applyAlignment="1"/>
    <xf numFmtId="1" fontId="2" fillId="20" borderId="16" xfId="0" applyNumberFormat="1" applyFont="1" applyFill="1" applyBorder="1" applyAlignment="1"/>
    <xf numFmtId="0" fontId="2" fillId="20" borderId="16" xfId="0" applyFont="1" applyFill="1" applyBorder="1" applyAlignment="1"/>
    <xf numFmtId="0" fontId="2" fillId="20" borderId="17" xfId="0" applyFont="1" applyFill="1" applyBorder="1" applyAlignment="1"/>
    <xf numFmtId="3" fontId="2" fillId="0" borderId="53" xfId="0" applyNumberFormat="1" applyFont="1" applyFill="1" applyBorder="1" applyAlignment="1">
      <alignment vertical="top" wrapText="1"/>
    </xf>
    <xf numFmtId="0" fontId="2" fillId="27" borderId="23" xfId="0" applyFont="1" applyFill="1" applyBorder="1"/>
    <xf numFmtId="0" fontId="2" fillId="27" borderId="0" xfId="0" applyFont="1" applyFill="1" applyBorder="1"/>
    <xf numFmtId="0" fontId="2" fillId="27" borderId="15" xfId="0" applyFont="1" applyFill="1" applyBorder="1"/>
    <xf numFmtId="0" fontId="2" fillId="0" borderId="15" xfId="0" applyFont="1" applyBorder="1"/>
    <xf numFmtId="0" fontId="2" fillId="27" borderId="27" xfId="0" applyFont="1" applyFill="1" applyBorder="1"/>
    <xf numFmtId="0" fontId="2" fillId="27" borderId="25" xfId="0" applyFont="1" applyFill="1" applyBorder="1"/>
    <xf numFmtId="0" fontId="2" fillId="29" borderId="53" xfId="0" applyFont="1" applyFill="1" applyBorder="1"/>
    <xf numFmtId="0" fontId="2" fillId="0" borderId="0" xfId="0" applyFont="1" applyFill="1"/>
    <xf numFmtId="0" fontId="2" fillId="0" borderId="40" xfId="0" applyFont="1" applyBorder="1" applyAlignment="1">
      <alignment horizontal="center"/>
    </xf>
    <xf numFmtId="173" fontId="2" fillId="0" borderId="23" xfId="33" applyNumberFormat="1" applyFont="1" applyBorder="1"/>
    <xf numFmtId="173" fontId="2" fillId="0" borderId="16" xfId="33" applyNumberFormat="1" applyFont="1" applyBorder="1"/>
    <xf numFmtId="173" fontId="2" fillId="0" borderId="0" xfId="33" applyNumberFormat="1" applyFont="1" applyBorder="1"/>
    <xf numFmtId="0" fontId="2" fillId="0" borderId="41" xfId="0" applyFont="1" applyBorder="1" applyAlignment="1">
      <alignment horizontal="center"/>
    </xf>
    <xf numFmtId="0" fontId="2" fillId="0" borderId="0" xfId="43" applyFont="1"/>
    <xf numFmtId="0" fontId="2" fillId="0" borderId="15" xfId="43" applyFont="1" applyBorder="1"/>
    <xf numFmtId="0" fontId="2" fillId="0" borderId="0" xfId="43" applyFont="1" applyBorder="1"/>
    <xf numFmtId="0" fontId="2" fillId="0" borderId="0" xfId="43" applyFont="1" applyFill="1" applyBorder="1"/>
    <xf numFmtId="0" fontId="2" fillId="0" borderId="15" xfId="43" applyFont="1" applyFill="1" applyBorder="1"/>
    <xf numFmtId="0" fontId="2" fillId="25" borderId="42" xfId="0" applyFont="1" applyFill="1" applyBorder="1" applyAlignment="1">
      <alignment horizontal="center"/>
    </xf>
    <xf numFmtId="173" fontId="2" fillId="25" borderId="51" xfId="33" applyNumberFormat="1" applyFont="1" applyFill="1" applyBorder="1"/>
    <xf numFmtId="173" fontId="2" fillId="25" borderId="110" xfId="33" applyNumberFormat="1" applyFont="1" applyFill="1" applyBorder="1"/>
    <xf numFmtId="0" fontId="2" fillId="0" borderId="25" xfId="0" applyFont="1" applyBorder="1"/>
    <xf numFmtId="0" fontId="2" fillId="0" borderId="27" xfId="0" applyFont="1" applyBorder="1"/>
    <xf numFmtId="0" fontId="2" fillId="0" borderId="0" xfId="0" applyFont="1" applyAlignment="1">
      <alignment horizontal="center"/>
    </xf>
    <xf numFmtId="170" fontId="2" fillId="0" borderId="0" xfId="67" applyNumberFormat="1" applyFont="1" applyBorder="1"/>
    <xf numFmtId="1" fontId="0" fillId="0" borderId="0" xfId="0" applyNumberFormat="1" applyBorder="1"/>
    <xf numFmtId="0" fontId="2" fillId="0" borderId="23" xfId="0" applyFont="1" applyBorder="1"/>
    <xf numFmtId="0" fontId="0" fillId="0" borderId="0" xfId="0" applyBorder="1" applyAlignment="1">
      <alignment horizontal="right"/>
    </xf>
    <xf numFmtId="0" fontId="2" fillId="29" borderId="51" xfId="0" applyFont="1" applyFill="1" applyBorder="1"/>
    <xf numFmtId="0" fontId="0" fillId="0" borderId="0" xfId="0" applyFill="1" applyBorder="1"/>
    <xf numFmtId="0" fontId="2" fillId="29" borderId="34" xfId="0" applyFont="1" applyFill="1" applyBorder="1" applyAlignment="1">
      <alignment horizontal="center"/>
    </xf>
    <xf numFmtId="0" fontId="3" fillId="20" borderId="41" xfId="0" applyFont="1" applyFill="1" applyBorder="1" applyAlignment="1">
      <alignment horizontal="left" vertical="top"/>
    </xf>
    <xf numFmtId="0" fontId="2" fillId="20" borderId="41" xfId="0" applyFont="1" applyFill="1" applyBorder="1" applyAlignment="1">
      <alignment horizontal="center"/>
    </xf>
    <xf numFmtId="0" fontId="2" fillId="20" borderId="42" xfId="0" applyFont="1" applyFill="1" applyBorder="1" applyAlignment="1">
      <alignment horizontal="center"/>
    </xf>
    <xf numFmtId="0" fontId="2" fillId="0" borderId="24" xfId="0" applyFont="1" applyBorder="1" applyAlignment="1">
      <alignment vertical="top"/>
    </xf>
    <xf numFmtId="0" fontId="2" fillId="0" borderId="42" xfId="0" applyFont="1" applyFill="1" applyBorder="1" applyAlignment="1">
      <alignment horizontal="center"/>
    </xf>
    <xf numFmtId="0" fontId="43" fillId="0" borderId="0" xfId="0" applyFont="1"/>
    <xf numFmtId="0" fontId="43" fillId="0" borderId="0" xfId="0" applyFont="1" applyAlignment="1">
      <alignment horizontal="left"/>
    </xf>
    <xf numFmtId="9" fontId="45" fillId="21" borderId="0" xfId="0" applyNumberFormat="1" applyFont="1" applyFill="1" applyBorder="1" applyAlignment="1">
      <alignment horizontal="right" vertical="center" indent="1"/>
    </xf>
    <xf numFmtId="9" fontId="48" fillId="21" borderId="0" xfId="0" applyNumberFormat="1" applyFont="1" applyFill="1" applyBorder="1" applyAlignment="1">
      <alignment horizontal="right" vertical="center" indent="1"/>
    </xf>
    <xf numFmtId="0" fontId="2" fillId="21" borderId="0" xfId="0" applyFont="1" applyFill="1" applyBorder="1"/>
    <xf numFmtId="0" fontId="43" fillId="25" borderId="0" xfId="0" applyFont="1" applyFill="1" applyBorder="1"/>
    <xf numFmtId="0" fontId="2" fillId="22" borderId="0" xfId="0" applyFont="1" applyFill="1" applyBorder="1" applyAlignment="1">
      <alignment horizontal="left" vertical="top" wrapText="1"/>
    </xf>
    <xf numFmtId="0" fontId="0" fillId="0" borderId="0" xfId="0" applyAlignment="1">
      <alignment horizontal="left" vertical="top" wrapText="1"/>
    </xf>
    <xf numFmtId="0" fontId="57" fillId="22" borderId="0" xfId="52" applyFill="1" applyBorder="1" applyAlignment="1">
      <alignment horizontal="left" vertical="top" wrapText="1"/>
    </xf>
    <xf numFmtId="0" fontId="2" fillId="0" borderId="0" xfId="0" applyFont="1" applyFill="1" applyBorder="1" applyAlignment="1">
      <alignment horizontal="left" vertical="top" wrapText="1"/>
    </xf>
    <xf numFmtId="3" fontId="76" fillId="21" borderId="72" xfId="0" applyNumberFormat="1" applyFont="1" applyFill="1" applyBorder="1" applyAlignment="1">
      <alignment horizontal="right" vertical="center" indent="1"/>
    </xf>
    <xf numFmtId="3" fontId="8" fillId="21" borderId="68" xfId="0" applyNumberFormat="1" applyFont="1" applyFill="1" applyBorder="1" applyAlignment="1">
      <alignment horizontal="right" vertical="center" indent="1"/>
    </xf>
    <xf numFmtId="3" fontId="8" fillId="21" borderId="69" xfId="0" applyNumberFormat="1" applyFont="1" applyFill="1" applyBorder="1" applyAlignment="1">
      <alignment horizontal="right" vertical="center" indent="1"/>
    </xf>
    <xf numFmtId="0" fontId="45" fillId="19" borderId="39" xfId="0" applyFont="1" applyFill="1" applyBorder="1" applyAlignment="1">
      <alignment horizontal="left" vertical="center" wrapText="1"/>
    </xf>
    <xf numFmtId="0" fontId="45" fillId="19" borderId="32" xfId="0" applyFont="1" applyFill="1" applyBorder="1" applyAlignment="1">
      <alignment horizontal="left" vertical="center" wrapText="1"/>
    </xf>
    <xf numFmtId="0" fontId="45" fillId="19" borderId="35" xfId="0" applyFont="1" applyFill="1" applyBorder="1" applyAlignment="1">
      <alignment horizontal="left" vertical="center" wrapText="1"/>
    </xf>
    <xf numFmtId="0" fontId="45" fillId="19" borderId="67" xfId="0" applyFont="1" applyFill="1" applyBorder="1" applyAlignment="1">
      <alignment horizontal="left" vertical="center" wrapText="1"/>
    </xf>
    <xf numFmtId="0" fontId="45" fillId="19" borderId="31" xfId="0" applyFont="1" applyFill="1" applyBorder="1" applyAlignment="1">
      <alignment horizontal="left" vertical="center" wrapText="1"/>
    </xf>
    <xf numFmtId="0" fontId="45" fillId="19" borderId="37" xfId="0" applyFont="1" applyFill="1" applyBorder="1" applyAlignment="1">
      <alignment horizontal="left" vertical="center" wrapText="1"/>
    </xf>
    <xf numFmtId="3" fontId="8" fillId="21" borderId="101" xfId="0" applyNumberFormat="1" applyFont="1" applyFill="1" applyBorder="1" applyAlignment="1">
      <alignment horizontal="right" vertical="center" indent="1"/>
    </xf>
    <xf numFmtId="0" fontId="0" fillId="0" borderId="102" xfId="0" applyBorder="1" applyAlignment="1">
      <alignment horizontal="right" vertical="center" indent="1"/>
    </xf>
    <xf numFmtId="3" fontId="8" fillId="30" borderId="68" xfId="0" applyNumberFormat="1" applyFont="1" applyFill="1" applyBorder="1" applyAlignment="1">
      <alignment horizontal="right" vertical="center" indent="1"/>
    </xf>
    <xf numFmtId="3" fontId="8" fillId="30" borderId="69" xfId="0" applyNumberFormat="1" applyFont="1" applyFill="1" applyBorder="1" applyAlignment="1">
      <alignment horizontal="right" vertical="center" indent="1"/>
    </xf>
    <xf numFmtId="0" fontId="38" fillId="17" borderId="25" xfId="0" applyFont="1" applyFill="1" applyBorder="1" applyAlignment="1">
      <alignment horizontal="center"/>
    </xf>
    <xf numFmtId="3" fontId="8" fillId="21" borderId="0" xfId="0" applyNumberFormat="1" applyFont="1" applyFill="1" applyBorder="1" applyAlignment="1">
      <alignment vertical="center"/>
    </xf>
    <xf numFmtId="0" fontId="36" fillId="19" borderId="0" xfId="0" applyFont="1" applyFill="1" applyBorder="1" applyAlignment="1">
      <alignment horizontal="left" wrapText="1"/>
    </xf>
    <xf numFmtId="3" fontId="6" fillId="19" borderId="0" xfId="0" applyNumberFormat="1" applyFont="1" applyFill="1" applyBorder="1" applyAlignment="1">
      <alignment horizontal="center" vertical="center"/>
    </xf>
    <xf numFmtId="3" fontId="8" fillId="21" borderId="101" xfId="0" applyNumberFormat="1" applyFont="1" applyFill="1" applyBorder="1" applyAlignment="1">
      <alignment horizontal="right" vertical="center"/>
    </xf>
    <xf numFmtId="3" fontId="8" fillId="21" borderId="102" xfId="0" applyNumberFormat="1" applyFont="1" applyFill="1" applyBorder="1" applyAlignment="1">
      <alignment horizontal="right" vertical="center"/>
    </xf>
    <xf numFmtId="3" fontId="8" fillId="21"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3" fontId="8" fillId="19" borderId="0" xfId="0" applyNumberFormat="1" applyFont="1" applyFill="1" applyBorder="1" applyAlignment="1">
      <alignment horizontal="center" vertical="top" wrapText="1"/>
    </xf>
    <xf numFmtId="3" fontId="8" fillId="21" borderId="102" xfId="0" applyNumberFormat="1" applyFont="1" applyFill="1" applyBorder="1" applyAlignment="1">
      <alignment horizontal="right" vertical="center" indent="1"/>
    </xf>
    <xf numFmtId="3" fontId="8" fillId="21" borderId="108" xfId="0" applyNumberFormat="1" applyFont="1" applyFill="1" applyBorder="1" applyAlignment="1">
      <alignment horizontal="right" vertical="center" indent="1"/>
    </xf>
    <xf numFmtId="0" fontId="3" fillId="21" borderId="109" xfId="0" applyFont="1" applyFill="1" applyBorder="1" applyAlignment="1">
      <alignment horizontal="right" vertical="center" indent="1"/>
    </xf>
    <xf numFmtId="9" fontId="8" fillId="21" borderId="68" xfId="46" applyNumberFormat="1" applyFont="1" applyFill="1" applyBorder="1" applyAlignment="1">
      <alignment horizontal="right" vertical="center" indent="1"/>
    </xf>
    <xf numFmtId="9" fontId="8" fillId="21" borderId="69" xfId="46" applyNumberFormat="1" applyFont="1" applyFill="1" applyBorder="1" applyAlignment="1">
      <alignment horizontal="right" vertical="center" indent="1"/>
    </xf>
    <xf numFmtId="3" fontId="8" fillId="21" borderId="109" xfId="0" applyNumberFormat="1" applyFont="1" applyFill="1" applyBorder="1" applyAlignment="1">
      <alignment horizontal="right" vertical="center" indent="1"/>
    </xf>
    <xf numFmtId="3" fontId="48" fillId="21" borderId="0" xfId="0" applyNumberFormat="1" applyFont="1" applyFill="1" applyBorder="1" applyAlignment="1">
      <alignment horizontal="center" vertical="center"/>
    </xf>
    <xf numFmtId="0" fontId="53" fillId="21" borderId="0" xfId="0" applyFont="1" applyFill="1" applyBorder="1" applyAlignment="1">
      <alignment horizontal="center" vertical="center"/>
    </xf>
    <xf numFmtId="0" fontId="3" fillId="21" borderId="102" xfId="0" applyFont="1" applyFill="1" applyBorder="1" applyAlignment="1">
      <alignment horizontal="right" vertical="center" indent="1"/>
    </xf>
    <xf numFmtId="0" fontId="6" fillId="25" borderId="0" xfId="0" applyFont="1" applyFill="1" applyAlignment="1">
      <alignment horizontal="left" wrapText="1"/>
    </xf>
    <xf numFmtId="0" fontId="6" fillId="25" borderId="0" xfId="0" applyFont="1" applyFill="1" applyBorder="1" applyAlignment="1">
      <alignment horizontal="left" wrapText="1"/>
    </xf>
    <xf numFmtId="9" fontId="8" fillId="21" borderId="68" xfId="46" applyNumberFormat="1" applyFont="1" applyFill="1" applyBorder="1" applyAlignment="1" applyProtection="1">
      <alignment horizontal="right" vertical="center" indent="1"/>
    </xf>
    <xf numFmtId="9" fontId="8" fillId="21" borderId="69" xfId="46" applyNumberFormat="1" applyFont="1" applyFill="1" applyBorder="1" applyAlignment="1" applyProtection="1">
      <alignment horizontal="right" vertical="center" indent="1"/>
    </xf>
    <xf numFmtId="0" fontId="6" fillId="19" borderId="0" xfId="0" applyFont="1" applyFill="1" applyBorder="1" applyAlignment="1">
      <alignment horizontal="left" vertical="top" wrapText="1"/>
    </xf>
    <xf numFmtId="3" fontId="8" fillId="22" borderId="68" xfId="0" applyNumberFormat="1" applyFont="1" applyFill="1" applyBorder="1" applyAlignment="1" applyProtection="1">
      <alignment horizontal="right" vertical="center" indent="1"/>
    </xf>
    <xf numFmtId="3" fontId="6" fillId="22" borderId="69" xfId="0" applyNumberFormat="1" applyFont="1" applyFill="1" applyBorder="1" applyAlignment="1" applyProtection="1">
      <alignment horizontal="right" vertical="center" indent="1"/>
    </xf>
    <xf numFmtId="0" fontId="6" fillId="0" borderId="0" xfId="0" applyFont="1" applyAlignment="1">
      <alignment vertical="top" wrapText="1"/>
    </xf>
    <xf numFmtId="3" fontId="11" fillId="17" borderId="51" xfId="0" applyNumberFormat="1" applyFont="1" applyFill="1" applyBorder="1" applyAlignment="1" applyProtection="1">
      <alignment horizontal="right" vertical="center" indent="1"/>
      <protection locked="0"/>
    </xf>
    <xf numFmtId="3" fontId="11" fillId="17" borderId="53" xfId="0" applyNumberFormat="1" applyFont="1" applyFill="1" applyBorder="1" applyAlignment="1" applyProtection="1">
      <alignment horizontal="right" vertical="center" indent="1"/>
      <protection locked="0"/>
    </xf>
    <xf numFmtId="3" fontId="11" fillId="17" borderId="101" xfId="0" applyNumberFormat="1" applyFont="1" applyFill="1" applyBorder="1" applyAlignment="1" applyProtection="1">
      <alignment horizontal="right" vertical="center" indent="1"/>
    </xf>
    <xf numFmtId="3" fontId="11" fillId="17" borderId="102" xfId="0" applyNumberFormat="1" applyFont="1" applyFill="1" applyBorder="1" applyAlignment="1" applyProtection="1">
      <alignment horizontal="right" vertical="center" indent="1"/>
    </xf>
    <xf numFmtId="3" fontId="8" fillId="30" borderId="108" xfId="0" applyNumberFormat="1" applyFont="1" applyFill="1" applyBorder="1" applyAlignment="1">
      <alignment horizontal="right" vertical="center" indent="1"/>
    </xf>
    <xf numFmtId="3" fontId="8" fillId="30" borderId="109" xfId="0" applyNumberFormat="1" applyFont="1" applyFill="1" applyBorder="1" applyAlignment="1">
      <alignment horizontal="right" vertical="center" indent="1"/>
    </xf>
    <xf numFmtId="0" fontId="6" fillId="19" borderId="0" xfId="0" applyFont="1" applyFill="1" applyBorder="1" applyAlignment="1">
      <alignment horizontal="left" wrapText="1"/>
    </xf>
    <xf numFmtId="3" fontId="8" fillId="36" borderId="68" xfId="0" applyNumberFormat="1" applyFont="1" applyFill="1" applyBorder="1" applyAlignment="1">
      <alignment horizontal="right" vertical="center" indent="1"/>
    </xf>
    <xf numFmtId="3" fontId="8" fillId="36" borderId="69" xfId="0" applyNumberFormat="1" applyFont="1" applyFill="1" applyBorder="1" applyAlignment="1">
      <alignment horizontal="right" vertical="center" indent="1"/>
    </xf>
    <xf numFmtId="3" fontId="8" fillId="36" borderId="108" xfId="0" applyNumberFormat="1" applyFont="1" applyFill="1" applyBorder="1" applyAlignment="1">
      <alignment horizontal="right" vertical="center" indent="1"/>
    </xf>
    <xf numFmtId="3" fontId="8" fillId="36" borderId="109" xfId="0" applyNumberFormat="1" applyFont="1" applyFill="1" applyBorder="1" applyAlignment="1">
      <alignment horizontal="right" vertical="center" indent="1"/>
    </xf>
    <xf numFmtId="3" fontId="8" fillId="22" borderId="101" xfId="0" applyNumberFormat="1" applyFont="1" applyFill="1" applyBorder="1" applyAlignment="1" applyProtection="1">
      <alignment horizontal="right" vertical="center" indent="1"/>
    </xf>
    <xf numFmtId="3" fontId="8" fillId="22" borderId="102" xfId="0" applyNumberFormat="1" applyFont="1" applyFill="1" applyBorder="1" applyAlignment="1" applyProtection="1">
      <alignment horizontal="right" vertical="center" indent="1"/>
    </xf>
    <xf numFmtId="0" fontId="6" fillId="20" borderId="16" xfId="0" applyFont="1" applyFill="1" applyBorder="1" applyAlignment="1" applyProtection="1">
      <alignment horizontal="center"/>
      <protection locked="0"/>
    </xf>
    <xf numFmtId="3" fontId="8" fillId="17" borderId="70" xfId="0" applyNumberFormat="1" applyFont="1" applyFill="1" applyBorder="1" applyAlignment="1">
      <alignment horizontal="right" vertical="center" indent="1"/>
    </xf>
    <xf numFmtId="3" fontId="6" fillId="17" borderId="71" xfId="0" applyNumberFormat="1" applyFont="1" applyFill="1" applyBorder="1" applyAlignment="1">
      <alignment horizontal="right" vertical="center" indent="1"/>
    </xf>
    <xf numFmtId="3" fontId="8" fillId="17" borderId="101" xfId="0" applyNumberFormat="1" applyFont="1" applyFill="1" applyBorder="1" applyAlignment="1">
      <alignment horizontal="right" vertical="center" indent="1"/>
    </xf>
    <xf numFmtId="3" fontId="6" fillId="17" borderId="102" xfId="0" applyNumberFormat="1" applyFont="1" applyFill="1" applyBorder="1" applyAlignment="1">
      <alignment horizontal="right" vertical="center" indent="1"/>
    </xf>
    <xf numFmtId="167" fontId="41" fillId="19" borderId="0" xfId="0" applyNumberFormat="1" applyFont="1" applyFill="1" applyBorder="1" applyAlignment="1">
      <alignment horizontal="right" vertical="center"/>
    </xf>
    <xf numFmtId="0" fontId="7" fillId="20" borderId="23" xfId="0" applyFont="1" applyFill="1" applyBorder="1" applyAlignment="1">
      <alignment horizontal="center"/>
    </xf>
    <xf numFmtId="0" fontId="7" fillId="20" borderId="0" xfId="0" applyFont="1" applyFill="1" applyBorder="1" applyAlignment="1">
      <alignment horizontal="center"/>
    </xf>
    <xf numFmtId="0" fontId="7" fillId="20" borderId="15" xfId="0" applyFont="1" applyFill="1" applyBorder="1" applyAlignment="1">
      <alignment horizontal="center"/>
    </xf>
    <xf numFmtId="168" fontId="9" fillId="19" borderId="0" xfId="0" applyNumberFormat="1" applyFont="1" applyFill="1" applyBorder="1" applyAlignment="1">
      <alignment horizontal="center" vertical="center"/>
    </xf>
    <xf numFmtId="0" fontId="6" fillId="20" borderId="0" xfId="0" applyFont="1" applyFill="1" applyBorder="1" applyAlignment="1" applyProtection="1">
      <alignment horizontal="center" vertical="top"/>
      <protection locked="0"/>
    </xf>
    <xf numFmtId="0" fontId="6" fillId="20" borderId="24" xfId="0" applyFont="1" applyFill="1" applyBorder="1" applyAlignment="1">
      <alignment horizontal="center"/>
    </xf>
    <xf numFmtId="0" fontId="6" fillId="20" borderId="25" xfId="0" applyFont="1" applyFill="1" applyBorder="1" applyAlignment="1">
      <alignment horizontal="center"/>
    </xf>
    <xf numFmtId="0" fontId="6" fillId="20" borderId="27" xfId="0" applyFont="1" applyFill="1" applyBorder="1" applyAlignment="1">
      <alignment horizontal="center"/>
    </xf>
    <xf numFmtId="0" fontId="6" fillId="19" borderId="0" xfId="0" applyFont="1" applyFill="1" applyBorder="1" applyAlignment="1">
      <alignment vertical="top" wrapText="1"/>
    </xf>
    <xf numFmtId="0" fontId="8" fillId="19" borderId="0" xfId="0" applyFont="1" applyFill="1" applyBorder="1" applyAlignment="1">
      <alignment vertical="top"/>
    </xf>
    <xf numFmtId="0" fontId="6" fillId="20" borderId="23" xfId="0" applyFont="1" applyFill="1" applyBorder="1" applyAlignment="1">
      <alignment horizontal="center"/>
    </xf>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19" borderId="0" xfId="0" applyFont="1" applyFill="1" applyBorder="1" applyAlignment="1">
      <alignment horizontal="center"/>
    </xf>
    <xf numFmtId="0" fontId="8" fillId="19" borderId="0" xfId="0" applyFont="1" applyFill="1" applyBorder="1" applyAlignment="1">
      <alignment horizontal="left"/>
    </xf>
    <xf numFmtId="3" fontId="42" fillId="19" borderId="0" xfId="0" applyNumberFormat="1" applyFont="1" applyFill="1" applyBorder="1" applyAlignment="1">
      <alignment horizontal="left" vertical="center"/>
    </xf>
    <xf numFmtId="0" fontId="42" fillId="0" borderId="0" xfId="0" applyFont="1" applyAlignment="1">
      <alignment horizontal="left" vertical="center"/>
    </xf>
    <xf numFmtId="3" fontId="9" fillId="19" borderId="0" xfId="0" applyNumberFormat="1" applyFont="1" applyFill="1" applyBorder="1" applyAlignment="1">
      <alignment horizontal="right" vertical="center"/>
    </xf>
    <xf numFmtId="0" fontId="14" fillId="17" borderId="64" xfId="0" applyNumberFormat="1" applyFont="1" applyFill="1" applyBorder="1" applyAlignment="1" applyProtection="1">
      <alignment horizontal="left" vertical="top"/>
      <protection locked="0"/>
    </xf>
    <xf numFmtId="0" fontId="14" fillId="17" borderId="65" xfId="0" applyNumberFormat="1" applyFont="1" applyFill="1" applyBorder="1" applyAlignment="1" applyProtection="1">
      <alignment horizontal="left" vertical="top"/>
      <protection locked="0"/>
    </xf>
    <xf numFmtId="0" fontId="14" fillId="17" borderId="66" xfId="0" applyNumberFormat="1" applyFont="1" applyFill="1" applyBorder="1" applyAlignment="1" applyProtection="1">
      <alignment horizontal="left" vertical="top"/>
      <protection locked="0"/>
    </xf>
    <xf numFmtId="0" fontId="6" fillId="19" borderId="0" xfId="0" applyFont="1" applyFill="1" applyBorder="1" applyAlignment="1">
      <alignment wrapText="1"/>
    </xf>
    <xf numFmtId="0" fontId="0" fillId="0" borderId="0" xfId="0" applyAlignment="1">
      <alignment wrapText="1"/>
    </xf>
    <xf numFmtId="3" fontId="8" fillId="17" borderId="68" xfId="0" applyNumberFormat="1" applyFont="1" applyFill="1" applyBorder="1" applyAlignment="1">
      <alignment horizontal="right" vertical="center" indent="1"/>
    </xf>
    <xf numFmtId="3" fontId="6" fillId="17" borderId="69" xfId="0" applyNumberFormat="1" applyFont="1" applyFill="1" applyBorder="1" applyAlignment="1">
      <alignment horizontal="right" vertical="center" indent="1"/>
    </xf>
    <xf numFmtId="3" fontId="8" fillId="17" borderId="70" xfId="0" applyNumberFormat="1" applyFont="1" applyFill="1" applyBorder="1" applyAlignment="1" applyProtection="1">
      <alignment horizontal="right" vertical="center" indent="1"/>
    </xf>
    <xf numFmtId="3" fontId="6" fillId="17" borderId="71" xfId="0" applyNumberFormat="1" applyFont="1" applyFill="1" applyBorder="1" applyAlignment="1" applyProtection="1">
      <alignment horizontal="right" vertical="center" indent="1"/>
    </xf>
    <xf numFmtId="3" fontId="11" fillId="21" borderId="68" xfId="0" applyNumberFormat="1" applyFont="1" applyFill="1" applyBorder="1" applyAlignment="1" applyProtection="1">
      <alignment horizontal="right" vertical="center" indent="1"/>
    </xf>
    <xf numFmtId="3" fontId="12" fillId="21" borderId="69" xfId="0" applyNumberFormat="1" applyFont="1" applyFill="1" applyBorder="1" applyAlignment="1" applyProtection="1">
      <alignment horizontal="right" vertical="center" indent="1"/>
    </xf>
    <xf numFmtId="3" fontId="11" fillId="21" borderId="68" xfId="0" applyNumberFormat="1" applyFont="1" applyFill="1" applyBorder="1" applyAlignment="1">
      <alignment horizontal="right" vertical="center" indent="1"/>
    </xf>
    <xf numFmtId="3" fontId="12" fillId="21" borderId="69" xfId="0" applyNumberFormat="1" applyFont="1" applyFill="1" applyBorder="1" applyAlignment="1">
      <alignment horizontal="right" vertical="center" indent="1"/>
    </xf>
    <xf numFmtId="3" fontId="11" fillId="22" borderId="51" xfId="0" applyNumberFormat="1" applyFont="1" applyFill="1" applyBorder="1" applyAlignment="1" applyProtection="1">
      <alignment horizontal="right" vertical="center" indent="1"/>
      <protection locked="0"/>
    </xf>
    <xf numFmtId="3" fontId="11" fillId="22" borderId="53" xfId="0" applyNumberFormat="1" applyFont="1" applyFill="1" applyBorder="1" applyAlignment="1" applyProtection="1">
      <alignment horizontal="right" vertical="center" indent="1"/>
      <protection locked="0"/>
    </xf>
    <xf numFmtId="0" fontId="11" fillId="19" borderId="0" xfId="0" applyFont="1" applyFill="1" applyBorder="1" applyAlignment="1">
      <alignment horizontal="center" wrapText="1"/>
    </xf>
    <xf numFmtId="0" fontId="0" fillId="0" borderId="0" xfId="0" applyBorder="1" applyAlignment="1">
      <alignment wrapText="1"/>
    </xf>
    <xf numFmtId="0" fontId="52" fillId="19" borderId="0" xfId="0" applyFont="1" applyFill="1" applyBorder="1" applyAlignment="1">
      <alignment horizontal="center" vertical="center"/>
    </xf>
    <xf numFmtId="0" fontId="52" fillId="19" borderId="0" xfId="0" applyFont="1" applyFill="1" applyBorder="1" applyAlignment="1">
      <alignment horizontal="center" vertical="center" wrapText="1"/>
    </xf>
    <xf numFmtId="0" fontId="12" fillId="19" borderId="0" xfId="0" applyFont="1" applyFill="1" applyBorder="1" applyAlignment="1">
      <alignment horizontal="center"/>
    </xf>
    <xf numFmtId="3" fontId="11" fillId="17" borderId="68" xfId="0" applyNumberFormat="1" applyFont="1" applyFill="1" applyBorder="1" applyAlignment="1">
      <alignment horizontal="right" vertical="center" indent="1"/>
    </xf>
    <xf numFmtId="3" fontId="12" fillId="17" borderId="69" xfId="0" applyNumberFormat="1" applyFont="1" applyFill="1" applyBorder="1" applyAlignment="1">
      <alignment horizontal="right" vertical="center" indent="1"/>
    </xf>
    <xf numFmtId="0" fontId="0" fillId="0" borderId="0" xfId="0" applyBorder="1" applyAlignment="1">
      <alignment horizontal="center"/>
    </xf>
    <xf numFmtId="0" fontId="0" fillId="0" borderId="15" xfId="0"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0" fontId="2" fillId="0" borderId="0" xfId="0" applyFont="1" applyBorder="1" applyAlignment="1">
      <alignment wrapText="1"/>
    </xf>
    <xf numFmtId="3" fontId="11" fillId="22" borderId="68" xfId="0" applyNumberFormat="1" applyFont="1" applyFill="1" applyBorder="1" applyAlignment="1" applyProtection="1">
      <alignment horizontal="right" vertical="center" indent="1"/>
    </xf>
    <xf numFmtId="3" fontId="12" fillId="22" borderId="69" xfId="0" applyNumberFormat="1" applyFont="1" applyFill="1" applyBorder="1" applyAlignment="1" applyProtection="1">
      <alignment horizontal="right" vertical="center" indent="1"/>
    </xf>
    <xf numFmtId="3" fontId="11" fillId="17" borderId="69" xfId="0" applyNumberFormat="1" applyFont="1" applyFill="1" applyBorder="1" applyAlignment="1">
      <alignment horizontal="right" vertical="center" indent="1"/>
    </xf>
    <xf numFmtId="0" fontId="3" fillId="19" borderId="16" xfId="0" applyFont="1" applyFill="1" applyBorder="1" applyAlignment="1">
      <alignment horizontal="left"/>
    </xf>
    <xf numFmtId="0" fontId="8" fillId="19" borderId="0" xfId="0" applyFont="1" applyFill="1" applyBorder="1" applyAlignment="1">
      <alignment wrapText="1"/>
    </xf>
    <xf numFmtId="0" fontId="2" fillId="0" borderId="0" xfId="0" applyFont="1" applyAlignment="1">
      <alignment wrapText="1"/>
    </xf>
    <xf numFmtId="3" fontId="11" fillId="17" borderId="0" xfId="0" applyNumberFormat="1" applyFont="1" applyFill="1" applyBorder="1" applyAlignment="1">
      <alignment horizontal="center"/>
    </xf>
    <xf numFmtId="0" fontId="11" fillId="17" borderId="0" xfId="0" applyFont="1" applyFill="1" applyBorder="1" applyAlignment="1">
      <alignment horizontal="center"/>
    </xf>
    <xf numFmtId="3" fontId="11" fillId="17" borderId="0" xfId="0" applyNumberFormat="1" applyFont="1" applyFill="1" applyBorder="1" applyAlignment="1">
      <alignment horizontal="right" vertical="center" indent="1"/>
    </xf>
    <xf numFmtId="3" fontId="8" fillId="22" borderId="51" xfId="0" applyNumberFormat="1" applyFont="1" applyFill="1" applyBorder="1" applyAlignment="1" applyProtection="1">
      <alignment horizontal="right" vertical="center" indent="1"/>
      <protection locked="0"/>
    </xf>
    <xf numFmtId="3" fontId="8" fillId="22" borderId="53" xfId="0" applyNumberFormat="1" applyFont="1" applyFill="1" applyBorder="1" applyAlignment="1" applyProtection="1">
      <alignment horizontal="right" vertical="center" indent="1"/>
      <protection locked="0"/>
    </xf>
    <xf numFmtId="0" fontId="8" fillId="19" borderId="0" xfId="0" applyFont="1" applyFill="1" applyBorder="1" applyAlignment="1">
      <alignment vertical="top" wrapText="1"/>
    </xf>
    <xf numFmtId="0" fontId="3" fillId="0" borderId="0" xfId="0" applyFont="1" applyBorder="1" applyAlignment="1">
      <alignment vertical="top" wrapText="1"/>
    </xf>
    <xf numFmtId="0" fontId="3" fillId="0" borderId="0" xfId="0" applyFont="1" applyAlignment="1">
      <alignment vertical="top" wrapText="1"/>
    </xf>
    <xf numFmtId="0" fontId="2" fillId="0" borderId="0" xfId="0" applyFont="1" applyBorder="1" applyAlignment="1">
      <alignment vertical="top" wrapText="1"/>
    </xf>
    <xf numFmtId="3" fontId="11" fillId="21" borderId="0" xfId="0" applyNumberFormat="1" applyFont="1" applyFill="1" applyBorder="1" applyAlignment="1">
      <alignment horizontal="right" vertical="center" indent="1"/>
    </xf>
    <xf numFmtId="0" fontId="6" fillId="17" borderId="0" xfId="0" applyFont="1" applyFill="1" applyBorder="1" applyAlignment="1">
      <alignment vertical="top" wrapText="1"/>
    </xf>
    <xf numFmtId="0" fontId="2" fillId="0" borderId="0" xfId="0" applyFont="1" applyAlignment="1">
      <alignment vertical="top" wrapText="1"/>
    </xf>
    <xf numFmtId="0" fontId="11" fillId="21" borderId="72" xfId="0" applyFont="1" applyFill="1" applyBorder="1" applyAlignment="1">
      <alignment horizontal="center"/>
    </xf>
    <xf numFmtId="0" fontId="6" fillId="25" borderId="0" xfId="0" applyFont="1" applyFill="1" applyBorder="1" applyAlignment="1">
      <alignment horizontal="left" vertical="top" wrapText="1"/>
    </xf>
    <xf numFmtId="0" fontId="0" fillId="25" borderId="0" xfId="0" applyFill="1" applyAlignment="1">
      <alignment horizontal="left" vertical="top" wrapText="1"/>
    </xf>
    <xf numFmtId="3" fontId="11" fillId="0" borderId="51" xfId="0" applyNumberFormat="1" applyFont="1" applyFill="1" applyBorder="1" applyAlignment="1" applyProtection="1">
      <alignment horizontal="right" vertical="center" indent="1"/>
      <protection locked="0"/>
    </xf>
    <xf numFmtId="3" fontId="11" fillId="0" borderId="53" xfId="0" applyNumberFormat="1" applyFont="1" applyFill="1" applyBorder="1" applyAlignment="1" applyProtection="1">
      <alignment horizontal="right" vertical="center" indent="1"/>
      <protection locked="0"/>
    </xf>
    <xf numFmtId="0" fontId="8" fillId="19" borderId="16" xfId="0" applyFont="1" applyFill="1" applyBorder="1" applyAlignment="1">
      <alignment horizontal="left" wrapText="1"/>
    </xf>
    <xf numFmtId="0" fontId="8" fillId="19" borderId="0" xfId="0" applyFont="1" applyFill="1" applyBorder="1" applyAlignment="1">
      <alignment horizontal="left" wrapText="1"/>
    </xf>
    <xf numFmtId="0" fontId="6" fillId="25" borderId="0" xfId="0" applyFont="1" applyFill="1" applyBorder="1" applyAlignment="1" applyProtection="1">
      <alignment vertical="top" wrapText="1"/>
    </xf>
    <xf numFmtId="0" fontId="12" fillId="25" borderId="0" xfId="0" applyFont="1" applyFill="1" applyBorder="1" applyAlignment="1" applyProtection="1">
      <alignment vertical="top" wrapText="1"/>
    </xf>
    <xf numFmtId="0" fontId="0" fillId="25" borderId="0" xfId="0" applyFill="1" applyBorder="1" applyAlignment="1" applyProtection="1">
      <alignment vertical="top" wrapText="1"/>
    </xf>
    <xf numFmtId="0" fontId="11" fillId="19" borderId="0" xfId="0" applyFont="1" applyFill="1" applyBorder="1" applyAlignment="1">
      <alignment horizontal="left"/>
    </xf>
    <xf numFmtId="14" fontId="45" fillId="17" borderId="51" xfId="0" applyNumberFormat="1" applyFont="1" applyFill="1" applyBorder="1" applyAlignment="1" applyProtection="1">
      <alignment horizontal="right" vertical="center" indent="1"/>
      <protection locked="0"/>
    </xf>
    <xf numFmtId="14" fontId="45" fillId="17" borderId="53" xfId="0" applyNumberFormat="1" applyFont="1" applyFill="1" applyBorder="1" applyAlignment="1" applyProtection="1">
      <alignment horizontal="right" vertical="center" indent="1"/>
      <protection locked="0"/>
    </xf>
    <xf numFmtId="0" fontId="12" fillId="19" borderId="0" xfId="0" applyFont="1" applyFill="1" applyBorder="1" applyAlignment="1">
      <alignment horizontal="left" vertical="top" wrapText="1"/>
    </xf>
    <xf numFmtId="3" fontId="11" fillId="21" borderId="69" xfId="0" applyNumberFormat="1" applyFont="1" applyFill="1" applyBorder="1" applyAlignment="1">
      <alignment horizontal="right" vertical="center" indent="1"/>
    </xf>
    <xf numFmtId="0" fontId="6" fillId="25" borderId="0" xfId="0" applyFont="1" applyFill="1" applyBorder="1" applyAlignment="1" applyProtection="1">
      <alignment horizontal="left" vertical="top" wrapText="1"/>
    </xf>
    <xf numFmtId="0" fontId="12" fillId="25" borderId="0" xfId="0" applyFont="1" applyFill="1" applyBorder="1" applyAlignment="1" applyProtection="1">
      <alignment horizontal="left" vertical="top" wrapText="1"/>
    </xf>
    <xf numFmtId="0" fontId="45" fillId="19" borderId="0" xfId="0" applyFont="1" applyFill="1" applyBorder="1" applyAlignment="1">
      <alignment horizontal="left" vertical="center" wrapText="1"/>
    </xf>
    <xf numFmtId="0" fontId="11" fillId="19" borderId="25" xfId="0" applyFont="1" applyFill="1" applyBorder="1" applyAlignment="1">
      <alignment horizontal="center"/>
    </xf>
    <xf numFmtId="3" fontId="11" fillId="21" borderId="101" xfId="0" applyNumberFormat="1" applyFont="1" applyFill="1" applyBorder="1" applyAlignment="1" applyProtection="1">
      <alignment horizontal="right" vertical="center" indent="1"/>
    </xf>
    <xf numFmtId="3" fontId="11" fillId="21" borderId="102" xfId="0" applyNumberFormat="1" applyFont="1" applyFill="1" applyBorder="1" applyAlignment="1" applyProtection="1">
      <alignment horizontal="right" vertical="center" indent="1"/>
    </xf>
    <xf numFmtId="0" fontId="8" fillId="21" borderId="19" xfId="0" applyFont="1" applyFill="1" applyBorder="1" applyAlignment="1">
      <alignment horizontal="center" vertical="center" wrapText="1"/>
    </xf>
    <xf numFmtId="0" fontId="11" fillId="21" borderId="19" xfId="0" applyFont="1" applyFill="1" applyBorder="1" applyAlignment="1">
      <alignment horizontal="center" vertical="center"/>
    </xf>
    <xf numFmtId="0" fontId="11" fillId="21" borderId="72" xfId="0" applyFont="1" applyFill="1" applyBorder="1" applyAlignment="1">
      <alignment horizontal="center" vertical="center"/>
    </xf>
    <xf numFmtId="3" fontId="11" fillId="22" borderId="101" xfId="0" applyNumberFormat="1" applyFont="1" applyFill="1" applyBorder="1" applyAlignment="1" applyProtection="1">
      <alignment horizontal="right" vertical="center" indent="1"/>
    </xf>
    <xf numFmtId="3" fontId="11" fillId="22" borderId="102" xfId="0" applyNumberFormat="1" applyFont="1" applyFill="1" applyBorder="1" applyAlignment="1" applyProtection="1">
      <alignment horizontal="right" vertical="center" indent="1"/>
    </xf>
    <xf numFmtId="3" fontId="11" fillId="36" borderId="101" xfId="0" applyNumberFormat="1" applyFont="1" applyFill="1" applyBorder="1" applyAlignment="1" applyProtection="1">
      <alignment horizontal="right" vertical="center" indent="1"/>
    </xf>
    <xf numFmtId="3" fontId="11" fillId="36" borderId="102" xfId="0" applyNumberFormat="1" applyFont="1" applyFill="1" applyBorder="1" applyAlignment="1" applyProtection="1">
      <alignment horizontal="right" vertical="center" indent="1"/>
    </xf>
    <xf numFmtId="0" fontId="6" fillId="25" borderId="0" xfId="0" applyFont="1" applyFill="1" applyBorder="1" applyAlignment="1">
      <alignment vertical="top" wrapText="1"/>
    </xf>
    <xf numFmtId="0" fontId="0" fillId="25" borderId="0" xfId="0" applyFill="1" applyAlignment="1">
      <alignment wrapText="1"/>
    </xf>
    <xf numFmtId="0" fontId="0" fillId="25" borderId="0" xfId="0" applyFill="1" applyAlignment="1">
      <alignment vertical="top" wrapText="1"/>
    </xf>
    <xf numFmtId="3" fontId="11" fillId="17" borderId="0" xfId="0" applyNumberFormat="1" applyFont="1" applyFill="1" applyBorder="1" applyAlignment="1">
      <alignment horizontal="center" vertical="center"/>
    </xf>
    <xf numFmtId="3" fontId="11" fillId="22" borderId="106" xfId="0" applyNumberFormat="1" applyFont="1" applyFill="1" applyBorder="1" applyAlignment="1" applyProtection="1">
      <alignment horizontal="right" vertical="center" indent="1"/>
    </xf>
    <xf numFmtId="3" fontId="11" fillId="22" borderId="107" xfId="0" applyNumberFormat="1" applyFont="1" applyFill="1" applyBorder="1" applyAlignment="1" applyProtection="1">
      <alignment horizontal="right" vertical="center" indent="1"/>
    </xf>
    <xf numFmtId="3" fontId="8" fillId="21" borderId="101" xfId="0" applyNumberFormat="1" applyFont="1" applyFill="1" applyBorder="1" applyAlignment="1" applyProtection="1">
      <alignment horizontal="right" vertical="justify" indent="1"/>
    </xf>
    <xf numFmtId="3" fontId="3" fillId="0" borderId="102" xfId="0" applyNumberFormat="1" applyFont="1" applyBorder="1" applyAlignment="1" applyProtection="1">
      <alignment horizontal="right" vertical="justify" indent="1"/>
    </xf>
    <xf numFmtId="0" fontId="48" fillId="22" borderId="0" xfId="0" applyFont="1" applyFill="1" applyBorder="1" applyAlignment="1">
      <alignment horizontal="center" vertical="center"/>
    </xf>
    <xf numFmtId="3" fontId="12" fillId="17" borderId="102" xfId="0" applyNumberFormat="1" applyFont="1" applyFill="1" applyBorder="1" applyAlignment="1" applyProtection="1">
      <alignment horizontal="right" vertical="center" indent="1"/>
    </xf>
    <xf numFmtId="3" fontId="8" fillId="36" borderId="101" xfId="0" applyNumberFormat="1" applyFont="1" applyFill="1" applyBorder="1" applyAlignment="1" applyProtection="1">
      <alignment horizontal="right" vertical="center" indent="1"/>
    </xf>
    <xf numFmtId="3" fontId="11" fillId="21" borderId="103" xfId="0" applyNumberFormat="1" applyFont="1" applyFill="1" applyBorder="1" applyAlignment="1" applyProtection="1">
      <alignment horizontal="right" vertical="center" indent="1"/>
    </xf>
    <xf numFmtId="3" fontId="11" fillId="21" borderId="104" xfId="0" applyNumberFormat="1" applyFont="1" applyFill="1" applyBorder="1" applyAlignment="1" applyProtection="1">
      <alignment horizontal="right" vertical="center" indent="1"/>
    </xf>
    <xf numFmtId="0" fontId="3" fillId="19" borderId="0" xfId="0" applyFont="1" applyFill="1" applyBorder="1" applyAlignment="1">
      <alignment horizontal="left"/>
    </xf>
    <xf numFmtId="0" fontId="8" fillId="19" borderId="0" xfId="0" applyFont="1" applyFill="1" applyBorder="1" applyAlignment="1">
      <alignment horizontal="center" vertical="center"/>
    </xf>
    <xf numFmtId="0" fontId="8" fillId="19" borderId="0" xfId="0" applyFont="1" applyFill="1" applyBorder="1" applyAlignment="1">
      <alignment horizontal="center" wrapText="1"/>
    </xf>
    <xf numFmtId="3" fontId="8" fillId="19" borderId="0" xfId="0" applyNumberFormat="1" applyFont="1" applyFill="1" applyBorder="1" applyAlignment="1">
      <alignment horizontal="center" wrapText="1"/>
    </xf>
    <xf numFmtId="3" fontId="11" fillId="19" borderId="0" xfId="0" applyNumberFormat="1" applyFont="1" applyFill="1" applyBorder="1" applyAlignment="1">
      <alignment horizontal="center" wrapText="1"/>
    </xf>
    <xf numFmtId="0" fontId="6" fillId="19" borderId="0" xfId="0" applyFont="1" applyFill="1" applyBorder="1" applyAlignment="1">
      <alignment horizontal="center"/>
    </xf>
    <xf numFmtId="3" fontId="8" fillId="0" borderId="101" xfId="0" applyNumberFormat="1" applyFont="1" applyFill="1" applyBorder="1" applyAlignment="1">
      <alignment horizontal="right" vertical="center" indent="1"/>
    </xf>
    <xf numFmtId="3" fontId="8" fillId="0" borderId="102" xfId="0" applyNumberFormat="1" applyFont="1" applyFill="1" applyBorder="1" applyAlignment="1">
      <alignment horizontal="right" vertical="center" indent="1"/>
    </xf>
    <xf numFmtId="3" fontId="8" fillId="17" borderId="101" xfId="0" applyNumberFormat="1" applyFont="1" applyFill="1" applyBorder="1" applyAlignment="1" applyProtection="1">
      <alignment horizontal="right" indent="1"/>
    </xf>
    <xf numFmtId="3" fontId="8" fillId="17" borderId="102" xfId="0" applyNumberFormat="1" applyFont="1" applyFill="1" applyBorder="1" applyAlignment="1" applyProtection="1">
      <alignment horizontal="right" indent="1"/>
    </xf>
    <xf numFmtId="3" fontId="11" fillId="17" borderId="68" xfId="0" applyNumberFormat="1" applyFont="1" applyFill="1" applyBorder="1" applyAlignment="1" applyProtection="1">
      <alignment horizontal="right" vertical="center" indent="1"/>
    </xf>
    <xf numFmtId="3" fontId="12" fillId="17" borderId="69" xfId="0" applyNumberFormat="1" applyFont="1" applyFill="1" applyBorder="1" applyAlignment="1" applyProtection="1">
      <alignment horizontal="right" vertical="center" indent="1"/>
    </xf>
    <xf numFmtId="0" fontId="11" fillId="21" borderId="0" xfId="0" applyFont="1" applyFill="1" applyBorder="1" applyAlignment="1">
      <alignment horizontal="center" vertical="center"/>
    </xf>
    <xf numFmtId="3" fontId="11" fillId="17" borderId="99" xfId="0" applyNumberFormat="1" applyFont="1" applyFill="1" applyBorder="1" applyAlignment="1" applyProtection="1">
      <alignment horizontal="right" vertical="center" indent="1"/>
    </xf>
    <xf numFmtId="3" fontId="11" fillId="17" borderId="100" xfId="0" applyNumberFormat="1" applyFont="1" applyFill="1" applyBorder="1" applyAlignment="1" applyProtection="1">
      <alignment horizontal="right" vertical="center" indent="1"/>
    </xf>
    <xf numFmtId="0" fontId="11" fillId="19" borderId="0" xfId="0" applyFont="1" applyFill="1" applyBorder="1" applyAlignment="1">
      <alignment horizontal="center"/>
    </xf>
    <xf numFmtId="0" fontId="11" fillId="21" borderId="0" xfId="0" applyFont="1" applyFill="1" applyBorder="1" applyAlignment="1">
      <alignment horizontal="center"/>
    </xf>
    <xf numFmtId="0" fontId="12" fillId="19" borderId="0" xfId="0" applyFont="1" applyFill="1" applyBorder="1" applyAlignment="1">
      <alignment vertical="top" wrapText="1"/>
    </xf>
    <xf numFmtId="0" fontId="0" fillId="0" borderId="0" xfId="0" applyBorder="1" applyAlignment="1">
      <alignment vertical="top" wrapText="1"/>
    </xf>
    <xf numFmtId="3" fontId="11" fillId="0" borderId="101" xfId="0" applyNumberFormat="1" applyFont="1" applyFill="1" applyBorder="1" applyAlignment="1">
      <alignment horizontal="right" vertical="center" indent="1"/>
    </xf>
    <xf numFmtId="3" fontId="11" fillId="0" borderId="102" xfId="0" applyNumberFormat="1" applyFont="1" applyFill="1" applyBorder="1" applyAlignment="1">
      <alignment horizontal="right" vertical="center" indent="1"/>
    </xf>
    <xf numFmtId="0" fontId="8" fillId="19" borderId="119" xfId="58"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0" xfId="0" applyBorder="1" applyAlignment="1" applyProtection="1">
      <alignment horizontal="center" vertical="center" wrapText="1"/>
    </xf>
    <xf numFmtId="0" fontId="8" fillId="19" borderId="119" xfId="58" quotePrefix="1" applyFont="1" applyFill="1" applyBorder="1" applyAlignment="1" applyProtection="1">
      <alignment horizontal="center" vertical="center" wrapText="1"/>
    </xf>
    <xf numFmtId="0" fontId="65" fillId="31" borderId="23" xfId="58" applyFont="1" applyFill="1" applyBorder="1" applyAlignment="1" applyProtection="1">
      <alignment horizontal="left"/>
    </xf>
    <xf numFmtId="0" fontId="64" fillId="31" borderId="0" xfId="58" applyFont="1" applyFill="1" applyBorder="1" applyAlignment="1" applyProtection="1">
      <alignment horizontal="left"/>
    </xf>
    <xf numFmtId="0" fontId="64" fillId="31" borderId="15" xfId="58" applyFont="1" applyFill="1" applyBorder="1" applyAlignment="1" applyProtection="1">
      <alignment horizontal="left"/>
    </xf>
    <xf numFmtId="0" fontId="61" fillId="19" borderId="0" xfId="58" applyFont="1" applyFill="1" applyBorder="1" applyAlignment="1" applyProtection="1">
      <alignment horizontal="center" vertical="center" wrapText="1"/>
    </xf>
    <xf numFmtId="0" fontId="0" fillId="0" borderId="0" xfId="58" applyFont="1" applyBorder="1" applyAlignment="1" applyProtection="1">
      <alignment horizontal="center" vertical="center"/>
    </xf>
    <xf numFmtId="0" fontId="47" fillId="19" borderId="0" xfId="58" quotePrefix="1" applyFont="1" applyFill="1" applyBorder="1" applyAlignment="1" applyProtection="1">
      <alignment horizontal="left" wrapText="1"/>
    </xf>
    <xf numFmtId="0" fontId="53" fillId="0" borderId="0" xfId="58" applyFont="1" applyBorder="1" applyAlignment="1" applyProtection="1">
      <alignment horizontal="left" wrapText="1"/>
    </xf>
    <xf numFmtId="0" fontId="53" fillId="0" borderId="120" xfId="58" applyFont="1" applyBorder="1" applyAlignment="1" applyProtection="1">
      <alignment horizontal="left" wrapText="1"/>
    </xf>
    <xf numFmtId="0" fontId="8" fillId="19" borderId="116" xfId="58" quotePrefix="1" applyFont="1" applyFill="1" applyBorder="1" applyAlignment="1" applyProtection="1">
      <alignment horizontal="center" vertical="center"/>
    </xf>
    <xf numFmtId="0" fontId="0" fillId="0" borderId="117" xfId="0" applyBorder="1" applyAlignment="1" applyProtection="1">
      <alignment horizontal="center" vertical="center"/>
    </xf>
    <xf numFmtId="0" fontId="0" fillId="0" borderId="118" xfId="0" applyBorder="1" applyAlignment="1" applyProtection="1">
      <alignment horizontal="center" vertical="center"/>
    </xf>
    <xf numFmtId="0" fontId="32" fillId="19" borderId="116" xfId="58" applyFont="1" applyFill="1" applyBorder="1" applyAlignment="1" applyProtection="1">
      <alignment horizontal="center" vertical="center"/>
    </xf>
    <xf numFmtId="0" fontId="0" fillId="0" borderId="117" xfId="0" applyBorder="1" applyAlignment="1">
      <alignment horizontal="center"/>
    </xf>
    <xf numFmtId="0" fontId="0" fillId="0" borderId="118" xfId="0" applyBorder="1" applyAlignment="1">
      <alignment horizontal="center"/>
    </xf>
    <xf numFmtId="0" fontId="0" fillId="0" borderId="117" xfId="0" applyBorder="1" applyAlignment="1">
      <alignment horizontal="center" vertical="center"/>
    </xf>
    <xf numFmtId="0" fontId="47" fillId="19" borderId="126" xfId="58" applyFont="1" applyFill="1" applyBorder="1" applyAlignment="1" applyProtection="1">
      <alignment horizontal="left" vertical="center" wrapText="1"/>
    </xf>
    <xf numFmtId="0" fontId="2" fillId="0" borderId="119" xfId="0" applyFont="1" applyBorder="1" applyAlignment="1">
      <alignment wrapText="1"/>
    </xf>
    <xf numFmtId="3" fontId="8" fillId="22" borderId="128" xfId="0" applyNumberFormat="1" applyFont="1" applyFill="1" applyBorder="1" applyAlignment="1" applyProtection="1">
      <alignment horizontal="right" vertical="center" indent="1"/>
      <protection locked="0"/>
    </xf>
    <xf numFmtId="3" fontId="8" fillId="22" borderId="129" xfId="0" applyNumberFormat="1" applyFont="1" applyFill="1" applyBorder="1" applyAlignment="1" applyProtection="1">
      <alignment horizontal="right" vertical="center" indent="1"/>
      <protection locked="0"/>
    </xf>
    <xf numFmtId="0" fontId="2" fillId="0" borderId="110" xfId="0" applyFont="1" applyBorder="1" applyAlignment="1">
      <alignment horizontal="center" vertical="top" wrapText="1"/>
    </xf>
    <xf numFmtId="0" fontId="2" fillId="0" borderId="110" xfId="0" applyFont="1" applyBorder="1" applyAlignment="1" applyProtection="1">
      <alignment horizontal="center" vertical="top" wrapText="1"/>
      <protection locked="0"/>
    </xf>
    <xf numFmtId="0" fontId="2" fillId="0" borderId="110" xfId="0" applyFont="1" applyFill="1" applyBorder="1" applyAlignment="1">
      <alignment horizontal="center" vertical="top" wrapText="1"/>
    </xf>
    <xf numFmtId="0" fontId="3" fillId="0" borderId="110" xfId="0" applyFont="1" applyBorder="1" applyAlignment="1">
      <alignment horizontal="center" vertical="top" wrapText="1"/>
    </xf>
    <xf numFmtId="0" fontId="2" fillId="0" borderId="53" xfId="0" applyFont="1" applyBorder="1" applyAlignment="1">
      <alignment horizontal="center" vertical="top" wrapText="1"/>
    </xf>
    <xf numFmtId="0" fontId="2" fillId="0" borderId="51" xfId="0" applyFont="1" applyFill="1" applyBorder="1" applyAlignment="1">
      <alignment horizontal="center" vertical="top" wrapText="1"/>
    </xf>
    <xf numFmtId="171" fontId="2" fillId="0" borderId="51" xfId="0" applyNumberFormat="1" applyFont="1" applyBorder="1" applyAlignment="1">
      <alignment horizontal="center"/>
    </xf>
    <xf numFmtId="171" fontId="2" fillId="0" borderId="110" xfId="0" applyNumberFormat="1" applyFont="1" applyBorder="1" applyAlignment="1">
      <alignment horizontal="center"/>
    </xf>
    <xf numFmtId="171" fontId="2" fillId="0" borderId="53" xfId="0" applyNumberFormat="1" applyFont="1" applyBorder="1" applyAlignment="1">
      <alignment horizontal="center"/>
    </xf>
    <xf numFmtId="0" fontId="2" fillId="0" borderId="51" xfId="0" applyFont="1" applyBorder="1" applyAlignment="1">
      <alignment horizontal="center"/>
    </xf>
    <xf numFmtId="0" fontId="2" fillId="0" borderId="110" xfId="0" applyFont="1" applyBorder="1" applyAlignment="1">
      <alignment horizontal="center"/>
    </xf>
    <xf numFmtId="0" fontId="2" fillId="0" borderId="53" xfId="0" applyFont="1" applyBorder="1" applyAlignment="1">
      <alignment horizontal="center"/>
    </xf>
    <xf numFmtId="0" fontId="0" fillId="0" borderId="110" xfId="0" applyBorder="1" applyAlignment="1">
      <alignment horizontal="center" vertical="top" wrapText="1"/>
    </xf>
    <xf numFmtId="0" fontId="2" fillId="0" borderId="51" xfId="0" applyFont="1" applyBorder="1" applyAlignment="1">
      <alignment horizontal="center" vertical="top" wrapText="1"/>
    </xf>
    <xf numFmtId="0" fontId="0" fillId="0" borderId="53" xfId="0" applyBorder="1" applyAlignment="1">
      <alignment horizontal="center" vertical="top" wrapText="1"/>
    </xf>
    <xf numFmtId="0" fontId="0" fillId="0" borderId="0" xfId="0" applyBorder="1" applyAlignment="1">
      <alignment horizontal="center" vertical="top" wrapText="1"/>
    </xf>
    <xf numFmtId="0" fontId="0" fillId="0" borderId="51" xfId="0" applyBorder="1" applyAlignment="1">
      <alignment horizontal="center" vertical="top" wrapText="1"/>
    </xf>
    <xf numFmtId="0" fontId="0" fillId="0" borderId="0" xfId="0" applyAlignment="1">
      <alignment horizontal="center" vertical="top" wrapText="1"/>
    </xf>
    <xf numFmtId="0" fontId="0" fillId="0" borderId="25" xfId="0" applyBorder="1" applyAlignment="1">
      <alignment horizontal="center" vertical="top" wrapText="1"/>
    </xf>
    <xf numFmtId="0" fontId="13" fillId="37" borderId="25" xfId="0" applyFont="1" applyFill="1" applyBorder="1" applyAlignment="1">
      <alignment horizontal="center"/>
    </xf>
    <xf numFmtId="0" fontId="3" fillId="0" borderId="24" xfId="0" applyFont="1" applyBorder="1" applyAlignment="1">
      <alignment horizontal="center" vertical="center"/>
    </xf>
    <xf numFmtId="0" fontId="0" fillId="0" borderId="25" xfId="0" applyBorder="1" applyAlignment="1">
      <alignment horizontal="center" vertical="center"/>
    </xf>
    <xf numFmtId="0" fontId="13" fillId="23" borderId="25" xfId="0" applyFont="1" applyFill="1" applyBorder="1" applyAlignment="1">
      <alignment horizontal="center"/>
    </xf>
    <xf numFmtId="0" fontId="0" fillId="0" borderId="25" xfId="0" applyBorder="1" applyAlignment="1">
      <alignment horizontal="center"/>
    </xf>
    <xf numFmtId="0" fontId="2" fillId="37" borderId="24" xfId="0" applyFont="1" applyFill="1" applyBorder="1" applyAlignment="1">
      <alignment horizontal="center"/>
    </xf>
    <xf numFmtId="0" fontId="2" fillId="37" borderId="27" xfId="0" applyFont="1" applyFill="1" applyBorder="1" applyAlignment="1">
      <alignment horizontal="center"/>
    </xf>
    <xf numFmtId="0" fontId="6" fillId="19" borderId="0" xfId="0" applyFont="1" applyFill="1"/>
    <xf numFmtId="3" fontId="32" fillId="19" borderId="0" xfId="58" applyNumberFormat="1" applyFont="1" applyFill="1" applyBorder="1" applyAlignment="1" applyProtection="1">
      <alignment horizontal="right" vertical="center" indent="1"/>
    </xf>
    <xf numFmtId="3" fontId="34" fillId="19" borderId="0" xfId="58" applyNumberFormat="1" applyFont="1" applyFill="1" applyBorder="1" applyAlignment="1" applyProtection="1">
      <alignment horizontal="right" vertical="center" indent="1"/>
    </xf>
    <xf numFmtId="3" fontId="32" fillId="23" borderId="0" xfId="58" applyNumberFormat="1" applyFont="1" applyFill="1" applyBorder="1" applyAlignment="1" applyProtection="1">
      <alignment horizontal="right" vertical="center" indent="1"/>
    </xf>
    <xf numFmtId="3" fontId="32" fillId="17" borderId="34" xfId="58" applyNumberFormat="1" applyFont="1" applyFill="1" applyBorder="1" applyAlignment="1" applyProtection="1">
      <alignment horizontal="right" vertical="center" indent="1"/>
    </xf>
    <xf numFmtId="3" fontId="60" fillId="19" borderId="0" xfId="58" applyNumberFormat="1" applyFont="1" applyFill="1" applyBorder="1" applyAlignment="1" applyProtection="1">
      <alignment horizontal="right" vertical="center"/>
    </xf>
    <xf numFmtId="3" fontId="32" fillId="17" borderId="34" xfId="58" applyNumberFormat="1" applyFont="1" applyFill="1" applyBorder="1" applyAlignment="1" applyProtection="1">
      <alignment horizontal="right" vertical="center"/>
      <protection locked="0"/>
    </xf>
    <xf numFmtId="3" fontId="32" fillId="17" borderId="115" xfId="58" applyNumberFormat="1" applyFont="1" applyFill="1" applyBorder="1" applyAlignment="1" applyProtection="1">
      <alignment horizontal="right" vertical="center"/>
    </xf>
    <xf numFmtId="3" fontId="32" fillId="17" borderId="115" xfId="58" applyNumberFormat="1" applyFont="1" applyFill="1" applyBorder="1" applyAlignment="1" applyProtection="1">
      <alignment horizontal="right" vertical="center"/>
      <protection locked="0"/>
    </xf>
    <xf numFmtId="3" fontId="32" fillId="23" borderId="115" xfId="58" applyNumberFormat="1" applyFont="1" applyFill="1" applyBorder="1" applyAlignment="1" applyProtection="1">
      <alignment horizontal="right" vertical="center"/>
    </xf>
  </cellXfs>
  <cellStyles count="71">
    <cellStyle name="%" xfId="58"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xr:uid="{00000000-0005-0000-0000-00001B000000}"/>
    <cellStyle name="CellBAValue 2" xfId="28" xr:uid="{00000000-0005-0000-0000-00001C000000}"/>
    <cellStyle name="CellNationValue" xfId="29" xr:uid="{00000000-0005-0000-0000-00001D000000}"/>
    <cellStyle name="CellUAValue" xfId="30" xr:uid="{00000000-0005-0000-0000-00001E000000}"/>
    <cellStyle name="CellUAValue 2" xfId="31" xr:uid="{00000000-0005-0000-0000-00001F000000}"/>
    <cellStyle name="Check Cell" xfId="32" builtinId="23" customBuiltin="1"/>
    <cellStyle name="Comma" xfId="33" builtinId="3"/>
    <cellStyle name="Comma 2" xfId="50" xr:uid="{00000000-0005-0000-0000-000022000000}"/>
    <cellStyle name="Comma 2 2" xfId="51" xr:uid="{00000000-0005-0000-0000-000023000000}"/>
    <cellStyle name="Comma 3" xfId="59" xr:uid="{00000000-0005-0000-0000-000024000000}"/>
    <cellStyle name="Comma 4" xfId="70" xr:uid="{1A516E0E-5010-4ED7-A91D-3D739D082CA4}"/>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2" xfId="52" xr:uid="{00000000-0005-0000-0000-00002C000000}"/>
    <cellStyle name="Hyperlink 2 2" xfId="62" xr:uid="{00000000-0005-0000-0000-00002D000000}"/>
    <cellStyle name="Hyperlink 3" xfId="63" xr:uid="{00000000-0005-0000-0000-00002E000000}"/>
    <cellStyle name="Hyperlink 4" xfId="64" xr:uid="{00000000-0005-0000-0000-00002F000000}"/>
    <cellStyle name="Input" xfId="40" builtinId="20" customBuiltin="1"/>
    <cellStyle name="Linked Cell" xfId="41" builtinId="24" customBuiltin="1"/>
    <cellStyle name="Neutral" xfId="42" builtinId="28" customBuiltin="1"/>
    <cellStyle name="Neutral 2" xfId="54" xr:uid="{00000000-0005-0000-0000-000034000000}"/>
    <cellStyle name="Normal" xfId="0" builtinId="0"/>
    <cellStyle name="Normal 2" xfId="43" xr:uid="{00000000-0005-0000-0000-000036000000}"/>
    <cellStyle name="Normal 2 2" xfId="65" xr:uid="{00000000-0005-0000-0000-000037000000}"/>
    <cellStyle name="Normal 3" xfId="55" xr:uid="{00000000-0005-0000-0000-000038000000}"/>
    <cellStyle name="Normal 3 2" xfId="61" xr:uid="{00000000-0005-0000-0000-000039000000}"/>
    <cellStyle name="Normal 3 3" xfId="69" xr:uid="{B9AA848B-AF21-4D85-8975-8DD0E59AB7DB}"/>
    <cellStyle name="Normal 4" xfId="57" xr:uid="{00000000-0005-0000-0000-00003A000000}"/>
    <cellStyle name="Normal 5" xfId="53" xr:uid="{00000000-0005-0000-0000-00003B000000}"/>
    <cellStyle name="Normal 5 2" xfId="60" xr:uid="{00000000-0005-0000-0000-00003C000000}"/>
    <cellStyle name="Normal 6" xfId="66" xr:uid="{00000000-0005-0000-0000-00003D000000}"/>
    <cellStyle name="Normal_10-11 Data (2009)" xfId="68" xr:uid="{00000000-0005-0000-0000-00003E000000}"/>
    <cellStyle name="Normal_CTB Data down load" xfId="67" xr:uid="{00000000-0005-0000-0000-00003F000000}"/>
    <cellStyle name="Note" xfId="44" builtinId="10" customBuiltin="1"/>
    <cellStyle name="Output" xfId="45" builtinId="21" customBuiltin="1"/>
    <cellStyle name="Percent" xfId="46" builtinId="5"/>
    <cellStyle name="Percent 2" xfId="56" xr:uid="{00000000-0005-0000-0000-000044000000}"/>
    <cellStyle name="Title" xfId="47" builtinId="15" customBuiltin="1"/>
    <cellStyle name="Total" xfId="48" builtinId="25" customBuiltin="1"/>
    <cellStyle name="Warning Text" xfId="49" builtinId="11" customBuiltin="1"/>
  </cellStyles>
  <dxfs count="1">
    <dxf>
      <font>
        <color rgb="FF9C0006"/>
      </font>
      <fill>
        <patternFill>
          <bgColor rgb="FFFFC7CE"/>
        </patternFill>
      </fill>
    </dxf>
  </dxfs>
  <tableStyles count="0" defaultTableStyle="TableStyleMedium9" defaultPivotStyle="PivotStyleLight16"/>
  <colors>
    <mruColors>
      <color rgb="FFFFFFCC"/>
      <color rgb="FF99CCFF"/>
      <color rgb="FFCCCCFF"/>
      <color rgb="FFDDD9C4"/>
      <color rgb="FFC4D79B"/>
      <color rgb="FFCCFFCC"/>
      <color rgb="FFFFFF99"/>
      <color rgb="FF008000"/>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List" dx="16" fmlaLink="F1" fmlaRange="Data!$B$7:$C$321"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49691</xdr:colOff>
      <xdr:row>7</xdr:row>
      <xdr:rowOff>159723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333375"/>
          <a:ext cx="1859441" cy="969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561975</xdr:colOff>
          <xdr:row>6</xdr:row>
          <xdr:rowOff>85725</xdr:rowOff>
        </xdr:from>
        <xdr:to>
          <xdr:col>14</xdr:col>
          <xdr:colOff>609600</xdr:colOff>
          <xdr:row>10</xdr:row>
          <xdr:rowOff>95250</xdr:rowOff>
        </xdr:to>
        <xdr:sp macro="" textlink="">
          <xdr:nvSpPr>
            <xdr:cNvPr id="2053" name="List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2</xdr:col>
      <xdr:colOff>0</xdr:colOff>
      <xdr:row>0</xdr:row>
      <xdr:rowOff>0</xdr:rowOff>
    </xdr:from>
    <xdr:to>
      <xdr:col>4</xdr:col>
      <xdr:colOff>356607</xdr:colOff>
      <xdr:row>4</xdr:row>
      <xdr:rowOff>112098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28083" y="0"/>
          <a:ext cx="1859441" cy="969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54864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3990975</xdr:colOff>
      <xdr:row>1</xdr:row>
      <xdr:rowOff>0</xdr:rowOff>
    </xdr:from>
    <xdr:to>
      <xdr:col>19</xdr:col>
      <xdr:colOff>0</xdr:colOff>
      <xdr:row>1</xdr:row>
      <xdr:rowOff>0</xdr:rowOff>
    </xdr:to>
    <xdr:sp macro="" textlink="">
      <xdr:nvSpPr>
        <xdr:cNvPr id="3" name="Line 1">
          <a:extLst>
            <a:ext uri="{FF2B5EF4-FFF2-40B4-BE49-F238E27FC236}">
              <a16:creationId xmlns:a16="http://schemas.microsoft.com/office/drawing/2014/main" id="{00000000-0008-0000-0400-000003000000}"/>
            </a:ext>
          </a:extLst>
        </xdr:cNvPr>
        <xdr:cNvSpPr>
          <a:spLocks noChangeShapeType="1"/>
        </xdr:cNvSpPr>
      </xdr:nvSpPr>
      <xdr:spPr bwMode="auto">
        <a:xfrm>
          <a:off x="103632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3990975</xdr:colOff>
      <xdr:row>1</xdr:row>
      <xdr:rowOff>0</xdr:rowOff>
    </xdr:from>
    <xdr:to>
      <xdr:col>27</xdr:col>
      <xdr:colOff>0</xdr:colOff>
      <xdr:row>1</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152400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Access/NNDR3/Forms_Uploaded/Allerdale%20NNDR3%20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ow r="20">
          <cell r="L20" t="str">
            <v>Allerdale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A8">
            <v>1</v>
          </cell>
          <cell r="B8" t="str">
            <v>Adur</v>
          </cell>
          <cell r="C8" t="str">
            <v>E3831</v>
          </cell>
          <cell r="D8">
            <v>85393</v>
          </cell>
          <cell r="H8">
            <v>-1268400</v>
          </cell>
          <cell r="I8">
            <v>0</v>
          </cell>
          <cell r="J8">
            <v>85393</v>
          </cell>
          <cell r="K8">
            <v>0</v>
          </cell>
          <cell r="L8">
            <v>0</v>
          </cell>
          <cell r="M8">
            <v>0</v>
          </cell>
          <cell r="N8">
            <v>0</v>
          </cell>
          <cell r="O8">
            <v>0</v>
          </cell>
          <cell r="P8">
            <v>0</v>
          </cell>
          <cell r="Q8">
            <v>0</v>
          </cell>
          <cell r="R8">
            <v>365549</v>
          </cell>
          <cell r="S8">
            <v>91387</v>
          </cell>
          <cell r="T8">
            <v>0</v>
          </cell>
          <cell r="U8">
            <v>0</v>
          </cell>
          <cell r="V8">
            <v>0</v>
          </cell>
          <cell r="W8">
            <v>0</v>
          </cell>
          <cell r="X8">
            <v>2543</v>
          </cell>
          <cell r="Y8">
            <v>636</v>
          </cell>
          <cell r="Z8">
            <v>0</v>
          </cell>
          <cell r="AA8">
            <v>0</v>
          </cell>
          <cell r="AB8">
            <v>0</v>
          </cell>
          <cell r="AC8">
            <v>0</v>
          </cell>
          <cell r="AD8">
            <v>0</v>
          </cell>
          <cell r="AE8">
            <v>0</v>
          </cell>
          <cell r="AF8">
            <v>0</v>
          </cell>
          <cell r="AG8">
            <v>0</v>
          </cell>
          <cell r="AH8">
            <v>0</v>
          </cell>
          <cell r="AI8">
            <v>0</v>
          </cell>
          <cell r="AM8">
            <v>0</v>
          </cell>
          <cell r="AN8">
            <v>0</v>
          </cell>
          <cell r="AO8">
            <v>0</v>
          </cell>
          <cell r="AP8">
            <v>105529</v>
          </cell>
          <cell r="AQ8">
            <v>26382</v>
          </cell>
          <cell r="AR8">
            <v>0</v>
          </cell>
          <cell r="AS8">
            <v>-176408</v>
          </cell>
          <cell r="AT8">
            <v>-141127</v>
          </cell>
          <cell r="AU8">
            <v>-35281</v>
          </cell>
          <cell r="AV8">
            <v>0</v>
          </cell>
          <cell r="AW8">
            <v>-352816</v>
          </cell>
          <cell r="AX8">
            <v>-892129</v>
          </cell>
          <cell r="AY8">
            <v>-713703</v>
          </cell>
          <cell r="AZ8">
            <v>-178426</v>
          </cell>
          <cell r="BA8">
            <v>0</v>
          </cell>
          <cell r="BB8">
            <v>-1784258</v>
          </cell>
          <cell r="BC8">
            <v>17432514</v>
          </cell>
          <cell r="BD8">
            <v>-1379147</v>
          </cell>
          <cell r="BE8">
            <v>486350</v>
          </cell>
          <cell r="BF8">
            <v>0</v>
          </cell>
          <cell r="BG8">
            <v>-1568209</v>
          </cell>
          <cell r="BH8">
            <v>-81560</v>
          </cell>
          <cell r="BI8">
            <v>0</v>
          </cell>
          <cell r="BJ8">
            <v>0</v>
          </cell>
          <cell r="BK8">
            <v>-183416</v>
          </cell>
          <cell r="BL8">
            <v>-13981</v>
          </cell>
          <cell r="BM8">
            <v>-19290</v>
          </cell>
          <cell r="BN8">
            <v>-2665</v>
          </cell>
          <cell r="BO8">
            <v>0</v>
          </cell>
          <cell r="BP8">
            <v>0</v>
          </cell>
          <cell r="BQ8">
            <v>0</v>
          </cell>
          <cell r="BR8">
            <v>0</v>
          </cell>
          <cell r="BS8">
            <v>0</v>
          </cell>
          <cell r="BT8">
            <v>18673625</v>
          </cell>
          <cell r="BU8">
            <v>-145119</v>
          </cell>
          <cell r="BV8">
            <v>427907</v>
          </cell>
          <cell r="BW8">
            <v>-1140850</v>
          </cell>
          <cell r="BX8">
            <v>-608267</v>
          </cell>
          <cell r="BY8">
            <v>434945</v>
          </cell>
          <cell r="BZ8">
            <v>17562967</v>
          </cell>
          <cell r="CA8">
            <v>-304134</v>
          </cell>
          <cell r="CB8">
            <v>-243306</v>
          </cell>
          <cell r="CC8">
            <v>-60827</v>
          </cell>
          <cell r="CD8">
            <v>0</v>
          </cell>
          <cell r="CE8">
            <v>217472</v>
          </cell>
          <cell r="CF8">
            <v>173978</v>
          </cell>
          <cell r="CG8">
            <v>43495</v>
          </cell>
          <cell r="CH8">
            <v>0</v>
          </cell>
        </row>
        <row r="9">
          <cell r="A9">
            <v>2</v>
          </cell>
          <cell r="B9" t="str">
            <v>Allerdale</v>
          </cell>
          <cell r="C9" t="str">
            <v>E0931</v>
          </cell>
          <cell r="D9">
            <v>183183</v>
          </cell>
          <cell r="H9">
            <v>689237</v>
          </cell>
          <cell r="I9">
            <v>0</v>
          </cell>
          <cell r="J9">
            <v>183183</v>
          </cell>
          <cell r="K9">
            <v>0</v>
          </cell>
          <cell r="L9">
            <v>408587</v>
          </cell>
          <cell r="M9">
            <v>0</v>
          </cell>
          <cell r="N9">
            <v>0</v>
          </cell>
          <cell r="O9">
            <v>0</v>
          </cell>
          <cell r="P9">
            <v>0</v>
          </cell>
          <cell r="Q9">
            <v>0</v>
          </cell>
          <cell r="R9">
            <v>855482</v>
          </cell>
          <cell r="S9">
            <v>213870</v>
          </cell>
          <cell r="T9">
            <v>0</v>
          </cell>
          <cell r="U9">
            <v>6042</v>
          </cell>
          <cell r="V9">
            <v>1511</v>
          </cell>
          <cell r="W9">
            <v>0</v>
          </cell>
          <cell r="X9">
            <v>0</v>
          </cell>
          <cell r="Y9">
            <v>0</v>
          </cell>
          <cell r="Z9">
            <v>0</v>
          </cell>
          <cell r="AA9">
            <v>0</v>
          </cell>
          <cell r="AB9">
            <v>0</v>
          </cell>
          <cell r="AC9">
            <v>0</v>
          </cell>
          <cell r="AD9">
            <v>0</v>
          </cell>
          <cell r="AE9">
            <v>0</v>
          </cell>
          <cell r="AF9">
            <v>0</v>
          </cell>
          <cell r="AG9">
            <v>0</v>
          </cell>
          <cell r="AH9">
            <v>0</v>
          </cell>
          <cell r="AI9">
            <v>0</v>
          </cell>
          <cell r="AM9">
            <v>0</v>
          </cell>
          <cell r="AN9">
            <v>0</v>
          </cell>
          <cell r="AO9">
            <v>0</v>
          </cell>
          <cell r="AP9">
            <v>177187</v>
          </cell>
          <cell r="AQ9">
            <v>42762</v>
          </cell>
          <cell r="AR9">
            <v>0</v>
          </cell>
          <cell r="AS9">
            <v>-183516</v>
          </cell>
          <cell r="AT9">
            <v>-146811</v>
          </cell>
          <cell r="AU9">
            <v>-36704</v>
          </cell>
          <cell r="AV9">
            <v>0</v>
          </cell>
          <cell r="AW9">
            <v>-367031</v>
          </cell>
          <cell r="AX9">
            <v>-583383</v>
          </cell>
          <cell r="AY9">
            <v>-466705</v>
          </cell>
          <cell r="AZ9">
            <v>-116677</v>
          </cell>
          <cell r="BA9">
            <v>0</v>
          </cell>
          <cell r="BB9">
            <v>-1166765</v>
          </cell>
          <cell r="BC9">
            <v>27109386</v>
          </cell>
          <cell r="BD9">
            <v>-3548482</v>
          </cell>
          <cell r="BE9">
            <v>694607</v>
          </cell>
          <cell r="BF9">
            <v>0</v>
          </cell>
          <cell r="BG9">
            <v>-2071588</v>
          </cell>
          <cell r="BH9">
            <v>-62642</v>
          </cell>
          <cell r="BI9">
            <v>-38633</v>
          </cell>
          <cell r="BJ9">
            <v>-9887</v>
          </cell>
          <cell r="BK9">
            <v>-674041</v>
          </cell>
          <cell r="BL9">
            <v>-156162</v>
          </cell>
          <cell r="BM9">
            <v>-86229</v>
          </cell>
          <cell r="BN9">
            <v>-1242</v>
          </cell>
          <cell r="BO9">
            <v>-1491</v>
          </cell>
          <cell r="BP9">
            <v>0</v>
          </cell>
          <cell r="BQ9">
            <v>0</v>
          </cell>
          <cell r="BR9">
            <v>0</v>
          </cell>
          <cell r="BS9">
            <v>0</v>
          </cell>
          <cell r="BT9">
            <v>27655386</v>
          </cell>
          <cell r="BU9">
            <v>-253633</v>
          </cell>
          <cell r="BV9">
            <v>793063</v>
          </cell>
          <cell r="BW9">
            <v>-186661</v>
          </cell>
          <cell r="BX9">
            <v>-1889894</v>
          </cell>
          <cell r="BY9">
            <v>-2180211</v>
          </cell>
          <cell r="BZ9">
            <v>28467472</v>
          </cell>
          <cell r="CA9">
            <v>-944947</v>
          </cell>
          <cell r="CB9">
            <v>-755958</v>
          </cell>
          <cell r="CC9">
            <v>-188989</v>
          </cell>
          <cell r="CD9">
            <v>0</v>
          </cell>
          <cell r="CE9">
            <v>-1090106</v>
          </cell>
          <cell r="CF9">
            <v>-872084</v>
          </cell>
          <cell r="CG9">
            <v>-218021</v>
          </cell>
          <cell r="CH9">
            <v>0</v>
          </cell>
        </row>
        <row r="10">
          <cell r="A10">
            <v>3</v>
          </cell>
          <cell r="B10" t="str">
            <v>Amber Valley</v>
          </cell>
          <cell r="C10" t="str">
            <v>E1031</v>
          </cell>
          <cell r="D10">
            <v>149167</v>
          </cell>
          <cell r="H10">
            <v>382831</v>
          </cell>
          <cell r="I10">
            <v>0</v>
          </cell>
          <cell r="J10">
            <v>149167</v>
          </cell>
          <cell r="K10">
            <v>0</v>
          </cell>
          <cell r="L10">
            <v>5554</v>
          </cell>
          <cell r="M10">
            <v>0</v>
          </cell>
          <cell r="N10">
            <v>0</v>
          </cell>
          <cell r="O10">
            <v>0</v>
          </cell>
          <cell r="P10">
            <v>0</v>
          </cell>
          <cell r="Q10">
            <v>0</v>
          </cell>
          <cell r="R10">
            <v>749130</v>
          </cell>
          <cell r="S10">
            <v>168554</v>
          </cell>
          <cell r="T10">
            <v>18728</v>
          </cell>
          <cell r="U10">
            <v>0</v>
          </cell>
          <cell r="V10">
            <v>0</v>
          </cell>
          <cell r="W10">
            <v>0</v>
          </cell>
          <cell r="X10">
            <v>0</v>
          </cell>
          <cell r="Y10">
            <v>0</v>
          </cell>
          <cell r="Z10">
            <v>0</v>
          </cell>
          <cell r="AA10">
            <v>2720</v>
          </cell>
          <cell r="AB10">
            <v>612</v>
          </cell>
          <cell r="AC10">
            <v>68</v>
          </cell>
          <cell r="AD10">
            <v>0</v>
          </cell>
          <cell r="AE10">
            <v>0</v>
          </cell>
          <cell r="AF10">
            <v>0</v>
          </cell>
          <cell r="AG10">
            <v>0</v>
          </cell>
          <cell r="AH10">
            <v>0</v>
          </cell>
          <cell r="AI10">
            <v>0</v>
          </cell>
          <cell r="AM10">
            <v>0</v>
          </cell>
          <cell r="AN10">
            <v>0</v>
          </cell>
          <cell r="AO10">
            <v>0</v>
          </cell>
          <cell r="AP10">
            <v>171340</v>
          </cell>
          <cell r="AQ10">
            <v>38533</v>
          </cell>
          <cell r="AR10">
            <v>4281</v>
          </cell>
          <cell r="AS10">
            <v>-186522</v>
          </cell>
          <cell r="AT10">
            <v>-149218</v>
          </cell>
          <cell r="AU10">
            <v>-33574</v>
          </cell>
          <cell r="AV10">
            <v>-3730</v>
          </cell>
          <cell r="AW10">
            <v>-373044</v>
          </cell>
          <cell r="AX10">
            <v>-700000</v>
          </cell>
          <cell r="AY10">
            <v>-560000</v>
          </cell>
          <cell r="AZ10">
            <v>-126000</v>
          </cell>
          <cell r="BA10">
            <v>-14000</v>
          </cell>
          <cell r="BB10">
            <v>-1400000</v>
          </cell>
          <cell r="BC10">
            <v>30159897</v>
          </cell>
          <cell r="BD10">
            <v>-2941944</v>
          </cell>
          <cell r="BE10">
            <v>816256</v>
          </cell>
          <cell r="BF10">
            <v>0</v>
          </cell>
          <cell r="BG10">
            <v>-1617130</v>
          </cell>
          <cell r="BH10">
            <v>-41947</v>
          </cell>
          <cell r="BI10">
            <v>-19993</v>
          </cell>
          <cell r="BJ10">
            <v>-36395</v>
          </cell>
          <cell r="BK10">
            <v>-1376747</v>
          </cell>
          <cell r="BL10">
            <v>-46829</v>
          </cell>
          <cell r="BM10">
            <v>-375941</v>
          </cell>
          <cell r="BN10">
            <v>0</v>
          </cell>
          <cell r="BO10">
            <v>-19993</v>
          </cell>
          <cell r="BP10">
            <v>-2140</v>
          </cell>
          <cell r="BQ10">
            <v>0</v>
          </cell>
          <cell r="BR10">
            <v>0</v>
          </cell>
          <cell r="BS10">
            <v>0</v>
          </cell>
          <cell r="BT10">
            <v>30357307</v>
          </cell>
          <cell r="BU10">
            <v>-174553</v>
          </cell>
          <cell r="BV10">
            <v>373044</v>
          </cell>
          <cell r="BW10">
            <v>-1147822</v>
          </cell>
          <cell r="BX10">
            <v>-194050</v>
          </cell>
          <cell r="BY10">
            <v>-151434</v>
          </cell>
          <cell r="BZ10">
            <v>28501922</v>
          </cell>
          <cell r="CA10">
            <v>-97025</v>
          </cell>
          <cell r="CB10">
            <v>-77620</v>
          </cell>
          <cell r="CC10">
            <v>-17465</v>
          </cell>
          <cell r="CD10">
            <v>-1940</v>
          </cell>
          <cell r="CE10">
            <v>-75717</v>
          </cell>
          <cell r="CF10">
            <v>-60574</v>
          </cell>
          <cell r="CG10">
            <v>-13629</v>
          </cell>
          <cell r="CH10">
            <v>-1514</v>
          </cell>
        </row>
        <row r="11">
          <cell r="A11">
            <v>4</v>
          </cell>
          <cell r="B11" t="str">
            <v>Arun</v>
          </cell>
          <cell r="C11" t="str">
            <v>E3832</v>
          </cell>
          <cell r="D11">
            <v>186077</v>
          </cell>
          <cell r="H11">
            <v>-457433</v>
          </cell>
          <cell r="I11">
            <v>0</v>
          </cell>
          <cell r="J11">
            <v>186077</v>
          </cell>
          <cell r="K11">
            <v>0</v>
          </cell>
          <cell r="L11">
            <v>0</v>
          </cell>
          <cell r="M11">
            <v>0</v>
          </cell>
          <cell r="N11">
            <v>0</v>
          </cell>
          <cell r="O11">
            <v>0</v>
          </cell>
          <cell r="P11">
            <v>0</v>
          </cell>
          <cell r="Q11">
            <v>0</v>
          </cell>
          <cell r="R11">
            <v>931966</v>
          </cell>
          <cell r="S11">
            <v>232991</v>
          </cell>
          <cell r="T11">
            <v>0</v>
          </cell>
          <cell r="U11">
            <v>3978</v>
          </cell>
          <cell r="V11">
            <v>994</v>
          </cell>
          <cell r="W11">
            <v>0</v>
          </cell>
          <cell r="X11">
            <v>0</v>
          </cell>
          <cell r="Y11">
            <v>0</v>
          </cell>
          <cell r="Z11">
            <v>0</v>
          </cell>
          <cell r="AA11">
            <v>11109</v>
          </cell>
          <cell r="AB11">
            <v>2777</v>
          </cell>
          <cell r="AC11">
            <v>0</v>
          </cell>
          <cell r="AD11">
            <v>0</v>
          </cell>
          <cell r="AE11">
            <v>0</v>
          </cell>
          <cell r="AF11">
            <v>0</v>
          </cell>
          <cell r="AG11">
            <v>0</v>
          </cell>
          <cell r="AH11">
            <v>0</v>
          </cell>
          <cell r="AI11">
            <v>0</v>
          </cell>
          <cell r="AM11">
            <v>0</v>
          </cell>
          <cell r="AN11">
            <v>0</v>
          </cell>
          <cell r="AO11">
            <v>0</v>
          </cell>
          <cell r="AP11">
            <v>212037</v>
          </cell>
          <cell r="AQ11">
            <v>53009</v>
          </cell>
          <cell r="AR11">
            <v>0</v>
          </cell>
          <cell r="AS11">
            <v>-154500</v>
          </cell>
          <cell r="AT11">
            <v>-123600</v>
          </cell>
          <cell r="AU11">
            <v>-30900</v>
          </cell>
          <cell r="AV11">
            <v>0</v>
          </cell>
          <cell r="AW11">
            <v>-309000</v>
          </cell>
          <cell r="AX11">
            <v>-2508000</v>
          </cell>
          <cell r="AY11">
            <v>-2006400</v>
          </cell>
          <cell r="AZ11">
            <v>-501600</v>
          </cell>
          <cell r="BA11">
            <v>0</v>
          </cell>
          <cell r="BB11">
            <v>-5016000</v>
          </cell>
          <cell r="BC11">
            <v>37274542</v>
          </cell>
          <cell r="BD11">
            <v>-3559187</v>
          </cell>
          <cell r="BE11">
            <v>927294</v>
          </cell>
          <cell r="BF11">
            <v>0</v>
          </cell>
          <cell r="BG11">
            <v>-2791543</v>
          </cell>
          <cell r="BH11">
            <v>-85893</v>
          </cell>
          <cell r="BI11">
            <v>-5219</v>
          </cell>
          <cell r="BJ11">
            <v>0</v>
          </cell>
          <cell r="BK11">
            <v>-636885</v>
          </cell>
          <cell r="BL11">
            <v>-114118</v>
          </cell>
          <cell r="BM11">
            <v>-17884</v>
          </cell>
          <cell r="BN11">
            <v>-1006</v>
          </cell>
          <cell r="BO11">
            <v>-3175</v>
          </cell>
          <cell r="BP11">
            <v>0</v>
          </cell>
          <cell r="BQ11">
            <v>0</v>
          </cell>
          <cell r="BR11">
            <v>0</v>
          </cell>
          <cell r="BS11">
            <v>0</v>
          </cell>
          <cell r="BT11">
            <v>37622453</v>
          </cell>
          <cell r="BU11">
            <v>-267000</v>
          </cell>
          <cell r="BV11">
            <v>822836</v>
          </cell>
          <cell r="BW11">
            <v>-344241</v>
          </cell>
          <cell r="BX11">
            <v>2121027</v>
          </cell>
          <cell r="BY11">
            <v>829263</v>
          </cell>
          <cell r="BZ11">
            <v>35289011</v>
          </cell>
          <cell r="CA11">
            <v>1060513</v>
          </cell>
          <cell r="CB11">
            <v>848411</v>
          </cell>
          <cell r="CC11">
            <v>212103</v>
          </cell>
          <cell r="CD11">
            <v>0</v>
          </cell>
          <cell r="CE11">
            <v>414632</v>
          </cell>
          <cell r="CF11">
            <v>331705</v>
          </cell>
          <cell r="CG11">
            <v>82926</v>
          </cell>
          <cell r="CH11">
            <v>0</v>
          </cell>
        </row>
        <row r="12">
          <cell r="A12">
            <v>5</v>
          </cell>
          <cell r="B12" t="str">
            <v>Ashfield</v>
          </cell>
          <cell r="C12" t="str">
            <v>E3031</v>
          </cell>
          <cell r="D12">
            <v>130702</v>
          </cell>
          <cell r="H12">
            <v>302189</v>
          </cell>
          <cell r="I12">
            <v>0</v>
          </cell>
          <cell r="J12">
            <v>130702</v>
          </cell>
          <cell r="K12">
            <v>0</v>
          </cell>
          <cell r="L12">
            <v>0</v>
          </cell>
          <cell r="M12">
            <v>0</v>
          </cell>
          <cell r="N12">
            <v>0</v>
          </cell>
          <cell r="O12">
            <v>0</v>
          </cell>
          <cell r="P12">
            <v>0</v>
          </cell>
          <cell r="Q12">
            <v>0</v>
          </cell>
          <cell r="R12">
            <v>556935</v>
          </cell>
          <cell r="S12">
            <v>125310</v>
          </cell>
          <cell r="T12">
            <v>13923</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M12">
            <v>0</v>
          </cell>
          <cell r="AN12">
            <v>0</v>
          </cell>
          <cell r="AO12">
            <v>0</v>
          </cell>
          <cell r="AP12">
            <v>218863</v>
          </cell>
          <cell r="AQ12">
            <v>49244</v>
          </cell>
          <cell r="AR12">
            <v>5472</v>
          </cell>
          <cell r="AS12">
            <v>-333890</v>
          </cell>
          <cell r="AT12">
            <v>-267110</v>
          </cell>
          <cell r="AU12">
            <v>-60099</v>
          </cell>
          <cell r="AV12">
            <v>-6677</v>
          </cell>
          <cell r="AW12">
            <v>-667776</v>
          </cell>
          <cell r="AX12">
            <v>-1455900</v>
          </cell>
          <cell r="AY12">
            <v>-1164721</v>
          </cell>
          <cell r="AZ12">
            <v>-262063</v>
          </cell>
          <cell r="BA12">
            <v>-29118</v>
          </cell>
          <cell r="BB12">
            <v>-2911802</v>
          </cell>
          <cell r="BC12">
            <v>34772284</v>
          </cell>
          <cell r="BD12">
            <v>-2080941</v>
          </cell>
          <cell r="BE12">
            <v>941795</v>
          </cell>
          <cell r="BF12">
            <v>0</v>
          </cell>
          <cell r="BG12">
            <v>-1798132</v>
          </cell>
          <cell r="BH12">
            <v>-8429</v>
          </cell>
          <cell r="BI12">
            <v>-11698</v>
          </cell>
          <cell r="BJ12">
            <v>-1215</v>
          </cell>
          <cell r="BK12">
            <v>-745133</v>
          </cell>
          <cell r="BL12">
            <v>-147857</v>
          </cell>
          <cell r="BM12">
            <v>-40881</v>
          </cell>
          <cell r="BN12">
            <v>0</v>
          </cell>
          <cell r="BO12">
            <v>-6268</v>
          </cell>
          <cell r="BP12">
            <v>-4437</v>
          </cell>
          <cell r="BQ12">
            <v>0</v>
          </cell>
          <cell r="BR12">
            <v>0</v>
          </cell>
          <cell r="BS12">
            <v>0</v>
          </cell>
          <cell r="BT12">
            <v>36595516</v>
          </cell>
          <cell r="BU12">
            <v>-309427</v>
          </cell>
          <cell r="BV12">
            <v>1366811</v>
          </cell>
          <cell r="BW12">
            <v>-214831</v>
          </cell>
          <cell r="BX12">
            <v>-535214</v>
          </cell>
          <cell r="BY12">
            <v>-1143757</v>
          </cell>
          <cell r="BZ12">
            <v>36424993</v>
          </cell>
          <cell r="CA12">
            <v>-267607</v>
          </cell>
          <cell r="CB12">
            <v>-214086</v>
          </cell>
          <cell r="CC12">
            <v>-48169</v>
          </cell>
          <cell r="CD12">
            <v>-5352</v>
          </cell>
          <cell r="CE12">
            <v>-571878</v>
          </cell>
          <cell r="CF12">
            <v>-457503</v>
          </cell>
          <cell r="CG12">
            <v>-102938</v>
          </cell>
          <cell r="CH12">
            <v>-11438</v>
          </cell>
        </row>
        <row r="13">
          <cell r="A13">
            <v>6</v>
          </cell>
          <cell r="B13" t="str">
            <v>Ashford</v>
          </cell>
          <cell r="C13" t="str">
            <v>E2231</v>
          </cell>
          <cell r="D13">
            <v>181049</v>
          </cell>
          <cell r="H13">
            <v>490248</v>
          </cell>
          <cell r="I13">
            <v>0</v>
          </cell>
          <cell r="J13">
            <v>181049</v>
          </cell>
          <cell r="K13">
            <v>0</v>
          </cell>
          <cell r="L13">
            <v>60400</v>
          </cell>
          <cell r="M13">
            <v>0</v>
          </cell>
          <cell r="N13">
            <v>0</v>
          </cell>
          <cell r="O13">
            <v>0</v>
          </cell>
          <cell r="P13">
            <v>0</v>
          </cell>
          <cell r="Q13">
            <v>0</v>
          </cell>
          <cell r="R13">
            <v>749487</v>
          </cell>
          <cell r="S13">
            <v>168634</v>
          </cell>
          <cell r="T13">
            <v>18737</v>
          </cell>
          <cell r="U13">
            <v>2588</v>
          </cell>
          <cell r="V13">
            <v>583</v>
          </cell>
          <cell r="W13">
            <v>65</v>
          </cell>
          <cell r="X13">
            <v>0</v>
          </cell>
          <cell r="Y13">
            <v>0</v>
          </cell>
          <cell r="Z13">
            <v>0</v>
          </cell>
          <cell r="AA13">
            <v>0</v>
          </cell>
          <cell r="AB13">
            <v>0</v>
          </cell>
          <cell r="AC13">
            <v>0</v>
          </cell>
          <cell r="AD13">
            <v>0</v>
          </cell>
          <cell r="AE13">
            <v>0</v>
          </cell>
          <cell r="AF13">
            <v>0</v>
          </cell>
          <cell r="AG13">
            <v>0</v>
          </cell>
          <cell r="AH13">
            <v>0</v>
          </cell>
          <cell r="AI13">
            <v>0</v>
          </cell>
          <cell r="AM13">
            <v>0</v>
          </cell>
          <cell r="AN13">
            <v>0</v>
          </cell>
          <cell r="AO13">
            <v>0</v>
          </cell>
          <cell r="AP13">
            <v>298223</v>
          </cell>
          <cell r="AQ13">
            <v>66896</v>
          </cell>
          <cell r="AR13">
            <v>7433</v>
          </cell>
          <cell r="AS13">
            <v>-130389</v>
          </cell>
          <cell r="AT13">
            <v>-104311</v>
          </cell>
          <cell r="AU13">
            <v>-23470</v>
          </cell>
          <cell r="AV13">
            <v>-2608</v>
          </cell>
          <cell r="AW13">
            <v>-260778</v>
          </cell>
          <cell r="AX13">
            <v>-1646964</v>
          </cell>
          <cell r="AY13">
            <v>-1317574</v>
          </cell>
          <cell r="AZ13">
            <v>-296454</v>
          </cell>
          <cell r="BA13">
            <v>-32939</v>
          </cell>
          <cell r="BB13">
            <v>-3293931</v>
          </cell>
          <cell r="BC13">
            <v>47285849</v>
          </cell>
          <cell r="BD13">
            <v>-2925750</v>
          </cell>
          <cell r="BE13">
            <v>1265801</v>
          </cell>
          <cell r="BF13">
            <v>0</v>
          </cell>
          <cell r="BG13">
            <v>-3450036</v>
          </cell>
          <cell r="BH13">
            <v>-88226</v>
          </cell>
          <cell r="BI13">
            <v>-36968</v>
          </cell>
          <cell r="BJ13">
            <v>-873</v>
          </cell>
          <cell r="BK13">
            <v>-1780591</v>
          </cell>
          <cell r="BL13">
            <v>-174149</v>
          </cell>
          <cell r="BM13">
            <v>-64493</v>
          </cell>
          <cell r="BN13">
            <v>-13349</v>
          </cell>
          <cell r="BO13">
            <v>-15569</v>
          </cell>
          <cell r="BP13">
            <v>-52161</v>
          </cell>
          <cell r="BQ13">
            <v>0</v>
          </cell>
          <cell r="BR13">
            <v>0</v>
          </cell>
          <cell r="BS13">
            <v>0</v>
          </cell>
          <cell r="BT13">
            <v>47203994</v>
          </cell>
          <cell r="BU13">
            <v>-286856</v>
          </cell>
          <cell r="BV13">
            <v>138972</v>
          </cell>
          <cell r="BW13">
            <v>-255031</v>
          </cell>
          <cell r="BX13">
            <v>-2867508</v>
          </cell>
          <cell r="BY13">
            <v>-2378178</v>
          </cell>
          <cell r="BZ13">
            <v>49481875</v>
          </cell>
          <cell r="CA13">
            <v>-1433754</v>
          </cell>
          <cell r="CB13">
            <v>-1147003</v>
          </cell>
          <cell r="CC13">
            <v>-258076</v>
          </cell>
          <cell r="CD13">
            <v>-28675</v>
          </cell>
          <cell r="CE13">
            <v>-1189089</v>
          </cell>
          <cell r="CF13">
            <v>-951271</v>
          </cell>
          <cell r="CG13">
            <v>-214036</v>
          </cell>
          <cell r="CH13">
            <v>-23782</v>
          </cell>
        </row>
        <row r="14">
          <cell r="A14">
            <v>7</v>
          </cell>
          <cell r="B14" t="str">
            <v>Aylesbury Vale</v>
          </cell>
          <cell r="C14" t="str">
            <v>E0431</v>
          </cell>
          <cell r="D14">
            <v>223286</v>
          </cell>
          <cell r="H14">
            <v>-441967</v>
          </cell>
          <cell r="I14">
            <v>-8387</v>
          </cell>
          <cell r="J14">
            <v>223286</v>
          </cell>
          <cell r="K14">
            <v>204367</v>
          </cell>
          <cell r="L14">
            <v>0</v>
          </cell>
          <cell r="M14">
            <v>0</v>
          </cell>
          <cell r="N14">
            <v>0</v>
          </cell>
          <cell r="O14">
            <v>0</v>
          </cell>
          <cell r="P14">
            <v>0</v>
          </cell>
          <cell r="Q14">
            <v>0</v>
          </cell>
          <cell r="R14">
            <v>971723</v>
          </cell>
          <cell r="S14">
            <v>218637</v>
          </cell>
          <cell r="T14">
            <v>24293</v>
          </cell>
          <cell r="U14">
            <v>4162</v>
          </cell>
          <cell r="V14">
            <v>936</v>
          </cell>
          <cell r="W14">
            <v>104</v>
          </cell>
          <cell r="X14">
            <v>21214</v>
          </cell>
          <cell r="Y14">
            <v>4773</v>
          </cell>
          <cell r="Z14">
            <v>530</v>
          </cell>
          <cell r="AA14">
            <v>0</v>
          </cell>
          <cell r="AB14">
            <v>0</v>
          </cell>
          <cell r="AC14">
            <v>0</v>
          </cell>
          <cell r="AD14">
            <v>0</v>
          </cell>
          <cell r="AE14">
            <v>0</v>
          </cell>
          <cell r="AF14">
            <v>0</v>
          </cell>
          <cell r="AG14">
            <v>0</v>
          </cell>
          <cell r="AH14">
            <v>0</v>
          </cell>
          <cell r="AI14">
            <v>0</v>
          </cell>
          <cell r="AM14">
            <v>0</v>
          </cell>
          <cell r="AN14">
            <v>0</v>
          </cell>
          <cell r="AO14">
            <v>0</v>
          </cell>
          <cell r="AP14">
            <v>315482</v>
          </cell>
          <cell r="AQ14">
            <v>70293</v>
          </cell>
          <cell r="AR14">
            <v>7810</v>
          </cell>
          <cell r="AS14">
            <v>0</v>
          </cell>
          <cell r="AT14">
            <v>0</v>
          </cell>
          <cell r="AU14">
            <v>0</v>
          </cell>
          <cell r="AV14">
            <v>0</v>
          </cell>
          <cell r="AW14">
            <v>0</v>
          </cell>
          <cell r="AX14">
            <v>-996424</v>
          </cell>
          <cell r="AY14">
            <v>-797139</v>
          </cell>
          <cell r="AZ14">
            <v>-179356</v>
          </cell>
          <cell r="BA14">
            <v>-19929</v>
          </cell>
          <cell r="BB14">
            <v>-1992848</v>
          </cell>
          <cell r="BC14">
            <v>54146204</v>
          </cell>
          <cell r="BD14">
            <v>-3405396</v>
          </cell>
          <cell r="BE14">
            <v>1418416</v>
          </cell>
          <cell r="BF14">
            <v>0</v>
          </cell>
          <cell r="BG14">
            <v>-4727174</v>
          </cell>
          <cell r="BH14">
            <v>-28506</v>
          </cell>
          <cell r="BI14">
            <v>-58700</v>
          </cell>
          <cell r="BJ14">
            <v>-5976</v>
          </cell>
          <cell r="BK14">
            <v>-2529198</v>
          </cell>
          <cell r="BL14">
            <v>-220957</v>
          </cell>
          <cell r="BM14">
            <v>-137684</v>
          </cell>
          <cell r="BN14">
            <v>-2256</v>
          </cell>
          <cell r="BO14">
            <v>0</v>
          </cell>
          <cell r="BP14">
            <v>0</v>
          </cell>
          <cell r="BQ14">
            <v>0</v>
          </cell>
          <cell r="BR14">
            <v>0</v>
          </cell>
          <cell r="BS14">
            <v>0</v>
          </cell>
          <cell r="BT14">
            <v>52325508</v>
          </cell>
          <cell r="BU14">
            <v>0</v>
          </cell>
          <cell r="BV14">
            <v>204693</v>
          </cell>
          <cell r="BW14">
            <v>-1192487</v>
          </cell>
          <cell r="BX14">
            <v>1911537</v>
          </cell>
          <cell r="BY14">
            <v>-839454</v>
          </cell>
          <cell r="BZ14">
            <v>51994226</v>
          </cell>
          <cell r="CA14">
            <v>955768</v>
          </cell>
          <cell r="CB14">
            <v>764615</v>
          </cell>
          <cell r="CC14">
            <v>172039</v>
          </cell>
          <cell r="CD14">
            <v>19115</v>
          </cell>
          <cell r="CE14">
            <v>-419726</v>
          </cell>
          <cell r="CF14">
            <v>-335782</v>
          </cell>
          <cell r="CG14">
            <v>-75551</v>
          </cell>
          <cell r="CH14">
            <v>-8395</v>
          </cell>
        </row>
        <row r="15">
          <cell r="A15">
            <v>8</v>
          </cell>
          <cell r="B15" t="str">
            <v>Babergh</v>
          </cell>
          <cell r="C15" t="str">
            <v>E3531</v>
          </cell>
          <cell r="D15">
            <v>129574</v>
          </cell>
          <cell r="H15">
            <v>-282421</v>
          </cell>
          <cell r="I15">
            <v>0</v>
          </cell>
          <cell r="J15">
            <v>129574</v>
          </cell>
          <cell r="K15">
            <v>0</v>
          </cell>
          <cell r="L15">
            <v>2148</v>
          </cell>
          <cell r="M15">
            <v>0</v>
          </cell>
          <cell r="N15">
            <v>0</v>
          </cell>
          <cell r="O15">
            <v>0</v>
          </cell>
          <cell r="P15">
            <v>0</v>
          </cell>
          <cell r="Q15">
            <v>0</v>
          </cell>
          <cell r="R15">
            <v>615014</v>
          </cell>
          <cell r="S15">
            <v>153753</v>
          </cell>
          <cell r="T15">
            <v>0</v>
          </cell>
          <cell r="U15">
            <v>12926</v>
          </cell>
          <cell r="V15">
            <v>3232</v>
          </cell>
          <cell r="W15">
            <v>0</v>
          </cell>
          <cell r="X15">
            <v>3611</v>
          </cell>
          <cell r="Y15">
            <v>903</v>
          </cell>
          <cell r="Z15">
            <v>0</v>
          </cell>
          <cell r="AA15">
            <v>5967</v>
          </cell>
          <cell r="AB15">
            <v>1492</v>
          </cell>
          <cell r="AC15">
            <v>0</v>
          </cell>
          <cell r="AD15">
            <v>0</v>
          </cell>
          <cell r="AE15">
            <v>0</v>
          </cell>
          <cell r="AF15">
            <v>0</v>
          </cell>
          <cell r="AG15">
            <v>0</v>
          </cell>
          <cell r="AH15">
            <v>0</v>
          </cell>
          <cell r="AI15">
            <v>0</v>
          </cell>
          <cell r="AM15">
            <v>0</v>
          </cell>
          <cell r="AN15">
            <v>0</v>
          </cell>
          <cell r="AO15">
            <v>0</v>
          </cell>
          <cell r="AP15">
            <v>136252</v>
          </cell>
          <cell r="AQ15">
            <v>34055</v>
          </cell>
          <cell r="AR15">
            <v>0</v>
          </cell>
          <cell r="AS15">
            <v>-163312</v>
          </cell>
          <cell r="AT15">
            <v>-130650</v>
          </cell>
          <cell r="AU15">
            <v>-32663</v>
          </cell>
          <cell r="AV15">
            <v>0</v>
          </cell>
          <cell r="AW15">
            <v>-326625</v>
          </cell>
          <cell r="AX15">
            <v>-507256</v>
          </cell>
          <cell r="AY15">
            <v>-405806</v>
          </cell>
          <cell r="AZ15">
            <v>-101451</v>
          </cell>
          <cell r="BA15">
            <v>0</v>
          </cell>
          <cell r="BB15">
            <v>-1014513</v>
          </cell>
          <cell r="BC15">
            <v>24080763</v>
          </cell>
          <cell r="BD15">
            <v>-2384299</v>
          </cell>
          <cell r="BE15">
            <v>618254</v>
          </cell>
          <cell r="BF15">
            <v>0</v>
          </cell>
          <cell r="BG15">
            <v>-2110451</v>
          </cell>
          <cell r="BH15">
            <v>-58478</v>
          </cell>
          <cell r="BI15">
            <v>-86725</v>
          </cell>
          <cell r="BJ15">
            <v>-4182</v>
          </cell>
          <cell r="BK15">
            <v>-455117</v>
          </cell>
          <cell r="BL15">
            <v>-44159</v>
          </cell>
          <cell r="BM15">
            <v>-9412</v>
          </cell>
          <cell r="BN15">
            <v>-7310</v>
          </cell>
          <cell r="BO15">
            <v>-71485</v>
          </cell>
          <cell r="BP15">
            <v>-12463</v>
          </cell>
          <cell r="BQ15">
            <v>0</v>
          </cell>
          <cell r="BR15">
            <v>0</v>
          </cell>
          <cell r="BS15">
            <v>0</v>
          </cell>
          <cell r="BT15">
            <v>23423964</v>
          </cell>
          <cell r="BU15">
            <v>-57570</v>
          </cell>
          <cell r="BV15">
            <v>397801</v>
          </cell>
          <cell r="BW15">
            <v>-475061</v>
          </cell>
          <cell r="BX15">
            <v>573584</v>
          </cell>
          <cell r="BY15">
            <v>844323</v>
          </cell>
          <cell r="BZ15">
            <v>22670887</v>
          </cell>
          <cell r="CA15">
            <v>286793</v>
          </cell>
          <cell r="CB15">
            <v>229433</v>
          </cell>
          <cell r="CC15">
            <v>57358</v>
          </cell>
          <cell r="CD15">
            <v>0</v>
          </cell>
          <cell r="CE15">
            <v>422162</v>
          </cell>
          <cell r="CF15">
            <v>337729</v>
          </cell>
          <cell r="CG15">
            <v>84432</v>
          </cell>
          <cell r="CH15">
            <v>0</v>
          </cell>
        </row>
        <row r="16">
          <cell r="A16">
            <v>9</v>
          </cell>
          <cell r="B16" t="str">
            <v>Barking and Dagenham</v>
          </cell>
          <cell r="C16" t="str">
            <v>E5030</v>
          </cell>
          <cell r="D16">
            <v>203037</v>
          </cell>
          <cell r="H16">
            <v>801540</v>
          </cell>
          <cell r="I16">
            <v>0</v>
          </cell>
          <cell r="J16">
            <v>203037</v>
          </cell>
          <cell r="K16">
            <v>0</v>
          </cell>
          <cell r="L16">
            <v>0</v>
          </cell>
          <cell r="M16">
            <v>0</v>
          </cell>
          <cell r="N16">
            <v>0</v>
          </cell>
          <cell r="O16">
            <v>0</v>
          </cell>
          <cell r="P16">
            <v>0</v>
          </cell>
          <cell r="Q16">
            <v>0</v>
          </cell>
          <cell r="R16">
            <v>581680</v>
          </cell>
          <cell r="S16">
            <v>717405</v>
          </cell>
          <cell r="T16">
            <v>0</v>
          </cell>
          <cell r="U16">
            <v>2018</v>
          </cell>
          <cell r="V16">
            <v>2489</v>
          </cell>
          <cell r="W16">
            <v>0</v>
          </cell>
          <cell r="X16">
            <v>0</v>
          </cell>
          <cell r="Y16">
            <v>0</v>
          </cell>
          <cell r="Z16">
            <v>0</v>
          </cell>
          <cell r="AA16">
            <v>63244</v>
          </cell>
          <cell r="AB16">
            <v>78000</v>
          </cell>
          <cell r="AC16">
            <v>0</v>
          </cell>
          <cell r="AD16">
            <v>0</v>
          </cell>
          <cell r="AE16">
            <v>0</v>
          </cell>
          <cell r="AF16">
            <v>0</v>
          </cell>
          <cell r="AG16">
            <v>0</v>
          </cell>
          <cell r="AH16">
            <v>0</v>
          </cell>
          <cell r="AI16">
            <v>0</v>
          </cell>
          <cell r="AM16">
            <v>0</v>
          </cell>
          <cell r="AN16">
            <v>0</v>
          </cell>
          <cell r="AO16">
            <v>0</v>
          </cell>
          <cell r="AP16">
            <v>257157</v>
          </cell>
          <cell r="AQ16">
            <v>317160</v>
          </cell>
          <cell r="AR16">
            <v>0</v>
          </cell>
          <cell r="AS16">
            <v>-2588000</v>
          </cell>
          <cell r="AT16">
            <v>-1552800</v>
          </cell>
          <cell r="AU16">
            <v>-1035200</v>
          </cell>
          <cell r="AV16">
            <v>0</v>
          </cell>
          <cell r="AW16">
            <v>-5176000</v>
          </cell>
          <cell r="AX16">
            <v>-4811185</v>
          </cell>
          <cell r="AY16">
            <v>-2886711</v>
          </cell>
          <cell r="AZ16">
            <v>-1924474</v>
          </cell>
          <cell r="BA16">
            <v>0</v>
          </cell>
          <cell r="BB16">
            <v>-9622370</v>
          </cell>
          <cell r="BC16">
            <v>60929832</v>
          </cell>
          <cell r="BD16">
            <v>-2774270</v>
          </cell>
          <cell r="BE16">
            <v>1508766</v>
          </cell>
          <cell r="BF16">
            <v>0</v>
          </cell>
          <cell r="BG16">
            <v>-3606573</v>
          </cell>
          <cell r="BH16">
            <v>-22425</v>
          </cell>
          <cell r="BI16">
            <v>0</v>
          </cell>
          <cell r="BJ16">
            <v>-15942</v>
          </cell>
          <cell r="BK16">
            <v>-3048683</v>
          </cell>
          <cell r="BL16">
            <v>-217638</v>
          </cell>
          <cell r="BM16">
            <v>-2468</v>
          </cell>
          <cell r="BN16">
            <v>-5606</v>
          </cell>
          <cell r="BO16">
            <v>0</v>
          </cell>
          <cell r="BP16">
            <v>0</v>
          </cell>
          <cell r="BQ16">
            <v>-437360</v>
          </cell>
          <cell r="BR16">
            <v>0</v>
          </cell>
          <cell r="BS16">
            <v>0</v>
          </cell>
          <cell r="BT16">
            <v>56569207</v>
          </cell>
          <cell r="BU16">
            <v>0</v>
          </cell>
          <cell r="BV16">
            <v>5345972</v>
          </cell>
          <cell r="BW16">
            <v>-1106263</v>
          </cell>
          <cell r="BX16">
            <v>1584924</v>
          </cell>
          <cell r="BY16">
            <v>-1068678</v>
          </cell>
          <cell r="BZ16">
            <v>57064258</v>
          </cell>
          <cell r="CA16">
            <v>792462</v>
          </cell>
          <cell r="CB16">
            <v>475478</v>
          </cell>
          <cell r="CC16">
            <v>316984</v>
          </cell>
          <cell r="CD16">
            <v>0</v>
          </cell>
          <cell r="CE16">
            <v>-534339</v>
          </cell>
          <cell r="CF16">
            <v>-320603</v>
          </cell>
          <cell r="CG16">
            <v>-213736</v>
          </cell>
          <cell r="CH16">
            <v>0</v>
          </cell>
        </row>
        <row r="17">
          <cell r="A17">
            <v>10</v>
          </cell>
          <cell r="B17" t="str">
            <v>Barnet</v>
          </cell>
          <cell r="C17" t="str">
            <v>E5031</v>
          </cell>
          <cell r="D17">
            <v>417570</v>
          </cell>
          <cell r="H17">
            <v>2533567</v>
          </cell>
          <cell r="I17">
            <v>0</v>
          </cell>
          <cell r="J17">
            <v>417570</v>
          </cell>
          <cell r="K17">
            <v>0</v>
          </cell>
          <cell r="L17">
            <v>0</v>
          </cell>
          <cell r="M17">
            <v>0</v>
          </cell>
          <cell r="N17">
            <v>0</v>
          </cell>
          <cell r="O17">
            <v>0</v>
          </cell>
          <cell r="P17">
            <v>0</v>
          </cell>
          <cell r="Q17">
            <v>0</v>
          </cell>
          <cell r="R17">
            <v>859448</v>
          </cell>
          <cell r="S17">
            <v>1059987</v>
          </cell>
          <cell r="T17">
            <v>0</v>
          </cell>
          <cell r="U17">
            <v>0</v>
          </cell>
          <cell r="V17">
            <v>0</v>
          </cell>
          <cell r="W17">
            <v>0</v>
          </cell>
          <cell r="X17">
            <v>0</v>
          </cell>
          <cell r="Y17">
            <v>0</v>
          </cell>
          <cell r="Z17">
            <v>0</v>
          </cell>
          <cell r="AA17">
            <v>984</v>
          </cell>
          <cell r="AB17">
            <v>1213</v>
          </cell>
          <cell r="AC17">
            <v>0</v>
          </cell>
          <cell r="AD17">
            <v>0</v>
          </cell>
          <cell r="AE17">
            <v>0</v>
          </cell>
          <cell r="AF17">
            <v>0</v>
          </cell>
          <cell r="AG17">
            <v>0</v>
          </cell>
          <cell r="AH17">
            <v>0</v>
          </cell>
          <cell r="AI17">
            <v>0</v>
          </cell>
          <cell r="AM17">
            <v>0</v>
          </cell>
          <cell r="AN17">
            <v>0</v>
          </cell>
          <cell r="AO17">
            <v>0</v>
          </cell>
          <cell r="AP17">
            <v>523185</v>
          </cell>
          <cell r="AQ17">
            <v>645261</v>
          </cell>
          <cell r="AR17">
            <v>0</v>
          </cell>
          <cell r="AS17">
            <v>959809</v>
          </cell>
          <cell r="AT17">
            <v>575886</v>
          </cell>
          <cell r="AU17">
            <v>383923</v>
          </cell>
          <cell r="AV17">
            <v>0</v>
          </cell>
          <cell r="AW17">
            <v>1919618</v>
          </cell>
          <cell r="AX17">
            <v>-5096006</v>
          </cell>
          <cell r="AY17">
            <v>-3057603</v>
          </cell>
          <cell r="AZ17">
            <v>-2038402</v>
          </cell>
          <cell r="BA17">
            <v>0</v>
          </cell>
          <cell r="BB17">
            <v>-10192011</v>
          </cell>
          <cell r="BC17">
            <v>107828338</v>
          </cell>
          <cell r="BD17">
            <v>-4044025</v>
          </cell>
          <cell r="BE17">
            <v>2811567</v>
          </cell>
          <cell r="BF17">
            <v>0</v>
          </cell>
          <cell r="BG17">
            <v>-11645160</v>
          </cell>
          <cell r="BH17">
            <v>-210171</v>
          </cell>
          <cell r="BI17">
            <v>0</v>
          </cell>
          <cell r="BJ17">
            <v>-48034</v>
          </cell>
          <cell r="BK17">
            <v>-3331118</v>
          </cell>
          <cell r="BL17">
            <v>-927893</v>
          </cell>
          <cell r="BM17">
            <v>-78628</v>
          </cell>
          <cell r="BN17">
            <v>-5188</v>
          </cell>
          <cell r="BO17">
            <v>0</v>
          </cell>
          <cell r="BP17">
            <v>0</v>
          </cell>
          <cell r="BQ17">
            <v>0</v>
          </cell>
          <cell r="BR17">
            <v>0</v>
          </cell>
          <cell r="BS17">
            <v>0</v>
          </cell>
          <cell r="BT17">
            <v>110181841</v>
          </cell>
          <cell r="BU17">
            <v>-2431882</v>
          </cell>
          <cell r="BV17">
            <v>10470076</v>
          </cell>
          <cell r="BW17">
            <v>-4847863</v>
          </cell>
          <cell r="BX17">
            <v>-795899</v>
          </cell>
          <cell r="BY17">
            <v>-516281</v>
          </cell>
          <cell r="BZ17">
            <v>116097173</v>
          </cell>
          <cell r="CA17">
            <v>-397949</v>
          </cell>
          <cell r="CB17">
            <v>-238770</v>
          </cell>
          <cell r="CC17">
            <v>-159180</v>
          </cell>
          <cell r="CD17">
            <v>0</v>
          </cell>
          <cell r="CE17">
            <v>-258141</v>
          </cell>
          <cell r="CF17">
            <v>-154884</v>
          </cell>
          <cell r="CG17">
            <v>-103256</v>
          </cell>
          <cell r="CH17">
            <v>0</v>
          </cell>
        </row>
        <row r="18">
          <cell r="A18">
            <v>11</v>
          </cell>
          <cell r="B18" t="str">
            <v>Barnsley</v>
          </cell>
          <cell r="C18" t="str">
            <v>E4401</v>
          </cell>
          <cell r="D18">
            <v>266729</v>
          </cell>
          <cell r="H18">
            <v>-3059596</v>
          </cell>
          <cell r="I18">
            <v>-5988</v>
          </cell>
          <cell r="J18">
            <v>266729</v>
          </cell>
          <cell r="K18">
            <v>242344</v>
          </cell>
          <cell r="L18">
            <v>48371</v>
          </cell>
          <cell r="M18">
            <v>0</v>
          </cell>
          <cell r="N18">
            <v>252508</v>
          </cell>
          <cell r="O18">
            <v>252508</v>
          </cell>
          <cell r="P18">
            <v>0</v>
          </cell>
          <cell r="Q18">
            <v>0</v>
          </cell>
          <cell r="R18">
            <v>1557861</v>
          </cell>
          <cell r="S18">
            <v>0</v>
          </cell>
          <cell r="T18">
            <v>31793</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M18">
            <v>0</v>
          </cell>
          <cell r="AN18">
            <v>0</v>
          </cell>
          <cell r="AO18">
            <v>0</v>
          </cell>
          <cell r="AP18">
            <v>336589</v>
          </cell>
          <cell r="AQ18">
            <v>0</v>
          </cell>
          <cell r="AR18">
            <v>6703</v>
          </cell>
          <cell r="AS18">
            <v>-772422</v>
          </cell>
          <cell r="AT18">
            <v>-756973</v>
          </cell>
          <cell r="AU18">
            <v>0</v>
          </cell>
          <cell r="AV18">
            <v>-15448</v>
          </cell>
          <cell r="AW18">
            <v>-1544843</v>
          </cell>
          <cell r="AX18">
            <v>-2978667</v>
          </cell>
          <cell r="AY18">
            <v>-2919095</v>
          </cell>
          <cell r="AZ18">
            <v>0</v>
          </cell>
          <cell r="BA18">
            <v>-59574</v>
          </cell>
          <cell r="BB18">
            <v>-5957336</v>
          </cell>
          <cell r="BC18">
            <v>51897033</v>
          </cell>
          <cell r="BD18">
            <v>-5239293</v>
          </cell>
          <cell r="BE18">
            <v>1490305</v>
          </cell>
          <cell r="BF18">
            <v>0</v>
          </cell>
          <cell r="BG18">
            <v>-4410511</v>
          </cell>
          <cell r="BH18">
            <v>0</v>
          </cell>
          <cell r="BI18">
            <v>-6646</v>
          </cell>
          <cell r="BJ18">
            <v>0</v>
          </cell>
          <cell r="BK18">
            <v>-2207970</v>
          </cell>
          <cell r="BL18">
            <v>-57494</v>
          </cell>
          <cell r="BM18">
            <v>-38875</v>
          </cell>
          <cell r="BN18">
            <v>0</v>
          </cell>
          <cell r="BO18">
            <v>-932</v>
          </cell>
          <cell r="BP18">
            <v>0</v>
          </cell>
          <cell r="BQ18">
            <v>-306688</v>
          </cell>
          <cell r="BR18">
            <v>-306688</v>
          </cell>
          <cell r="BS18">
            <v>0</v>
          </cell>
          <cell r="BT18">
            <v>56106809</v>
          </cell>
          <cell r="BU18">
            <v>-906978</v>
          </cell>
          <cell r="BV18">
            <v>2773995</v>
          </cell>
          <cell r="BW18">
            <v>-1918203</v>
          </cell>
          <cell r="BX18">
            <v>455819</v>
          </cell>
          <cell r="BY18">
            <v>243690</v>
          </cell>
          <cell r="BZ18">
            <v>44620441</v>
          </cell>
          <cell r="CA18">
            <v>227910</v>
          </cell>
          <cell r="CB18">
            <v>223351</v>
          </cell>
          <cell r="CC18">
            <v>0</v>
          </cell>
          <cell r="CD18">
            <v>4558</v>
          </cell>
          <cell r="CE18">
            <v>121845</v>
          </cell>
          <cell r="CF18">
            <v>119408</v>
          </cell>
          <cell r="CG18">
            <v>0</v>
          </cell>
          <cell r="CH18">
            <v>2437</v>
          </cell>
        </row>
        <row r="19">
          <cell r="A19">
            <v>12</v>
          </cell>
          <cell r="B19" t="str">
            <v>Barrow-in-Furness</v>
          </cell>
          <cell r="C19" t="str">
            <v>E0932</v>
          </cell>
          <cell r="D19">
            <v>92724</v>
          </cell>
          <cell r="H19">
            <v>-2944194</v>
          </cell>
          <cell r="I19">
            <v>0</v>
          </cell>
          <cell r="J19">
            <v>92724</v>
          </cell>
          <cell r="K19">
            <v>0</v>
          </cell>
          <cell r="L19">
            <v>135658</v>
          </cell>
          <cell r="M19">
            <v>0</v>
          </cell>
          <cell r="N19">
            <v>0</v>
          </cell>
          <cell r="O19">
            <v>0</v>
          </cell>
          <cell r="P19">
            <v>0</v>
          </cell>
          <cell r="Q19">
            <v>0</v>
          </cell>
          <cell r="R19">
            <v>361435</v>
          </cell>
          <cell r="S19">
            <v>90359</v>
          </cell>
          <cell r="T19">
            <v>0</v>
          </cell>
          <cell r="U19">
            <v>1125</v>
          </cell>
          <cell r="V19">
            <v>281</v>
          </cell>
          <cell r="W19">
            <v>0</v>
          </cell>
          <cell r="X19">
            <v>0</v>
          </cell>
          <cell r="Y19">
            <v>0</v>
          </cell>
          <cell r="Z19">
            <v>0</v>
          </cell>
          <cell r="AA19">
            <v>0</v>
          </cell>
          <cell r="AB19">
            <v>0</v>
          </cell>
          <cell r="AC19">
            <v>0</v>
          </cell>
          <cell r="AD19">
            <v>0</v>
          </cell>
          <cell r="AE19">
            <v>0</v>
          </cell>
          <cell r="AF19">
            <v>0</v>
          </cell>
          <cell r="AG19">
            <v>0</v>
          </cell>
          <cell r="AH19">
            <v>0</v>
          </cell>
          <cell r="AI19">
            <v>0</v>
          </cell>
          <cell r="AM19">
            <v>0</v>
          </cell>
          <cell r="AN19">
            <v>0</v>
          </cell>
          <cell r="AO19">
            <v>0</v>
          </cell>
          <cell r="AP19">
            <v>121545</v>
          </cell>
          <cell r="AQ19">
            <v>29877</v>
          </cell>
          <cell r="AR19">
            <v>0</v>
          </cell>
          <cell r="AS19">
            <v>-621367</v>
          </cell>
          <cell r="AT19">
            <v>-497092</v>
          </cell>
          <cell r="AU19">
            <v>-124273</v>
          </cell>
          <cell r="AV19">
            <v>0</v>
          </cell>
          <cell r="AW19">
            <v>-1242732</v>
          </cell>
          <cell r="AX19">
            <v>-657024</v>
          </cell>
          <cell r="AY19">
            <v>-525619</v>
          </cell>
          <cell r="AZ19">
            <v>-131406</v>
          </cell>
          <cell r="BA19">
            <v>0</v>
          </cell>
          <cell r="BB19">
            <v>-1314049</v>
          </cell>
          <cell r="BC19">
            <v>22513473</v>
          </cell>
          <cell r="BD19">
            <v>-1434605</v>
          </cell>
          <cell r="BE19">
            <v>640096</v>
          </cell>
          <cell r="BF19">
            <v>0</v>
          </cell>
          <cell r="BG19">
            <v>-1720091</v>
          </cell>
          <cell r="BH19">
            <v>-103806</v>
          </cell>
          <cell r="BI19">
            <v>0</v>
          </cell>
          <cell r="BJ19">
            <v>-693734</v>
          </cell>
          <cell r="BK19">
            <v>-580844</v>
          </cell>
          <cell r="BL19">
            <v>0</v>
          </cell>
          <cell r="BM19">
            <v>0</v>
          </cell>
          <cell r="BN19">
            <v>0</v>
          </cell>
          <cell r="BO19">
            <v>0</v>
          </cell>
          <cell r="BP19">
            <v>0</v>
          </cell>
          <cell r="BQ19">
            <v>0</v>
          </cell>
          <cell r="BR19">
            <v>0</v>
          </cell>
          <cell r="BS19">
            <v>0</v>
          </cell>
          <cell r="BT19">
            <v>23500850</v>
          </cell>
          <cell r="BU19">
            <v>-93265</v>
          </cell>
          <cell r="BV19">
            <v>1459430</v>
          </cell>
          <cell r="BW19">
            <v>-1123072</v>
          </cell>
          <cell r="BX19">
            <v>-2015048</v>
          </cell>
          <cell r="BY19">
            <v>-1202806</v>
          </cell>
          <cell r="BZ19">
            <v>19889491</v>
          </cell>
          <cell r="CA19">
            <v>-1007523</v>
          </cell>
          <cell r="CB19">
            <v>-806020</v>
          </cell>
          <cell r="CC19">
            <v>-201505</v>
          </cell>
          <cell r="CD19">
            <v>0</v>
          </cell>
          <cell r="CE19">
            <v>-601403</v>
          </cell>
          <cell r="CF19">
            <v>-481122</v>
          </cell>
          <cell r="CG19">
            <v>-120281</v>
          </cell>
          <cell r="CH19">
            <v>0</v>
          </cell>
        </row>
        <row r="20">
          <cell r="A20">
            <v>13</v>
          </cell>
          <cell r="B20" t="str">
            <v>Basildon</v>
          </cell>
          <cell r="C20" t="str">
            <v>E1531</v>
          </cell>
          <cell r="D20">
            <v>229078</v>
          </cell>
          <cell r="H20">
            <v>-131303</v>
          </cell>
          <cell r="I20">
            <v>0</v>
          </cell>
          <cell r="J20">
            <v>237078</v>
          </cell>
          <cell r="K20">
            <v>0</v>
          </cell>
          <cell r="L20">
            <v>38</v>
          </cell>
          <cell r="M20">
            <v>0</v>
          </cell>
          <cell r="N20">
            <v>0</v>
          </cell>
          <cell r="O20">
            <v>0</v>
          </cell>
          <cell r="P20">
            <v>0</v>
          </cell>
          <cell r="Q20">
            <v>0</v>
          </cell>
          <cell r="R20">
            <v>745932</v>
          </cell>
          <cell r="S20">
            <v>167835</v>
          </cell>
          <cell r="T20">
            <v>18648</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M20">
            <v>0</v>
          </cell>
          <cell r="AN20">
            <v>0</v>
          </cell>
          <cell r="AO20">
            <v>0</v>
          </cell>
          <cell r="AP20">
            <v>461178</v>
          </cell>
          <cell r="AQ20">
            <v>103765</v>
          </cell>
          <cell r="AR20">
            <v>11529</v>
          </cell>
          <cell r="AS20">
            <v>-616500</v>
          </cell>
          <cell r="AT20">
            <v>-493200</v>
          </cell>
          <cell r="AU20">
            <v>-110970</v>
          </cell>
          <cell r="AV20">
            <v>-12330</v>
          </cell>
          <cell r="AW20">
            <v>-1233000</v>
          </cell>
          <cell r="AX20">
            <v>-3900000</v>
          </cell>
          <cell r="AY20">
            <v>-3120000</v>
          </cell>
          <cell r="AZ20">
            <v>-702000</v>
          </cell>
          <cell r="BA20">
            <v>-78000</v>
          </cell>
          <cell r="BB20">
            <v>-7800000</v>
          </cell>
          <cell r="BC20">
            <v>91872476</v>
          </cell>
          <cell r="BD20">
            <v>-2600882</v>
          </cell>
          <cell r="BE20">
            <v>2186662</v>
          </cell>
          <cell r="BF20">
            <v>0</v>
          </cell>
          <cell r="BG20">
            <v>-3671985</v>
          </cell>
          <cell r="BH20">
            <v>-40850</v>
          </cell>
          <cell r="BI20">
            <v>-3504</v>
          </cell>
          <cell r="BJ20">
            <v>-1656</v>
          </cell>
          <cell r="BK20">
            <v>-1744695</v>
          </cell>
          <cell r="BL20">
            <v>-9390</v>
          </cell>
          <cell r="BM20">
            <v>-41855</v>
          </cell>
          <cell r="BN20">
            <v>0</v>
          </cell>
          <cell r="BO20">
            <v>0</v>
          </cell>
          <cell r="BP20">
            <v>0</v>
          </cell>
          <cell r="BQ20">
            <v>0</v>
          </cell>
          <cell r="BR20">
            <v>0</v>
          </cell>
          <cell r="BS20">
            <v>0</v>
          </cell>
          <cell r="BT20">
            <v>83750263</v>
          </cell>
          <cell r="BU20">
            <v>-111997</v>
          </cell>
          <cell r="BV20">
            <v>3097956</v>
          </cell>
          <cell r="BW20">
            <v>-1103355</v>
          </cell>
          <cell r="BX20">
            <v>5499644</v>
          </cell>
          <cell r="BY20">
            <v>-3503226</v>
          </cell>
          <cell r="BZ20">
            <v>76753112</v>
          </cell>
          <cell r="CA20">
            <v>2749821</v>
          </cell>
          <cell r="CB20">
            <v>2199858</v>
          </cell>
          <cell r="CC20">
            <v>494969</v>
          </cell>
          <cell r="CD20">
            <v>54996</v>
          </cell>
          <cell r="CE20">
            <v>-1751614</v>
          </cell>
          <cell r="CF20">
            <v>-1401290</v>
          </cell>
          <cell r="CG20">
            <v>-315290</v>
          </cell>
          <cell r="CH20">
            <v>-35032</v>
          </cell>
        </row>
        <row r="21">
          <cell r="A21">
            <v>14</v>
          </cell>
          <cell r="B21" t="str">
            <v>Basingstoke &amp; Deane</v>
          </cell>
          <cell r="C21" t="str">
            <v>E1731</v>
          </cell>
          <cell r="D21">
            <v>198939</v>
          </cell>
          <cell r="H21">
            <v>-3287241</v>
          </cell>
          <cell r="I21">
            <v>25826</v>
          </cell>
          <cell r="J21">
            <v>198939</v>
          </cell>
          <cell r="K21">
            <v>0</v>
          </cell>
          <cell r="L21">
            <v>97014</v>
          </cell>
          <cell r="M21">
            <v>206122</v>
          </cell>
          <cell r="N21">
            <v>155000</v>
          </cell>
          <cell r="O21">
            <v>155000</v>
          </cell>
          <cell r="P21">
            <v>0</v>
          </cell>
          <cell r="Q21">
            <v>0</v>
          </cell>
          <cell r="R21">
            <v>441620</v>
          </cell>
          <cell r="S21">
            <v>95803</v>
          </cell>
          <cell r="T21">
            <v>10645</v>
          </cell>
          <cell r="U21">
            <v>13572</v>
          </cell>
          <cell r="V21">
            <v>2158</v>
          </cell>
          <cell r="W21">
            <v>240</v>
          </cell>
          <cell r="X21">
            <v>0</v>
          </cell>
          <cell r="Y21">
            <v>0</v>
          </cell>
          <cell r="Z21">
            <v>0</v>
          </cell>
          <cell r="AA21">
            <v>765</v>
          </cell>
          <cell r="AB21">
            <v>172</v>
          </cell>
          <cell r="AC21">
            <v>19</v>
          </cell>
          <cell r="AD21">
            <v>0</v>
          </cell>
          <cell r="AE21">
            <v>0</v>
          </cell>
          <cell r="AF21">
            <v>0</v>
          </cell>
          <cell r="AG21">
            <v>0</v>
          </cell>
          <cell r="AH21">
            <v>0</v>
          </cell>
          <cell r="AI21">
            <v>0</v>
          </cell>
          <cell r="AM21">
            <v>0</v>
          </cell>
          <cell r="AN21">
            <v>0</v>
          </cell>
          <cell r="AO21">
            <v>0</v>
          </cell>
          <cell r="AP21">
            <v>422981</v>
          </cell>
          <cell r="AQ21">
            <v>97415</v>
          </cell>
          <cell r="AR21">
            <v>10480</v>
          </cell>
          <cell r="AS21">
            <v>-217501</v>
          </cell>
          <cell r="AT21">
            <v>-174000</v>
          </cell>
          <cell r="AU21">
            <v>-39150</v>
          </cell>
          <cell r="AV21">
            <v>-4350</v>
          </cell>
          <cell r="AW21">
            <v>-435001</v>
          </cell>
          <cell r="AX21">
            <v>-3450000</v>
          </cell>
          <cell r="AY21">
            <v>-2760000</v>
          </cell>
          <cell r="AZ21">
            <v>-621000</v>
          </cell>
          <cell r="BA21">
            <v>-69000</v>
          </cell>
          <cell r="BB21">
            <v>-6900000</v>
          </cell>
          <cell r="BC21">
            <v>73612621</v>
          </cell>
          <cell r="BD21">
            <v>-1770308</v>
          </cell>
          <cell r="BE21">
            <v>2092972</v>
          </cell>
          <cell r="BF21">
            <v>0</v>
          </cell>
          <cell r="BG21">
            <v>-3348992</v>
          </cell>
          <cell r="BH21">
            <v>-11311</v>
          </cell>
          <cell r="BI21">
            <v>-35627</v>
          </cell>
          <cell r="BJ21">
            <v>-867917</v>
          </cell>
          <cell r="BK21">
            <v>-3748529</v>
          </cell>
          <cell r="BL21">
            <v>-458803</v>
          </cell>
          <cell r="BM21">
            <v>-171032</v>
          </cell>
          <cell r="BN21">
            <v>-2827</v>
          </cell>
          <cell r="BO21">
            <v>-28982</v>
          </cell>
          <cell r="BP21">
            <v>-66538</v>
          </cell>
          <cell r="BQ21">
            <v>0</v>
          </cell>
          <cell r="BR21">
            <v>0</v>
          </cell>
          <cell r="BS21">
            <v>0</v>
          </cell>
          <cell r="BT21">
            <v>75069821</v>
          </cell>
          <cell r="BU21">
            <v>-254487</v>
          </cell>
          <cell r="BV21">
            <v>1799878</v>
          </cell>
          <cell r="BW21">
            <v>-1995400</v>
          </cell>
          <cell r="BX21">
            <v>-3158537</v>
          </cell>
          <cell r="BY21">
            <v>-2085694</v>
          </cell>
          <cell r="BZ21">
            <v>69766145</v>
          </cell>
          <cell r="CA21">
            <v>-1579267</v>
          </cell>
          <cell r="CB21">
            <v>-1263416</v>
          </cell>
          <cell r="CC21">
            <v>-284268</v>
          </cell>
          <cell r="CD21">
            <v>-31586</v>
          </cell>
          <cell r="CE21">
            <v>-1042847</v>
          </cell>
          <cell r="CF21">
            <v>-834278</v>
          </cell>
          <cell r="CG21">
            <v>-187712</v>
          </cell>
          <cell r="CH21">
            <v>-20857</v>
          </cell>
        </row>
        <row r="22">
          <cell r="A22">
            <v>15</v>
          </cell>
          <cell r="B22" t="str">
            <v>Bassetlaw</v>
          </cell>
          <cell r="C22" t="str">
            <v>E3032</v>
          </cell>
          <cell r="D22">
            <v>167487</v>
          </cell>
          <cell r="H22">
            <v>-6930775</v>
          </cell>
          <cell r="I22">
            <v>0</v>
          </cell>
          <cell r="J22">
            <v>167487</v>
          </cell>
          <cell r="K22">
            <v>0</v>
          </cell>
          <cell r="L22">
            <v>482834</v>
          </cell>
          <cell r="M22">
            <v>0</v>
          </cell>
          <cell r="N22">
            <v>0</v>
          </cell>
          <cell r="O22">
            <v>0</v>
          </cell>
          <cell r="P22">
            <v>0</v>
          </cell>
          <cell r="Q22">
            <v>0</v>
          </cell>
          <cell r="R22">
            <v>635662</v>
          </cell>
          <cell r="S22">
            <v>143024</v>
          </cell>
          <cell r="T22">
            <v>15892</v>
          </cell>
          <cell r="U22">
            <v>6460</v>
          </cell>
          <cell r="V22">
            <v>1453</v>
          </cell>
          <cell r="W22">
            <v>161</v>
          </cell>
          <cell r="X22">
            <v>2273</v>
          </cell>
          <cell r="Y22">
            <v>511</v>
          </cell>
          <cell r="Z22">
            <v>57</v>
          </cell>
          <cell r="AA22">
            <v>0</v>
          </cell>
          <cell r="AB22">
            <v>0</v>
          </cell>
          <cell r="AC22">
            <v>0</v>
          </cell>
          <cell r="AD22">
            <v>0</v>
          </cell>
          <cell r="AE22">
            <v>0</v>
          </cell>
          <cell r="AF22">
            <v>0</v>
          </cell>
          <cell r="AG22">
            <v>0</v>
          </cell>
          <cell r="AH22">
            <v>0</v>
          </cell>
          <cell r="AI22">
            <v>0</v>
          </cell>
          <cell r="AM22">
            <v>0</v>
          </cell>
          <cell r="AN22">
            <v>0</v>
          </cell>
          <cell r="AO22">
            <v>0</v>
          </cell>
          <cell r="AP22">
            <v>260432</v>
          </cell>
          <cell r="AQ22">
            <v>56965</v>
          </cell>
          <cell r="AR22">
            <v>6329</v>
          </cell>
          <cell r="AS22">
            <v>-433577</v>
          </cell>
          <cell r="AT22">
            <v>-346861</v>
          </cell>
          <cell r="AU22">
            <v>-78043</v>
          </cell>
          <cell r="AV22">
            <v>-8671</v>
          </cell>
          <cell r="AW22">
            <v>-867152</v>
          </cell>
          <cell r="AX22">
            <v>-4428694</v>
          </cell>
          <cell r="AY22">
            <v>-3542955</v>
          </cell>
          <cell r="AZ22">
            <v>-797166</v>
          </cell>
          <cell r="BA22">
            <v>-88574</v>
          </cell>
          <cell r="BB22">
            <v>-8857389</v>
          </cell>
          <cell r="BC22">
            <v>51159497</v>
          </cell>
          <cell r="BD22">
            <v>-2684107</v>
          </cell>
          <cell r="BE22">
            <v>1392332</v>
          </cell>
          <cell r="BF22">
            <v>0</v>
          </cell>
          <cell r="BG22">
            <v>-2889856</v>
          </cell>
          <cell r="BH22">
            <v>-13300</v>
          </cell>
          <cell r="BI22">
            <v>-41304</v>
          </cell>
          <cell r="BJ22">
            <v>-533713</v>
          </cell>
          <cell r="BK22">
            <v>-1120938</v>
          </cell>
          <cell r="BL22">
            <v>-84736</v>
          </cell>
          <cell r="BM22">
            <v>-60862</v>
          </cell>
          <cell r="BN22">
            <v>-1625</v>
          </cell>
          <cell r="BO22">
            <v>-43207</v>
          </cell>
          <cell r="BP22">
            <v>-13587</v>
          </cell>
          <cell r="BQ22">
            <v>0</v>
          </cell>
          <cell r="BR22">
            <v>0</v>
          </cell>
          <cell r="BS22">
            <v>0</v>
          </cell>
          <cell r="BT22">
            <v>51131177</v>
          </cell>
          <cell r="BU22">
            <v>4009</v>
          </cell>
          <cell r="BV22">
            <v>2206792</v>
          </cell>
          <cell r="BW22">
            <v>-876882</v>
          </cell>
          <cell r="BX22">
            <v>-1860223</v>
          </cell>
          <cell r="BY22">
            <v>-3183688</v>
          </cell>
          <cell r="BZ22">
            <v>42136258</v>
          </cell>
          <cell r="CA22">
            <v>-930112</v>
          </cell>
          <cell r="CB22">
            <v>-744089</v>
          </cell>
          <cell r="CC22">
            <v>-167420</v>
          </cell>
          <cell r="CD22">
            <v>-18602</v>
          </cell>
          <cell r="CE22">
            <v>-1591844</v>
          </cell>
          <cell r="CF22">
            <v>-1273475</v>
          </cell>
          <cell r="CG22">
            <v>-286532</v>
          </cell>
          <cell r="CH22">
            <v>-31837</v>
          </cell>
        </row>
        <row r="23">
          <cell r="A23">
            <v>16</v>
          </cell>
          <cell r="B23" t="str">
            <v>Bath &amp; North East Somerset</v>
          </cell>
          <cell r="C23" t="str">
            <v>E0101</v>
          </cell>
          <cell r="D23">
            <v>259447</v>
          </cell>
          <cell r="H23">
            <v>-616863</v>
          </cell>
          <cell r="I23">
            <v>-22611</v>
          </cell>
          <cell r="J23">
            <v>259447</v>
          </cell>
          <cell r="K23">
            <v>534106</v>
          </cell>
          <cell r="L23">
            <v>54227</v>
          </cell>
          <cell r="M23">
            <v>0</v>
          </cell>
          <cell r="N23">
            <v>0</v>
          </cell>
          <cell r="O23">
            <v>0</v>
          </cell>
          <cell r="P23">
            <v>0</v>
          </cell>
          <cell r="Q23">
            <v>0</v>
          </cell>
          <cell r="R23">
            <v>2658051</v>
          </cell>
          <cell r="S23">
            <v>137597</v>
          </cell>
          <cell r="T23">
            <v>27519</v>
          </cell>
          <cell r="U23">
            <v>10424</v>
          </cell>
          <cell r="V23">
            <v>555</v>
          </cell>
          <cell r="W23">
            <v>111</v>
          </cell>
          <cell r="X23">
            <v>0</v>
          </cell>
          <cell r="Y23">
            <v>0</v>
          </cell>
          <cell r="Z23">
            <v>0</v>
          </cell>
          <cell r="AA23">
            <v>8393</v>
          </cell>
          <cell r="AB23">
            <v>446</v>
          </cell>
          <cell r="AC23">
            <v>89</v>
          </cell>
          <cell r="AD23">
            <v>0</v>
          </cell>
          <cell r="AE23">
            <v>0</v>
          </cell>
          <cell r="AF23">
            <v>0</v>
          </cell>
          <cell r="AG23">
            <v>0</v>
          </cell>
          <cell r="AH23">
            <v>0</v>
          </cell>
          <cell r="AI23">
            <v>0</v>
          </cell>
          <cell r="AM23">
            <v>0</v>
          </cell>
          <cell r="AN23">
            <v>0</v>
          </cell>
          <cell r="AO23">
            <v>0</v>
          </cell>
          <cell r="AP23">
            <v>916397</v>
          </cell>
          <cell r="AQ23">
            <v>48274</v>
          </cell>
          <cell r="AR23">
            <v>9655</v>
          </cell>
          <cell r="AS23">
            <v>-232757</v>
          </cell>
          <cell r="AT23">
            <v>-228099</v>
          </cell>
          <cell r="AU23">
            <v>0</v>
          </cell>
          <cell r="AV23">
            <v>-4655</v>
          </cell>
          <cell r="AW23">
            <v>-465511</v>
          </cell>
          <cell r="AX23">
            <v>-2970160</v>
          </cell>
          <cell r="AY23">
            <v>-2910759</v>
          </cell>
          <cell r="AZ23">
            <v>0</v>
          </cell>
          <cell r="BA23">
            <v>-59405</v>
          </cell>
          <cell r="BB23">
            <v>-5940324</v>
          </cell>
          <cell r="BC23">
            <v>62618001</v>
          </cell>
          <cell r="BD23">
            <v>-4137817</v>
          </cell>
          <cell r="BE23">
            <v>1860457</v>
          </cell>
          <cell r="BF23">
            <v>0</v>
          </cell>
          <cell r="BG23">
            <v>-7569114</v>
          </cell>
          <cell r="BH23">
            <v>-158983</v>
          </cell>
          <cell r="BI23">
            <v>-25287</v>
          </cell>
          <cell r="BJ23">
            <v>-852</v>
          </cell>
          <cell r="BK23">
            <v>-3059203</v>
          </cell>
          <cell r="BL23">
            <v>-86069</v>
          </cell>
          <cell r="BM23">
            <v>-44483</v>
          </cell>
          <cell r="BN23">
            <v>-21426</v>
          </cell>
          <cell r="BO23">
            <v>-13205</v>
          </cell>
          <cell r="BP23">
            <v>-37077</v>
          </cell>
          <cell r="BQ23">
            <v>0</v>
          </cell>
          <cell r="BR23">
            <v>0</v>
          </cell>
          <cell r="BS23">
            <v>0</v>
          </cell>
          <cell r="BT23">
            <v>62931587</v>
          </cell>
          <cell r="BU23">
            <v>-734050</v>
          </cell>
          <cell r="BV23">
            <v>1895114</v>
          </cell>
          <cell r="BW23">
            <v>-2086122</v>
          </cell>
          <cell r="BX23">
            <v>-5998126</v>
          </cell>
          <cell r="BY23">
            <v>-4355102</v>
          </cell>
          <cell r="BZ23">
            <v>64273969</v>
          </cell>
          <cell r="CA23">
            <v>-2999063</v>
          </cell>
          <cell r="CB23">
            <v>-2939082</v>
          </cell>
          <cell r="CC23">
            <v>0</v>
          </cell>
          <cell r="CD23">
            <v>-59981</v>
          </cell>
          <cell r="CE23">
            <v>-2177551</v>
          </cell>
          <cell r="CF23">
            <v>-2134000</v>
          </cell>
          <cell r="CG23">
            <v>0</v>
          </cell>
          <cell r="CH23">
            <v>-43551</v>
          </cell>
        </row>
        <row r="24">
          <cell r="A24">
            <v>17</v>
          </cell>
          <cell r="B24" t="str">
            <v>Bedford UA</v>
          </cell>
          <cell r="C24" t="str">
            <v>E0202</v>
          </cell>
          <cell r="D24">
            <v>226153</v>
          </cell>
          <cell r="H24">
            <v>-4672669</v>
          </cell>
          <cell r="I24">
            <v>0</v>
          </cell>
          <cell r="J24">
            <v>226153</v>
          </cell>
          <cell r="K24">
            <v>0</v>
          </cell>
          <cell r="L24">
            <v>449000</v>
          </cell>
          <cell r="M24">
            <v>0</v>
          </cell>
          <cell r="N24">
            <v>0</v>
          </cell>
          <cell r="O24">
            <v>0</v>
          </cell>
          <cell r="P24">
            <v>0</v>
          </cell>
          <cell r="Q24">
            <v>0</v>
          </cell>
          <cell r="R24">
            <v>1143838</v>
          </cell>
          <cell r="S24">
            <v>0</v>
          </cell>
          <cell r="T24">
            <v>23344</v>
          </cell>
          <cell r="U24">
            <v>4728</v>
          </cell>
          <cell r="V24">
            <v>0</v>
          </cell>
          <cell r="W24">
            <v>96</v>
          </cell>
          <cell r="X24">
            <v>1276</v>
          </cell>
          <cell r="Y24">
            <v>0</v>
          </cell>
          <cell r="Z24">
            <v>26</v>
          </cell>
          <cell r="AA24">
            <v>5389</v>
          </cell>
          <cell r="AB24">
            <v>0</v>
          </cell>
          <cell r="AC24">
            <v>110</v>
          </cell>
          <cell r="AD24">
            <v>0</v>
          </cell>
          <cell r="AE24">
            <v>0</v>
          </cell>
          <cell r="AF24">
            <v>0</v>
          </cell>
          <cell r="AG24">
            <v>0</v>
          </cell>
          <cell r="AH24">
            <v>0</v>
          </cell>
          <cell r="AI24">
            <v>0</v>
          </cell>
          <cell r="AM24">
            <v>0</v>
          </cell>
          <cell r="AN24">
            <v>0</v>
          </cell>
          <cell r="AO24">
            <v>0</v>
          </cell>
          <cell r="AP24">
            <v>443296</v>
          </cell>
          <cell r="AQ24">
            <v>0</v>
          </cell>
          <cell r="AR24">
            <v>8909</v>
          </cell>
          <cell r="AS24">
            <v>-1209808</v>
          </cell>
          <cell r="AT24">
            <v>-1185611</v>
          </cell>
          <cell r="AU24">
            <v>0</v>
          </cell>
          <cell r="AV24">
            <v>-24196</v>
          </cell>
          <cell r="AW24">
            <v>-2419615</v>
          </cell>
          <cell r="AX24">
            <v>-3224608</v>
          </cell>
          <cell r="AY24">
            <v>-3160117</v>
          </cell>
          <cell r="AZ24">
            <v>0</v>
          </cell>
          <cell r="BA24">
            <v>-64492</v>
          </cell>
          <cell r="BB24">
            <v>-6449217</v>
          </cell>
          <cell r="BC24">
            <v>65896682</v>
          </cell>
          <cell r="BD24">
            <v>-3343638</v>
          </cell>
          <cell r="BE24">
            <v>1856716</v>
          </cell>
          <cell r="BF24">
            <v>0</v>
          </cell>
          <cell r="BG24">
            <v>-5381995</v>
          </cell>
          <cell r="BH24">
            <v>-149756</v>
          </cell>
          <cell r="BI24">
            <v>-42601</v>
          </cell>
          <cell r="BJ24">
            <v>0</v>
          </cell>
          <cell r="BK24">
            <v>-1855343</v>
          </cell>
          <cell r="BL24">
            <v>-121139</v>
          </cell>
          <cell r="BM24">
            <v>-30666</v>
          </cell>
          <cell r="BN24">
            <v>-1454</v>
          </cell>
          <cell r="BO24">
            <v>-35658</v>
          </cell>
          <cell r="BP24">
            <v>-26943</v>
          </cell>
          <cell r="BQ24">
            <v>0</v>
          </cell>
          <cell r="BR24">
            <v>0</v>
          </cell>
          <cell r="BS24">
            <v>0</v>
          </cell>
          <cell r="BT24">
            <v>69036366</v>
          </cell>
          <cell r="BU24">
            <v>-254880</v>
          </cell>
          <cell r="BV24">
            <v>3207041</v>
          </cell>
          <cell r="BW24">
            <v>-898353</v>
          </cell>
          <cell r="BX24">
            <v>-434903</v>
          </cell>
          <cell r="BY24">
            <v>0</v>
          </cell>
          <cell r="BZ24">
            <v>59309876</v>
          </cell>
          <cell r="CA24">
            <v>-217451</v>
          </cell>
          <cell r="CB24">
            <v>-213103</v>
          </cell>
          <cell r="CC24">
            <v>0</v>
          </cell>
          <cell r="CD24">
            <v>-4349</v>
          </cell>
          <cell r="CE24">
            <v>0</v>
          </cell>
          <cell r="CF24">
            <v>0</v>
          </cell>
          <cell r="CG24">
            <v>0</v>
          </cell>
          <cell r="CH24">
            <v>0</v>
          </cell>
        </row>
        <row r="25">
          <cell r="A25">
            <v>18</v>
          </cell>
          <cell r="B25" t="str">
            <v>Bexley</v>
          </cell>
          <cell r="C25" t="str">
            <v>E5032</v>
          </cell>
          <cell r="D25">
            <v>247577</v>
          </cell>
          <cell r="H25">
            <v>-639747</v>
          </cell>
          <cell r="I25">
            <v>0</v>
          </cell>
          <cell r="J25">
            <v>247577</v>
          </cell>
          <cell r="K25">
            <v>0</v>
          </cell>
          <cell r="L25">
            <v>0</v>
          </cell>
          <cell r="M25">
            <v>0</v>
          </cell>
          <cell r="N25">
            <v>0</v>
          </cell>
          <cell r="O25">
            <v>0</v>
          </cell>
          <cell r="P25">
            <v>0</v>
          </cell>
          <cell r="Q25">
            <v>0</v>
          </cell>
          <cell r="R25">
            <v>845889</v>
          </cell>
          <cell r="S25">
            <v>1043264</v>
          </cell>
          <cell r="T25">
            <v>0</v>
          </cell>
          <cell r="U25">
            <v>0</v>
          </cell>
          <cell r="V25">
            <v>0</v>
          </cell>
          <cell r="W25">
            <v>0</v>
          </cell>
          <cell r="X25">
            <v>0</v>
          </cell>
          <cell r="Y25">
            <v>0</v>
          </cell>
          <cell r="Z25">
            <v>0</v>
          </cell>
          <cell r="AA25">
            <v>590</v>
          </cell>
          <cell r="AB25">
            <v>728</v>
          </cell>
          <cell r="AC25">
            <v>0</v>
          </cell>
          <cell r="AD25">
            <v>0</v>
          </cell>
          <cell r="AE25">
            <v>0</v>
          </cell>
          <cell r="AF25">
            <v>0</v>
          </cell>
          <cell r="AG25">
            <v>0</v>
          </cell>
          <cell r="AH25">
            <v>0</v>
          </cell>
          <cell r="AI25">
            <v>0</v>
          </cell>
          <cell r="AM25">
            <v>0</v>
          </cell>
          <cell r="AN25">
            <v>0</v>
          </cell>
          <cell r="AO25">
            <v>0</v>
          </cell>
          <cell r="AP25">
            <v>328829</v>
          </cell>
          <cell r="AQ25">
            <v>405556</v>
          </cell>
          <cell r="AR25">
            <v>0</v>
          </cell>
          <cell r="AS25">
            <v>-823500</v>
          </cell>
          <cell r="AT25">
            <v>-494100</v>
          </cell>
          <cell r="AU25">
            <v>-329400</v>
          </cell>
          <cell r="AV25">
            <v>0</v>
          </cell>
          <cell r="AW25">
            <v>-1647000</v>
          </cell>
          <cell r="AX25">
            <v>-4464448</v>
          </cell>
          <cell r="AY25">
            <v>-2678671</v>
          </cell>
          <cell r="AZ25">
            <v>-1785780</v>
          </cell>
          <cell r="BA25">
            <v>0</v>
          </cell>
          <cell r="BB25">
            <v>-8928899</v>
          </cell>
          <cell r="BC25">
            <v>71725761</v>
          </cell>
          <cell r="BD25">
            <v>-4065796</v>
          </cell>
          <cell r="BE25">
            <v>1885533</v>
          </cell>
          <cell r="BF25">
            <v>0</v>
          </cell>
          <cell r="BG25">
            <v>-7019576</v>
          </cell>
          <cell r="BH25">
            <v>-102521</v>
          </cell>
          <cell r="BI25">
            <v>0</v>
          </cell>
          <cell r="BJ25">
            <v>-64329</v>
          </cell>
          <cell r="BK25">
            <v>-1365148</v>
          </cell>
          <cell r="BL25">
            <v>0</v>
          </cell>
          <cell r="BM25">
            <v>0</v>
          </cell>
          <cell r="BN25">
            <v>0</v>
          </cell>
          <cell r="BO25">
            <v>0</v>
          </cell>
          <cell r="BP25">
            <v>0</v>
          </cell>
          <cell r="BQ25">
            <v>0</v>
          </cell>
          <cell r="BR25">
            <v>0</v>
          </cell>
          <cell r="BS25">
            <v>0</v>
          </cell>
          <cell r="BT25">
            <v>73262633</v>
          </cell>
          <cell r="BU25">
            <v>0</v>
          </cell>
          <cell r="BV25">
            <v>1767267</v>
          </cell>
          <cell r="BW25">
            <v>-2782104</v>
          </cell>
          <cell r="BX25">
            <v>-958457</v>
          </cell>
          <cell r="BY25">
            <v>473496</v>
          </cell>
          <cell r="BZ25">
            <v>72968732</v>
          </cell>
          <cell r="CA25">
            <v>-479228</v>
          </cell>
          <cell r="CB25">
            <v>-287538</v>
          </cell>
          <cell r="CC25">
            <v>-191691</v>
          </cell>
          <cell r="CD25">
            <v>0</v>
          </cell>
          <cell r="CE25">
            <v>236748</v>
          </cell>
          <cell r="CF25">
            <v>142049</v>
          </cell>
          <cell r="CG25">
            <v>94699</v>
          </cell>
          <cell r="CH25">
            <v>0</v>
          </cell>
        </row>
        <row r="26">
          <cell r="A26">
            <v>19</v>
          </cell>
          <cell r="B26" t="str">
            <v>Birmingham</v>
          </cell>
          <cell r="C26" t="str">
            <v>E4601</v>
          </cell>
          <cell r="D26">
            <v>1893141</v>
          </cell>
          <cell r="H26">
            <v>-3428934</v>
          </cell>
          <cell r="I26">
            <v>0</v>
          </cell>
          <cell r="J26">
            <v>1893141</v>
          </cell>
          <cell r="K26">
            <v>1524577</v>
          </cell>
          <cell r="L26">
            <v>0</v>
          </cell>
          <cell r="M26">
            <v>0</v>
          </cell>
          <cell r="N26">
            <v>0</v>
          </cell>
          <cell r="O26">
            <v>0</v>
          </cell>
          <cell r="P26">
            <v>0</v>
          </cell>
          <cell r="Q26">
            <v>0</v>
          </cell>
          <cell r="R26">
            <v>17280582</v>
          </cell>
          <cell r="S26">
            <v>0</v>
          </cell>
          <cell r="T26">
            <v>171536</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M26">
            <v>0</v>
          </cell>
          <cell r="AN26">
            <v>0</v>
          </cell>
          <cell r="AO26">
            <v>0</v>
          </cell>
          <cell r="AP26">
            <v>6021003</v>
          </cell>
          <cell r="AQ26">
            <v>0</v>
          </cell>
          <cell r="AR26">
            <v>60587</v>
          </cell>
          <cell r="AS26">
            <v>-26597211</v>
          </cell>
          <cell r="AT26">
            <v>-26065269</v>
          </cell>
          <cell r="AU26">
            <v>0</v>
          </cell>
          <cell r="AV26">
            <v>-531945</v>
          </cell>
          <cell r="AW26">
            <v>-53194425</v>
          </cell>
          <cell r="AX26">
            <v>-26304407</v>
          </cell>
          <cell r="AY26">
            <v>-25778318</v>
          </cell>
          <cell r="AZ26">
            <v>0</v>
          </cell>
          <cell r="BA26">
            <v>-526088</v>
          </cell>
          <cell r="BB26">
            <v>-52608813</v>
          </cell>
          <cell r="BC26">
            <v>411407320</v>
          </cell>
          <cell r="BD26">
            <v>-24872090</v>
          </cell>
          <cell r="BE26">
            <v>12117962</v>
          </cell>
          <cell r="BF26">
            <v>0</v>
          </cell>
          <cell r="BG26">
            <v>-31041926</v>
          </cell>
          <cell r="BH26">
            <v>-131345</v>
          </cell>
          <cell r="BI26">
            <v>0</v>
          </cell>
          <cell r="BJ26">
            <v>-146141</v>
          </cell>
          <cell r="BK26">
            <v>-27630306</v>
          </cell>
          <cell r="BL26">
            <v>-53459</v>
          </cell>
          <cell r="BM26">
            <v>-842913</v>
          </cell>
          <cell r="BN26">
            <v>0</v>
          </cell>
          <cell r="BO26">
            <v>0</v>
          </cell>
          <cell r="BP26">
            <v>0</v>
          </cell>
          <cell r="BQ26">
            <v>-739983</v>
          </cell>
          <cell r="BR26">
            <v>-910956</v>
          </cell>
          <cell r="BS26">
            <v>0</v>
          </cell>
          <cell r="BT26">
            <v>429422975</v>
          </cell>
          <cell r="BU26">
            <v>-10758570</v>
          </cell>
          <cell r="BV26">
            <v>95231971</v>
          </cell>
          <cell r="BW26">
            <v>-19651025</v>
          </cell>
          <cell r="BX26">
            <v>-23874625</v>
          </cell>
          <cell r="BY26">
            <v>-20227100</v>
          </cell>
          <cell r="BZ26">
            <v>403335568</v>
          </cell>
          <cell r="CA26">
            <v>-11937312</v>
          </cell>
          <cell r="CB26">
            <v>-11698567</v>
          </cell>
          <cell r="CC26">
            <v>0</v>
          </cell>
          <cell r="CD26">
            <v>-238746</v>
          </cell>
          <cell r="CE26">
            <v>-10113550</v>
          </cell>
          <cell r="CF26">
            <v>-9911279</v>
          </cell>
          <cell r="CG26">
            <v>0</v>
          </cell>
          <cell r="CH26">
            <v>-202271</v>
          </cell>
        </row>
        <row r="27">
          <cell r="A27">
            <v>20</v>
          </cell>
          <cell r="B27" t="str">
            <v>Blaby</v>
          </cell>
          <cell r="C27" t="str">
            <v>E2431</v>
          </cell>
          <cell r="D27">
            <v>101839</v>
          </cell>
          <cell r="H27">
            <v>220792</v>
          </cell>
          <cell r="I27">
            <v>0</v>
          </cell>
          <cell r="J27">
            <v>101839</v>
          </cell>
          <cell r="K27">
            <v>0</v>
          </cell>
          <cell r="L27">
            <v>0</v>
          </cell>
          <cell r="M27">
            <v>0</v>
          </cell>
          <cell r="N27">
            <v>0</v>
          </cell>
          <cell r="O27">
            <v>0</v>
          </cell>
          <cell r="P27">
            <v>0</v>
          </cell>
          <cell r="Q27">
            <v>0</v>
          </cell>
          <cell r="R27">
            <v>343560</v>
          </cell>
          <cell r="S27">
            <v>77301</v>
          </cell>
          <cell r="T27">
            <v>8589</v>
          </cell>
          <cell r="U27">
            <v>1229</v>
          </cell>
          <cell r="V27">
            <v>277</v>
          </cell>
          <cell r="W27">
            <v>31</v>
          </cell>
          <cell r="X27">
            <v>10696</v>
          </cell>
          <cell r="Y27">
            <v>2407</v>
          </cell>
          <cell r="Z27">
            <v>267</v>
          </cell>
          <cell r="AA27">
            <v>0</v>
          </cell>
          <cell r="AB27">
            <v>0</v>
          </cell>
          <cell r="AC27">
            <v>0</v>
          </cell>
          <cell r="AD27">
            <v>0</v>
          </cell>
          <cell r="AE27">
            <v>0</v>
          </cell>
          <cell r="AF27">
            <v>0</v>
          </cell>
          <cell r="AG27">
            <v>0</v>
          </cell>
          <cell r="AH27">
            <v>0</v>
          </cell>
          <cell r="AI27">
            <v>0</v>
          </cell>
          <cell r="AM27">
            <v>0</v>
          </cell>
          <cell r="AN27">
            <v>0</v>
          </cell>
          <cell r="AO27">
            <v>0</v>
          </cell>
          <cell r="AP27">
            <v>258551</v>
          </cell>
          <cell r="AQ27">
            <v>58174</v>
          </cell>
          <cell r="AR27">
            <v>6464</v>
          </cell>
          <cell r="AS27">
            <v>-104575</v>
          </cell>
          <cell r="AT27">
            <v>-83660</v>
          </cell>
          <cell r="AU27">
            <v>-18824</v>
          </cell>
          <cell r="AV27">
            <v>-2092</v>
          </cell>
          <cell r="AW27">
            <v>-209151</v>
          </cell>
          <cell r="AX27">
            <v>-2141558</v>
          </cell>
          <cell r="AY27">
            <v>-1713245</v>
          </cell>
          <cell r="AZ27">
            <v>-385480</v>
          </cell>
          <cell r="BA27">
            <v>-42832</v>
          </cell>
          <cell r="BB27">
            <v>-4283115</v>
          </cell>
          <cell r="BC27">
            <v>43552889</v>
          </cell>
          <cell r="BD27">
            <v>-1382779</v>
          </cell>
          <cell r="BE27">
            <v>1140861</v>
          </cell>
          <cell r="BF27">
            <v>0</v>
          </cell>
          <cell r="BG27">
            <v>-973894</v>
          </cell>
          <cell r="BH27">
            <v>-45375</v>
          </cell>
          <cell r="BI27">
            <v>0</v>
          </cell>
          <cell r="BJ27">
            <v>-5206</v>
          </cell>
          <cell r="BK27">
            <v>-849447</v>
          </cell>
          <cell r="BL27">
            <v>-51194</v>
          </cell>
          <cell r="BM27">
            <v>-3531</v>
          </cell>
          <cell r="BN27">
            <v>-4651</v>
          </cell>
          <cell r="BO27">
            <v>0</v>
          </cell>
          <cell r="BP27">
            <v>0</v>
          </cell>
          <cell r="BQ27">
            <v>0</v>
          </cell>
          <cell r="BR27">
            <v>0</v>
          </cell>
          <cell r="BS27">
            <v>0</v>
          </cell>
          <cell r="BT27">
            <v>43597965</v>
          </cell>
          <cell r="BU27">
            <v>0</v>
          </cell>
          <cell r="BV27">
            <v>965553</v>
          </cell>
          <cell r="BW27">
            <v>-1176701</v>
          </cell>
          <cell r="BX27">
            <v>2578509</v>
          </cell>
          <cell r="BY27">
            <v>1582560</v>
          </cell>
          <cell r="BZ27">
            <v>43030227</v>
          </cell>
          <cell r="CA27">
            <v>1289254</v>
          </cell>
          <cell r="CB27">
            <v>1031404</v>
          </cell>
          <cell r="CC27">
            <v>232065</v>
          </cell>
          <cell r="CD27">
            <v>25786</v>
          </cell>
          <cell r="CE27">
            <v>791280</v>
          </cell>
          <cell r="CF27">
            <v>633024</v>
          </cell>
          <cell r="CG27">
            <v>142430</v>
          </cell>
          <cell r="CH27">
            <v>15826</v>
          </cell>
        </row>
        <row r="28">
          <cell r="A28">
            <v>21</v>
          </cell>
          <cell r="B28" t="str">
            <v>Blackburn with Darwen</v>
          </cell>
          <cell r="C28" t="str">
            <v>E2301</v>
          </cell>
          <cell r="D28">
            <v>247772</v>
          </cell>
          <cell r="H28">
            <v>-5000000</v>
          </cell>
          <cell r="I28">
            <v>0</v>
          </cell>
          <cell r="J28">
            <v>247772</v>
          </cell>
          <cell r="K28">
            <v>0</v>
          </cell>
          <cell r="L28">
            <v>0</v>
          </cell>
          <cell r="M28">
            <v>0</v>
          </cell>
          <cell r="N28">
            <v>0</v>
          </cell>
          <cell r="O28">
            <v>0</v>
          </cell>
          <cell r="P28">
            <v>0</v>
          </cell>
          <cell r="Q28">
            <v>0</v>
          </cell>
          <cell r="R28">
            <v>1612692</v>
          </cell>
          <cell r="S28">
            <v>0</v>
          </cell>
          <cell r="T28">
            <v>32912</v>
          </cell>
          <cell r="U28">
            <v>7461</v>
          </cell>
          <cell r="V28">
            <v>0</v>
          </cell>
          <cell r="W28">
            <v>152</v>
          </cell>
          <cell r="X28">
            <v>99472</v>
          </cell>
          <cell r="Y28">
            <v>0</v>
          </cell>
          <cell r="Z28">
            <v>2030</v>
          </cell>
          <cell r="AA28">
            <v>24868</v>
          </cell>
          <cell r="AB28">
            <v>0</v>
          </cell>
          <cell r="AC28">
            <v>508</v>
          </cell>
          <cell r="AD28">
            <v>0</v>
          </cell>
          <cell r="AE28">
            <v>0</v>
          </cell>
          <cell r="AF28">
            <v>0</v>
          </cell>
          <cell r="AG28">
            <v>0</v>
          </cell>
          <cell r="AH28">
            <v>0</v>
          </cell>
          <cell r="AI28">
            <v>0</v>
          </cell>
          <cell r="AM28">
            <v>0</v>
          </cell>
          <cell r="AN28">
            <v>0</v>
          </cell>
          <cell r="AO28">
            <v>0</v>
          </cell>
          <cell r="AP28">
            <v>289629</v>
          </cell>
          <cell r="AQ28">
            <v>0</v>
          </cell>
          <cell r="AR28">
            <v>5911</v>
          </cell>
          <cell r="AS28">
            <v>-968000</v>
          </cell>
          <cell r="AT28">
            <v>-948640</v>
          </cell>
          <cell r="AU28">
            <v>0</v>
          </cell>
          <cell r="AV28">
            <v>-19360</v>
          </cell>
          <cell r="AW28">
            <v>-1936000</v>
          </cell>
          <cell r="AX28">
            <v>-3161764</v>
          </cell>
          <cell r="AY28">
            <v>-3098531</v>
          </cell>
          <cell r="AZ28">
            <v>0</v>
          </cell>
          <cell r="BA28">
            <v>-63237</v>
          </cell>
          <cell r="BB28">
            <v>-6323532</v>
          </cell>
          <cell r="BC28">
            <v>45989784</v>
          </cell>
          <cell r="BD28">
            <v>-5584229</v>
          </cell>
          <cell r="BE28">
            <v>1378013</v>
          </cell>
          <cell r="BF28">
            <v>0</v>
          </cell>
          <cell r="BG28">
            <v>-4792298</v>
          </cell>
          <cell r="BH28">
            <v>-79814</v>
          </cell>
          <cell r="BI28">
            <v>-2348</v>
          </cell>
          <cell r="BJ28">
            <v>-85010</v>
          </cell>
          <cell r="BK28">
            <v>-2619257</v>
          </cell>
          <cell r="BL28">
            <v>-29080</v>
          </cell>
          <cell r="BM28">
            <v>-536</v>
          </cell>
          <cell r="BN28">
            <v>0</v>
          </cell>
          <cell r="BO28">
            <v>-837</v>
          </cell>
          <cell r="BP28">
            <v>0</v>
          </cell>
          <cell r="BQ28">
            <v>-57668</v>
          </cell>
          <cell r="BR28">
            <v>0</v>
          </cell>
          <cell r="BS28">
            <v>0</v>
          </cell>
          <cell r="BT28">
            <v>48691393</v>
          </cell>
          <cell r="BU28">
            <v>-308805</v>
          </cell>
          <cell r="BV28">
            <v>3273644</v>
          </cell>
          <cell r="BW28">
            <v>-943236</v>
          </cell>
          <cell r="BX28">
            <v>-2117012</v>
          </cell>
          <cell r="BY28">
            <v>-906953</v>
          </cell>
          <cell r="BZ28">
            <v>39348980</v>
          </cell>
          <cell r="CA28">
            <v>-1058506</v>
          </cell>
          <cell r="CB28">
            <v>-1037336</v>
          </cell>
          <cell r="CC28">
            <v>0</v>
          </cell>
          <cell r="CD28">
            <v>-21170</v>
          </cell>
          <cell r="CE28">
            <v>-453476</v>
          </cell>
          <cell r="CF28">
            <v>-444407</v>
          </cell>
          <cell r="CG28">
            <v>0</v>
          </cell>
          <cell r="CH28">
            <v>-9070</v>
          </cell>
        </row>
        <row r="29">
          <cell r="A29">
            <v>22</v>
          </cell>
          <cell r="B29" t="str">
            <v>Blackpool</v>
          </cell>
          <cell r="C29" t="str">
            <v>E2302</v>
          </cell>
          <cell r="D29">
            <v>261549</v>
          </cell>
          <cell r="H29">
            <v>-3823333</v>
          </cell>
          <cell r="I29">
            <v>-135660</v>
          </cell>
          <cell r="J29">
            <v>261549</v>
          </cell>
          <cell r="K29">
            <v>199308</v>
          </cell>
          <cell r="L29">
            <v>0</v>
          </cell>
          <cell r="M29">
            <v>0</v>
          </cell>
          <cell r="N29">
            <v>20508</v>
          </cell>
          <cell r="O29">
            <v>20508</v>
          </cell>
          <cell r="P29">
            <v>0</v>
          </cell>
          <cell r="Q29">
            <v>0</v>
          </cell>
          <cell r="R29">
            <v>1945650</v>
          </cell>
          <cell r="S29">
            <v>0</v>
          </cell>
          <cell r="T29">
            <v>38472</v>
          </cell>
          <cell r="U29">
            <v>2202</v>
          </cell>
          <cell r="V29">
            <v>0</v>
          </cell>
          <cell r="W29">
            <v>45</v>
          </cell>
          <cell r="X29">
            <v>0</v>
          </cell>
          <cell r="Y29">
            <v>0</v>
          </cell>
          <cell r="Z29">
            <v>0</v>
          </cell>
          <cell r="AA29">
            <v>11692</v>
          </cell>
          <cell r="AB29">
            <v>0</v>
          </cell>
          <cell r="AC29">
            <v>239</v>
          </cell>
          <cell r="AD29">
            <v>0</v>
          </cell>
          <cell r="AE29">
            <v>0</v>
          </cell>
          <cell r="AF29">
            <v>0</v>
          </cell>
          <cell r="AG29">
            <v>0</v>
          </cell>
          <cell r="AH29">
            <v>0</v>
          </cell>
          <cell r="AI29">
            <v>0</v>
          </cell>
          <cell r="AM29">
            <v>0</v>
          </cell>
          <cell r="AN29">
            <v>0</v>
          </cell>
          <cell r="AO29">
            <v>0</v>
          </cell>
          <cell r="AP29">
            <v>318160</v>
          </cell>
          <cell r="AQ29">
            <v>0</v>
          </cell>
          <cell r="AR29">
            <v>6426</v>
          </cell>
          <cell r="AS29">
            <v>-1135001</v>
          </cell>
          <cell r="AT29">
            <v>-1112300</v>
          </cell>
          <cell r="AU29">
            <v>0</v>
          </cell>
          <cell r="AV29">
            <v>-22699</v>
          </cell>
          <cell r="AW29">
            <v>-2270000</v>
          </cell>
          <cell r="AX29">
            <v>-3907250</v>
          </cell>
          <cell r="AY29">
            <v>-3829106</v>
          </cell>
          <cell r="AZ29">
            <v>0</v>
          </cell>
          <cell r="BA29">
            <v>-78145</v>
          </cell>
          <cell r="BB29">
            <v>-7814501</v>
          </cell>
          <cell r="BC29">
            <v>51002775</v>
          </cell>
          <cell r="BD29">
            <v>-6336705</v>
          </cell>
          <cell r="BE29">
            <v>1376051</v>
          </cell>
          <cell r="BF29">
            <v>0</v>
          </cell>
          <cell r="BG29">
            <v>-2679729</v>
          </cell>
          <cell r="BH29">
            <v>0</v>
          </cell>
          <cell r="BI29">
            <v>0</v>
          </cell>
          <cell r="BJ29">
            <v>0</v>
          </cell>
          <cell r="BK29">
            <v>-1957958</v>
          </cell>
          <cell r="BL29">
            <v>-4001</v>
          </cell>
          <cell r="BM29">
            <v>-25458</v>
          </cell>
          <cell r="BN29">
            <v>0</v>
          </cell>
          <cell r="BO29">
            <v>0</v>
          </cell>
          <cell r="BP29">
            <v>0</v>
          </cell>
          <cell r="BQ29">
            <v>-28344</v>
          </cell>
          <cell r="BR29">
            <v>0</v>
          </cell>
          <cell r="BS29">
            <v>-28344</v>
          </cell>
          <cell r="BT29">
            <v>53642062</v>
          </cell>
          <cell r="BU29">
            <v>-1155977</v>
          </cell>
          <cell r="BV29">
            <v>5987416</v>
          </cell>
          <cell r="BW29">
            <v>-116778</v>
          </cell>
          <cell r="BX29">
            <v>784593</v>
          </cell>
          <cell r="BY29">
            <v>-238804</v>
          </cell>
          <cell r="BZ29">
            <v>42776659</v>
          </cell>
          <cell r="CA29">
            <v>392296</v>
          </cell>
          <cell r="CB29">
            <v>384451</v>
          </cell>
          <cell r="CC29">
            <v>0</v>
          </cell>
          <cell r="CD29">
            <v>7846</v>
          </cell>
          <cell r="CE29">
            <v>-119402</v>
          </cell>
          <cell r="CF29">
            <v>-117014</v>
          </cell>
          <cell r="CG29">
            <v>0</v>
          </cell>
          <cell r="CH29">
            <v>-2388</v>
          </cell>
        </row>
        <row r="30">
          <cell r="A30">
            <v>23</v>
          </cell>
          <cell r="B30" t="str">
            <v>Bolsover</v>
          </cell>
          <cell r="C30" t="str">
            <v>E1032</v>
          </cell>
          <cell r="D30">
            <v>96880</v>
          </cell>
          <cell r="H30">
            <v>145527</v>
          </cell>
          <cell r="I30">
            <v>0</v>
          </cell>
          <cell r="J30">
            <v>96880</v>
          </cell>
          <cell r="K30">
            <v>0</v>
          </cell>
          <cell r="L30">
            <v>43541</v>
          </cell>
          <cell r="M30">
            <v>0</v>
          </cell>
          <cell r="N30">
            <v>0</v>
          </cell>
          <cell r="O30">
            <v>0</v>
          </cell>
          <cell r="P30">
            <v>0</v>
          </cell>
          <cell r="Q30">
            <v>0</v>
          </cell>
          <cell r="R30">
            <v>330352</v>
          </cell>
          <cell r="S30">
            <v>74329</v>
          </cell>
          <cell r="T30">
            <v>8259</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M30">
            <v>0</v>
          </cell>
          <cell r="AN30">
            <v>0</v>
          </cell>
          <cell r="AO30">
            <v>0</v>
          </cell>
          <cell r="AP30">
            <v>149453</v>
          </cell>
          <cell r="AQ30">
            <v>33480</v>
          </cell>
          <cell r="AR30">
            <v>3720</v>
          </cell>
          <cell r="AS30">
            <v>-81728</v>
          </cell>
          <cell r="AT30">
            <v>-65384</v>
          </cell>
          <cell r="AU30">
            <v>-14711</v>
          </cell>
          <cell r="AV30">
            <v>-1635</v>
          </cell>
          <cell r="AW30">
            <v>-163458</v>
          </cell>
          <cell r="AX30">
            <v>-1333688</v>
          </cell>
          <cell r="AY30">
            <v>-1066950</v>
          </cell>
          <cell r="AZ30">
            <v>-240063</v>
          </cell>
          <cell r="BA30">
            <v>-26674</v>
          </cell>
          <cell r="BB30">
            <v>-2667375</v>
          </cell>
          <cell r="BC30">
            <v>26392122</v>
          </cell>
          <cell r="BD30">
            <v>-1433287</v>
          </cell>
          <cell r="BE30">
            <v>653214</v>
          </cell>
          <cell r="BF30">
            <v>0</v>
          </cell>
          <cell r="BG30">
            <v>-558437</v>
          </cell>
          <cell r="BH30">
            <v>0</v>
          </cell>
          <cell r="BI30">
            <v>-8941</v>
          </cell>
          <cell r="BJ30">
            <v>-79044</v>
          </cell>
          <cell r="BK30">
            <v>-337437</v>
          </cell>
          <cell r="BL30">
            <v>0</v>
          </cell>
          <cell r="BM30">
            <v>-14807</v>
          </cell>
          <cell r="BN30">
            <v>0</v>
          </cell>
          <cell r="BO30">
            <v>0</v>
          </cell>
          <cell r="BP30">
            <v>0</v>
          </cell>
          <cell r="BQ30">
            <v>0</v>
          </cell>
          <cell r="BR30">
            <v>0</v>
          </cell>
          <cell r="BS30">
            <v>0</v>
          </cell>
          <cell r="BT30">
            <v>26270073</v>
          </cell>
          <cell r="BU30">
            <v>0</v>
          </cell>
          <cell r="BV30">
            <v>292077</v>
          </cell>
          <cell r="BW30">
            <v>-815803</v>
          </cell>
          <cell r="BX30">
            <v>2769988</v>
          </cell>
          <cell r="BY30">
            <v>2885897</v>
          </cell>
          <cell r="BZ30">
            <v>24764360</v>
          </cell>
          <cell r="CA30">
            <v>1384995</v>
          </cell>
          <cell r="CB30">
            <v>1107995</v>
          </cell>
          <cell r="CC30">
            <v>249298</v>
          </cell>
          <cell r="CD30">
            <v>27700</v>
          </cell>
          <cell r="CE30">
            <v>1442948</v>
          </cell>
          <cell r="CF30">
            <v>1154359</v>
          </cell>
          <cell r="CG30">
            <v>259731</v>
          </cell>
          <cell r="CH30">
            <v>28859</v>
          </cell>
        </row>
        <row r="31">
          <cell r="A31">
            <v>24</v>
          </cell>
          <cell r="B31" t="str">
            <v>Bolton</v>
          </cell>
          <cell r="C31" t="str">
            <v>E4201</v>
          </cell>
          <cell r="D31">
            <v>393126</v>
          </cell>
          <cell r="H31">
            <v>-5046000</v>
          </cell>
          <cell r="I31">
            <v>0</v>
          </cell>
          <cell r="J31">
            <v>393126</v>
          </cell>
          <cell r="K31">
            <v>0</v>
          </cell>
          <cell r="L31">
            <v>0</v>
          </cell>
          <cell r="M31">
            <v>0</v>
          </cell>
          <cell r="N31">
            <v>0</v>
          </cell>
          <cell r="O31">
            <v>0</v>
          </cell>
          <cell r="P31">
            <v>0</v>
          </cell>
          <cell r="Q31">
            <v>0</v>
          </cell>
          <cell r="R31">
            <v>5526792</v>
          </cell>
          <cell r="S31">
            <v>0</v>
          </cell>
          <cell r="T31">
            <v>55826</v>
          </cell>
          <cell r="U31">
            <v>0</v>
          </cell>
          <cell r="V31">
            <v>0</v>
          </cell>
          <cell r="W31">
            <v>0</v>
          </cell>
          <cell r="X31">
            <v>37180</v>
          </cell>
          <cell r="Y31">
            <v>0</v>
          </cell>
          <cell r="Z31">
            <v>376</v>
          </cell>
          <cell r="AA31">
            <v>5024</v>
          </cell>
          <cell r="AB31">
            <v>0</v>
          </cell>
          <cell r="AC31">
            <v>51</v>
          </cell>
          <cell r="AD31">
            <v>0</v>
          </cell>
          <cell r="AE31">
            <v>0</v>
          </cell>
          <cell r="AF31">
            <v>0</v>
          </cell>
          <cell r="AG31">
            <v>0</v>
          </cell>
          <cell r="AH31">
            <v>0</v>
          </cell>
          <cell r="AI31">
            <v>0</v>
          </cell>
          <cell r="AM31">
            <v>0</v>
          </cell>
          <cell r="AN31">
            <v>0</v>
          </cell>
          <cell r="AO31">
            <v>0</v>
          </cell>
          <cell r="AP31">
            <v>1150980</v>
          </cell>
          <cell r="AQ31">
            <v>0</v>
          </cell>
          <cell r="AR31">
            <v>11626</v>
          </cell>
          <cell r="AS31">
            <v>-2168088</v>
          </cell>
          <cell r="AT31">
            <v>-2124725</v>
          </cell>
          <cell r="AU31">
            <v>0</v>
          </cell>
          <cell r="AV31">
            <v>-43361</v>
          </cell>
          <cell r="AW31">
            <v>-4336174</v>
          </cell>
          <cell r="AX31">
            <v>-3432668</v>
          </cell>
          <cell r="AY31">
            <v>-3364014</v>
          </cell>
          <cell r="AZ31">
            <v>0</v>
          </cell>
          <cell r="BA31">
            <v>-68654</v>
          </cell>
          <cell r="BB31">
            <v>-6865336</v>
          </cell>
          <cell r="BC31">
            <v>87482508</v>
          </cell>
          <cell r="BD31">
            <v>-8175656</v>
          </cell>
          <cell r="BE31">
            <v>2481457</v>
          </cell>
          <cell r="BF31">
            <v>0</v>
          </cell>
          <cell r="BG31">
            <v>-6704946</v>
          </cell>
          <cell r="BH31">
            <v>-104575</v>
          </cell>
          <cell r="BI31">
            <v>0</v>
          </cell>
          <cell r="BJ31">
            <v>-68188</v>
          </cell>
          <cell r="BK31">
            <v>-4145942</v>
          </cell>
          <cell r="BL31">
            <v>-659031</v>
          </cell>
          <cell r="BM31">
            <v>-291727</v>
          </cell>
          <cell r="BN31">
            <v>-4477</v>
          </cell>
          <cell r="BO31">
            <v>0</v>
          </cell>
          <cell r="BP31">
            <v>0</v>
          </cell>
          <cell r="BQ31">
            <v>0</v>
          </cell>
          <cell r="BR31">
            <v>0</v>
          </cell>
          <cell r="BS31">
            <v>0</v>
          </cell>
          <cell r="BT31">
            <v>89189849</v>
          </cell>
          <cell r="BU31">
            <v>-2047592</v>
          </cell>
          <cell r="BV31">
            <v>7262035</v>
          </cell>
          <cell r="BW31">
            <v>-1822941</v>
          </cell>
          <cell r="BX31">
            <v>-9883657</v>
          </cell>
          <cell r="BY31">
            <v>-8958355</v>
          </cell>
          <cell r="BZ31">
            <v>77396357</v>
          </cell>
          <cell r="CA31">
            <v>-4941828</v>
          </cell>
          <cell r="CB31">
            <v>-4842992</v>
          </cell>
          <cell r="CC31">
            <v>0</v>
          </cell>
          <cell r="CD31">
            <v>-98837</v>
          </cell>
          <cell r="CE31">
            <v>-4479177</v>
          </cell>
          <cell r="CF31">
            <v>-4389594</v>
          </cell>
          <cell r="CG31">
            <v>0</v>
          </cell>
          <cell r="CH31">
            <v>-89584</v>
          </cell>
        </row>
        <row r="32">
          <cell r="A32">
            <v>25</v>
          </cell>
          <cell r="B32" t="str">
            <v>Boston</v>
          </cell>
          <cell r="C32" t="str">
            <v>E2531</v>
          </cell>
          <cell r="D32">
            <v>91296</v>
          </cell>
          <cell r="H32">
            <v>151158</v>
          </cell>
          <cell r="I32">
            <v>0</v>
          </cell>
          <cell r="J32">
            <v>91296</v>
          </cell>
          <cell r="K32">
            <v>0</v>
          </cell>
          <cell r="L32">
            <v>188057</v>
          </cell>
          <cell r="M32">
            <v>0</v>
          </cell>
          <cell r="N32">
            <v>0</v>
          </cell>
          <cell r="O32">
            <v>0</v>
          </cell>
          <cell r="P32">
            <v>0</v>
          </cell>
          <cell r="Q32">
            <v>0</v>
          </cell>
          <cell r="R32">
            <v>395470</v>
          </cell>
          <cell r="S32">
            <v>98867</v>
          </cell>
          <cell r="T32">
            <v>0</v>
          </cell>
          <cell r="U32">
            <v>1741</v>
          </cell>
          <cell r="V32">
            <v>435</v>
          </cell>
          <cell r="W32">
            <v>0</v>
          </cell>
          <cell r="X32">
            <v>0</v>
          </cell>
          <cell r="Y32">
            <v>0</v>
          </cell>
          <cell r="Z32">
            <v>0</v>
          </cell>
          <cell r="AA32">
            <v>4109</v>
          </cell>
          <cell r="AB32">
            <v>1027</v>
          </cell>
          <cell r="AC32">
            <v>0</v>
          </cell>
          <cell r="AD32">
            <v>0</v>
          </cell>
          <cell r="AE32">
            <v>0</v>
          </cell>
          <cell r="AF32">
            <v>0</v>
          </cell>
          <cell r="AG32">
            <v>0</v>
          </cell>
          <cell r="AH32">
            <v>0</v>
          </cell>
          <cell r="AI32">
            <v>0</v>
          </cell>
          <cell r="AM32">
            <v>0</v>
          </cell>
          <cell r="AN32">
            <v>0</v>
          </cell>
          <cell r="AO32">
            <v>0</v>
          </cell>
          <cell r="AP32">
            <v>117903</v>
          </cell>
          <cell r="AQ32">
            <v>28770</v>
          </cell>
          <cell r="AR32">
            <v>0</v>
          </cell>
          <cell r="AS32">
            <v>-119109</v>
          </cell>
          <cell r="AT32">
            <v>-95286</v>
          </cell>
          <cell r="AU32">
            <v>-23822</v>
          </cell>
          <cell r="AV32">
            <v>0</v>
          </cell>
          <cell r="AW32">
            <v>-238217</v>
          </cell>
          <cell r="AX32">
            <v>-1103729</v>
          </cell>
          <cell r="AY32">
            <v>-882983</v>
          </cell>
          <cell r="AZ32">
            <v>-220746</v>
          </cell>
          <cell r="BA32">
            <v>0</v>
          </cell>
          <cell r="BB32">
            <v>-2207458</v>
          </cell>
          <cell r="BC32">
            <v>19905848</v>
          </cell>
          <cell r="BD32">
            <v>-1631040</v>
          </cell>
          <cell r="BE32">
            <v>541243</v>
          </cell>
          <cell r="BF32">
            <v>0</v>
          </cell>
          <cell r="BG32">
            <v>-1475101</v>
          </cell>
          <cell r="BH32">
            <v>-61827</v>
          </cell>
          <cell r="BI32">
            <v>-20138</v>
          </cell>
          <cell r="BJ32">
            <v>0</v>
          </cell>
          <cell r="BK32">
            <v>-1120958</v>
          </cell>
          <cell r="BL32">
            <v>-46011</v>
          </cell>
          <cell r="BM32">
            <v>-22991</v>
          </cell>
          <cell r="BN32">
            <v>-11593</v>
          </cell>
          <cell r="BO32">
            <v>-1443</v>
          </cell>
          <cell r="BP32">
            <v>0</v>
          </cell>
          <cell r="BQ32">
            <v>0</v>
          </cell>
          <cell r="BR32">
            <v>0</v>
          </cell>
          <cell r="BS32">
            <v>0</v>
          </cell>
          <cell r="BT32">
            <v>20530677</v>
          </cell>
          <cell r="BU32">
            <v>-172609</v>
          </cell>
          <cell r="BV32">
            <v>592087</v>
          </cell>
          <cell r="BW32">
            <v>-887310</v>
          </cell>
          <cell r="BX32">
            <v>-374762</v>
          </cell>
          <cell r="BY32">
            <v>12606</v>
          </cell>
          <cell r="BZ32">
            <v>19152335</v>
          </cell>
          <cell r="CA32">
            <v>-187380</v>
          </cell>
          <cell r="CB32">
            <v>-149906</v>
          </cell>
          <cell r="CC32">
            <v>-37476</v>
          </cell>
          <cell r="CD32">
            <v>0</v>
          </cell>
          <cell r="CE32">
            <v>6303</v>
          </cell>
          <cell r="CF32">
            <v>5042</v>
          </cell>
          <cell r="CG32">
            <v>1261</v>
          </cell>
          <cell r="CH32">
            <v>0</v>
          </cell>
        </row>
        <row r="33">
          <cell r="A33">
            <v>26</v>
          </cell>
          <cell r="B33" t="str">
            <v>Bournemouth</v>
          </cell>
          <cell r="C33" t="str">
            <v>E1202</v>
          </cell>
          <cell r="D33">
            <v>292496</v>
          </cell>
          <cell r="H33">
            <v>-3511960.15</v>
          </cell>
          <cell r="I33">
            <v>0</v>
          </cell>
          <cell r="J33">
            <v>292496</v>
          </cell>
          <cell r="K33">
            <v>0</v>
          </cell>
          <cell r="L33">
            <v>204</v>
          </cell>
          <cell r="M33">
            <v>0</v>
          </cell>
          <cell r="N33">
            <v>0</v>
          </cell>
          <cell r="O33">
            <v>0</v>
          </cell>
          <cell r="P33">
            <v>0</v>
          </cell>
          <cell r="Q33">
            <v>0</v>
          </cell>
          <cell r="R33">
            <v>1409606</v>
          </cell>
          <cell r="S33">
            <v>0</v>
          </cell>
          <cell r="T33">
            <v>28767</v>
          </cell>
          <cell r="U33">
            <v>0</v>
          </cell>
          <cell r="V33">
            <v>0</v>
          </cell>
          <cell r="W33">
            <v>0</v>
          </cell>
          <cell r="X33">
            <v>418</v>
          </cell>
          <cell r="Y33">
            <v>0</v>
          </cell>
          <cell r="Z33">
            <v>9</v>
          </cell>
          <cell r="AA33">
            <v>5063</v>
          </cell>
          <cell r="AB33">
            <v>0</v>
          </cell>
          <cell r="AC33">
            <v>103</v>
          </cell>
          <cell r="AD33">
            <v>0</v>
          </cell>
          <cell r="AE33">
            <v>0</v>
          </cell>
          <cell r="AF33">
            <v>0</v>
          </cell>
          <cell r="AG33">
            <v>0</v>
          </cell>
          <cell r="AH33">
            <v>0</v>
          </cell>
          <cell r="AI33">
            <v>0</v>
          </cell>
          <cell r="AM33">
            <v>0</v>
          </cell>
          <cell r="AN33">
            <v>0</v>
          </cell>
          <cell r="AO33">
            <v>0</v>
          </cell>
          <cell r="AP33">
            <v>477927</v>
          </cell>
          <cell r="AQ33">
            <v>0</v>
          </cell>
          <cell r="AR33">
            <v>9754</v>
          </cell>
          <cell r="AS33">
            <v>-957030</v>
          </cell>
          <cell r="AT33">
            <v>-937888</v>
          </cell>
          <cell r="AU33">
            <v>0</v>
          </cell>
          <cell r="AV33">
            <v>-19141</v>
          </cell>
          <cell r="AW33">
            <v>-1914059</v>
          </cell>
          <cell r="AX33">
            <v>-405584</v>
          </cell>
          <cell r="AY33">
            <v>-397473</v>
          </cell>
          <cell r="AZ33">
            <v>0</v>
          </cell>
          <cell r="BA33">
            <v>-8112</v>
          </cell>
          <cell r="BB33">
            <v>-811169</v>
          </cell>
          <cell r="BC33">
            <v>67267868.890000001</v>
          </cell>
          <cell r="BD33">
            <v>-4656147</v>
          </cell>
          <cell r="BE33">
            <v>1841234</v>
          </cell>
          <cell r="BF33">
            <v>0</v>
          </cell>
          <cell r="BG33">
            <v>-5820377</v>
          </cell>
          <cell r="BH33">
            <v>-115304</v>
          </cell>
          <cell r="BI33">
            <v>0</v>
          </cell>
          <cell r="BJ33">
            <v>0</v>
          </cell>
          <cell r="BK33">
            <v>-1814279</v>
          </cell>
          <cell r="BL33">
            <v>-78970</v>
          </cell>
          <cell r="BM33">
            <v>-20586</v>
          </cell>
          <cell r="BN33">
            <v>-4000</v>
          </cell>
          <cell r="BO33">
            <v>0</v>
          </cell>
          <cell r="BP33">
            <v>0</v>
          </cell>
          <cell r="BQ33">
            <v>0</v>
          </cell>
          <cell r="BR33">
            <v>0</v>
          </cell>
          <cell r="BS33">
            <v>0</v>
          </cell>
          <cell r="BT33">
            <v>67808841.890000001</v>
          </cell>
          <cell r="BU33">
            <v>-110660</v>
          </cell>
          <cell r="BV33">
            <v>3742481</v>
          </cell>
          <cell r="BW33">
            <v>-521775</v>
          </cell>
          <cell r="BX33">
            <v>-3816517.1099999994</v>
          </cell>
          <cell r="BY33">
            <v>-1459167</v>
          </cell>
          <cell r="BZ33">
            <v>64930839</v>
          </cell>
          <cell r="CA33">
            <v>-1908259.1099999994</v>
          </cell>
          <cell r="CB33">
            <v>-1870093</v>
          </cell>
          <cell r="CC33">
            <v>0</v>
          </cell>
          <cell r="CD33">
            <v>-38165</v>
          </cell>
          <cell r="CE33">
            <v>-729583</v>
          </cell>
          <cell r="CF33">
            <v>-714992</v>
          </cell>
          <cell r="CG33">
            <v>0</v>
          </cell>
          <cell r="CH33">
            <v>-14592</v>
          </cell>
        </row>
        <row r="34">
          <cell r="A34">
            <v>27</v>
          </cell>
          <cell r="B34" t="str">
            <v>Bracknell Forest</v>
          </cell>
          <cell r="C34" t="str">
            <v>E0301</v>
          </cell>
          <cell r="D34">
            <v>144145</v>
          </cell>
          <cell r="H34">
            <v>-1910966</v>
          </cell>
          <cell r="I34">
            <v>0</v>
          </cell>
          <cell r="J34">
            <v>144145</v>
          </cell>
          <cell r="K34">
            <v>0</v>
          </cell>
          <cell r="L34">
            <v>708</v>
          </cell>
          <cell r="M34">
            <v>0</v>
          </cell>
          <cell r="N34">
            <v>0</v>
          </cell>
          <cell r="O34">
            <v>0</v>
          </cell>
          <cell r="P34">
            <v>0</v>
          </cell>
          <cell r="Q34">
            <v>0</v>
          </cell>
          <cell r="R34">
            <v>327617</v>
          </cell>
          <cell r="S34">
            <v>0</v>
          </cell>
          <cell r="T34">
            <v>6686</v>
          </cell>
          <cell r="U34">
            <v>3916</v>
          </cell>
          <cell r="V34">
            <v>0</v>
          </cell>
          <cell r="W34">
            <v>80</v>
          </cell>
          <cell r="X34">
            <v>0</v>
          </cell>
          <cell r="Y34">
            <v>0</v>
          </cell>
          <cell r="Z34">
            <v>0</v>
          </cell>
          <cell r="AA34">
            <v>735</v>
          </cell>
          <cell r="AB34">
            <v>0</v>
          </cell>
          <cell r="AC34">
            <v>15</v>
          </cell>
          <cell r="AD34">
            <v>0</v>
          </cell>
          <cell r="AE34">
            <v>0</v>
          </cell>
          <cell r="AF34">
            <v>0</v>
          </cell>
          <cell r="AG34">
            <v>0</v>
          </cell>
          <cell r="AH34">
            <v>0</v>
          </cell>
          <cell r="AI34">
            <v>0</v>
          </cell>
          <cell r="AM34">
            <v>0</v>
          </cell>
          <cell r="AN34">
            <v>0</v>
          </cell>
          <cell r="AO34">
            <v>0</v>
          </cell>
          <cell r="AP34">
            <v>448320</v>
          </cell>
          <cell r="AQ34">
            <v>0</v>
          </cell>
          <cell r="AR34">
            <v>9149</v>
          </cell>
          <cell r="AS34">
            <v>-451700</v>
          </cell>
          <cell r="AT34">
            <v>-442666</v>
          </cell>
          <cell r="AU34">
            <v>0</v>
          </cell>
          <cell r="AV34">
            <v>-9034</v>
          </cell>
          <cell r="AW34">
            <v>-903400</v>
          </cell>
          <cell r="AX34">
            <v>-6085895</v>
          </cell>
          <cell r="AY34">
            <v>-5964177</v>
          </cell>
          <cell r="AZ34">
            <v>0</v>
          </cell>
          <cell r="BA34">
            <v>-121719</v>
          </cell>
          <cell r="BB34">
            <v>-12171791</v>
          </cell>
          <cell r="BC34">
            <v>61318852</v>
          </cell>
          <cell r="BD34">
            <v>-855910</v>
          </cell>
          <cell r="BE34">
            <v>1943633</v>
          </cell>
          <cell r="BF34">
            <v>0</v>
          </cell>
          <cell r="BG34">
            <v>-2244640</v>
          </cell>
          <cell r="BH34">
            <v>-3539</v>
          </cell>
          <cell r="BI34">
            <v>0</v>
          </cell>
          <cell r="BJ34">
            <v>-52368</v>
          </cell>
          <cell r="BK34">
            <v>-4217239</v>
          </cell>
          <cell r="BL34">
            <v>-68516</v>
          </cell>
          <cell r="BM34">
            <v>-55039</v>
          </cell>
          <cell r="BN34">
            <v>0</v>
          </cell>
          <cell r="BO34">
            <v>0</v>
          </cell>
          <cell r="BP34">
            <v>0</v>
          </cell>
          <cell r="BQ34">
            <v>0</v>
          </cell>
          <cell r="BR34">
            <v>0</v>
          </cell>
          <cell r="BS34">
            <v>0</v>
          </cell>
          <cell r="BT34">
            <v>70521336</v>
          </cell>
          <cell r="BU34">
            <v>0</v>
          </cell>
          <cell r="BV34">
            <v>2344110</v>
          </cell>
          <cell r="BW34">
            <v>-3746017</v>
          </cell>
          <cell r="BX34">
            <v>10569163</v>
          </cell>
          <cell r="BY34">
            <v>18598260</v>
          </cell>
          <cell r="BZ34">
            <v>60907297</v>
          </cell>
          <cell r="CA34">
            <v>5284582</v>
          </cell>
          <cell r="CB34">
            <v>5178890</v>
          </cell>
          <cell r="CC34">
            <v>0</v>
          </cell>
          <cell r="CD34">
            <v>105691</v>
          </cell>
          <cell r="CE34">
            <v>9299130</v>
          </cell>
          <cell r="CF34">
            <v>9113147</v>
          </cell>
          <cell r="CG34">
            <v>0</v>
          </cell>
          <cell r="CH34">
            <v>185983</v>
          </cell>
        </row>
        <row r="35">
          <cell r="A35">
            <v>28</v>
          </cell>
          <cell r="B35" t="str">
            <v>Bradford</v>
          </cell>
          <cell r="C35" t="str">
            <v>E4701</v>
          </cell>
          <cell r="D35">
            <v>736622</v>
          </cell>
          <cell r="H35">
            <v>-3828219</v>
          </cell>
          <cell r="I35">
            <v>0</v>
          </cell>
          <cell r="J35">
            <v>736622</v>
          </cell>
          <cell r="K35">
            <v>0</v>
          </cell>
          <cell r="L35">
            <v>0</v>
          </cell>
          <cell r="M35">
            <v>0</v>
          </cell>
          <cell r="N35">
            <v>0</v>
          </cell>
          <cell r="O35">
            <v>0</v>
          </cell>
          <cell r="P35">
            <v>0</v>
          </cell>
          <cell r="Q35">
            <v>0</v>
          </cell>
          <cell r="R35">
            <v>5339165</v>
          </cell>
          <cell r="S35">
            <v>0</v>
          </cell>
          <cell r="T35">
            <v>108963</v>
          </cell>
          <cell r="U35">
            <v>14920</v>
          </cell>
          <cell r="V35">
            <v>0</v>
          </cell>
          <cell r="W35">
            <v>305</v>
          </cell>
          <cell r="X35">
            <v>2984</v>
          </cell>
          <cell r="Y35">
            <v>0</v>
          </cell>
          <cell r="Z35">
            <v>61</v>
          </cell>
          <cell r="AA35">
            <v>2487</v>
          </cell>
          <cell r="AB35">
            <v>0</v>
          </cell>
          <cell r="AC35">
            <v>51</v>
          </cell>
          <cell r="AD35">
            <v>0</v>
          </cell>
          <cell r="AE35">
            <v>0</v>
          </cell>
          <cell r="AF35">
            <v>0</v>
          </cell>
          <cell r="AG35">
            <v>0</v>
          </cell>
          <cell r="AH35">
            <v>0</v>
          </cell>
          <cell r="AI35">
            <v>0</v>
          </cell>
          <cell r="AM35">
            <v>0</v>
          </cell>
          <cell r="AN35">
            <v>0</v>
          </cell>
          <cell r="AO35">
            <v>0</v>
          </cell>
          <cell r="AP35">
            <v>953522</v>
          </cell>
          <cell r="AQ35">
            <v>0</v>
          </cell>
          <cell r="AR35">
            <v>19460</v>
          </cell>
          <cell r="AS35">
            <v>-2474634</v>
          </cell>
          <cell r="AT35">
            <v>-2425140</v>
          </cell>
          <cell r="AU35">
            <v>0</v>
          </cell>
          <cell r="AV35">
            <v>-49493</v>
          </cell>
          <cell r="AW35">
            <v>-4949267</v>
          </cell>
          <cell r="AX35">
            <v>-5900000</v>
          </cell>
          <cell r="AY35">
            <v>-5782000</v>
          </cell>
          <cell r="AZ35">
            <v>0</v>
          </cell>
          <cell r="BA35">
            <v>-118000</v>
          </cell>
          <cell r="BB35">
            <v>-11800000</v>
          </cell>
          <cell r="BC35">
            <v>140402399</v>
          </cell>
          <cell r="BD35">
            <v>-16087584</v>
          </cell>
          <cell r="BE35">
            <v>4088002</v>
          </cell>
          <cell r="BF35">
            <v>0</v>
          </cell>
          <cell r="BG35">
            <v>-14195844</v>
          </cell>
          <cell r="BH35">
            <v>-174159</v>
          </cell>
          <cell r="BI35">
            <v>-8020</v>
          </cell>
          <cell r="BJ35">
            <v>-346445</v>
          </cell>
          <cell r="BK35">
            <v>-8587023</v>
          </cell>
          <cell r="BL35">
            <v>-8141</v>
          </cell>
          <cell r="BM35">
            <v>-349134</v>
          </cell>
          <cell r="BN35">
            <v>0</v>
          </cell>
          <cell r="BO35">
            <v>0</v>
          </cell>
          <cell r="BP35">
            <v>-6718</v>
          </cell>
          <cell r="BQ35">
            <v>0</v>
          </cell>
          <cell r="BR35">
            <v>0</v>
          </cell>
          <cell r="BS35">
            <v>0</v>
          </cell>
          <cell r="BT35">
            <v>143883375</v>
          </cell>
          <cell r="BU35">
            <v>-3976688</v>
          </cell>
          <cell r="BV35">
            <v>9638103</v>
          </cell>
          <cell r="BW35">
            <v>-1262603</v>
          </cell>
          <cell r="BX35">
            <v>-11931397</v>
          </cell>
          <cell r="BY35">
            <v>-11962701</v>
          </cell>
          <cell r="BZ35">
            <v>129545616</v>
          </cell>
          <cell r="CA35">
            <v>-5965699</v>
          </cell>
          <cell r="CB35">
            <v>-5846384</v>
          </cell>
          <cell r="CC35">
            <v>0</v>
          </cell>
          <cell r="CD35">
            <v>-119314</v>
          </cell>
          <cell r="CE35">
            <v>-5981351</v>
          </cell>
          <cell r="CF35">
            <v>-5861723</v>
          </cell>
          <cell r="CG35">
            <v>0</v>
          </cell>
          <cell r="CH35">
            <v>-119627</v>
          </cell>
        </row>
        <row r="36">
          <cell r="A36">
            <v>29</v>
          </cell>
          <cell r="B36" t="str">
            <v>Braintree</v>
          </cell>
          <cell r="C36" t="str">
            <v>E1532</v>
          </cell>
          <cell r="D36">
            <v>192687</v>
          </cell>
          <cell r="H36">
            <v>48819</v>
          </cell>
          <cell r="I36">
            <v>0</v>
          </cell>
          <cell r="J36">
            <v>192687</v>
          </cell>
          <cell r="K36">
            <v>0</v>
          </cell>
          <cell r="L36">
            <v>84807</v>
          </cell>
          <cell r="M36">
            <v>106338</v>
          </cell>
          <cell r="N36">
            <v>0</v>
          </cell>
          <cell r="O36">
            <v>0</v>
          </cell>
          <cell r="P36">
            <v>0</v>
          </cell>
          <cell r="Q36">
            <v>0</v>
          </cell>
          <cell r="R36">
            <v>858446</v>
          </cell>
          <cell r="S36">
            <v>193150</v>
          </cell>
          <cell r="T36">
            <v>21461</v>
          </cell>
          <cell r="U36">
            <v>0</v>
          </cell>
          <cell r="V36">
            <v>0</v>
          </cell>
          <cell r="W36">
            <v>0</v>
          </cell>
          <cell r="X36">
            <v>0</v>
          </cell>
          <cell r="Y36">
            <v>0</v>
          </cell>
          <cell r="Z36">
            <v>0</v>
          </cell>
          <cell r="AA36">
            <v>1624</v>
          </cell>
          <cell r="AB36">
            <v>365</v>
          </cell>
          <cell r="AC36">
            <v>41</v>
          </cell>
          <cell r="AD36">
            <v>0</v>
          </cell>
          <cell r="AE36">
            <v>0</v>
          </cell>
          <cell r="AF36">
            <v>0</v>
          </cell>
          <cell r="AG36">
            <v>0</v>
          </cell>
          <cell r="AH36">
            <v>0</v>
          </cell>
          <cell r="AI36">
            <v>0</v>
          </cell>
          <cell r="AM36">
            <v>0</v>
          </cell>
          <cell r="AN36">
            <v>0</v>
          </cell>
          <cell r="AO36">
            <v>0</v>
          </cell>
          <cell r="AP36">
            <v>244640</v>
          </cell>
          <cell r="AQ36">
            <v>56355</v>
          </cell>
          <cell r="AR36">
            <v>6084</v>
          </cell>
          <cell r="AS36">
            <v>-69170</v>
          </cell>
          <cell r="AT36">
            <v>-55337</v>
          </cell>
          <cell r="AU36">
            <v>-12452</v>
          </cell>
          <cell r="AV36">
            <v>-1383</v>
          </cell>
          <cell r="AW36">
            <v>-138342</v>
          </cell>
          <cell r="AX36">
            <v>-1175500</v>
          </cell>
          <cell r="AY36">
            <v>-940400</v>
          </cell>
          <cell r="AZ36">
            <v>-211590</v>
          </cell>
          <cell r="BA36">
            <v>-23510</v>
          </cell>
          <cell r="BB36">
            <v>-2351000</v>
          </cell>
          <cell r="BC36">
            <v>44295128</v>
          </cell>
          <cell r="BD36">
            <v>-3411778</v>
          </cell>
          <cell r="BE36">
            <v>1124696</v>
          </cell>
          <cell r="BF36">
            <v>0</v>
          </cell>
          <cell r="BG36">
            <v>-2859196</v>
          </cell>
          <cell r="BH36">
            <v>-109748</v>
          </cell>
          <cell r="BI36">
            <v>-18375</v>
          </cell>
          <cell r="BJ36">
            <v>-29498</v>
          </cell>
          <cell r="BK36">
            <v>-1493667</v>
          </cell>
          <cell r="BL36">
            <v>-63676</v>
          </cell>
          <cell r="BM36">
            <v>-202172</v>
          </cell>
          <cell r="BN36">
            <v>-644</v>
          </cell>
          <cell r="BO36">
            <v>-3080</v>
          </cell>
          <cell r="BP36">
            <v>0</v>
          </cell>
          <cell r="BQ36">
            <v>-14662</v>
          </cell>
          <cell r="BR36">
            <v>0</v>
          </cell>
          <cell r="BS36">
            <v>0</v>
          </cell>
          <cell r="BT36">
            <v>42512954</v>
          </cell>
          <cell r="BU36">
            <v>-232388</v>
          </cell>
          <cell r="BV36">
            <v>614373</v>
          </cell>
          <cell r="BW36">
            <v>-476087</v>
          </cell>
          <cell r="BX36">
            <v>2894532</v>
          </cell>
          <cell r="BY36">
            <v>1080356</v>
          </cell>
          <cell r="BZ36">
            <v>40503049</v>
          </cell>
          <cell r="CA36">
            <v>1447268</v>
          </cell>
          <cell r="CB36">
            <v>1157812</v>
          </cell>
          <cell r="CC36">
            <v>260508</v>
          </cell>
          <cell r="CD36">
            <v>28944</v>
          </cell>
          <cell r="CE36">
            <v>540178</v>
          </cell>
          <cell r="CF36">
            <v>432142</v>
          </cell>
          <cell r="CG36">
            <v>97232</v>
          </cell>
          <cell r="CH36">
            <v>10804</v>
          </cell>
        </row>
        <row r="37">
          <cell r="A37">
            <v>30</v>
          </cell>
          <cell r="B37" t="str">
            <v>Breckland</v>
          </cell>
          <cell r="C37" t="str">
            <v>E2631</v>
          </cell>
          <cell r="D37">
            <v>163444</v>
          </cell>
          <cell r="H37">
            <v>977513</v>
          </cell>
          <cell r="I37">
            <v>0</v>
          </cell>
          <cell r="J37">
            <v>163444</v>
          </cell>
          <cell r="K37">
            <v>0</v>
          </cell>
          <cell r="L37">
            <v>413975</v>
          </cell>
          <cell r="M37">
            <v>0</v>
          </cell>
          <cell r="N37">
            <v>0</v>
          </cell>
          <cell r="O37">
            <v>0</v>
          </cell>
          <cell r="P37">
            <v>0</v>
          </cell>
          <cell r="Q37">
            <v>0</v>
          </cell>
          <cell r="R37">
            <v>819067</v>
          </cell>
          <cell r="S37">
            <v>204767</v>
          </cell>
          <cell r="T37">
            <v>0</v>
          </cell>
          <cell r="U37">
            <v>0</v>
          </cell>
          <cell r="V37">
            <v>0</v>
          </cell>
          <cell r="W37">
            <v>0</v>
          </cell>
          <cell r="X37">
            <v>0</v>
          </cell>
          <cell r="Y37">
            <v>0</v>
          </cell>
          <cell r="Z37">
            <v>0</v>
          </cell>
          <cell r="AA37">
            <v>1403</v>
          </cell>
          <cell r="AB37">
            <v>351</v>
          </cell>
          <cell r="AC37">
            <v>0</v>
          </cell>
          <cell r="AD37">
            <v>0</v>
          </cell>
          <cell r="AE37">
            <v>0</v>
          </cell>
          <cell r="AF37">
            <v>0</v>
          </cell>
          <cell r="AG37">
            <v>0</v>
          </cell>
          <cell r="AH37">
            <v>0</v>
          </cell>
          <cell r="AI37">
            <v>0</v>
          </cell>
          <cell r="AM37">
            <v>0</v>
          </cell>
          <cell r="AN37">
            <v>0</v>
          </cell>
          <cell r="AO37">
            <v>0</v>
          </cell>
          <cell r="AP37">
            <v>189022</v>
          </cell>
          <cell r="AQ37">
            <v>45701</v>
          </cell>
          <cell r="AR37">
            <v>0</v>
          </cell>
          <cell r="AS37">
            <v>-222285.54</v>
          </cell>
          <cell r="AT37">
            <v>-177828</v>
          </cell>
          <cell r="AU37">
            <v>-44457</v>
          </cell>
          <cell r="AV37">
            <v>0</v>
          </cell>
          <cell r="AW37">
            <v>-444570.54</v>
          </cell>
          <cell r="AX37">
            <v>-1212482</v>
          </cell>
          <cell r="AY37">
            <v>-969987</v>
          </cell>
          <cell r="AZ37">
            <v>-242497</v>
          </cell>
          <cell r="BA37">
            <v>0</v>
          </cell>
          <cell r="BB37">
            <v>-2424966</v>
          </cell>
          <cell r="BC37">
            <v>30500371</v>
          </cell>
          <cell r="BD37">
            <v>-3048698</v>
          </cell>
          <cell r="BE37">
            <v>779124</v>
          </cell>
          <cell r="BF37">
            <v>0</v>
          </cell>
          <cell r="BG37">
            <v>-2146206</v>
          </cell>
          <cell r="BH37">
            <v>-38281</v>
          </cell>
          <cell r="BI37">
            <v>-77400</v>
          </cell>
          <cell r="BJ37">
            <v>0</v>
          </cell>
          <cell r="BK37">
            <v>-734766</v>
          </cell>
          <cell r="BL37">
            <v>-46510</v>
          </cell>
          <cell r="BM37">
            <v>-227626</v>
          </cell>
          <cell r="BN37">
            <v>-2423</v>
          </cell>
          <cell r="BO37">
            <v>-8968</v>
          </cell>
          <cell r="BP37">
            <v>-1529</v>
          </cell>
          <cell r="BQ37">
            <v>-3082</v>
          </cell>
          <cell r="BR37">
            <v>0</v>
          </cell>
          <cell r="BS37">
            <v>0</v>
          </cell>
          <cell r="BT37">
            <v>30184441</v>
          </cell>
          <cell r="BU37">
            <v>-217850</v>
          </cell>
          <cell r="BV37">
            <v>1412640</v>
          </cell>
          <cell r="BW37">
            <v>-350911</v>
          </cell>
          <cell r="BX37">
            <v>-126016</v>
          </cell>
          <cell r="BY37">
            <v>79782</v>
          </cell>
          <cell r="BZ37">
            <v>30423796</v>
          </cell>
          <cell r="CA37">
            <v>-63007</v>
          </cell>
          <cell r="CB37">
            <v>-50407</v>
          </cell>
          <cell r="CC37">
            <v>-12602</v>
          </cell>
          <cell r="CD37">
            <v>0</v>
          </cell>
          <cell r="CE37">
            <v>39891</v>
          </cell>
          <cell r="CF37">
            <v>31913</v>
          </cell>
          <cell r="CG37">
            <v>7978</v>
          </cell>
          <cell r="CH37">
            <v>0</v>
          </cell>
        </row>
        <row r="38">
          <cell r="A38">
            <v>31</v>
          </cell>
          <cell r="B38" t="str">
            <v>Brent</v>
          </cell>
          <cell r="C38" t="str">
            <v>E5033</v>
          </cell>
          <cell r="D38">
            <v>416255</v>
          </cell>
          <cell r="H38">
            <v>3692182</v>
          </cell>
          <cell r="I38">
            <v>0</v>
          </cell>
          <cell r="J38">
            <v>416255</v>
          </cell>
          <cell r="K38">
            <v>0</v>
          </cell>
          <cell r="L38">
            <v>0</v>
          </cell>
          <cell r="M38">
            <v>0</v>
          </cell>
          <cell r="N38">
            <v>0</v>
          </cell>
          <cell r="O38">
            <v>0</v>
          </cell>
          <cell r="P38">
            <v>0</v>
          </cell>
          <cell r="Q38">
            <v>0</v>
          </cell>
          <cell r="R38">
            <v>1071955</v>
          </cell>
          <cell r="S38">
            <v>1322077</v>
          </cell>
          <cell r="T38">
            <v>0</v>
          </cell>
          <cell r="U38">
            <v>0</v>
          </cell>
          <cell r="V38">
            <v>0</v>
          </cell>
          <cell r="W38">
            <v>0</v>
          </cell>
          <cell r="X38">
            <v>0</v>
          </cell>
          <cell r="Y38">
            <v>0</v>
          </cell>
          <cell r="Z38">
            <v>0</v>
          </cell>
          <cell r="AA38">
            <v>229</v>
          </cell>
          <cell r="AB38">
            <v>282</v>
          </cell>
          <cell r="AC38">
            <v>0</v>
          </cell>
          <cell r="AD38">
            <v>0</v>
          </cell>
          <cell r="AE38">
            <v>0</v>
          </cell>
          <cell r="AF38">
            <v>0</v>
          </cell>
          <cell r="AG38">
            <v>0</v>
          </cell>
          <cell r="AH38">
            <v>0</v>
          </cell>
          <cell r="AI38">
            <v>0</v>
          </cell>
          <cell r="AM38">
            <v>0</v>
          </cell>
          <cell r="AN38">
            <v>0</v>
          </cell>
          <cell r="AO38">
            <v>0</v>
          </cell>
          <cell r="AP38">
            <v>565849</v>
          </cell>
          <cell r="AQ38">
            <v>697881</v>
          </cell>
          <cell r="AR38">
            <v>0</v>
          </cell>
          <cell r="AS38">
            <v>-549283</v>
          </cell>
          <cell r="AT38">
            <v>-329571</v>
          </cell>
          <cell r="AU38">
            <v>-219713</v>
          </cell>
          <cell r="AV38">
            <v>0</v>
          </cell>
          <cell r="AW38">
            <v>-1098567</v>
          </cell>
          <cell r="AX38">
            <v>-7074280</v>
          </cell>
          <cell r="AY38">
            <v>-4244567</v>
          </cell>
          <cell r="AZ38">
            <v>-2829711</v>
          </cell>
          <cell r="BA38">
            <v>0</v>
          </cell>
          <cell r="BB38">
            <v>-14148558</v>
          </cell>
          <cell r="BC38">
            <v>119219512</v>
          </cell>
          <cell r="BD38">
            <v>-4714358</v>
          </cell>
          <cell r="BE38">
            <v>2982252</v>
          </cell>
          <cell r="BF38">
            <v>0</v>
          </cell>
          <cell r="BG38">
            <v>-7780334</v>
          </cell>
          <cell r="BH38">
            <v>-39661</v>
          </cell>
          <cell r="BI38">
            <v>0</v>
          </cell>
          <cell r="BJ38">
            <v>-51119</v>
          </cell>
          <cell r="BK38">
            <v>-2856992</v>
          </cell>
          <cell r="BL38">
            <v>-397988</v>
          </cell>
          <cell r="BM38">
            <v>-22154</v>
          </cell>
          <cell r="BN38">
            <v>-2286</v>
          </cell>
          <cell r="BO38">
            <v>0</v>
          </cell>
          <cell r="BP38">
            <v>0</v>
          </cell>
          <cell r="BQ38">
            <v>-1497</v>
          </cell>
          <cell r="BR38">
            <v>0</v>
          </cell>
          <cell r="BS38">
            <v>0</v>
          </cell>
          <cell r="BT38">
            <v>123761524</v>
          </cell>
          <cell r="BU38">
            <v>-1807064</v>
          </cell>
          <cell r="BV38">
            <v>8398505</v>
          </cell>
          <cell r="BW38">
            <v>-6108751</v>
          </cell>
          <cell r="BX38">
            <v>-4532954</v>
          </cell>
          <cell r="BY38">
            <v>-5247282</v>
          </cell>
          <cell r="BZ38">
            <v>125564621</v>
          </cell>
          <cell r="CA38">
            <v>-2266477</v>
          </cell>
          <cell r="CB38">
            <v>-1359885</v>
          </cell>
          <cell r="CC38">
            <v>-906592</v>
          </cell>
          <cell r="CD38">
            <v>0</v>
          </cell>
          <cell r="CE38">
            <v>-2623641</v>
          </cell>
          <cell r="CF38">
            <v>-1574185</v>
          </cell>
          <cell r="CG38">
            <v>-1049456</v>
          </cell>
          <cell r="CH38">
            <v>0</v>
          </cell>
        </row>
        <row r="39">
          <cell r="A39">
            <v>32</v>
          </cell>
          <cell r="B39" t="str">
            <v>Brentwood</v>
          </cell>
          <cell r="C39" t="str">
            <v>E1533</v>
          </cell>
          <cell r="D39">
            <v>104595</v>
          </cell>
          <cell r="H39">
            <v>-1319227</v>
          </cell>
          <cell r="I39">
            <v>0</v>
          </cell>
          <cell r="J39">
            <v>104595</v>
          </cell>
          <cell r="K39">
            <v>0</v>
          </cell>
          <cell r="L39">
            <v>0</v>
          </cell>
          <cell r="M39">
            <v>0</v>
          </cell>
          <cell r="N39">
            <v>0</v>
          </cell>
          <cell r="O39">
            <v>0</v>
          </cell>
          <cell r="P39">
            <v>0</v>
          </cell>
          <cell r="Q39">
            <v>0</v>
          </cell>
          <cell r="R39">
            <v>367273</v>
          </cell>
          <cell r="S39">
            <v>82636</v>
          </cell>
          <cell r="T39">
            <v>9182</v>
          </cell>
          <cell r="U39">
            <v>0</v>
          </cell>
          <cell r="V39">
            <v>0</v>
          </cell>
          <cell r="W39">
            <v>0</v>
          </cell>
          <cell r="X39">
            <v>5773</v>
          </cell>
          <cell r="Y39">
            <v>1299</v>
          </cell>
          <cell r="Z39">
            <v>144</v>
          </cell>
          <cell r="AA39">
            <v>0</v>
          </cell>
          <cell r="AB39">
            <v>0</v>
          </cell>
          <cell r="AC39">
            <v>0</v>
          </cell>
          <cell r="AD39">
            <v>0</v>
          </cell>
          <cell r="AE39">
            <v>0</v>
          </cell>
          <cell r="AF39">
            <v>0</v>
          </cell>
          <cell r="AG39">
            <v>0</v>
          </cell>
          <cell r="AH39">
            <v>0</v>
          </cell>
          <cell r="AI39">
            <v>0</v>
          </cell>
          <cell r="AM39">
            <v>0</v>
          </cell>
          <cell r="AN39">
            <v>0</v>
          </cell>
          <cell r="AO39">
            <v>0</v>
          </cell>
          <cell r="AP39">
            <v>167535</v>
          </cell>
          <cell r="AQ39">
            <v>37695</v>
          </cell>
          <cell r="AR39">
            <v>4188</v>
          </cell>
          <cell r="AS39">
            <v>-607522</v>
          </cell>
          <cell r="AT39">
            <v>-486019</v>
          </cell>
          <cell r="AU39">
            <v>-109352</v>
          </cell>
          <cell r="AV39">
            <v>-12151</v>
          </cell>
          <cell r="AW39">
            <v>-1215044</v>
          </cell>
          <cell r="AX39">
            <v>-2431367</v>
          </cell>
          <cell r="AY39">
            <v>-1945094</v>
          </cell>
          <cell r="AZ39">
            <v>-437647</v>
          </cell>
          <cell r="BA39">
            <v>-48628</v>
          </cell>
          <cell r="BB39">
            <v>-4862736</v>
          </cell>
          <cell r="BC39">
            <v>30436957</v>
          </cell>
          <cell r="BD39">
            <v>-1262848</v>
          </cell>
          <cell r="BE39">
            <v>852926</v>
          </cell>
          <cell r="BF39">
            <v>0</v>
          </cell>
          <cell r="BG39">
            <v>-2283236</v>
          </cell>
          <cell r="BH39">
            <v>-51489</v>
          </cell>
          <cell r="BI39">
            <v>-1129</v>
          </cell>
          <cell r="BJ39">
            <v>0</v>
          </cell>
          <cell r="BK39">
            <v>-1352475</v>
          </cell>
          <cell r="BL39">
            <v>-58742</v>
          </cell>
          <cell r="BM39">
            <v>-54241</v>
          </cell>
          <cell r="BN39">
            <v>-5504</v>
          </cell>
          <cell r="BO39">
            <v>-3989</v>
          </cell>
          <cell r="BP39">
            <v>-9931</v>
          </cell>
          <cell r="BQ39">
            <v>-22956</v>
          </cell>
          <cell r="BR39">
            <v>0</v>
          </cell>
          <cell r="BS39">
            <v>0</v>
          </cell>
          <cell r="BT39">
            <v>31719937</v>
          </cell>
          <cell r="BU39">
            <v>-734618</v>
          </cell>
          <cell r="BV39">
            <v>2689187</v>
          </cell>
          <cell r="BW39">
            <v>-766609</v>
          </cell>
          <cell r="BX39">
            <v>-1106648</v>
          </cell>
          <cell r="BY39">
            <v>0</v>
          </cell>
          <cell r="BZ39">
            <v>27882667</v>
          </cell>
          <cell r="CA39">
            <v>-553325</v>
          </cell>
          <cell r="CB39">
            <v>-442659</v>
          </cell>
          <cell r="CC39">
            <v>-99599</v>
          </cell>
          <cell r="CD39">
            <v>-11065</v>
          </cell>
          <cell r="CE39">
            <v>0</v>
          </cell>
          <cell r="CF39">
            <v>0</v>
          </cell>
          <cell r="CG39">
            <v>0</v>
          </cell>
          <cell r="CH39">
            <v>0</v>
          </cell>
        </row>
        <row r="40">
          <cell r="A40">
            <v>33</v>
          </cell>
          <cell r="B40" t="str">
            <v>Brighton &amp; Hove</v>
          </cell>
          <cell r="C40" t="str">
            <v>E1401</v>
          </cell>
          <cell r="D40">
            <v>432307</v>
          </cell>
          <cell r="H40">
            <v>7476586</v>
          </cell>
          <cell r="I40">
            <v>0</v>
          </cell>
          <cell r="J40">
            <v>432307</v>
          </cell>
          <cell r="K40">
            <v>0</v>
          </cell>
          <cell r="L40">
            <v>0</v>
          </cell>
          <cell r="M40">
            <v>0</v>
          </cell>
          <cell r="N40">
            <v>0</v>
          </cell>
          <cell r="O40">
            <v>0</v>
          </cell>
          <cell r="P40">
            <v>0</v>
          </cell>
          <cell r="Q40">
            <v>0</v>
          </cell>
          <cell r="R40">
            <v>2378278</v>
          </cell>
          <cell r="S40">
            <v>0</v>
          </cell>
          <cell r="T40">
            <v>48536</v>
          </cell>
          <cell r="U40">
            <v>8320</v>
          </cell>
          <cell r="V40">
            <v>0</v>
          </cell>
          <cell r="W40">
            <v>170</v>
          </cell>
          <cell r="X40">
            <v>1791</v>
          </cell>
          <cell r="Y40">
            <v>0</v>
          </cell>
          <cell r="Z40">
            <v>37</v>
          </cell>
          <cell r="AA40">
            <v>322</v>
          </cell>
          <cell r="AB40">
            <v>0</v>
          </cell>
          <cell r="AC40">
            <v>7</v>
          </cell>
          <cell r="AD40">
            <v>0</v>
          </cell>
          <cell r="AE40">
            <v>0</v>
          </cell>
          <cell r="AF40">
            <v>0</v>
          </cell>
          <cell r="AG40">
            <v>0</v>
          </cell>
          <cell r="AH40">
            <v>0</v>
          </cell>
          <cell r="AI40">
            <v>0</v>
          </cell>
          <cell r="AM40">
            <v>0</v>
          </cell>
          <cell r="AN40">
            <v>0</v>
          </cell>
          <cell r="AO40">
            <v>0</v>
          </cell>
          <cell r="AP40">
            <v>854372</v>
          </cell>
          <cell r="AQ40">
            <v>0</v>
          </cell>
          <cell r="AR40">
            <v>17436</v>
          </cell>
          <cell r="AS40">
            <v>-1045690</v>
          </cell>
          <cell r="AT40">
            <v>-1024776</v>
          </cell>
          <cell r="AU40">
            <v>0</v>
          </cell>
          <cell r="AV40">
            <v>-20914</v>
          </cell>
          <cell r="AW40">
            <v>-2091380</v>
          </cell>
          <cell r="AX40">
            <v>-2569069</v>
          </cell>
          <cell r="AY40">
            <v>-2517688</v>
          </cell>
          <cell r="AZ40">
            <v>0</v>
          </cell>
          <cell r="BA40">
            <v>-51381</v>
          </cell>
          <cell r="BB40">
            <v>-5138138</v>
          </cell>
          <cell r="BC40">
            <v>107899884</v>
          </cell>
          <cell r="BD40">
            <v>-6790825</v>
          </cell>
          <cell r="BE40">
            <v>2906089</v>
          </cell>
          <cell r="BF40">
            <v>0</v>
          </cell>
          <cell r="BG40">
            <v>-8820862</v>
          </cell>
          <cell r="BH40">
            <v>-51976</v>
          </cell>
          <cell r="BI40">
            <v>0</v>
          </cell>
          <cell r="BJ40">
            <v>-93295</v>
          </cell>
          <cell r="BK40">
            <v>-2763952</v>
          </cell>
          <cell r="BL40">
            <v>-64472</v>
          </cell>
          <cell r="BM40">
            <v>-27626</v>
          </cell>
          <cell r="BN40">
            <v>-11433</v>
          </cell>
          <cell r="BO40">
            <v>0</v>
          </cell>
          <cell r="BP40">
            <v>0</v>
          </cell>
          <cell r="BQ40">
            <v>0</v>
          </cell>
          <cell r="BR40">
            <v>0</v>
          </cell>
          <cell r="BS40">
            <v>0</v>
          </cell>
          <cell r="BT40">
            <v>110297348</v>
          </cell>
          <cell r="BU40">
            <v>-413139</v>
          </cell>
          <cell r="BV40">
            <v>5271833</v>
          </cell>
          <cell r="BW40">
            <v>-4919474</v>
          </cell>
          <cell r="BX40">
            <v>-3543363</v>
          </cell>
          <cell r="BY40">
            <v>-3437000</v>
          </cell>
          <cell r="BZ40">
            <v>116075084</v>
          </cell>
          <cell r="CA40">
            <v>-1771682</v>
          </cell>
          <cell r="CB40">
            <v>-1736248</v>
          </cell>
          <cell r="CC40">
            <v>0</v>
          </cell>
          <cell r="CD40">
            <v>-35433</v>
          </cell>
          <cell r="CE40">
            <v>-1718500</v>
          </cell>
          <cell r="CF40">
            <v>-1684130</v>
          </cell>
          <cell r="CG40">
            <v>0</v>
          </cell>
          <cell r="CH40">
            <v>-34370</v>
          </cell>
        </row>
        <row r="41">
          <cell r="A41">
            <v>34</v>
          </cell>
          <cell r="B41" t="str">
            <v>Bristol</v>
          </cell>
          <cell r="C41" t="str">
            <v>E0102</v>
          </cell>
          <cell r="D41">
            <v>715969</v>
          </cell>
          <cell r="H41">
            <v>-6692172</v>
          </cell>
          <cell r="I41">
            <v>-239923</v>
          </cell>
          <cell r="J41">
            <v>715969</v>
          </cell>
          <cell r="K41">
            <v>4280807</v>
          </cell>
          <cell r="L41">
            <v>139958</v>
          </cell>
          <cell r="M41">
            <v>0</v>
          </cell>
          <cell r="N41">
            <v>0</v>
          </cell>
          <cell r="O41">
            <v>0</v>
          </cell>
          <cell r="P41">
            <v>0</v>
          </cell>
          <cell r="Q41">
            <v>0</v>
          </cell>
          <cell r="R41">
            <v>5511314</v>
          </cell>
          <cell r="S41">
            <v>287326</v>
          </cell>
          <cell r="T41">
            <v>57465</v>
          </cell>
          <cell r="U41">
            <v>29146</v>
          </cell>
          <cell r="V41">
            <v>1550</v>
          </cell>
          <cell r="W41">
            <v>310</v>
          </cell>
          <cell r="X41">
            <v>0</v>
          </cell>
          <cell r="Y41">
            <v>0</v>
          </cell>
          <cell r="Z41">
            <v>0</v>
          </cell>
          <cell r="AA41">
            <v>24837</v>
          </cell>
          <cell r="AB41">
            <v>1321</v>
          </cell>
          <cell r="AC41">
            <v>264</v>
          </cell>
          <cell r="AD41">
            <v>0</v>
          </cell>
          <cell r="AE41">
            <v>0</v>
          </cell>
          <cell r="AF41">
            <v>0</v>
          </cell>
          <cell r="AG41">
            <v>0</v>
          </cell>
          <cell r="AH41">
            <v>0</v>
          </cell>
          <cell r="AI41">
            <v>0</v>
          </cell>
          <cell r="AM41">
            <v>0</v>
          </cell>
          <cell r="AN41">
            <v>0</v>
          </cell>
          <cell r="AO41">
            <v>0</v>
          </cell>
          <cell r="AP41">
            <v>2956474</v>
          </cell>
          <cell r="AQ41">
            <v>153727</v>
          </cell>
          <cell r="AR41">
            <v>30745</v>
          </cell>
          <cell r="AS41">
            <v>-1074092</v>
          </cell>
          <cell r="AT41">
            <v>-1052611</v>
          </cell>
          <cell r="AU41">
            <v>0</v>
          </cell>
          <cell r="AV41">
            <v>-21482</v>
          </cell>
          <cell r="AW41">
            <v>-2148185</v>
          </cell>
          <cell r="AX41">
            <v>-11344081</v>
          </cell>
          <cell r="AY41">
            <v>-11117202</v>
          </cell>
          <cell r="AZ41">
            <v>0</v>
          </cell>
          <cell r="BA41">
            <v>-226882</v>
          </cell>
          <cell r="BB41">
            <v>-22688165</v>
          </cell>
          <cell r="BC41">
            <v>197428618</v>
          </cell>
          <cell r="BD41">
            <v>-9056013</v>
          </cell>
          <cell r="BE41">
            <v>6094483</v>
          </cell>
          <cell r="BF41">
            <v>0</v>
          </cell>
          <cell r="BG41">
            <v>-17897378</v>
          </cell>
          <cell r="BH41">
            <v>-125151</v>
          </cell>
          <cell r="BI41">
            <v>0</v>
          </cell>
          <cell r="BJ41">
            <v>-374188</v>
          </cell>
          <cell r="BK41">
            <v>-10203201</v>
          </cell>
          <cell r="BL41">
            <v>-276729</v>
          </cell>
          <cell r="BM41">
            <v>-262129</v>
          </cell>
          <cell r="BN41">
            <v>-2057</v>
          </cell>
          <cell r="BO41">
            <v>0</v>
          </cell>
          <cell r="BP41">
            <v>0</v>
          </cell>
          <cell r="BQ41">
            <v>-1106102</v>
          </cell>
          <cell r="BR41">
            <v>-1206903</v>
          </cell>
          <cell r="BS41">
            <v>0</v>
          </cell>
          <cell r="BT41">
            <v>219805763</v>
          </cell>
          <cell r="BU41">
            <v>-1545000</v>
          </cell>
          <cell r="BV41">
            <v>4263960</v>
          </cell>
          <cell r="BW41">
            <v>-2937074</v>
          </cell>
          <cell r="BX41">
            <v>-327986</v>
          </cell>
          <cell r="BY41">
            <v>13172779</v>
          </cell>
          <cell r="BZ41">
            <v>204676490</v>
          </cell>
          <cell r="CA41">
            <v>-163993</v>
          </cell>
          <cell r="CB41">
            <v>-160713</v>
          </cell>
          <cell r="CC41">
            <v>0</v>
          </cell>
          <cell r="CD41">
            <v>-3280</v>
          </cell>
          <cell r="CE41">
            <v>6586389</v>
          </cell>
          <cell r="CF41">
            <v>6454662</v>
          </cell>
          <cell r="CG41">
            <v>0</v>
          </cell>
          <cell r="CH41">
            <v>131728</v>
          </cell>
        </row>
        <row r="42">
          <cell r="A42">
            <v>35</v>
          </cell>
          <cell r="B42" t="str">
            <v>Broadland</v>
          </cell>
          <cell r="C42" t="str">
            <v>E2632</v>
          </cell>
          <cell r="D42">
            <v>139831</v>
          </cell>
          <cell r="H42">
            <v>-436237</v>
          </cell>
          <cell r="I42">
            <v>0</v>
          </cell>
          <cell r="J42">
            <v>139831</v>
          </cell>
          <cell r="K42">
            <v>0</v>
          </cell>
          <cell r="L42">
            <v>150362</v>
          </cell>
          <cell r="M42">
            <v>0</v>
          </cell>
          <cell r="N42">
            <v>0</v>
          </cell>
          <cell r="O42">
            <v>0</v>
          </cell>
          <cell r="P42">
            <v>0</v>
          </cell>
          <cell r="Q42">
            <v>0</v>
          </cell>
          <cell r="R42">
            <v>679374</v>
          </cell>
          <cell r="S42">
            <v>169843</v>
          </cell>
          <cell r="T42">
            <v>0</v>
          </cell>
          <cell r="U42">
            <v>1078</v>
          </cell>
          <cell r="V42">
            <v>270</v>
          </cell>
          <cell r="W42">
            <v>0</v>
          </cell>
          <cell r="X42">
            <v>0</v>
          </cell>
          <cell r="Y42">
            <v>0</v>
          </cell>
          <cell r="Z42">
            <v>0</v>
          </cell>
          <cell r="AA42">
            <v>0</v>
          </cell>
          <cell r="AB42">
            <v>0</v>
          </cell>
          <cell r="AC42">
            <v>0</v>
          </cell>
          <cell r="AD42">
            <v>0</v>
          </cell>
          <cell r="AE42">
            <v>0</v>
          </cell>
          <cell r="AF42">
            <v>0</v>
          </cell>
          <cell r="AG42">
            <v>0</v>
          </cell>
          <cell r="AH42">
            <v>0</v>
          </cell>
          <cell r="AI42">
            <v>0</v>
          </cell>
          <cell r="AM42">
            <v>0</v>
          </cell>
          <cell r="AN42">
            <v>0</v>
          </cell>
          <cell r="AO42">
            <v>0</v>
          </cell>
          <cell r="AP42">
            <v>179136</v>
          </cell>
          <cell r="AQ42">
            <v>44219</v>
          </cell>
          <cell r="AR42">
            <v>0</v>
          </cell>
          <cell r="AS42">
            <v>-78276</v>
          </cell>
          <cell r="AT42">
            <v>-62621</v>
          </cell>
          <cell r="AU42">
            <v>-15655</v>
          </cell>
          <cell r="AV42">
            <v>0</v>
          </cell>
          <cell r="AW42">
            <v>-156552</v>
          </cell>
          <cell r="AX42">
            <v>-1492877</v>
          </cell>
          <cell r="AY42">
            <v>-1194301</v>
          </cell>
          <cell r="AZ42">
            <v>-298575</v>
          </cell>
          <cell r="BA42">
            <v>0</v>
          </cell>
          <cell r="BB42">
            <v>-2985753</v>
          </cell>
          <cell r="BC42">
            <v>30226613</v>
          </cell>
          <cell r="BD42">
            <v>-2798168</v>
          </cell>
          <cell r="BE42">
            <v>784524</v>
          </cell>
          <cell r="BF42">
            <v>0</v>
          </cell>
          <cell r="BG42">
            <v>-1570741</v>
          </cell>
          <cell r="BH42">
            <v>-33528</v>
          </cell>
          <cell r="BI42">
            <v>-54574</v>
          </cell>
          <cell r="BJ42">
            <v>-7089</v>
          </cell>
          <cell r="BK42">
            <v>-725375</v>
          </cell>
          <cell r="BL42">
            <v>-21174</v>
          </cell>
          <cell r="BM42">
            <v>-59319</v>
          </cell>
          <cell r="BN42">
            <v>0</v>
          </cell>
          <cell r="BO42">
            <v>-54574</v>
          </cell>
          <cell r="BP42">
            <v>-9740</v>
          </cell>
          <cell r="BQ42">
            <v>-17989</v>
          </cell>
          <cell r="BR42">
            <v>0</v>
          </cell>
          <cell r="BS42">
            <v>0</v>
          </cell>
          <cell r="BT42">
            <v>30352116</v>
          </cell>
          <cell r="BU42">
            <v>-143798</v>
          </cell>
          <cell r="BV42">
            <v>338980</v>
          </cell>
          <cell r="BW42">
            <v>-699513</v>
          </cell>
          <cell r="BX42">
            <v>-1179522</v>
          </cell>
          <cell r="BY42">
            <v>-564109</v>
          </cell>
          <cell r="BZ42">
            <v>29437364</v>
          </cell>
          <cell r="CA42">
            <v>-589760</v>
          </cell>
          <cell r="CB42">
            <v>-471809</v>
          </cell>
          <cell r="CC42">
            <v>-117953</v>
          </cell>
          <cell r="CD42">
            <v>0</v>
          </cell>
          <cell r="CE42">
            <v>-282054</v>
          </cell>
          <cell r="CF42">
            <v>-225644</v>
          </cell>
          <cell r="CG42">
            <v>-56411</v>
          </cell>
          <cell r="CH42">
            <v>0</v>
          </cell>
        </row>
        <row r="43">
          <cell r="A43">
            <v>36</v>
          </cell>
          <cell r="B43" t="str">
            <v>Bromley</v>
          </cell>
          <cell r="C43" t="str">
            <v>E5034</v>
          </cell>
          <cell r="D43">
            <v>336429</v>
          </cell>
          <cell r="H43">
            <v>5959515</v>
          </cell>
          <cell r="I43">
            <v>0</v>
          </cell>
          <cell r="J43">
            <v>336429</v>
          </cell>
          <cell r="K43">
            <v>0</v>
          </cell>
          <cell r="L43">
            <v>0</v>
          </cell>
          <cell r="M43">
            <v>0</v>
          </cell>
          <cell r="N43">
            <v>0</v>
          </cell>
          <cell r="O43">
            <v>0</v>
          </cell>
          <cell r="P43">
            <v>0</v>
          </cell>
          <cell r="Q43">
            <v>0</v>
          </cell>
          <cell r="R43">
            <v>1290124</v>
          </cell>
          <cell r="S43">
            <v>1591153</v>
          </cell>
          <cell r="T43">
            <v>0</v>
          </cell>
          <cell r="U43">
            <v>0</v>
          </cell>
          <cell r="V43">
            <v>0</v>
          </cell>
          <cell r="W43">
            <v>0</v>
          </cell>
          <cell r="X43">
            <v>0</v>
          </cell>
          <cell r="Y43">
            <v>0</v>
          </cell>
          <cell r="Z43">
            <v>0</v>
          </cell>
          <cell r="AA43">
            <v>10624</v>
          </cell>
          <cell r="AB43">
            <v>13102</v>
          </cell>
          <cell r="AC43">
            <v>0</v>
          </cell>
          <cell r="AD43">
            <v>0</v>
          </cell>
          <cell r="AE43">
            <v>0</v>
          </cell>
          <cell r="AF43">
            <v>0</v>
          </cell>
          <cell r="AG43">
            <v>0</v>
          </cell>
          <cell r="AH43">
            <v>0</v>
          </cell>
          <cell r="AI43">
            <v>0</v>
          </cell>
          <cell r="AM43">
            <v>0</v>
          </cell>
          <cell r="AN43">
            <v>0</v>
          </cell>
          <cell r="AO43">
            <v>0</v>
          </cell>
          <cell r="AP43">
            <v>408626</v>
          </cell>
          <cell r="AQ43">
            <v>503972</v>
          </cell>
          <cell r="AR43">
            <v>0</v>
          </cell>
          <cell r="AS43">
            <v>-377128</v>
          </cell>
          <cell r="AT43">
            <v>-226278</v>
          </cell>
          <cell r="AU43">
            <v>-150852</v>
          </cell>
          <cell r="AV43">
            <v>0</v>
          </cell>
          <cell r="AW43">
            <v>-754258</v>
          </cell>
          <cell r="AX43">
            <v>-4823639</v>
          </cell>
          <cell r="AY43">
            <v>-2894184</v>
          </cell>
          <cell r="AZ43">
            <v>-1929456</v>
          </cell>
          <cell r="BA43">
            <v>0</v>
          </cell>
          <cell r="BB43">
            <v>-9647279</v>
          </cell>
          <cell r="BC43">
            <v>82992895</v>
          </cell>
          <cell r="BD43">
            <v>-4658165</v>
          </cell>
          <cell r="BE43">
            <v>2214562</v>
          </cell>
          <cell r="BF43">
            <v>0</v>
          </cell>
          <cell r="BG43">
            <v>-8995052</v>
          </cell>
          <cell r="BH43">
            <v>-186654</v>
          </cell>
          <cell r="BI43">
            <v>0</v>
          </cell>
          <cell r="BJ43">
            <v>-2416</v>
          </cell>
          <cell r="BK43">
            <v>-2807493</v>
          </cell>
          <cell r="BL43">
            <v>-211201</v>
          </cell>
          <cell r="BM43">
            <v>-303101</v>
          </cell>
          <cell r="BN43">
            <v>-46664</v>
          </cell>
          <cell r="BO43">
            <v>0</v>
          </cell>
          <cell r="BP43">
            <v>0</v>
          </cell>
          <cell r="BQ43">
            <v>0</v>
          </cell>
          <cell r="BR43">
            <v>0</v>
          </cell>
          <cell r="BS43">
            <v>0</v>
          </cell>
          <cell r="BT43">
            <v>86081051</v>
          </cell>
          <cell r="BU43">
            <v>-260048</v>
          </cell>
          <cell r="BV43">
            <v>2120477</v>
          </cell>
          <cell r="BW43">
            <v>-4259571</v>
          </cell>
          <cell r="BX43">
            <v>-597123.09999999963</v>
          </cell>
          <cell r="BY43">
            <v>576774</v>
          </cell>
          <cell r="BZ43">
            <v>90676111</v>
          </cell>
          <cell r="CA43">
            <v>-298561.09999999963</v>
          </cell>
          <cell r="CB43">
            <v>-179137</v>
          </cell>
          <cell r="CC43">
            <v>-119425</v>
          </cell>
          <cell r="CD43">
            <v>0</v>
          </cell>
          <cell r="CE43">
            <v>288387</v>
          </cell>
          <cell r="CF43">
            <v>173032</v>
          </cell>
          <cell r="CG43">
            <v>115355</v>
          </cell>
          <cell r="CH43">
            <v>0</v>
          </cell>
        </row>
        <row r="44">
          <cell r="A44">
            <v>37</v>
          </cell>
          <cell r="B44" t="str">
            <v>Bromsgrove</v>
          </cell>
          <cell r="C44" t="str">
            <v>E1831</v>
          </cell>
          <cell r="D44">
            <v>119076</v>
          </cell>
          <cell r="H44">
            <v>-2034695.91</v>
          </cell>
          <cell r="I44">
            <v>0</v>
          </cell>
          <cell r="J44">
            <v>119076</v>
          </cell>
          <cell r="K44">
            <v>0</v>
          </cell>
          <cell r="L44">
            <v>0</v>
          </cell>
          <cell r="M44">
            <v>0</v>
          </cell>
          <cell r="N44">
            <v>0</v>
          </cell>
          <cell r="O44">
            <v>0</v>
          </cell>
          <cell r="P44">
            <v>0</v>
          </cell>
          <cell r="Q44">
            <v>0</v>
          </cell>
          <cell r="R44">
            <v>765072</v>
          </cell>
          <cell r="S44">
            <v>172141</v>
          </cell>
          <cell r="T44">
            <v>19127</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M44">
            <v>0</v>
          </cell>
          <cell r="AN44">
            <v>0</v>
          </cell>
          <cell r="AO44">
            <v>0</v>
          </cell>
          <cell r="AP44">
            <v>134134</v>
          </cell>
          <cell r="AQ44">
            <v>30180</v>
          </cell>
          <cell r="AR44">
            <v>3353</v>
          </cell>
          <cell r="AS44">
            <v>-489008</v>
          </cell>
          <cell r="AT44">
            <v>-391203</v>
          </cell>
          <cell r="AU44">
            <v>-88021</v>
          </cell>
          <cell r="AV44">
            <v>-9779</v>
          </cell>
          <cell r="AW44">
            <v>-978011</v>
          </cell>
          <cell r="AX44">
            <v>-952878</v>
          </cell>
          <cell r="AY44">
            <v>-762301</v>
          </cell>
          <cell r="AZ44">
            <v>-171518</v>
          </cell>
          <cell r="BA44">
            <v>-19058</v>
          </cell>
          <cell r="BB44">
            <v>-1905755</v>
          </cell>
          <cell r="BC44">
            <v>26868684</v>
          </cell>
          <cell r="BD44">
            <v>-2285649</v>
          </cell>
          <cell r="BE44">
            <v>720338</v>
          </cell>
          <cell r="BF44">
            <v>0</v>
          </cell>
          <cell r="BG44">
            <v>-2161426</v>
          </cell>
          <cell r="BH44">
            <v>-15984</v>
          </cell>
          <cell r="BI44">
            <v>-1673</v>
          </cell>
          <cell r="BJ44">
            <v>-109710</v>
          </cell>
          <cell r="BK44">
            <v>-1092009</v>
          </cell>
          <cell r="BL44">
            <v>-33883</v>
          </cell>
          <cell r="BM44">
            <v>-56585</v>
          </cell>
          <cell r="BN44">
            <v>-258</v>
          </cell>
          <cell r="BO44">
            <v>-994</v>
          </cell>
          <cell r="BP44">
            <v>0</v>
          </cell>
          <cell r="BQ44">
            <v>0</v>
          </cell>
          <cell r="BR44">
            <v>0</v>
          </cell>
          <cell r="BS44">
            <v>0</v>
          </cell>
          <cell r="BT44">
            <v>27893633</v>
          </cell>
          <cell r="BU44">
            <v>-133364</v>
          </cell>
          <cell r="BV44">
            <v>2149381</v>
          </cell>
          <cell r="BW44">
            <v>-554352</v>
          </cell>
          <cell r="BX44">
            <v>-1348917</v>
          </cell>
          <cell r="BY44">
            <v>-506927</v>
          </cell>
          <cell r="BZ44">
            <v>22323665</v>
          </cell>
          <cell r="CA44">
            <v>-674460</v>
          </cell>
          <cell r="CB44">
            <v>-539566</v>
          </cell>
          <cell r="CC44">
            <v>-121402</v>
          </cell>
          <cell r="CD44">
            <v>-13489</v>
          </cell>
          <cell r="CE44">
            <v>-253464</v>
          </cell>
          <cell r="CF44">
            <v>-202771</v>
          </cell>
          <cell r="CG44">
            <v>-45623</v>
          </cell>
          <cell r="CH44">
            <v>-5069</v>
          </cell>
        </row>
        <row r="45">
          <cell r="A45">
            <v>38</v>
          </cell>
          <cell r="B45" t="str">
            <v>Broxbourne</v>
          </cell>
          <cell r="C45" t="str">
            <v>E1931</v>
          </cell>
          <cell r="D45">
            <v>111335</v>
          </cell>
          <cell r="H45">
            <v>-2038080</v>
          </cell>
          <cell r="I45">
            <v>0</v>
          </cell>
          <cell r="J45">
            <v>111335</v>
          </cell>
          <cell r="K45">
            <v>0</v>
          </cell>
          <cell r="L45">
            <v>0</v>
          </cell>
          <cell r="M45">
            <v>0</v>
          </cell>
          <cell r="N45">
            <v>0</v>
          </cell>
          <cell r="O45">
            <v>0</v>
          </cell>
          <cell r="P45">
            <v>0</v>
          </cell>
          <cell r="Q45">
            <v>0</v>
          </cell>
          <cell r="R45">
            <v>491048</v>
          </cell>
          <cell r="S45">
            <v>122762</v>
          </cell>
          <cell r="T45">
            <v>0</v>
          </cell>
          <cell r="U45">
            <v>0</v>
          </cell>
          <cell r="V45">
            <v>0</v>
          </cell>
          <cell r="W45">
            <v>0</v>
          </cell>
          <cell r="X45">
            <v>2371</v>
          </cell>
          <cell r="Y45">
            <v>593</v>
          </cell>
          <cell r="Z45">
            <v>0</v>
          </cell>
          <cell r="AA45">
            <v>877</v>
          </cell>
          <cell r="AB45">
            <v>219</v>
          </cell>
          <cell r="AC45">
            <v>0</v>
          </cell>
          <cell r="AD45">
            <v>0</v>
          </cell>
          <cell r="AE45">
            <v>0</v>
          </cell>
          <cell r="AF45">
            <v>0</v>
          </cell>
          <cell r="AG45">
            <v>0</v>
          </cell>
          <cell r="AH45">
            <v>0</v>
          </cell>
          <cell r="AI45">
            <v>0</v>
          </cell>
          <cell r="AM45">
            <v>0</v>
          </cell>
          <cell r="AN45">
            <v>0</v>
          </cell>
          <cell r="AO45">
            <v>0</v>
          </cell>
          <cell r="AP45">
            <v>236190</v>
          </cell>
          <cell r="AQ45">
            <v>59047</v>
          </cell>
          <cell r="AR45">
            <v>0</v>
          </cell>
          <cell r="AS45">
            <v>-124718.70000000001</v>
          </cell>
          <cell r="AT45">
            <v>-99773</v>
          </cell>
          <cell r="AU45">
            <v>-24944</v>
          </cell>
          <cell r="AV45">
            <v>0</v>
          </cell>
          <cell r="AW45">
            <v>-249435.7</v>
          </cell>
          <cell r="AX45">
            <v>-1254104</v>
          </cell>
          <cell r="AY45">
            <v>-1003283</v>
          </cell>
          <cell r="AZ45">
            <v>-250820</v>
          </cell>
          <cell r="BA45">
            <v>0</v>
          </cell>
          <cell r="BB45">
            <v>-2508207</v>
          </cell>
          <cell r="BC45">
            <v>40732039</v>
          </cell>
          <cell r="BD45">
            <v>-1498079</v>
          </cell>
          <cell r="BE45">
            <v>1142126</v>
          </cell>
          <cell r="BF45">
            <v>0</v>
          </cell>
          <cell r="BG45">
            <v>-2152909</v>
          </cell>
          <cell r="BH45">
            <v>-74411</v>
          </cell>
          <cell r="BI45">
            <v>0</v>
          </cell>
          <cell r="BJ45">
            <v>-125665</v>
          </cell>
          <cell r="BK45">
            <v>-417904</v>
          </cell>
          <cell r="BL45">
            <v>-57937</v>
          </cell>
          <cell r="BM45">
            <v>-7892</v>
          </cell>
          <cell r="BN45">
            <v>-16165</v>
          </cell>
          <cell r="BO45">
            <v>0</v>
          </cell>
          <cell r="BP45">
            <v>0</v>
          </cell>
          <cell r="BQ45">
            <v>0</v>
          </cell>
          <cell r="BR45">
            <v>0</v>
          </cell>
          <cell r="BS45">
            <v>0</v>
          </cell>
          <cell r="BT45">
            <v>40130750</v>
          </cell>
          <cell r="BU45">
            <v>0</v>
          </cell>
          <cell r="BV45">
            <v>3299773</v>
          </cell>
          <cell r="BW45">
            <v>-982218</v>
          </cell>
          <cell r="BX45">
            <v>-4163827.700000003</v>
          </cell>
          <cell r="BY45">
            <v>-3714898</v>
          </cell>
          <cell r="BZ45">
            <v>39308713</v>
          </cell>
          <cell r="CA45">
            <v>-2081913.700000003</v>
          </cell>
          <cell r="CB45">
            <v>-1665531</v>
          </cell>
          <cell r="CC45">
            <v>-416383</v>
          </cell>
          <cell r="CD45">
            <v>0</v>
          </cell>
          <cell r="CE45">
            <v>-1857449</v>
          </cell>
          <cell r="CF45">
            <v>-1485959</v>
          </cell>
          <cell r="CG45">
            <v>-371490</v>
          </cell>
          <cell r="CH45">
            <v>0</v>
          </cell>
        </row>
        <row r="46">
          <cell r="A46">
            <v>39</v>
          </cell>
          <cell r="B46" t="str">
            <v>Broxtowe</v>
          </cell>
          <cell r="C46" t="str">
            <v>E3033</v>
          </cell>
          <cell r="D46">
            <v>106254</v>
          </cell>
          <cell r="H46">
            <v>356910.08999999997</v>
          </cell>
          <cell r="I46">
            <v>8895.1900000000023</v>
          </cell>
          <cell r="J46">
            <v>106254</v>
          </cell>
          <cell r="K46">
            <v>0</v>
          </cell>
          <cell r="L46">
            <v>0</v>
          </cell>
          <cell r="M46">
            <v>0</v>
          </cell>
          <cell r="N46">
            <v>110000</v>
          </cell>
          <cell r="O46">
            <v>110000</v>
          </cell>
          <cell r="P46">
            <v>0</v>
          </cell>
          <cell r="Q46">
            <v>0</v>
          </cell>
          <cell r="R46">
            <v>473498</v>
          </cell>
          <cell r="S46">
            <v>106537</v>
          </cell>
          <cell r="T46">
            <v>11837</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M46">
            <v>0</v>
          </cell>
          <cell r="AN46">
            <v>0</v>
          </cell>
          <cell r="AO46">
            <v>0</v>
          </cell>
          <cell r="AP46">
            <v>160511</v>
          </cell>
          <cell r="AQ46">
            <v>35743</v>
          </cell>
          <cell r="AR46">
            <v>3971</v>
          </cell>
          <cell r="AS46">
            <v>-358000</v>
          </cell>
          <cell r="AT46">
            <v>-286400</v>
          </cell>
          <cell r="AU46">
            <v>-64440</v>
          </cell>
          <cell r="AV46">
            <v>-7160</v>
          </cell>
          <cell r="AW46">
            <v>-716000</v>
          </cell>
          <cell r="AX46">
            <v>-1511866</v>
          </cell>
          <cell r="AY46">
            <v>-1209494</v>
          </cell>
          <cell r="AZ46">
            <v>-272137</v>
          </cell>
          <cell r="BA46">
            <v>-30237</v>
          </cell>
          <cell r="BB46">
            <v>-3023734</v>
          </cell>
          <cell r="BC46">
            <v>23137167</v>
          </cell>
          <cell r="BD46">
            <v>-1748436</v>
          </cell>
          <cell r="BE46">
            <v>648625</v>
          </cell>
          <cell r="BF46">
            <v>0</v>
          </cell>
          <cell r="BG46">
            <v>-1156170</v>
          </cell>
          <cell r="BH46">
            <v>0</v>
          </cell>
          <cell r="BI46">
            <v>-1970</v>
          </cell>
          <cell r="BJ46">
            <v>-980</v>
          </cell>
          <cell r="BK46">
            <v>-828862</v>
          </cell>
          <cell r="BL46">
            <v>-70763</v>
          </cell>
          <cell r="BM46">
            <v>-12802</v>
          </cell>
          <cell r="BN46">
            <v>0</v>
          </cell>
          <cell r="BO46">
            <v>-1969</v>
          </cell>
          <cell r="BP46">
            <v>0</v>
          </cell>
          <cell r="BQ46">
            <v>-71230</v>
          </cell>
          <cell r="BR46">
            <v>-71230</v>
          </cell>
          <cell r="BS46">
            <v>0</v>
          </cell>
          <cell r="BT46">
            <v>24644155</v>
          </cell>
          <cell r="BU46">
            <v>-74622</v>
          </cell>
          <cell r="BV46">
            <v>1202659</v>
          </cell>
          <cell r="BW46">
            <v>-602981</v>
          </cell>
          <cell r="BX46">
            <v>-3337467</v>
          </cell>
          <cell r="BY46">
            <v>-1725658</v>
          </cell>
          <cell r="BZ46">
            <v>26438560</v>
          </cell>
          <cell r="CA46">
            <v>-1668735</v>
          </cell>
          <cell r="CB46">
            <v>-1334986</v>
          </cell>
          <cell r="CC46">
            <v>-300372</v>
          </cell>
          <cell r="CD46">
            <v>-33374</v>
          </cell>
          <cell r="CE46">
            <v>-862829</v>
          </cell>
          <cell r="CF46">
            <v>-690263</v>
          </cell>
          <cell r="CG46">
            <v>-155309</v>
          </cell>
          <cell r="CH46">
            <v>-17257</v>
          </cell>
        </row>
        <row r="47">
          <cell r="A47">
            <v>40</v>
          </cell>
          <cell r="B47" t="str">
            <v>Burnley</v>
          </cell>
          <cell r="C47" t="str">
            <v>E2333</v>
          </cell>
          <cell r="D47">
            <v>148995</v>
          </cell>
          <cell r="H47">
            <v>-2070334</v>
          </cell>
          <cell r="I47">
            <v>0</v>
          </cell>
          <cell r="J47">
            <v>148995</v>
          </cell>
          <cell r="K47">
            <v>0</v>
          </cell>
          <cell r="L47">
            <v>233252</v>
          </cell>
          <cell r="M47">
            <v>0</v>
          </cell>
          <cell r="N47">
            <v>0</v>
          </cell>
          <cell r="O47">
            <v>0</v>
          </cell>
          <cell r="P47">
            <v>0</v>
          </cell>
          <cell r="Q47">
            <v>0</v>
          </cell>
          <cell r="R47">
            <v>682089</v>
          </cell>
          <cell r="S47">
            <v>153470</v>
          </cell>
          <cell r="T47">
            <v>17052</v>
          </cell>
          <cell r="U47">
            <v>2857</v>
          </cell>
          <cell r="V47">
            <v>643</v>
          </cell>
          <cell r="W47">
            <v>71</v>
          </cell>
          <cell r="X47">
            <v>10150</v>
          </cell>
          <cell r="Y47">
            <v>2284</v>
          </cell>
          <cell r="Z47">
            <v>254</v>
          </cell>
          <cell r="AA47">
            <v>0</v>
          </cell>
          <cell r="AB47">
            <v>0</v>
          </cell>
          <cell r="AC47">
            <v>0</v>
          </cell>
          <cell r="AD47">
            <v>0</v>
          </cell>
          <cell r="AE47">
            <v>0</v>
          </cell>
          <cell r="AF47">
            <v>0</v>
          </cell>
          <cell r="AG47">
            <v>0</v>
          </cell>
          <cell r="AH47">
            <v>0</v>
          </cell>
          <cell r="AI47">
            <v>0</v>
          </cell>
          <cell r="AM47">
            <v>0</v>
          </cell>
          <cell r="AN47">
            <v>0</v>
          </cell>
          <cell r="AO47">
            <v>0</v>
          </cell>
          <cell r="AP47">
            <v>151698</v>
          </cell>
          <cell r="AQ47">
            <v>33344</v>
          </cell>
          <cell r="AR47">
            <v>3705</v>
          </cell>
          <cell r="AS47">
            <v>-650925.34000000008</v>
          </cell>
          <cell r="AT47">
            <v>-520740</v>
          </cell>
          <cell r="AU47">
            <v>-117166</v>
          </cell>
          <cell r="AV47">
            <v>-13019</v>
          </cell>
          <cell r="AW47">
            <v>-1301850.3399999999</v>
          </cell>
          <cell r="AX47">
            <v>-3359751</v>
          </cell>
          <cell r="AY47">
            <v>-2687800</v>
          </cell>
          <cell r="AZ47">
            <v>-604756</v>
          </cell>
          <cell r="BA47">
            <v>-67195</v>
          </cell>
          <cell r="BB47">
            <v>-6719502</v>
          </cell>
          <cell r="BC47">
            <v>29453520</v>
          </cell>
          <cell r="BD47">
            <v>-2852118</v>
          </cell>
          <cell r="BE47">
            <v>801395</v>
          </cell>
          <cell r="BF47">
            <v>0</v>
          </cell>
          <cell r="BG47">
            <v>-2252272</v>
          </cell>
          <cell r="BH47">
            <v>-27872</v>
          </cell>
          <cell r="BI47">
            <v>-2970</v>
          </cell>
          <cell r="BJ47">
            <v>0</v>
          </cell>
          <cell r="BK47">
            <v>-1288641</v>
          </cell>
          <cell r="BL47">
            <v>-91530</v>
          </cell>
          <cell r="BM47">
            <v>-102551</v>
          </cell>
          <cell r="BN47">
            <v>0</v>
          </cell>
          <cell r="BO47">
            <v>0</v>
          </cell>
          <cell r="BP47">
            <v>0</v>
          </cell>
          <cell r="BQ47">
            <v>-102773</v>
          </cell>
          <cell r="BR47">
            <v>0</v>
          </cell>
          <cell r="BS47">
            <v>0</v>
          </cell>
          <cell r="BT47">
            <v>29967611</v>
          </cell>
          <cell r="BU47">
            <v>-481603</v>
          </cell>
          <cell r="BV47">
            <v>1674209</v>
          </cell>
          <cell r="BW47">
            <v>-312768</v>
          </cell>
          <cell r="BX47">
            <v>143271</v>
          </cell>
          <cell r="BY47">
            <v>-1188846</v>
          </cell>
          <cell r="BZ47">
            <v>24663690</v>
          </cell>
          <cell r="CA47">
            <v>71635</v>
          </cell>
          <cell r="CB47">
            <v>57309</v>
          </cell>
          <cell r="CC47">
            <v>12895</v>
          </cell>
          <cell r="CD47">
            <v>1432</v>
          </cell>
          <cell r="CE47">
            <v>-594424</v>
          </cell>
          <cell r="CF47">
            <v>-475538</v>
          </cell>
          <cell r="CG47">
            <v>-106996</v>
          </cell>
          <cell r="CH47">
            <v>-11888</v>
          </cell>
        </row>
        <row r="48">
          <cell r="A48">
            <v>41</v>
          </cell>
          <cell r="B48" t="str">
            <v>Bury</v>
          </cell>
          <cell r="C48" t="str">
            <v>E4202</v>
          </cell>
          <cell r="D48">
            <v>238334</v>
          </cell>
          <cell r="H48">
            <v>-1770556</v>
          </cell>
          <cell r="I48">
            <v>0</v>
          </cell>
          <cell r="J48">
            <v>238334</v>
          </cell>
          <cell r="K48">
            <v>0</v>
          </cell>
          <cell r="L48">
            <v>0</v>
          </cell>
          <cell r="M48">
            <v>0</v>
          </cell>
          <cell r="N48">
            <v>0</v>
          </cell>
          <cell r="O48">
            <v>0</v>
          </cell>
          <cell r="P48">
            <v>0</v>
          </cell>
          <cell r="Q48">
            <v>0</v>
          </cell>
          <cell r="R48">
            <v>3098335</v>
          </cell>
          <cell r="S48">
            <v>0</v>
          </cell>
          <cell r="T48">
            <v>31296</v>
          </cell>
          <cell r="U48">
            <v>0</v>
          </cell>
          <cell r="V48">
            <v>0</v>
          </cell>
          <cell r="W48">
            <v>0</v>
          </cell>
          <cell r="X48">
            <v>106167</v>
          </cell>
          <cell r="Y48">
            <v>0</v>
          </cell>
          <cell r="Z48">
            <v>1072</v>
          </cell>
          <cell r="AA48">
            <v>0</v>
          </cell>
          <cell r="AB48">
            <v>0</v>
          </cell>
          <cell r="AC48">
            <v>0</v>
          </cell>
          <cell r="AD48">
            <v>0</v>
          </cell>
          <cell r="AE48">
            <v>0</v>
          </cell>
          <cell r="AF48">
            <v>0</v>
          </cell>
          <cell r="AG48">
            <v>0</v>
          </cell>
          <cell r="AH48">
            <v>0</v>
          </cell>
          <cell r="AI48">
            <v>0</v>
          </cell>
          <cell r="AM48">
            <v>0</v>
          </cell>
          <cell r="AN48">
            <v>0</v>
          </cell>
          <cell r="AO48">
            <v>0</v>
          </cell>
          <cell r="AP48">
            <v>694053</v>
          </cell>
          <cell r="AQ48">
            <v>0</v>
          </cell>
          <cell r="AR48">
            <v>7011</v>
          </cell>
          <cell r="AS48">
            <v>-1884570</v>
          </cell>
          <cell r="AT48">
            <v>-1846877.4</v>
          </cell>
          <cell r="AU48">
            <v>0</v>
          </cell>
          <cell r="AV48">
            <v>-37690.6</v>
          </cell>
          <cell r="AW48">
            <v>-3769138</v>
          </cell>
          <cell r="AX48">
            <v>-3709374</v>
          </cell>
          <cell r="AY48">
            <v>-3635186</v>
          </cell>
          <cell r="AZ48">
            <v>0</v>
          </cell>
          <cell r="BA48">
            <v>-74188</v>
          </cell>
          <cell r="BB48">
            <v>-7418748</v>
          </cell>
          <cell r="BC48">
            <v>48341563</v>
          </cell>
          <cell r="BD48">
            <v>-5107077</v>
          </cell>
          <cell r="BE48">
            <v>1344237</v>
          </cell>
          <cell r="BF48">
            <v>0</v>
          </cell>
          <cell r="BG48">
            <v>-2402558</v>
          </cell>
          <cell r="BH48">
            <v>-113744</v>
          </cell>
          <cell r="BI48">
            <v>-1566</v>
          </cell>
          <cell r="BJ48">
            <v>0</v>
          </cell>
          <cell r="BK48">
            <v>-1759192</v>
          </cell>
          <cell r="BL48">
            <v>-335806</v>
          </cell>
          <cell r="BM48">
            <v>-68054</v>
          </cell>
          <cell r="BN48">
            <v>-28436</v>
          </cell>
          <cell r="BO48">
            <v>-1566</v>
          </cell>
          <cell r="BP48">
            <v>0</v>
          </cell>
          <cell r="BQ48">
            <v>0</v>
          </cell>
          <cell r="BR48">
            <v>0</v>
          </cell>
          <cell r="BS48">
            <v>0</v>
          </cell>
          <cell r="BT48">
            <v>51992636</v>
          </cell>
          <cell r="BU48">
            <v>-3687850</v>
          </cell>
          <cell r="BV48">
            <v>7600201</v>
          </cell>
          <cell r="BW48">
            <v>-1397470</v>
          </cell>
          <cell r="BX48">
            <v>-2988823</v>
          </cell>
          <cell r="BY48">
            <v>-3840819</v>
          </cell>
          <cell r="BZ48">
            <v>46670809</v>
          </cell>
          <cell r="CA48">
            <v>-1494413</v>
          </cell>
          <cell r="CB48">
            <v>-1464523</v>
          </cell>
          <cell r="CC48">
            <v>0</v>
          </cell>
          <cell r="CD48">
            <v>-29887</v>
          </cell>
          <cell r="CE48">
            <v>-1920410</v>
          </cell>
          <cell r="CF48">
            <v>-1882001</v>
          </cell>
          <cell r="CG48">
            <v>0</v>
          </cell>
          <cell r="CH48">
            <v>-38408</v>
          </cell>
        </row>
        <row r="49">
          <cell r="A49">
            <v>42</v>
          </cell>
          <cell r="B49" t="str">
            <v>Calderdale</v>
          </cell>
          <cell r="C49" t="str">
            <v>E4702</v>
          </cell>
          <cell r="D49">
            <v>349888</v>
          </cell>
          <cell r="H49">
            <v>-1606035</v>
          </cell>
          <cell r="I49">
            <v>0</v>
          </cell>
          <cell r="J49">
            <v>349888</v>
          </cell>
          <cell r="K49">
            <v>0</v>
          </cell>
          <cell r="L49">
            <v>218234</v>
          </cell>
          <cell r="M49">
            <v>0</v>
          </cell>
          <cell r="N49">
            <v>0</v>
          </cell>
          <cell r="O49">
            <v>0</v>
          </cell>
          <cell r="P49">
            <v>0</v>
          </cell>
          <cell r="Q49">
            <v>0</v>
          </cell>
          <cell r="R49">
            <v>3102971</v>
          </cell>
          <cell r="S49">
            <v>0</v>
          </cell>
          <cell r="T49">
            <v>63326</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M49">
            <v>0</v>
          </cell>
          <cell r="AN49">
            <v>0</v>
          </cell>
          <cell r="AO49">
            <v>0</v>
          </cell>
          <cell r="AP49">
            <v>384983</v>
          </cell>
          <cell r="AQ49">
            <v>0</v>
          </cell>
          <cell r="AR49">
            <v>7790</v>
          </cell>
          <cell r="AS49">
            <v>-1381480</v>
          </cell>
          <cell r="AT49">
            <v>-1353849</v>
          </cell>
          <cell r="AU49">
            <v>0</v>
          </cell>
          <cell r="AV49">
            <v>-27629</v>
          </cell>
          <cell r="AW49">
            <v>-2762958</v>
          </cell>
          <cell r="AX49">
            <v>-3310238</v>
          </cell>
          <cell r="AY49">
            <v>-3244034</v>
          </cell>
          <cell r="AZ49">
            <v>0</v>
          </cell>
          <cell r="BA49">
            <v>-66205</v>
          </cell>
          <cell r="BB49">
            <v>-6620477</v>
          </cell>
          <cell r="BC49">
            <v>55248500</v>
          </cell>
          <cell r="BD49">
            <v>-7207499</v>
          </cell>
          <cell r="BE49">
            <v>1576761</v>
          </cell>
          <cell r="BF49">
            <v>0</v>
          </cell>
          <cell r="BG49">
            <v>-3934104</v>
          </cell>
          <cell r="BH49">
            <v>-183484</v>
          </cell>
          <cell r="BI49">
            <v>-9709</v>
          </cell>
          <cell r="BJ49">
            <v>0</v>
          </cell>
          <cell r="BK49">
            <v>-2942637</v>
          </cell>
          <cell r="BL49">
            <v>-196906</v>
          </cell>
          <cell r="BM49">
            <v>-217243</v>
          </cell>
          <cell r="BN49">
            <v>0</v>
          </cell>
          <cell r="BO49">
            <v>-4123</v>
          </cell>
          <cell r="BP49">
            <v>0</v>
          </cell>
          <cell r="BQ49">
            <v>-5400</v>
          </cell>
          <cell r="BR49">
            <v>0</v>
          </cell>
          <cell r="BS49">
            <v>0</v>
          </cell>
          <cell r="BT49">
            <v>59431231</v>
          </cell>
          <cell r="BU49">
            <v>-1772334</v>
          </cell>
          <cell r="BV49">
            <v>4996297</v>
          </cell>
          <cell r="BW49">
            <v>-1768326</v>
          </cell>
          <cell r="BX49">
            <v>-4988576</v>
          </cell>
          <cell r="BY49">
            <v>-6392204</v>
          </cell>
          <cell r="BZ49">
            <v>51858380</v>
          </cell>
          <cell r="CA49">
            <v>-2494289</v>
          </cell>
          <cell r="CB49">
            <v>-2444402</v>
          </cell>
          <cell r="CC49">
            <v>0</v>
          </cell>
          <cell r="CD49">
            <v>-49885</v>
          </cell>
          <cell r="CE49">
            <v>-3196102</v>
          </cell>
          <cell r="CF49">
            <v>-3132180</v>
          </cell>
          <cell r="CG49">
            <v>0</v>
          </cell>
          <cell r="CH49">
            <v>-63922</v>
          </cell>
        </row>
        <row r="50">
          <cell r="A50">
            <v>43</v>
          </cell>
          <cell r="B50" t="str">
            <v>Cambridge</v>
          </cell>
          <cell r="C50" t="str">
            <v>E0531</v>
          </cell>
          <cell r="D50">
            <v>226244</v>
          </cell>
          <cell r="H50">
            <v>618501</v>
          </cell>
          <cell r="I50">
            <v>0</v>
          </cell>
          <cell r="J50">
            <v>226244</v>
          </cell>
          <cell r="K50">
            <v>0</v>
          </cell>
          <cell r="L50">
            <v>0</v>
          </cell>
          <cell r="M50">
            <v>0</v>
          </cell>
          <cell r="N50">
            <v>0</v>
          </cell>
          <cell r="O50">
            <v>0</v>
          </cell>
          <cell r="P50">
            <v>0</v>
          </cell>
          <cell r="Q50">
            <v>0</v>
          </cell>
          <cell r="R50">
            <v>497295</v>
          </cell>
          <cell r="S50">
            <v>111891</v>
          </cell>
          <cell r="T50">
            <v>12432</v>
          </cell>
          <cell r="U50">
            <v>2030</v>
          </cell>
          <cell r="V50">
            <v>457</v>
          </cell>
          <cell r="W50">
            <v>51</v>
          </cell>
          <cell r="X50">
            <v>20300</v>
          </cell>
          <cell r="Y50">
            <v>4568</v>
          </cell>
          <cell r="Z50">
            <v>508</v>
          </cell>
          <cell r="AA50">
            <v>30451</v>
          </cell>
          <cell r="AB50">
            <v>6851</v>
          </cell>
          <cell r="AC50">
            <v>761</v>
          </cell>
          <cell r="AD50">
            <v>0</v>
          </cell>
          <cell r="AE50">
            <v>0</v>
          </cell>
          <cell r="AF50">
            <v>0</v>
          </cell>
          <cell r="AG50">
            <v>0</v>
          </cell>
          <cell r="AH50">
            <v>0</v>
          </cell>
          <cell r="AI50">
            <v>0</v>
          </cell>
          <cell r="AM50">
            <v>0</v>
          </cell>
          <cell r="AN50">
            <v>0</v>
          </cell>
          <cell r="AO50">
            <v>0</v>
          </cell>
          <cell r="AP50">
            <v>615651</v>
          </cell>
          <cell r="AQ50">
            <v>138521</v>
          </cell>
          <cell r="AR50">
            <v>15391</v>
          </cell>
          <cell r="AS50">
            <v>-335639</v>
          </cell>
          <cell r="AT50">
            <v>-268513</v>
          </cell>
          <cell r="AU50">
            <v>-60416</v>
          </cell>
          <cell r="AV50">
            <v>-6714</v>
          </cell>
          <cell r="AW50">
            <v>-671282</v>
          </cell>
          <cell r="AX50">
            <v>-4595439</v>
          </cell>
          <cell r="AY50">
            <v>-3676352</v>
          </cell>
          <cell r="AZ50">
            <v>-827181</v>
          </cell>
          <cell r="BA50">
            <v>-91908</v>
          </cell>
          <cell r="BB50">
            <v>-9190880</v>
          </cell>
          <cell r="BC50">
            <v>98996430</v>
          </cell>
          <cell r="BD50">
            <v>-1490547</v>
          </cell>
          <cell r="BE50">
            <v>3181221</v>
          </cell>
          <cell r="BF50">
            <v>0</v>
          </cell>
          <cell r="BG50">
            <v>-22625896</v>
          </cell>
          <cell r="BH50">
            <v>-15188</v>
          </cell>
          <cell r="BI50">
            <v>0</v>
          </cell>
          <cell r="BJ50">
            <v>-3622</v>
          </cell>
          <cell r="BK50">
            <v>-2108692</v>
          </cell>
          <cell r="BL50">
            <v>-146048</v>
          </cell>
          <cell r="BM50">
            <v>-1143</v>
          </cell>
          <cell r="BN50">
            <v>0</v>
          </cell>
          <cell r="BO50">
            <v>0</v>
          </cell>
          <cell r="BP50">
            <v>0</v>
          </cell>
          <cell r="BQ50">
            <v>0</v>
          </cell>
          <cell r="BR50">
            <v>0</v>
          </cell>
          <cell r="BS50">
            <v>0</v>
          </cell>
          <cell r="BT50">
            <v>99494437</v>
          </cell>
          <cell r="BU50">
            <v>-414048</v>
          </cell>
          <cell r="BV50">
            <v>1355649</v>
          </cell>
          <cell r="BW50">
            <v>-2446499</v>
          </cell>
          <cell r="BX50">
            <v>-1856415</v>
          </cell>
          <cell r="BY50">
            <v>-1888515</v>
          </cell>
          <cell r="BZ50">
            <v>102184129</v>
          </cell>
          <cell r="CA50">
            <v>-928207</v>
          </cell>
          <cell r="CB50">
            <v>-742566</v>
          </cell>
          <cell r="CC50">
            <v>-167077</v>
          </cell>
          <cell r="CD50">
            <v>-18565</v>
          </cell>
          <cell r="CE50">
            <v>-944258</v>
          </cell>
          <cell r="CF50">
            <v>-755406</v>
          </cell>
          <cell r="CG50">
            <v>-169966</v>
          </cell>
          <cell r="CH50">
            <v>-18885</v>
          </cell>
        </row>
        <row r="51">
          <cell r="A51">
            <v>44</v>
          </cell>
          <cell r="B51" t="str">
            <v>Camden</v>
          </cell>
          <cell r="C51" t="str">
            <v>E5011</v>
          </cell>
          <cell r="D51">
            <v>1258806</v>
          </cell>
          <cell r="H51">
            <v>42239009</v>
          </cell>
          <cell r="I51">
            <v>0</v>
          </cell>
          <cell r="J51">
            <v>1258806</v>
          </cell>
          <cell r="K51">
            <v>0</v>
          </cell>
          <cell r="L51">
            <v>0</v>
          </cell>
          <cell r="M51">
            <v>0</v>
          </cell>
          <cell r="N51">
            <v>0</v>
          </cell>
          <cell r="O51">
            <v>0</v>
          </cell>
          <cell r="P51">
            <v>0</v>
          </cell>
          <cell r="Q51">
            <v>0</v>
          </cell>
          <cell r="R51">
            <v>602800</v>
          </cell>
          <cell r="S51">
            <v>743453</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M51">
            <v>0</v>
          </cell>
          <cell r="AN51">
            <v>0</v>
          </cell>
          <cell r="AO51">
            <v>0</v>
          </cell>
          <cell r="AP51">
            <v>2816524</v>
          </cell>
          <cell r="AQ51">
            <v>3473712</v>
          </cell>
          <cell r="AR51">
            <v>0</v>
          </cell>
          <cell r="AS51">
            <v>-3962828</v>
          </cell>
          <cell r="AT51">
            <v>-2377698</v>
          </cell>
          <cell r="AU51">
            <v>-1585132</v>
          </cell>
          <cell r="AV51">
            <v>0</v>
          </cell>
          <cell r="AW51">
            <v>-7925658</v>
          </cell>
          <cell r="AX51">
            <v>-14422947</v>
          </cell>
          <cell r="AY51">
            <v>-8653768</v>
          </cell>
          <cell r="AZ51">
            <v>-5769179</v>
          </cell>
          <cell r="BA51">
            <v>0</v>
          </cell>
          <cell r="BB51">
            <v>-28845894</v>
          </cell>
          <cell r="BC51">
            <v>516958540</v>
          </cell>
          <cell r="BD51">
            <v>-3179572</v>
          </cell>
          <cell r="BE51">
            <v>14911145</v>
          </cell>
          <cell r="BF51">
            <v>0</v>
          </cell>
          <cell r="BG51">
            <v>-58339913</v>
          </cell>
          <cell r="BH51">
            <v>-14214</v>
          </cell>
          <cell r="BI51">
            <v>0</v>
          </cell>
          <cell r="BJ51">
            <v>-1270667</v>
          </cell>
          <cell r="BK51">
            <v>-22541781</v>
          </cell>
          <cell r="BL51">
            <v>-190918</v>
          </cell>
          <cell r="BM51">
            <v>-4000</v>
          </cell>
          <cell r="BN51">
            <v>0</v>
          </cell>
          <cell r="BO51">
            <v>0</v>
          </cell>
          <cell r="BP51">
            <v>0</v>
          </cell>
          <cell r="BQ51">
            <v>0</v>
          </cell>
          <cell r="BR51">
            <v>0</v>
          </cell>
          <cell r="BS51">
            <v>0</v>
          </cell>
          <cell r="BT51">
            <v>511053967</v>
          </cell>
          <cell r="BU51">
            <v>192673</v>
          </cell>
          <cell r="BV51">
            <v>10434670</v>
          </cell>
          <cell r="BW51">
            <v>-6692463</v>
          </cell>
          <cell r="BX51">
            <v>-7279599</v>
          </cell>
          <cell r="BY51">
            <v>41694</v>
          </cell>
          <cell r="BZ51">
            <v>625000000</v>
          </cell>
          <cell r="CA51">
            <v>-3639799</v>
          </cell>
          <cell r="CB51">
            <v>-2183880</v>
          </cell>
          <cell r="CC51">
            <v>-1455920</v>
          </cell>
          <cell r="CD51">
            <v>0</v>
          </cell>
          <cell r="CE51">
            <v>20847</v>
          </cell>
          <cell r="CF51">
            <v>12508</v>
          </cell>
          <cell r="CG51">
            <v>8339</v>
          </cell>
          <cell r="CH51">
            <v>0</v>
          </cell>
        </row>
        <row r="52">
          <cell r="A52">
            <v>45</v>
          </cell>
          <cell r="B52" t="str">
            <v>Cannock Chase</v>
          </cell>
          <cell r="C52" t="str">
            <v>E3431</v>
          </cell>
          <cell r="D52">
            <v>130851</v>
          </cell>
          <cell r="H52">
            <v>-2846788</v>
          </cell>
          <cell r="I52">
            <v>0</v>
          </cell>
          <cell r="J52">
            <v>130851</v>
          </cell>
          <cell r="K52">
            <v>0</v>
          </cell>
          <cell r="L52">
            <v>0</v>
          </cell>
          <cell r="M52">
            <v>0</v>
          </cell>
          <cell r="N52">
            <v>0</v>
          </cell>
          <cell r="O52">
            <v>0</v>
          </cell>
          <cell r="P52">
            <v>0</v>
          </cell>
          <cell r="Q52">
            <v>0</v>
          </cell>
          <cell r="R52">
            <v>731248</v>
          </cell>
          <cell r="S52">
            <v>164531</v>
          </cell>
          <cell r="T52">
            <v>18281</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M52">
            <v>0</v>
          </cell>
          <cell r="AN52">
            <v>0</v>
          </cell>
          <cell r="AO52">
            <v>0</v>
          </cell>
          <cell r="AP52">
            <v>180630</v>
          </cell>
          <cell r="AQ52">
            <v>40642</v>
          </cell>
          <cell r="AR52">
            <v>4516</v>
          </cell>
          <cell r="AS52">
            <v>-665769</v>
          </cell>
          <cell r="AT52">
            <v>-532617</v>
          </cell>
          <cell r="AU52">
            <v>-119839</v>
          </cell>
          <cell r="AV52">
            <v>-13316</v>
          </cell>
          <cell r="AW52">
            <v>-1331541</v>
          </cell>
          <cell r="AX52">
            <v>-3157688</v>
          </cell>
          <cell r="AY52">
            <v>-2526150</v>
          </cell>
          <cell r="AZ52">
            <v>-568384</v>
          </cell>
          <cell r="BA52">
            <v>-63154</v>
          </cell>
          <cell r="BB52">
            <v>-6315376</v>
          </cell>
          <cell r="BC52">
            <v>34320322</v>
          </cell>
          <cell r="BD52">
            <v>-2685014</v>
          </cell>
          <cell r="BE52">
            <v>934422</v>
          </cell>
          <cell r="BF52">
            <v>0</v>
          </cell>
          <cell r="BG52">
            <v>-1655880</v>
          </cell>
          <cell r="BH52">
            <v>-1491</v>
          </cell>
          <cell r="BI52">
            <v>0</v>
          </cell>
          <cell r="BJ52">
            <v>0</v>
          </cell>
          <cell r="BK52">
            <v>-745011</v>
          </cell>
          <cell r="BL52">
            <v>-69127</v>
          </cell>
          <cell r="BM52">
            <v>-10761</v>
          </cell>
          <cell r="BN52">
            <v>-40</v>
          </cell>
          <cell r="BO52">
            <v>0</v>
          </cell>
          <cell r="BP52">
            <v>0</v>
          </cell>
          <cell r="BQ52">
            <v>-36240</v>
          </cell>
          <cell r="BR52">
            <v>0</v>
          </cell>
          <cell r="BS52">
            <v>0</v>
          </cell>
          <cell r="BT52">
            <v>35552422</v>
          </cell>
          <cell r="BU52">
            <v>-301763</v>
          </cell>
          <cell r="BV52">
            <v>1821678</v>
          </cell>
          <cell r="BW52">
            <v>-337633</v>
          </cell>
          <cell r="BX52">
            <v>-1114539</v>
          </cell>
          <cell r="BY52">
            <v>-1494275</v>
          </cell>
          <cell r="BZ52">
            <v>30061928</v>
          </cell>
          <cell r="CA52">
            <v>-557268</v>
          </cell>
          <cell r="CB52">
            <v>-445816</v>
          </cell>
          <cell r="CC52">
            <v>-100309</v>
          </cell>
          <cell r="CD52">
            <v>-11146</v>
          </cell>
          <cell r="CE52">
            <v>-747137</v>
          </cell>
          <cell r="CF52">
            <v>-597710</v>
          </cell>
          <cell r="CG52">
            <v>-134485</v>
          </cell>
          <cell r="CH52">
            <v>-14943</v>
          </cell>
        </row>
        <row r="53">
          <cell r="A53">
            <v>46</v>
          </cell>
          <cell r="B53" t="str">
            <v>Canterbury</v>
          </cell>
          <cell r="C53" t="str">
            <v>E2232</v>
          </cell>
          <cell r="D53">
            <v>228946</v>
          </cell>
          <cell r="H53">
            <v>-2040430</v>
          </cell>
          <cell r="I53">
            <v>0</v>
          </cell>
          <cell r="J53">
            <v>228946</v>
          </cell>
          <cell r="K53">
            <v>0</v>
          </cell>
          <cell r="L53">
            <v>328566</v>
          </cell>
          <cell r="M53">
            <v>0</v>
          </cell>
          <cell r="N53">
            <v>0</v>
          </cell>
          <cell r="O53">
            <v>0</v>
          </cell>
          <cell r="P53">
            <v>0</v>
          </cell>
          <cell r="Q53">
            <v>0</v>
          </cell>
          <cell r="R53">
            <v>899616</v>
          </cell>
          <cell r="S53">
            <v>202414</v>
          </cell>
          <cell r="T53">
            <v>22490</v>
          </cell>
          <cell r="U53">
            <v>1273</v>
          </cell>
          <cell r="V53">
            <v>286</v>
          </cell>
          <cell r="W53">
            <v>32</v>
          </cell>
          <cell r="X53">
            <v>0</v>
          </cell>
          <cell r="Y53">
            <v>0</v>
          </cell>
          <cell r="Z53">
            <v>0</v>
          </cell>
          <cell r="AA53">
            <v>285</v>
          </cell>
          <cell r="AB53">
            <v>64</v>
          </cell>
          <cell r="AC53">
            <v>7</v>
          </cell>
          <cell r="AD53">
            <v>0</v>
          </cell>
          <cell r="AE53">
            <v>0</v>
          </cell>
          <cell r="AF53">
            <v>0</v>
          </cell>
          <cell r="AG53">
            <v>0</v>
          </cell>
          <cell r="AH53">
            <v>0</v>
          </cell>
          <cell r="AI53">
            <v>0</v>
          </cell>
          <cell r="AM53">
            <v>0</v>
          </cell>
          <cell r="AN53">
            <v>0</v>
          </cell>
          <cell r="AO53">
            <v>0</v>
          </cell>
          <cell r="AP53">
            <v>294527</v>
          </cell>
          <cell r="AQ53">
            <v>65158</v>
          </cell>
          <cell r="AR53">
            <v>7240</v>
          </cell>
          <cell r="AS53">
            <v>-283173</v>
          </cell>
          <cell r="AT53">
            <v>-226539</v>
          </cell>
          <cell r="AU53">
            <v>-50972</v>
          </cell>
          <cell r="AV53">
            <v>-5664</v>
          </cell>
          <cell r="AW53">
            <v>-566348</v>
          </cell>
          <cell r="AX53">
            <v>-2324624</v>
          </cell>
          <cell r="AY53">
            <v>-1859698</v>
          </cell>
          <cell r="AZ53">
            <v>-418432</v>
          </cell>
          <cell r="BA53">
            <v>-46493</v>
          </cell>
          <cell r="BB53">
            <v>-4649247</v>
          </cell>
          <cell r="BC53">
            <v>53159047</v>
          </cell>
          <cell r="BD53">
            <v>-3630065</v>
          </cell>
          <cell r="BE53">
            <v>1526806</v>
          </cell>
          <cell r="BF53">
            <v>0</v>
          </cell>
          <cell r="BG53">
            <v>-7339609</v>
          </cell>
          <cell r="BH53">
            <v>-100865</v>
          </cell>
          <cell r="BI53">
            <v>-27202</v>
          </cell>
          <cell r="BJ53">
            <v>-366</v>
          </cell>
          <cell r="BK53">
            <v>-1210188</v>
          </cell>
          <cell r="BL53">
            <v>-241403</v>
          </cell>
          <cell r="BM53">
            <v>-56594</v>
          </cell>
          <cell r="BN53">
            <v>-5044</v>
          </cell>
          <cell r="BO53">
            <v>-7544</v>
          </cell>
          <cell r="BP53">
            <v>0</v>
          </cell>
          <cell r="BQ53">
            <v>0</v>
          </cell>
          <cell r="BR53">
            <v>0</v>
          </cell>
          <cell r="BS53">
            <v>0</v>
          </cell>
          <cell r="BT53">
            <v>54154673</v>
          </cell>
          <cell r="BU53">
            <v>-492212</v>
          </cell>
          <cell r="BV53">
            <v>1483816</v>
          </cell>
          <cell r="BW53">
            <v>-1256124</v>
          </cell>
          <cell r="BX53">
            <v>4233421</v>
          </cell>
          <cell r="BY53">
            <v>2766930</v>
          </cell>
          <cell r="BZ53">
            <v>48196233</v>
          </cell>
          <cell r="CA53">
            <v>2359493</v>
          </cell>
          <cell r="CB53">
            <v>1402028</v>
          </cell>
          <cell r="CC53">
            <v>424709</v>
          </cell>
          <cell r="CD53">
            <v>47191</v>
          </cell>
          <cell r="CE53">
            <v>1383465</v>
          </cell>
          <cell r="CF53">
            <v>1106772</v>
          </cell>
          <cell r="CG53">
            <v>249024</v>
          </cell>
          <cell r="CH53">
            <v>27669</v>
          </cell>
        </row>
        <row r="54">
          <cell r="A54">
            <v>47</v>
          </cell>
          <cell r="B54" t="str">
            <v>Carlisle</v>
          </cell>
          <cell r="C54" t="str">
            <v>E0933</v>
          </cell>
          <cell r="D54">
            <v>176202</v>
          </cell>
          <cell r="H54">
            <v>-2871967</v>
          </cell>
          <cell r="I54">
            <v>-27926</v>
          </cell>
          <cell r="J54">
            <v>176202</v>
          </cell>
          <cell r="K54">
            <v>73700</v>
          </cell>
          <cell r="L54">
            <v>83705</v>
          </cell>
          <cell r="M54">
            <v>0</v>
          </cell>
          <cell r="N54">
            <v>0</v>
          </cell>
          <cell r="O54">
            <v>0</v>
          </cell>
          <cell r="P54">
            <v>0</v>
          </cell>
          <cell r="Q54">
            <v>0</v>
          </cell>
          <cell r="R54">
            <v>685084</v>
          </cell>
          <cell r="S54">
            <v>164697</v>
          </cell>
          <cell r="T54">
            <v>0</v>
          </cell>
          <cell r="U54">
            <v>21473</v>
          </cell>
          <cell r="V54">
            <v>3659</v>
          </cell>
          <cell r="W54">
            <v>0</v>
          </cell>
          <cell r="X54">
            <v>0</v>
          </cell>
          <cell r="Y54">
            <v>0</v>
          </cell>
          <cell r="Z54">
            <v>0</v>
          </cell>
          <cell r="AA54">
            <v>0</v>
          </cell>
          <cell r="AB54">
            <v>0</v>
          </cell>
          <cell r="AC54">
            <v>0</v>
          </cell>
          <cell r="AD54">
            <v>0</v>
          </cell>
          <cell r="AE54">
            <v>0</v>
          </cell>
          <cell r="AF54">
            <v>0</v>
          </cell>
          <cell r="AG54">
            <v>0</v>
          </cell>
          <cell r="AH54">
            <v>0</v>
          </cell>
          <cell r="AI54">
            <v>0</v>
          </cell>
          <cell r="AM54">
            <v>0</v>
          </cell>
          <cell r="AN54">
            <v>0</v>
          </cell>
          <cell r="AO54">
            <v>0</v>
          </cell>
          <cell r="AP54">
            <v>249965</v>
          </cell>
          <cell r="AQ54">
            <v>61900</v>
          </cell>
          <cell r="AR54">
            <v>0</v>
          </cell>
          <cell r="AS54">
            <v>-170455</v>
          </cell>
          <cell r="AT54">
            <v>-136365</v>
          </cell>
          <cell r="AU54">
            <v>-34092</v>
          </cell>
          <cell r="AV54">
            <v>0</v>
          </cell>
          <cell r="AW54">
            <v>-340912</v>
          </cell>
          <cell r="AX54">
            <v>-899001</v>
          </cell>
          <cell r="AY54">
            <v>-719201</v>
          </cell>
          <cell r="AZ54">
            <v>-179800</v>
          </cell>
          <cell r="BA54">
            <v>0</v>
          </cell>
          <cell r="BB54">
            <v>-1798002</v>
          </cell>
          <cell r="BC54">
            <v>44103290</v>
          </cell>
          <cell r="BD54">
            <v>-2690676</v>
          </cell>
          <cell r="BE54">
            <v>1195504</v>
          </cell>
          <cell r="BF54">
            <v>0</v>
          </cell>
          <cell r="BG54">
            <v>-3368551</v>
          </cell>
          <cell r="BH54">
            <v>-81498</v>
          </cell>
          <cell r="BI54">
            <v>-25969</v>
          </cell>
          <cell r="BJ54">
            <v>-67880</v>
          </cell>
          <cell r="BK54">
            <v>-1473500</v>
          </cell>
          <cell r="BL54">
            <v>-57375</v>
          </cell>
          <cell r="BM54">
            <v>-52627</v>
          </cell>
          <cell r="BN54">
            <v>-2905</v>
          </cell>
          <cell r="BO54">
            <v>0</v>
          </cell>
          <cell r="BP54">
            <v>-2609</v>
          </cell>
          <cell r="BQ54">
            <v>-56944</v>
          </cell>
          <cell r="BR54">
            <v>0</v>
          </cell>
          <cell r="BS54">
            <v>0</v>
          </cell>
          <cell r="BT54">
            <v>44175326</v>
          </cell>
          <cell r="BU54">
            <v>-102543</v>
          </cell>
          <cell r="BV54">
            <v>1126393</v>
          </cell>
          <cell r="BW54">
            <v>-889827</v>
          </cell>
          <cell r="BX54">
            <v>-622928</v>
          </cell>
          <cell r="BY54">
            <v>-247462</v>
          </cell>
          <cell r="BZ54">
            <v>41207819</v>
          </cell>
          <cell r="CA54">
            <v>-311464</v>
          </cell>
          <cell r="CB54">
            <v>-249171</v>
          </cell>
          <cell r="CC54">
            <v>-62293</v>
          </cell>
          <cell r="CD54">
            <v>0</v>
          </cell>
          <cell r="CE54">
            <v>-123731</v>
          </cell>
          <cell r="CF54">
            <v>-98985</v>
          </cell>
          <cell r="CG54">
            <v>-24746</v>
          </cell>
          <cell r="CH54">
            <v>0</v>
          </cell>
        </row>
        <row r="55">
          <cell r="A55">
            <v>48</v>
          </cell>
          <cell r="B55" t="str">
            <v>Castle Point</v>
          </cell>
          <cell r="C55" t="str">
            <v>E1534</v>
          </cell>
          <cell r="D55">
            <v>78958</v>
          </cell>
          <cell r="H55">
            <v>-359708</v>
          </cell>
          <cell r="I55">
            <v>0</v>
          </cell>
          <cell r="J55">
            <v>78958</v>
          </cell>
          <cell r="K55">
            <v>0</v>
          </cell>
          <cell r="L55">
            <v>0</v>
          </cell>
          <cell r="M55">
            <v>0</v>
          </cell>
          <cell r="N55">
            <v>0</v>
          </cell>
          <cell r="O55">
            <v>0</v>
          </cell>
          <cell r="P55">
            <v>0</v>
          </cell>
          <cell r="Q55">
            <v>0</v>
          </cell>
          <cell r="R55">
            <v>479915</v>
          </cell>
          <cell r="S55">
            <v>107981</v>
          </cell>
          <cell r="T55">
            <v>11998</v>
          </cell>
          <cell r="U55">
            <v>1126</v>
          </cell>
          <cell r="V55">
            <v>254</v>
          </cell>
          <cell r="W55">
            <v>28</v>
          </cell>
          <cell r="X55">
            <v>0</v>
          </cell>
          <cell r="Y55">
            <v>0</v>
          </cell>
          <cell r="Z55">
            <v>0</v>
          </cell>
          <cell r="AA55">
            <v>2007</v>
          </cell>
          <cell r="AB55">
            <v>451</v>
          </cell>
          <cell r="AC55">
            <v>50</v>
          </cell>
          <cell r="AD55">
            <v>0</v>
          </cell>
          <cell r="AE55">
            <v>0</v>
          </cell>
          <cell r="AF55">
            <v>0</v>
          </cell>
          <cell r="AG55">
            <v>0</v>
          </cell>
          <cell r="AH55">
            <v>0</v>
          </cell>
          <cell r="AI55">
            <v>0</v>
          </cell>
          <cell r="AM55">
            <v>0</v>
          </cell>
          <cell r="AN55">
            <v>0</v>
          </cell>
          <cell r="AO55">
            <v>0</v>
          </cell>
          <cell r="AP55">
            <v>83662</v>
          </cell>
          <cell r="AQ55">
            <v>18824</v>
          </cell>
          <cell r="AR55">
            <v>2092</v>
          </cell>
          <cell r="AS55">
            <v>-71762</v>
          </cell>
          <cell r="AT55">
            <v>-57412</v>
          </cell>
          <cell r="AU55">
            <v>-12918</v>
          </cell>
          <cell r="AV55">
            <v>-1436</v>
          </cell>
          <cell r="AW55">
            <v>-143528</v>
          </cell>
          <cell r="AX55">
            <v>-1215000</v>
          </cell>
          <cell r="AY55">
            <v>-972000</v>
          </cell>
          <cell r="AZ55">
            <v>-218700</v>
          </cell>
          <cell r="BA55">
            <v>-24300</v>
          </cell>
          <cell r="BB55">
            <v>-2430000</v>
          </cell>
          <cell r="BC55">
            <v>15151795</v>
          </cell>
          <cell r="BD55">
            <v>-1890116</v>
          </cell>
          <cell r="BE55">
            <v>389694</v>
          </cell>
          <cell r="BF55">
            <v>0</v>
          </cell>
          <cell r="BG55">
            <v>-1611324</v>
          </cell>
          <cell r="BH55">
            <v>-9423</v>
          </cell>
          <cell r="BI55">
            <v>0</v>
          </cell>
          <cell r="BJ55">
            <v>0</v>
          </cell>
          <cell r="BK55">
            <v>-333527</v>
          </cell>
          <cell r="BL55">
            <v>-65565</v>
          </cell>
          <cell r="BM55">
            <v>-41582</v>
          </cell>
          <cell r="BN55">
            <v>-2356</v>
          </cell>
          <cell r="BO55">
            <v>0</v>
          </cell>
          <cell r="BP55">
            <v>0</v>
          </cell>
          <cell r="BQ55">
            <v>0</v>
          </cell>
          <cell r="BR55">
            <v>0</v>
          </cell>
          <cell r="BS55">
            <v>0</v>
          </cell>
          <cell r="BT55">
            <v>14804856</v>
          </cell>
          <cell r="BU55">
            <v>-87931</v>
          </cell>
          <cell r="BV55">
            <v>240677</v>
          </cell>
          <cell r="BW55">
            <v>-298808</v>
          </cell>
          <cell r="BX55">
            <v>21798</v>
          </cell>
          <cell r="BY55">
            <v>7251</v>
          </cell>
          <cell r="BZ55">
            <v>13923764</v>
          </cell>
          <cell r="CA55">
            <v>10899</v>
          </cell>
          <cell r="CB55">
            <v>8719</v>
          </cell>
          <cell r="CC55">
            <v>1962</v>
          </cell>
          <cell r="CD55">
            <v>218</v>
          </cell>
          <cell r="CE55">
            <v>3625</v>
          </cell>
          <cell r="CF55">
            <v>2900</v>
          </cell>
          <cell r="CG55">
            <v>653</v>
          </cell>
          <cell r="CH55">
            <v>73</v>
          </cell>
        </row>
        <row r="56">
          <cell r="A56">
            <v>49</v>
          </cell>
          <cell r="B56" t="str">
            <v>Central Bedfordshire UA</v>
          </cell>
          <cell r="C56" t="str">
            <v>E0203</v>
          </cell>
          <cell r="D56">
            <v>305867</v>
          </cell>
          <cell r="H56">
            <v>-2260917</v>
          </cell>
          <cell r="I56">
            <v>0</v>
          </cell>
          <cell r="J56">
            <v>305867</v>
          </cell>
          <cell r="K56">
            <v>0</v>
          </cell>
          <cell r="L56">
            <v>294539</v>
          </cell>
          <cell r="M56">
            <v>0</v>
          </cell>
          <cell r="N56">
            <v>0</v>
          </cell>
          <cell r="O56">
            <v>0</v>
          </cell>
          <cell r="P56">
            <v>0</v>
          </cell>
          <cell r="Q56">
            <v>0</v>
          </cell>
          <cell r="R56">
            <v>1735794</v>
          </cell>
          <cell r="S56">
            <v>0</v>
          </cell>
          <cell r="T56">
            <v>35424</v>
          </cell>
          <cell r="U56">
            <v>0</v>
          </cell>
          <cell r="V56">
            <v>0</v>
          </cell>
          <cell r="W56">
            <v>0</v>
          </cell>
          <cell r="X56">
            <v>17432</v>
          </cell>
          <cell r="Y56">
            <v>0</v>
          </cell>
          <cell r="Z56">
            <v>356</v>
          </cell>
          <cell r="AA56">
            <v>1833</v>
          </cell>
          <cell r="AB56">
            <v>0</v>
          </cell>
          <cell r="AC56">
            <v>37</v>
          </cell>
          <cell r="AD56">
            <v>0</v>
          </cell>
          <cell r="AE56">
            <v>0</v>
          </cell>
          <cell r="AF56">
            <v>0</v>
          </cell>
          <cell r="AG56">
            <v>0</v>
          </cell>
          <cell r="AH56">
            <v>0</v>
          </cell>
          <cell r="AI56">
            <v>0</v>
          </cell>
          <cell r="AM56">
            <v>0</v>
          </cell>
          <cell r="AN56">
            <v>0</v>
          </cell>
          <cell r="AO56">
            <v>0</v>
          </cell>
          <cell r="AP56">
            <v>600776</v>
          </cell>
          <cell r="AQ56">
            <v>0</v>
          </cell>
          <cell r="AR56">
            <v>12170</v>
          </cell>
          <cell r="AS56">
            <v>-220267</v>
          </cell>
          <cell r="AT56">
            <v>-215862</v>
          </cell>
          <cell r="AU56">
            <v>0</v>
          </cell>
          <cell r="AV56">
            <v>-4404</v>
          </cell>
          <cell r="AW56">
            <v>-440533</v>
          </cell>
          <cell r="AX56">
            <v>-2172622</v>
          </cell>
          <cell r="AY56">
            <v>-2129169</v>
          </cell>
          <cell r="AZ56">
            <v>0</v>
          </cell>
          <cell r="BA56">
            <v>-43451</v>
          </cell>
          <cell r="BB56">
            <v>-4345242</v>
          </cell>
          <cell r="BC56">
            <v>83285549</v>
          </cell>
          <cell r="BD56">
            <v>-4920022</v>
          </cell>
          <cell r="BE56">
            <v>2288157</v>
          </cell>
          <cell r="BF56">
            <v>0</v>
          </cell>
          <cell r="BG56">
            <v>-6602461</v>
          </cell>
          <cell r="BH56">
            <v>-61211</v>
          </cell>
          <cell r="BI56">
            <v>-33099</v>
          </cell>
          <cell r="BJ56">
            <v>-69720</v>
          </cell>
          <cell r="BK56">
            <v>-2505327</v>
          </cell>
          <cell r="BL56">
            <v>-266889</v>
          </cell>
          <cell r="BM56">
            <v>-515818</v>
          </cell>
          <cell r="BN56">
            <v>-3327</v>
          </cell>
          <cell r="BO56">
            <v>-18574</v>
          </cell>
          <cell r="BP56">
            <v>0</v>
          </cell>
          <cell r="BQ56">
            <v>0</v>
          </cell>
          <cell r="BR56">
            <v>0</v>
          </cell>
          <cell r="BS56">
            <v>0</v>
          </cell>
          <cell r="BT56">
            <v>85200060</v>
          </cell>
          <cell r="BU56">
            <v>-691575</v>
          </cell>
          <cell r="BV56">
            <v>3544924</v>
          </cell>
          <cell r="BW56">
            <v>-587695</v>
          </cell>
          <cell r="BX56">
            <v>-3884857</v>
          </cell>
          <cell r="BY56">
            <v>-1193000</v>
          </cell>
          <cell r="BZ56">
            <v>81020415</v>
          </cell>
          <cell r="CA56">
            <v>-1942428</v>
          </cell>
          <cell r="CB56">
            <v>-1903580</v>
          </cell>
          <cell r="CC56">
            <v>0</v>
          </cell>
          <cell r="CD56">
            <v>-38849</v>
          </cell>
          <cell r="CE56">
            <v>-596500</v>
          </cell>
          <cell r="CF56">
            <v>-584570</v>
          </cell>
          <cell r="CG56">
            <v>0</v>
          </cell>
          <cell r="CH56">
            <v>-11930</v>
          </cell>
        </row>
        <row r="57">
          <cell r="A57">
            <v>50</v>
          </cell>
          <cell r="B57" t="str">
            <v>Charnwood</v>
          </cell>
          <cell r="C57" t="str">
            <v>E2432</v>
          </cell>
          <cell r="D57">
            <v>193360</v>
          </cell>
          <cell r="H57">
            <v>1035179</v>
          </cell>
          <cell r="I57">
            <v>8996</v>
          </cell>
          <cell r="J57">
            <v>193360</v>
          </cell>
          <cell r="K57">
            <v>80</v>
          </cell>
          <cell r="L57">
            <v>151810</v>
          </cell>
          <cell r="M57">
            <v>0</v>
          </cell>
          <cell r="N57">
            <v>0</v>
          </cell>
          <cell r="O57">
            <v>0</v>
          </cell>
          <cell r="P57">
            <v>0</v>
          </cell>
          <cell r="Q57">
            <v>0</v>
          </cell>
          <cell r="R57">
            <v>1018427</v>
          </cell>
          <cell r="S57">
            <v>229146</v>
          </cell>
          <cell r="T57">
            <v>25461</v>
          </cell>
          <cell r="U57">
            <v>1643</v>
          </cell>
          <cell r="V57">
            <v>370</v>
          </cell>
          <cell r="W57">
            <v>41</v>
          </cell>
          <cell r="X57">
            <v>605</v>
          </cell>
          <cell r="Y57">
            <v>136</v>
          </cell>
          <cell r="Z57">
            <v>15</v>
          </cell>
          <cell r="AA57">
            <v>140</v>
          </cell>
          <cell r="AB57">
            <v>32</v>
          </cell>
          <cell r="AC57">
            <v>4</v>
          </cell>
          <cell r="AD57">
            <v>0</v>
          </cell>
          <cell r="AE57">
            <v>0</v>
          </cell>
          <cell r="AF57">
            <v>0</v>
          </cell>
          <cell r="AG57">
            <v>0</v>
          </cell>
          <cell r="AH57">
            <v>0</v>
          </cell>
          <cell r="AI57">
            <v>0</v>
          </cell>
          <cell r="AM57">
            <v>0</v>
          </cell>
          <cell r="AN57">
            <v>0</v>
          </cell>
          <cell r="AO57">
            <v>0</v>
          </cell>
          <cell r="AP57">
            <v>272844</v>
          </cell>
          <cell r="AQ57">
            <v>60877</v>
          </cell>
          <cell r="AR57">
            <v>6764</v>
          </cell>
          <cell r="AS57">
            <v>-149019</v>
          </cell>
          <cell r="AT57">
            <v>-119217</v>
          </cell>
          <cell r="AU57">
            <v>-26824</v>
          </cell>
          <cell r="AV57">
            <v>-2981</v>
          </cell>
          <cell r="AW57">
            <v>-298041</v>
          </cell>
          <cell r="AX57">
            <v>-2125000</v>
          </cell>
          <cell r="AY57">
            <v>-1700000</v>
          </cell>
          <cell r="AZ57">
            <v>-382500</v>
          </cell>
          <cell r="BA57">
            <v>-42500</v>
          </cell>
          <cell r="BB57">
            <v>-4250000</v>
          </cell>
          <cell r="BC57">
            <v>45182510</v>
          </cell>
          <cell r="BD57">
            <v>-3385908</v>
          </cell>
          <cell r="BE57">
            <v>1249683</v>
          </cell>
          <cell r="BF57">
            <v>0</v>
          </cell>
          <cell r="BG57">
            <v>-6127868</v>
          </cell>
          <cell r="BH57">
            <v>-19820</v>
          </cell>
          <cell r="BI57">
            <v>-1665</v>
          </cell>
          <cell r="BJ57">
            <v>-461</v>
          </cell>
          <cell r="BK57">
            <v>-925020</v>
          </cell>
          <cell r="BL57">
            <v>-68607</v>
          </cell>
          <cell r="BM57">
            <v>-177626</v>
          </cell>
          <cell r="BN57">
            <v>-425</v>
          </cell>
          <cell r="BO57">
            <v>0</v>
          </cell>
          <cell r="BP57">
            <v>0</v>
          </cell>
          <cell r="BQ57">
            <v>-64553</v>
          </cell>
          <cell r="BR57">
            <v>0</v>
          </cell>
          <cell r="BS57">
            <v>0</v>
          </cell>
          <cell r="BT57">
            <v>45860783</v>
          </cell>
          <cell r="BU57">
            <v>-290538</v>
          </cell>
          <cell r="BV57">
            <v>860016</v>
          </cell>
          <cell r="BW57">
            <v>-607343</v>
          </cell>
          <cell r="BX57">
            <v>-1950961</v>
          </cell>
          <cell r="BY57">
            <v>-1200823</v>
          </cell>
          <cell r="BZ57">
            <v>45029387</v>
          </cell>
          <cell r="CA57">
            <v>-975479</v>
          </cell>
          <cell r="CB57">
            <v>-780385</v>
          </cell>
          <cell r="CC57">
            <v>-175587</v>
          </cell>
          <cell r="CD57">
            <v>-19510</v>
          </cell>
          <cell r="CE57">
            <v>-600412</v>
          </cell>
          <cell r="CF57">
            <v>-480329</v>
          </cell>
          <cell r="CG57">
            <v>-108074</v>
          </cell>
          <cell r="CH57">
            <v>-12008</v>
          </cell>
        </row>
        <row r="58">
          <cell r="A58">
            <v>51</v>
          </cell>
          <cell r="B58" t="str">
            <v>Chelmsford</v>
          </cell>
          <cell r="C58" t="str">
            <v>E1535</v>
          </cell>
          <cell r="D58">
            <v>217330</v>
          </cell>
          <cell r="H58">
            <v>-4126045</v>
          </cell>
          <cell r="I58">
            <v>0</v>
          </cell>
          <cell r="J58">
            <v>217330</v>
          </cell>
          <cell r="K58">
            <v>0</v>
          </cell>
          <cell r="L58">
            <v>0</v>
          </cell>
          <cell r="M58">
            <v>0</v>
          </cell>
          <cell r="N58">
            <v>0</v>
          </cell>
          <cell r="O58">
            <v>0</v>
          </cell>
          <cell r="P58">
            <v>0</v>
          </cell>
          <cell r="Q58">
            <v>0</v>
          </cell>
          <cell r="R58">
            <v>826697</v>
          </cell>
          <cell r="S58">
            <v>186007</v>
          </cell>
          <cell r="T58">
            <v>20667</v>
          </cell>
          <cell r="U58">
            <v>0</v>
          </cell>
          <cell r="V58">
            <v>0</v>
          </cell>
          <cell r="W58">
            <v>0</v>
          </cell>
          <cell r="X58">
            <v>605</v>
          </cell>
          <cell r="Y58">
            <v>136</v>
          </cell>
          <cell r="Z58">
            <v>15</v>
          </cell>
          <cell r="AA58">
            <v>381</v>
          </cell>
          <cell r="AB58">
            <v>86</v>
          </cell>
          <cell r="AC58">
            <v>10</v>
          </cell>
          <cell r="AD58">
            <v>0</v>
          </cell>
          <cell r="AE58">
            <v>0</v>
          </cell>
          <cell r="AF58">
            <v>0</v>
          </cell>
          <cell r="AG58">
            <v>0</v>
          </cell>
          <cell r="AH58">
            <v>0</v>
          </cell>
          <cell r="AI58">
            <v>0</v>
          </cell>
          <cell r="AM58">
            <v>0</v>
          </cell>
          <cell r="AN58">
            <v>0</v>
          </cell>
          <cell r="AO58">
            <v>0</v>
          </cell>
          <cell r="AP58">
            <v>460343</v>
          </cell>
          <cell r="AQ58">
            <v>103577</v>
          </cell>
          <cell r="AR58">
            <v>11509</v>
          </cell>
          <cell r="AS58">
            <v>-436938.65</v>
          </cell>
          <cell r="AT58">
            <v>-349549</v>
          </cell>
          <cell r="AU58">
            <v>-78649</v>
          </cell>
          <cell r="AV58">
            <v>-8738</v>
          </cell>
          <cell r="AW58">
            <v>-873874.65</v>
          </cell>
          <cell r="AX58">
            <v>-5394203</v>
          </cell>
          <cell r="AY58">
            <v>-4315363</v>
          </cell>
          <cell r="AZ58">
            <v>-970958</v>
          </cell>
          <cell r="BA58">
            <v>-107884</v>
          </cell>
          <cell r="BB58">
            <v>-10788408</v>
          </cell>
          <cell r="BC58">
            <v>81654359</v>
          </cell>
          <cell r="BD58">
            <v>-2889975</v>
          </cell>
          <cell r="BE58">
            <v>2171334</v>
          </cell>
          <cell r="BF58">
            <v>0</v>
          </cell>
          <cell r="BG58">
            <v>-4784853</v>
          </cell>
          <cell r="BH58">
            <v>-33796</v>
          </cell>
          <cell r="BI58">
            <v>-8122</v>
          </cell>
          <cell r="BJ58">
            <v>-63610</v>
          </cell>
          <cell r="BK58">
            <v>-3047676</v>
          </cell>
          <cell r="BL58">
            <v>-8347</v>
          </cell>
          <cell r="BM58">
            <v>-102570</v>
          </cell>
          <cell r="BN58">
            <v>0</v>
          </cell>
          <cell r="BO58">
            <v>-1602</v>
          </cell>
          <cell r="BP58">
            <v>-8308</v>
          </cell>
          <cell r="BQ58">
            <v>0</v>
          </cell>
          <cell r="BR58">
            <v>0</v>
          </cell>
          <cell r="BS58">
            <v>0</v>
          </cell>
          <cell r="BT58">
            <v>79261260</v>
          </cell>
          <cell r="BU58">
            <v>0</v>
          </cell>
          <cell r="BV58">
            <v>2929075</v>
          </cell>
          <cell r="BW58">
            <v>-1985982</v>
          </cell>
          <cell r="BX58">
            <v>3810436</v>
          </cell>
          <cell r="BY58">
            <v>2993810</v>
          </cell>
          <cell r="BZ58">
            <v>76614174</v>
          </cell>
          <cell r="CA58">
            <v>1905218</v>
          </cell>
          <cell r="CB58">
            <v>1524174</v>
          </cell>
          <cell r="CC58">
            <v>342939</v>
          </cell>
          <cell r="CD58">
            <v>38105</v>
          </cell>
          <cell r="CE58">
            <v>1496905</v>
          </cell>
          <cell r="CF58">
            <v>1197524</v>
          </cell>
          <cell r="CG58">
            <v>269443</v>
          </cell>
          <cell r="CH58">
            <v>29938</v>
          </cell>
        </row>
        <row r="59">
          <cell r="A59">
            <v>52</v>
          </cell>
          <cell r="B59" t="str">
            <v>Cheltenham</v>
          </cell>
          <cell r="C59" t="str">
            <v>E1631</v>
          </cell>
          <cell r="D59">
            <v>174255</v>
          </cell>
          <cell r="H59">
            <v>-2158783</v>
          </cell>
          <cell r="I59">
            <v>0</v>
          </cell>
          <cell r="J59">
            <v>174255</v>
          </cell>
          <cell r="K59">
            <v>0</v>
          </cell>
          <cell r="L59">
            <v>0</v>
          </cell>
          <cell r="M59">
            <v>0</v>
          </cell>
          <cell r="N59">
            <v>0</v>
          </cell>
          <cell r="O59">
            <v>0</v>
          </cell>
          <cell r="P59">
            <v>0</v>
          </cell>
          <cell r="Q59">
            <v>0</v>
          </cell>
          <cell r="R59">
            <v>620605</v>
          </cell>
          <cell r="S59">
            <v>155151</v>
          </cell>
          <cell r="T59">
            <v>0</v>
          </cell>
          <cell r="U59">
            <v>0</v>
          </cell>
          <cell r="V59">
            <v>0</v>
          </cell>
          <cell r="W59">
            <v>0</v>
          </cell>
          <cell r="X59">
            <v>0</v>
          </cell>
          <cell r="Y59">
            <v>0</v>
          </cell>
          <cell r="Z59">
            <v>0</v>
          </cell>
          <cell r="AA59">
            <v>406</v>
          </cell>
          <cell r="AB59">
            <v>102</v>
          </cell>
          <cell r="AC59">
            <v>0</v>
          </cell>
          <cell r="AD59">
            <v>0</v>
          </cell>
          <cell r="AE59">
            <v>0</v>
          </cell>
          <cell r="AF59">
            <v>0</v>
          </cell>
          <cell r="AG59">
            <v>0</v>
          </cell>
          <cell r="AH59">
            <v>0</v>
          </cell>
          <cell r="AI59">
            <v>0</v>
          </cell>
          <cell r="AM59">
            <v>0</v>
          </cell>
          <cell r="AN59">
            <v>0</v>
          </cell>
          <cell r="AO59">
            <v>0</v>
          </cell>
          <cell r="AP59">
            <v>322515</v>
          </cell>
          <cell r="AQ59">
            <v>80629</v>
          </cell>
          <cell r="AR59">
            <v>0</v>
          </cell>
          <cell r="AS59">
            <v>-212982</v>
          </cell>
          <cell r="AT59">
            <v>-170386</v>
          </cell>
          <cell r="AU59">
            <v>-42596</v>
          </cell>
          <cell r="AV59">
            <v>0</v>
          </cell>
          <cell r="AW59">
            <v>-425964</v>
          </cell>
          <cell r="AX59">
            <v>-1255322</v>
          </cell>
          <cell r="AY59">
            <v>-1004258</v>
          </cell>
          <cell r="AZ59">
            <v>-251065</v>
          </cell>
          <cell r="BA59">
            <v>0</v>
          </cell>
          <cell r="BB59">
            <v>-2510645</v>
          </cell>
          <cell r="BC59">
            <v>54900106</v>
          </cell>
          <cell r="BD59">
            <v>-2421078</v>
          </cell>
          <cell r="BE59">
            <v>1515209</v>
          </cell>
          <cell r="BF59">
            <v>0</v>
          </cell>
          <cell r="BG59">
            <v>-4125295</v>
          </cell>
          <cell r="BH59">
            <v>-53199</v>
          </cell>
          <cell r="BI59">
            <v>0</v>
          </cell>
          <cell r="BJ59">
            <v>-26447</v>
          </cell>
          <cell r="BK59">
            <v>-1764183</v>
          </cell>
          <cell r="BL59">
            <v>-26985</v>
          </cell>
          <cell r="BM59">
            <v>-13164</v>
          </cell>
          <cell r="BN59">
            <v>0</v>
          </cell>
          <cell r="BO59">
            <v>0</v>
          </cell>
          <cell r="BP59">
            <v>0</v>
          </cell>
          <cell r="BQ59">
            <v>0</v>
          </cell>
          <cell r="BR59">
            <v>0</v>
          </cell>
          <cell r="BS59">
            <v>0</v>
          </cell>
          <cell r="BT59">
            <v>54756699</v>
          </cell>
          <cell r="BU59">
            <v>-303912</v>
          </cell>
          <cell r="BV59">
            <v>1139011</v>
          </cell>
          <cell r="BW59">
            <v>-4937533</v>
          </cell>
          <cell r="BX59">
            <v>-1699770</v>
          </cell>
          <cell r="BY59">
            <v>-1111062</v>
          </cell>
          <cell r="BZ59">
            <v>53675636</v>
          </cell>
          <cell r="CA59">
            <v>-849885</v>
          </cell>
          <cell r="CB59">
            <v>-679908</v>
          </cell>
          <cell r="CC59">
            <v>-169977</v>
          </cell>
          <cell r="CD59">
            <v>0</v>
          </cell>
          <cell r="CE59">
            <v>-555531</v>
          </cell>
          <cell r="CF59">
            <v>-444425</v>
          </cell>
          <cell r="CG59">
            <v>-111106</v>
          </cell>
          <cell r="CH59">
            <v>0</v>
          </cell>
        </row>
        <row r="60">
          <cell r="A60">
            <v>53</v>
          </cell>
          <cell r="B60" t="str">
            <v>Cherwell</v>
          </cell>
          <cell r="C60" t="str">
            <v>E3131</v>
          </cell>
          <cell r="D60">
            <v>227866</v>
          </cell>
          <cell r="H60">
            <v>6941903</v>
          </cell>
          <cell r="I60">
            <v>0</v>
          </cell>
          <cell r="J60">
            <v>227866</v>
          </cell>
          <cell r="K60">
            <v>0</v>
          </cell>
          <cell r="L60">
            <v>202114</v>
          </cell>
          <cell r="M60">
            <v>245727</v>
          </cell>
          <cell r="N60">
            <v>0</v>
          </cell>
          <cell r="O60">
            <v>0</v>
          </cell>
          <cell r="P60">
            <v>0</v>
          </cell>
          <cell r="Q60">
            <v>0</v>
          </cell>
          <cell r="R60">
            <v>649184</v>
          </cell>
          <cell r="S60">
            <v>162296</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M60">
            <v>0</v>
          </cell>
          <cell r="AN60">
            <v>0</v>
          </cell>
          <cell r="AO60">
            <v>0</v>
          </cell>
          <cell r="AP60">
            <v>514936</v>
          </cell>
          <cell r="AQ60">
            <v>131666</v>
          </cell>
          <cell r="AR60">
            <v>0</v>
          </cell>
          <cell r="AS60">
            <v>-116152</v>
          </cell>
          <cell r="AT60">
            <v>-92924</v>
          </cell>
          <cell r="AU60">
            <v>-23231</v>
          </cell>
          <cell r="AV60">
            <v>0</v>
          </cell>
          <cell r="AW60">
            <v>-232307</v>
          </cell>
          <cell r="AX60">
            <v>-2389239</v>
          </cell>
          <cell r="AY60">
            <v>-1911390</v>
          </cell>
          <cell r="AZ60">
            <v>-477848</v>
          </cell>
          <cell r="BA60">
            <v>0</v>
          </cell>
          <cell r="BB60">
            <v>-4778477</v>
          </cell>
          <cell r="BC60">
            <v>74855878</v>
          </cell>
          <cell r="BD60">
            <v>-2322067</v>
          </cell>
          <cell r="BE60">
            <v>2007549</v>
          </cell>
          <cell r="BF60">
            <v>0</v>
          </cell>
          <cell r="BG60">
            <v>-3246462</v>
          </cell>
          <cell r="BH60">
            <v>-62244</v>
          </cell>
          <cell r="BI60">
            <v>-34829</v>
          </cell>
          <cell r="BJ60">
            <v>-2912</v>
          </cell>
          <cell r="BK60">
            <v>-2463450</v>
          </cell>
          <cell r="BL60">
            <v>-35680</v>
          </cell>
          <cell r="BM60">
            <v>-64292</v>
          </cell>
          <cell r="BN60">
            <v>0</v>
          </cell>
          <cell r="BO60">
            <v>-17354</v>
          </cell>
          <cell r="BP60">
            <v>-12351</v>
          </cell>
          <cell r="BQ60">
            <v>0</v>
          </cell>
          <cell r="BR60">
            <v>0</v>
          </cell>
          <cell r="BS60">
            <v>0</v>
          </cell>
          <cell r="BT60">
            <v>74621790</v>
          </cell>
          <cell r="BU60">
            <v>0</v>
          </cell>
          <cell r="BV60">
            <v>973499</v>
          </cell>
          <cell r="BW60">
            <v>-2000326</v>
          </cell>
          <cell r="BX60">
            <v>-4383274</v>
          </cell>
          <cell r="BY60">
            <v>-1571193</v>
          </cell>
          <cell r="BZ60">
            <v>85194826</v>
          </cell>
          <cell r="CA60">
            <v>-2191637</v>
          </cell>
          <cell r="CB60">
            <v>-1753310</v>
          </cell>
          <cell r="CC60">
            <v>-438327</v>
          </cell>
          <cell r="CD60">
            <v>0</v>
          </cell>
          <cell r="CE60">
            <v>-785597</v>
          </cell>
          <cell r="CF60">
            <v>-628477</v>
          </cell>
          <cell r="CG60">
            <v>-157119</v>
          </cell>
          <cell r="CH60">
            <v>0</v>
          </cell>
        </row>
        <row r="61">
          <cell r="A61">
            <v>54</v>
          </cell>
          <cell r="B61" t="str">
            <v>Cheshire East UA</v>
          </cell>
          <cell r="C61" t="str">
            <v>E0603</v>
          </cell>
          <cell r="D61">
            <v>563725</v>
          </cell>
          <cell r="H61">
            <v>-3673053</v>
          </cell>
          <cell r="I61">
            <v>-221003</v>
          </cell>
          <cell r="J61">
            <v>563725</v>
          </cell>
          <cell r="K61">
            <v>368442</v>
          </cell>
          <cell r="L61">
            <v>68439</v>
          </cell>
          <cell r="M61">
            <v>0</v>
          </cell>
          <cell r="N61">
            <v>44846</v>
          </cell>
          <cell r="O61">
            <v>44846</v>
          </cell>
          <cell r="P61">
            <v>0</v>
          </cell>
          <cell r="Q61">
            <v>0</v>
          </cell>
          <cell r="R61">
            <v>2820831</v>
          </cell>
          <cell r="S61">
            <v>0</v>
          </cell>
          <cell r="T61">
            <v>57491</v>
          </cell>
          <cell r="U61">
            <v>41972</v>
          </cell>
          <cell r="V61">
            <v>0</v>
          </cell>
          <cell r="W61">
            <v>857</v>
          </cell>
          <cell r="X61">
            <v>0</v>
          </cell>
          <cell r="Y61">
            <v>0</v>
          </cell>
          <cell r="Z61">
            <v>0</v>
          </cell>
          <cell r="AA61">
            <v>42729</v>
          </cell>
          <cell r="AB61">
            <v>0</v>
          </cell>
          <cell r="AC61">
            <v>872</v>
          </cell>
          <cell r="AD61">
            <v>0</v>
          </cell>
          <cell r="AE61">
            <v>0</v>
          </cell>
          <cell r="AF61">
            <v>0</v>
          </cell>
          <cell r="AG61">
            <v>0</v>
          </cell>
          <cell r="AH61">
            <v>0</v>
          </cell>
          <cell r="AI61">
            <v>0</v>
          </cell>
          <cell r="AM61">
            <v>0</v>
          </cell>
          <cell r="AN61">
            <v>0</v>
          </cell>
          <cell r="AO61">
            <v>0</v>
          </cell>
          <cell r="AP61">
            <v>976064</v>
          </cell>
          <cell r="AQ61">
            <v>0</v>
          </cell>
          <cell r="AR61">
            <v>19772</v>
          </cell>
          <cell r="AS61">
            <v>-899542</v>
          </cell>
          <cell r="AT61">
            <v>-881554</v>
          </cell>
          <cell r="AU61">
            <v>0</v>
          </cell>
          <cell r="AV61">
            <v>-17991</v>
          </cell>
          <cell r="AW61">
            <v>-1799087</v>
          </cell>
          <cell r="AX61">
            <v>-7086182</v>
          </cell>
          <cell r="AY61">
            <v>-6944460</v>
          </cell>
          <cell r="AZ61">
            <v>0</v>
          </cell>
          <cell r="BA61">
            <v>-141724</v>
          </cell>
          <cell r="BB61">
            <v>-14172366</v>
          </cell>
          <cell r="BC61">
            <v>144370539</v>
          </cell>
          <cell r="BD61">
            <v>-9095594</v>
          </cell>
          <cell r="BE61">
            <v>3784457</v>
          </cell>
          <cell r="BF61">
            <v>0</v>
          </cell>
          <cell r="BG61">
            <v>-7670892</v>
          </cell>
          <cell r="BH61">
            <v>-121915</v>
          </cell>
          <cell r="BI61">
            <v>-17432</v>
          </cell>
          <cell r="BJ61">
            <v>-21601</v>
          </cell>
          <cell r="BK61">
            <v>-4249985</v>
          </cell>
          <cell r="BL61">
            <v>-227613</v>
          </cell>
          <cell r="BM61">
            <v>-77386</v>
          </cell>
          <cell r="BN61">
            <v>-5488</v>
          </cell>
          <cell r="BO61">
            <v>-16115</v>
          </cell>
          <cell r="BP61">
            <v>-14117</v>
          </cell>
          <cell r="BQ61">
            <v>-5288</v>
          </cell>
          <cell r="BR61">
            <v>-5288</v>
          </cell>
          <cell r="BS61">
            <v>0</v>
          </cell>
          <cell r="BT61">
            <v>146475571</v>
          </cell>
          <cell r="BU61">
            <v>-1836970</v>
          </cell>
          <cell r="BV61">
            <v>6632131</v>
          </cell>
          <cell r="BW61">
            <v>-579611</v>
          </cell>
          <cell r="BX61">
            <v>-3141174</v>
          </cell>
          <cell r="BY61">
            <v>-4476180</v>
          </cell>
          <cell r="BZ61">
            <v>131624993</v>
          </cell>
          <cell r="CA61">
            <v>-1570586</v>
          </cell>
          <cell r="CB61">
            <v>-1539175</v>
          </cell>
          <cell r="CC61">
            <v>0</v>
          </cell>
          <cell r="CD61">
            <v>-31413</v>
          </cell>
          <cell r="CE61">
            <v>-2238090</v>
          </cell>
          <cell r="CF61">
            <v>-2193328</v>
          </cell>
          <cell r="CG61">
            <v>0</v>
          </cell>
          <cell r="CH61">
            <v>-44762</v>
          </cell>
        </row>
        <row r="62">
          <cell r="A62">
            <v>55</v>
          </cell>
          <cell r="B62" t="str">
            <v>Cheshire West &amp; Chester UA</v>
          </cell>
          <cell r="C62" t="str">
            <v>E0604</v>
          </cell>
          <cell r="D62">
            <v>480131</v>
          </cell>
          <cell r="H62">
            <v>-11814530</v>
          </cell>
          <cell r="I62">
            <v>-3793</v>
          </cell>
          <cell r="J62">
            <v>480131</v>
          </cell>
          <cell r="K62">
            <v>15118</v>
          </cell>
          <cell r="L62">
            <v>0</v>
          </cell>
          <cell r="M62">
            <v>0</v>
          </cell>
          <cell r="N62">
            <v>55000</v>
          </cell>
          <cell r="O62">
            <v>55000</v>
          </cell>
          <cell r="P62">
            <v>0</v>
          </cell>
          <cell r="Q62">
            <v>0</v>
          </cell>
          <cell r="R62">
            <v>2586275</v>
          </cell>
          <cell r="S62">
            <v>0</v>
          </cell>
          <cell r="T62">
            <v>52781</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M62">
            <v>0</v>
          </cell>
          <cell r="AN62">
            <v>0</v>
          </cell>
          <cell r="AO62">
            <v>0</v>
          </cell>
          <cell r="AP62">
            <v>1012424</v>
          </cell>
          <cell r="AQ62">
            <v>0</v>
          </cell>
          <cell r="AR62">
            <v>20640</v>
          </cell>
          <cell r="AS62">
            <v>-1476882</v>
          </cell>
          <cell r="AT62">
            <v>-1447344</v>
          </cell>
          <cell r="AU62">
            <v>0</v>
          </cell>
          <cell r="AV62">
            <v>-29537</v>
          </cell>
          <cell r="AW62">
            <v>-2953763</v>
          </cell>
          <cell r="AX62">
            <v>-6573234</v>
          </cell>
          <cell r="AY62">
            <v>-6441768</v>
          </cell>
          <cell r="AZ62">
            <v>0</v>
          </cell>
          <cell r="BA62">
            <v>-131465</v>
          </cell>
          <cell r="BB62">
            <v>-13146467</v>
          </cell>
          <cell r="BC62">
            <v>164368138</v>
          </cell>
          <cell r="BD62">
            <v>-6744865</v>
          </cell>
          <cell r="BE62">
            <v>4576631</v>
          </cell>
          <cell r="BF62">
            <v>0</v>
          </cell>
          <cell r="BG62">
            <v>-8628427</v>
          </cell>
          <cell r="BH62">
            <v>-56578</v>
          </cell>
          <cell r="BI62">
            <v>-59263</v>
          </cell>
          <cell r="BJ62">
            <v>-53843</v>
          </cell>
          <cell r="BK62">
            <v>-6673605</v>
          </cell>
          <cell r="BL62">
            <v>-831620</v>
          </cell>
          <cell r="BM62">
            <v>-1227968</v>
          </cell>
          <cell r="BN62">
            <v>-13669</v>
          </cell>
          <cell r="BO62">
            <v>-59263</v>
          </cell>
          <cell r="BP62">
            <v>-24294</v>
          </cell>
          <cell r="BQ62">
            <v>-89591</v>
          </cell>
          <cell r="BR62">
            <v>-28921</v>
          </cell>
          <cell r="BS62">
            <v>0</v>
          </cell>
          <cell r="BT62">
            <v>167309366</v>
          </cell>
          <cell r="BU62">
            <v>-795694</v>
          </cell>
          <cell r="BV62">
            <v>4407865</v>
          </cell>
          <cell r="BW62">
            <v>-4470983</v>
          </cell>
          <cell r="BX62">
            <v>7794523</v>
          </cell>
          <cell r="BY62">
            <v>0</v>
          </cell>
          <cell r="BZ62">
            <v>137404924</v>
          </cell>
          <cell r="CA62">
            <v>3897261</v>
          </cell>
          <cell r="CB62">
            <v>3819317</v>
          </cell>
          <cell r="CC62">
            <v>0</v>
          </cell>
          <cell r="CD62">
            <v>77945</v>
          </cell>
          <cell r="CE62">
            <v>0</v>
          </cell>
          <cell r="CF62">
            <v>0</v>
          </cell>
          <cell r="CG62">
            <v>0</v>
          </cell>
          <cell r="CH62">
            <v>0</v>
          </cell>
        </row>
        <row r="63">
          <cell r="A63">
            <v>56</v>
          </cell>
          <cell r="B63" t="str">
            <v>Chesterfield</v>
          </cell>
          <cell r="C63" t="str">
            <v>E1033</v>
          </cell>
          <cell r="D63">
            <v>163817</v>
          </cell>
          <cell r="H63">
            <v>153135</v>
          </cell>
          <cell r="I63">
            <v>-22006</v>
          </cell>
          <cell r="J63">
            <v>163817</v>
          </cell>
          <cell r="K63">
            <v>700059</v>
          </cell>
          <cell r="L63">
            <v>55900</v>
          </cell>
          <cell r="M63">
            <v>0</v>
          </cell>
          <cell r="N63">
            <v>0</v>
          </cell>
          <cell r="O63">
            <v>0</v>
          </cell>
          <cell r="P63">
            <v>0</v>
          </cell>
          <cell r="Q63">
            <v>0</v>
          </cell>
          <cell r="R63">
            <v>747434</v>
          </cell>
          <cell r="S63">
            <v>168173</v>
          </cell>
          <cell r="T63">
            <v>18686</v>
          </cell>
          <cell r="U63">
            <v>4318</v>
          </cell>
          <cell r="V63">
            <v>972</v>
          </cell>
          <cell r="W63">
            <v>108</v>
          </cell>
          <cell r="X63">
            <v>0</v>
          </cell>
          <cell r="Y63">
            <v>0</v>
          </cell>
          <cell r="Z63">
            <v>0</v>
          </cell>
          <cell r="AA63">
            <v>0</v>
          </cell>
          <cell r="AB63">
            <v>0</v>
          </cell>
          <cell r="AC63">
            <v>0</v>
          </cell>
          <cell r="AD63">
            <v>0</v>
          </cell>
          <cell r="AE63">
            <v>0</v>
          </cell>
          <cell r="AF63">
            <v>0</v>
          </cell>
          <cell r="AG63">
            <v>0</v>
          </cell>
          <cell r="AH63">
            <v>0</v>
          </cell>
          <cell r="AI63">
            <v>0</v>
          </cell>
          <cell r="AM63">
            <v>0</v>
          </cell>
          <cell r="AN63">
            <v>0</v>
          </cell>
          <cell r="AO63">
            <v>0</v>
          </cell>
          <cell r="AP63">
            <v>233227</v>
          </cell>
          <cell r="AQ63">
            <v>49921</v>
          </cell>
          <cell r="AR63">
            <v>5547</v>
          </cell>
          <cell r="AS63">
            <v>-348049</v>
          </cell>
          <cell r="AT63">
            <v>-278441</v>
          </cell>
          <cell r="AU63">
            <v>-62650</v>
          </cell>
          <cell r="AV63">
            <v>-6961</v>
          </cell>
          <cell r="AW63">
            <v>-696101</v>
          </cell>
          <cell r="AX63">
            <v>-2257319</v>
          </cell>
          <cell r="AY63">
            <v>-1805856</v>
          </cell>
          <cell r="AZ63">
            <v>-406318</v>
          </cell>
          <cell r="BA63">
            <v>-45148</v>
          </cell>
          <cell r="BB63">
            <v>-4514641</v>
          </cell>
          <cell r="BC63">
            <v>36600740</v>
          </cell>
          <cell r="BD63">
            <v>-2988435</v>
          </cell>
          <cell r="BE63">
            <v>963454</v>
          </cell>
          <cell r="BF63">
            <v>0</v>
          </cell>
          <cell r="BG63">
            <v>-1761641</v>
          </cell>
          <cell r="BH63">
            <v>-31202</v>
          </cell>
          <cell r="BI63">
            <v>-3231</v>
          </cell>
          <cell r="BJ63">
            <v>0</v>
          </cell>
          <cell r="BK63">
            <v>-1522720</v>
          </cell>
          <cell r="BL63">
            <v>-40809</v>
          </cell>
          <cell r="BM63">
            <v>-37911</v>
          </cell>
          <cell r="BN63">
            <v>-1267</v>
          </cell>
          <cell r="BO63">
            <v>0</v>
          </cell>
          <cell r="BP63">
            <v>0</v>
          </cell>
          <cell r="BQ63">
            <v>0</v>
          </cell>
          <cell r="BR63">
            <v>0</v>
          </cell>
          <cell r="BS63">
            <v>0</v>
          </cell>
          <cell r="BT63">
            <v>37630410</v>
          </cell>
          <cell r="BU63">
            <v>-452651</v>
          </cell>
          <cell r="BV63">
            <v>966325</v>
          </cell>
          <cell r="BW63">
            <v>-841910</v>
          </cell>
          <cell r="BX63">
            <v>-992034</v>
          </cell>
          <cell r="BY63">
            <v>-266065</v>
          </cell>
          <cell r="BZ63">
            <v>36925752</v>
          </cell>
          <cell r="CA63">
            <v>-496017</v>
          </cell>
          <cell r="CB63">
            <v>-396814</v>
          </cell>
          <cell r="CC63">
            <v>-89283</v>
          </cell>
          <cell r="CD63">
            <v>-9920</v>
          </cell>
          <cell r="CE63">
            <v>-133032</v>
          </cell>
          <cell r="CF63">
            <v>-106426</v>
          </cell>
          <cell r="CG63">
            <v>-23946</v>
          </cell>
          <cell r="CH63">
            <v>-2661</v>
          </cell>
        </row>
        <row r="64">
          <cell r="A64">
            <v>57</v>
          </cell>
          <cell r="B64" t="str">
            <v>Chichester</v>
          </cell>
          <cell r="C64" t="str">
            <v>E3833</v>
          </cell>
          <cell r="D64">
            <v>197628</v>
          </cell>
          <cell r="H64">
            <v>1519770</v>
          </cell>
          <cell r="I64">
            <v>0</v>
          </cell>
          <cell r="J64">
            <v>197628</v>
          </cell>
          <cell r="K64">
            <v>0</v>
          </cell>
          <cell r="L64">
            <v>92994</v>
          </cell>
          <cell r="M64">
            <v>16879</v>
          </cell>
          <cell r="N64">
            <v>0</v>
          </cell>
          <cell r="O64">
            <v>0</v>
          </cell>
          <cell r="P64">
            <v>0</v>
          </cell>
          <cell r="Q64">
            <v>0</v>
          </cell>
          <cell r="R64">
            <v>889542</v>
          </cell>
          <cell r="S64">
            <v>222385</v>
          </cell>
          <cell r="T64">
            <v>0</v>
          </cell>
          <cell r="U64">
            <v>11130</v>
          </cell>
          <cell r="V64">
            <v>2782</v>
          </cell>
          <cell r="W64">
            <v>0</v>
          </cell>
          <cell r="X64">
            <v>0</v>
          </cell>
          <cell r="Y64">
            <v>0</v>
          </cell>
          <cell r="Z64">
            <v>0</v>
          </cell>
          <cell r="AA64">
            <v>0</v>
          </cell>
          <cell r="AB64">
            <v>0</v>
          </cell>
          <cell r="AC64">
            <v>0</v>
          </cell>
          <cell r="AD64">
            <v>0</v>
          </cell>
          <cell r="AE64">
            <v>0</v>
          </cell>
          <cell r="AF64">
            <v>0</v>
          </cell>
          <cell r="AG64">
            <v>0</v>
          </cell>
          <cell r="AH64">
            <v>0</v>
          </cell>
          <cell r="AI64">
            <v>0</v>
          </cell>
          <cell r="AM64">
            <v>0</v>
          </cell>
          <cell r="AN64">
            <v>0</v>
          </cell>
          <cell r="AO64">
            <v>0</v>
          </cell>
          <cell r="AP64">
            <v>279337</v>
          </cell>
          <cell r="AQ64">
            <v>69739</v>
          </cell>
          <cell r="AR64">
            <v>0</v>
          </cell>
          <cell r="AS64">
            <v>-448427.27</v>
          </cell>
          <cell r="AT64">
            <v>-358742</v>
          </cell>
          <cell r="AU64">
            <v>-89685</v>
          </cell>
          <cell r="AV64">
            <v>0</v>
          </cell>
          <cell r="AW64">
            <v>-896854.27</v>
          </cell>
          <cell r="AX64">
            <v>-1682582</v>
          </cell>
          <cell r="AY64">
            <v>-1346064</v>
          </cell>
          <cell r="AZ64">
            <v>-336516</v>
          </cell>
          <cell r="BA64">
            <v>0</v>
          </cell>
          <cell r="BB64">
            <v>-3365162</v>
          </cell>
          <cell r="BC64">
            <v>44313749</v>
          </cell>
          <cell r="BD64">
            <v>-3408307</v>
          </cell>
          <cell r="BE64">
            <v>1198290</v>
          </cell>
          <cell r="BF64">
            <v>0</v>
          </cell>
          <cell r="BG64">
            <v>-3966591</v>
          </cell>
          <cell r="BH64">
            <v>-38354</v>
          </cell>
          <cell r="BI64">
            <v>-41283</v>
          </cell>
          <cell r="BJ64">
            <v>-1924</v>
          </cell>
          <cell r="BK64">
            <v>-1328984</v>
          </cell>
          <cell r="BL64">
            <v>0</v>
          </cell>
          <cell r="BM64">
            <v>-6353</v>
          </cell>
          <cell r="BN64">
            <v>0</v>
          </cell>
          <cell r="BO64">
            <v>-40599</v>
          </cell>
          <cell r="BP64">
            <v>-12543</v>
          </cell>
          <cell r="BQ64">
            <v>0</v>
          </cell>
          <cell r="BR64">
            <v>0</v>
          </cell>
          <cell r="BS64">
            <v>0</v>
          </cell>
          <cell r="BT64">
            <v>44889277</v>
          </cell>
          <cell r="BU64">
            <v>-82696</v>
          </cell>
          <cell r="BV64">
            <v>1781490</v>
          </cell>
          <cell r="BW64">
            <v>-986733</v>
          </cell>
          <cell r="BX64">
            <v>-3796398</v>
          </cell>
          <cell r="BY64">
            <v>-3493459</v>
          </cell>
          <cell r="BZ64">
            <v>46257221</v>
          </cell>
          <cell r="CA64">
            <v>-1898199</v>
          </cell>
          <cell r="CB64">
            <v>-1518559</v>
          </cell>
          <cell r="CC64">
            <v>-379640</v>
          </cell>
          <cell r="CD64">
            <v>0</v>
          </cell>
          <cell r="CE64">
            <v>-1746729</v>
          </cell>
          <cell r="CF64">
            <v>-1397384</v>
          </cell>
          <cell r="CG64">
            <v>-349346</v>
          </cell>
          <cell r="CH64">
            <v>0</v>
          </cell>
        </row>
        <row r="65">
          <cell r="A65">
            <v>58</v>
          </cell>
          <cell r="B65" t="str">
            <v>Chiltern</v>
          </cell>
          <cell r="C65" t="str">
            <v>E0432</v>
          </cell>
          <cell r="D65">
            <v>112028</v>
          </cell>
          <cell r="H65">
            <v>833084</v>
          </cell>
          <cell r="I65">
            <v>0</v>
          </cell>
          <cell r="J65">
            <v>112028</v>
          </cell>
          <cell r="K65">
            <v>0</v>
          </cell>
          <cell r="L65">
            <v>0</v>
          </cell>
          <cell r="M65">
            <v>0</v>
          </cell>
          <cell r="N65">
            <v>0</v>
          </cell>
          <cell r="O65">
            <v>0</v>
          </cell>
          <cell r="P65">
            <v>0</v>
          </cell>
          <cell r="Q65">
            <v>0</v>
          </cell>
          <cell r="R65">
            <v>465222</v>
          </cell>
          <cell r="S65">
            <v>104675</v>
          </cell>
          <cell r="T65">
            <v>11631</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M65">
            <v>0</v>
          </cell>
          <cell r="AN65">
            <v>0</v>
          </cell>
          <cell r="AO65">
            <v>0</v>
          </cell>
          <cell r="AP65">
            <v>131650</v>
          </cell>
          <cell r="AQ65">
            <v>29621</v>
          </cell>
          <cell r="AR65">
            <v>3291</v>
          </cell>
          <cell r="AS65">
            <v>-158407</v>
          </cell>
          <cell r="AT65">
            <v>-126722</v>
          </cell>
          <cell r="AU65">
            <v>-28513</v>
          </cell>
          <cell r="AV65">
            <v>-3167</v>
          </cell>
          <cell r="AW65">
            <v>-316809</v>
          </cell>
          <cell r="AX65">
            <v>-1165347</v>
          </cell>
          <cell r="AY65">
            <v>-932278</v>
          </cell>
          <cell r="AZ65">
            <v>-209761</v>
          </cell>
          <cell r="BA65">
            <v>-23308</v>
          </cell>
          <cell r="BB65">
            <v>-2330694</v>
          </cell>
          <cell r="BC65">
            <v>21637824</v>
          </cell>
          <cell r="BD65">
            <v>-1649209</v>
          </cell>
          <cell r="BE65">
            <v>545329</v>
          </cell>
          <cell r="BF65">
            <v>0</v>
          </cell>
          <cell r="BG65">
            <v>-2375915</v>
          </cell>
          <cell r="BH65">
            <v>-36743</v>
          </cell>
          <cell r="BI65">
            <v>-15882</v>
          </cell>
          <cell r="BJ65">
            <v>-9068</v>
          </cell>
          <cell r="BK65">
            <v>-730558</v>
          </cell>
          <cell r="BL65">
            <v>-123428</v>
          </cell>
          <cell r="BM65">
            <v>-33639</v>
          </cell>
          <cell r="BN65">
            <v>-1407</v>
          </cell>
          <cell r="BO65">
            <v>-3374</v>
          </cell>
          <cell r="BP65">
            <v>0</v>
          </cell>
          <cell r="BQ65">
            <v>0</v>
          </cell>
          <cell r="BR65">
            <v>0</v>
          </cell>
          <cell r="BS65">
            <v>0</v>
          </cell>
          <cell r="BT65">
            <v>20439432</v>
          </cell>
          <cell r="BU65">
            <v>-89147</v>
          </cell>
          <cell r="BV65">
            <v>588308</v>
          </cell>
          <cell r="BW65">
            <v>-690079</v>
          </cell>
          <cell r="BX65">
            <v>240613</v>
          </cell>
          <cell r="BY65">
            <v>1610288</v>
          </cell>
          <cell r="BZ65">
            <v>21910399</v>
          </cell>
          <cell r="CA65">
            <v>120306</v>
          </cell>
          <cell r="CB65">
            <v>96246</v>
          </cell>
          <cell r="CC65">
            <v>21655</v>
          </cell>
          <cell r="CD65">
            <v>2406</v>
          </cell>
          <cell r="CE65">
            <v>805144</v>
          </cell>
          <cell r="CF65">
            <v>644115</v>
          </cell>
          <cell r="CG65">
            <v>144926</v>
          </cell>
          <cell r="CH65">
            <v>16103</v>
          </cell>
        </row>
        <row r="66">
          <cell r="A66">
            <v>59</v>
          </cell>
          <cell r="B66" t="str">
            <v>Chorley</v>
          </cell>
          <cell r="C66" t="str">
            <v>E2334</v>
          </cell>
          <cell r="D66">
            <v>132804</v>
          </cell>
          <cell r="H66">
            <v>-2328610</v>
          </cell>
          <cell r="I66">
            <v>0</v>
          </cell>
          <cell r="J66">
            <v>132804</v>
          </cell>
          <cell r="K66">
            <v>0</v>
          </cell>
          <cell r="L66">
            <v>0</v>
          </cell>
          <cell r="M66">
            <v>0</v>
          </cell>
          <cell r="N66">
            <v>0</v>
          </cell>
          <cell r="O66">
            <v>0</v>
          </cell>
          <cell r="P66">
            <v>0</v>
          </cell>
          <cell r="Q66">
            <v>0</v>
          </cell>
          <cell r="R66">
            <v>620172</v>
          </cell>
          <cell r="S66">
            <v>139538</v>
          </cell>
          <cell r="T66">
            <v>15504</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M66">
            <v>0</v>
          </cell>
          <cell r="AN66">
            <v>0</v>
          </cell>
          <cell r="AO66">
            <v>0</v>
          </cell>
          <cell r="AP66">
            <v>149147</v>
          </cell>
          <cell r="AQ66">
            <v>33558</v>
          </cell>
          <cell r="AR66">
            <v>3729</v>
          </cell>
          <cell r="AS66">
            <v>-336091</v>
          </cell>
          <cell r="AT66">
            <v>-268873</v>
          </cell>
          <cell r="AU66">
            <v>-60496</v>
          </cell>
          <cell r="AV66">
            <v>-6722</v>
          </cell>
          <cell r="AW66">
            <v>-672182</v>
          </cell>
          <cell r="AX66">
            <v>-825000</v>
          </cell>
          <cell r="AY66">
            <v>-660000</v>
          </cell>
          <cell r="AZ66">
            <v>-148500</v>
          </cell>
          <cell r="BA66">
            <v>-16500</v>
          </cell>
          <cell r="BB66">
            <v>-1650000</v>
          </cell>
          <cell r="BC66">
            <v>29608485</v>
          </cell>
          <cell r="BD66">
            <v>-2629232</v>
          </cell>
          <cell r="BE66">
            <v>756692</v>
          </cell>
          <cell r="BF66">
            <v>0</v>
          </cell>
          <cell r="BG66">
            <v>-1994679</v>
          </cell>
          <cell r="BH66">
            <v>-31623</v>
          </cell>
          <cell r="BI66">
            <v>-5560</v>
          </cell>
          <cell r="BJ66">
            <v>-12294</v>
          </cell>
          <cell r="BK66">
            <v>-704779</v>
          </cell>
          <cell r="BL66">
            <v>-12030</v>
          </cell>
          <cell r="BM66">
            <v>0</v>
          </cell>
          <cell r="BN66">
            <v>0</v>
          </cell>
          <cell r="BO66">
            <v>0</v>
          </cell>
          <cell r="BP66">
            <v>0</v>
          </cell>
          <cell r="BQ66">
            <v>0</v>
          </cell>
          <cell r="BR66">
            <v>0</v>
          </cell>
          <cell r="BS66">
            <v>0</v>
          </cell>
          <cell r="BT66">
            <v>29076539</v>
          </cell>
          <cell r="BU66">
            <v>-312332</v>
          </cell>
          <cell r="BV66">
            <v>988073</v>
          </cell>
          <cell r="BW66">
            <v>-707942</v>
          </cell>
          <cell r="BX66">
            <v>-1435607</v>
          </cell>
          <cell r="BY66">
            <v>-1213671</v>
          </cell>
          <cell r="BZ66">
            <v>24822269</v>
          </cell>
          <cell r="CA66">
            <v>-717805</v>
          </cell>
          <cell r="CB66">
            <v>-574242</v>
          </cell>
          <cell r="CC66">
            <v>-129204</v>
          </cell>
          <cell r="CD66">
            <v>-14356</v>
          </cell>
          <cell r="CE66">
            <v>-606836</v>
          </cell>
          <cell r="CF66">
            <v>-485468</v>
          </cell>
          <cell r="CG66">
            <v>-109230</v>
          </cell>
          <cell r="CH66">
            <v>-12137</v>
          </cell>
        </row>
        <row r="67">
          <cell r="A67">
            <v>60</v>
          </cell>
          <cell r="B67" t="str">
            <v>Christchurch</v>
          </cell>
          <cell r="C67" t="str">
            <v>E1232</v>
          </cell>
          <cell r="D67">
            <v>74395</v>
          </cell>
          <cell r="H67">
            <v>196574</v>
          </cell>
          <cell r="I67">
            <v>0</v>
          </cell>
          <cell r="J67">
            <v>74395</v>
          </cell>
          <cell r="K67">
            <v>0</v>
          </cell>
          <cell r="L67">
            <v>285495</v>
          </cell>
          <cell r="M67">
            <v>0</v>
          </cell>
          <cell r="N67">
            <v>0</v>
          </cell>
          <cell r="O67">
            <v>0</v>
          </cell>
          <cell r="P67">
            <v>0</v>
          </cell>
          <cell r="Q67">
            <v>0</v>
          </cell>
          <cell r="R67">
            <v>336616</v>
          </cell>
          <cell r="S67">
            <v>75738</v>
          </cell>
          <cell r="T67">
            <v>8415</v>
          </cell>
          <cell r="U67">
            <v>804</v>
          </cell>
          <cell r="V67">
            <v>181</v>
          </cell>
          <cell r="W67">
            <v>20</v>
          </cell>
          <cell r="X67">
            <v>0</v>
          </cell>
          <cell r="Y67">
            <v>0</v>
          </cell>
          <cell r="Z67">
            <v>0</v>
          </cell>
          <cell r="AA67">
            <v>0</v>
          </cell>
          <cell r="AB67">
            <v>0</v>
          </cell>
          <cell r="AC67">
            <v>0</v>
          </cell>
          <cell r="AD67">
            <v>0</v>
          </cell>
          <cell r="AE67">
            <v>0</v>
          </cell>
          <cell r="AF67">
            <v>0</v>
          </cell>
          <cell r="AG67">
            <v>0</v>
          </cell>
          <cell r="AH67">
            <v>0</v>
          </cell>
          <cell r="AI67">
            <v>0</v>
          </cell>
          <cell r="AM67">
            <v>0</v>
          </cell>
          <cell r="AN67">
            <v>0</v>
          </cell>
          <cell r="AO67">
            <v>0</v>
          </cell>
          <cell r="AP67">
            <v>119762</v>
          </cell>
          <cell r="AQ67">
            <v>25981</v>
          </cell>
          <cell r="AR67">
            <v>2887</v>
          </cell>
          <cell r="AS67">
            <v>-145276.49</v>
          </cell>
          <cell r="AT67">
            <v>-116220</v>
          </cell>
          <cell r="AU67">
            <v>-26151</v>
          </cell>
          <cell r="AV67">
            <v>-2905</v>
          </cell>
          <cell r="AW67">
            <v>-290552.49</v>
          </cell>
          <cell r="AX67">
            <v>-770661</v>
          </cell>
          <cell r="AY67">
            <v>-616528</v>
          </cell>
          <cell r="AZ67">
            <v>-138718</v>
          </cell>
          <cell r="BA67">
            <v>-15412</v>
          </cell>
          <cell r="BB67">
            <v>-1541319</v>
          </cell>
          <cell r="BC67">
            <v>18969773</v>
          </cell>
          <cell r="BD67">
            <v>-1250885</v>
          </cell>
          <cell r="BE67">
            <v>499650</v>
          </cell>
          <cell r="BF67">
            <v>0</v>
          </cell>
          <cell r="BG67">
            <v>-756561</v>
          </cell>
          <cell r="BH67">
            <v>-31669</v>
          </cell>
          <cell r="BI67">
            <v>-1743</v>
          </cell>
          <cell r="BJ67">
            <v>-8325</v>
          </cell>
          <cell r="BK67">
            <v>-663141</v>
          </cell>
          <cell r="BL67">
            <v>-5478</v>
          </cell>
          <cell r="BM67">
            <v>-4296</v>
          </cell>
          <cell r="BN67">
            <v>-1590</v>
          </cell>
          <cell r="BO67">
            <v>0</v>
          </cell>
          <cell r="BP67">
            <v>0</v>
          </cell>
          <cell r="BQ67">
            <v>0</v>
          </cell>
          <cell r="BR67">
            <v>0</v>
          </cell>
          <cell r="BS67">
            <v>0</v>
          </cell>
          <cell r="BT67">
            <v>19246091</v>
          </cell>
          <cell r="BU67">
            <v>-82655</v>
          </cell>
          <cell r="BV67">
            <v>510530</v>
          </cell>
          <cell r="BW67">
            <v>-229401</v>
          </cell>
          <cell r="BX67">
            <v>-209500</v>
          </cell>
          <cell r="BY67">
            <v>-238377</v>
          </cell>
          <cell r="BZ67">
            <v>19218055</v>
          </cell>
          <cell r="CA67">
            <v>-104750</v>
          </cell>
          <cell r="CB67">
            <v>-83801</v>
          </cell>
          <cell r="CC67">
            <v>-18854</v>
          </cell>
          <cell r="CD67">
            <v>-2095</v>
          </cell>
          <cell r="CE67">
            <v>-119188</v>
          </cell>
          <cell r="CF67">
            <v>-95351</v>
          </cell>
          <cell r="CG67">
            <v>-21454</v>
          </cell>
          <cell r="CH67">
            <v>-2384</v>
          </cell>
        </row>
        <row r="68">
          <cell r="A68">
            <v>61</v>
          </cell>
          <cell r="B68" t="str">
            <v>City of London</v>
          </cell>
          <cell r="C68" t="str">
            <v>E5010</v>
          </cell>
          <cell r="D68">
            <v>1959373</v>
          </cell>
          <cell r="H68">
            <v>25492287</v>
          </cell>
          <cell r="I68">
            <v>0</v>
          </cell>
          <cell r="J68">
            <v>1959373</v>
          </cell>
          <cell r="K68">
            <v>0</v>
          </cell>
          <cell r="L68">
            <v>0</v>
          </cell>
          <cell r="M68">
            <v>0</v>
          </cell>
          <cell r="N68">
            <v>0</v>
          </cell>
          <cell r="O68">
            <v>0</v>
          </cell>
          <cell r="P68">
            <v>0</v>
          </cell>
          <cell r="Q68">
            <v>0</v>
          </cell>
          <cell r="R68">
            <v>84560</v>
          </cell>
          <cell r="S68">
            <v>104290</v>
          </cell>
          <cell r="T68">
            <v>0</v>
          </cell>
          <cell r="U68">
            <v>0</v>
          </cell>
          <cell r="V68">
            <v>0</v>
          </cell>
          <cell r="W68">
            <v>0</v>
          </cell>
          <cell r="X68">
            <v>0</v>
          </cell>
          <cell r="Y68">
            <v>0</v>
          </cell>
          <cell r="Z68">
            <v>0</v>
          </cell>
          <cell r="AA68">
            <v>12617</v>
          </cell>
          <cell r="AB68">
            <v>15561</v>
          </cell>
          <cell r="AC68">
            <v>0</v>
          </cell>
          <cell r="AD68">
            <v>0</v>
          </cell>
          <cell r="AE68">
            <v>0</v>
          </cell>
          <cell r="AF68">
            <v>0</v>
          </cell>
          <cell r="AG68">
            <v>0</v>
          </cell>
          <cell r="AH68">
            <v>0</v>
          </cell>
          <cell r="AI68">
            <v>0</v>
          </cell>
          <cell r="AM68">
            <v>0</v>
          </cell>
          <cell r="AN68">
            <v>0</v>
          </cell>
          <cell r="AO68">
            <v>0</v>
          </cell>
          <cell r="AP68">
            <v>4947572</v>
          </cell>
          <cell r="AQ68">
            <v>5893267</v>
          </cell>
          <cell r="AR68">
            <v>0</v>
          </cell>
          <cell r="AS68">
            <v>-5049419</v>
          </cell>
          <cell r="AT68">
            <v>-3029651</v>
          </cell>
          <cell r="AU68">
            <v>-2019767</v>
          </cell>
          <cell r="AV68">
            <v>0</v>
          </cell>
          <cell r="AW68">
            <v>-10098837</v>
          </cell>
          <cell r="AX68">
            <v>-133622543</v>
          </cell>
          <cell r="AY68">
            <v>-80173526</v>
          </cell>
          <cell r="AZ68">
            <v>-53449016</v>
          </cell>
          <cell r="BA68">
            <v>0</v>
          </cell>
          <cell r="BB68">
            <v>-267245085</v>
          </cell>
          <cell r="BC68">
            <v>772639491</v>
          </cell>
          <cell r="BD68">
            <v>-438825</v>
          </cell>
          <cell r="BE68">
            <v>24788002</v>
          </cell>
          <cell r="BF68">
            <v>0</v>
          </cell>
          <cell r="BG68">
            <v>-12645514</v>
          </cell>
          <cell r="BH68">
            <v>0</v>
          </cell>
          <cell r="BI68">
            <v>0</v>
          </cell>
          <cell r="BJ68">
            <v>-979943</v>
          </cell>
          <cell r="BK68">
            <v>-39251019</v>
          </cell>
          <cell r="BL68">
            <v>-148881</v>
          </cell>
          <cell r="BM68">
            <v>-77873</v>
          </cell>
          <cell r="BN68">
            <v>0</v>
          </cell>
          <cell r="BO68">
            <v>0</v>
          </cell>
          <cell r="BP68">
            <v>0</v>
          </cell>
          <cell r="BQ68">
            <v>0</v>
          </cell>
          <cell r="BR68">
            <v>0</v>
          </cell>
          <cell r="BS68">
            <v>0</v>
          </cell>
          <cell r="BT68">
            <v>902837837</v>
          </cell>
          <cell r="BU68">
            <v>-993667</v>
          </cell>
          <cell r="BV68">
            <v>17955125</v>
          </cell>
          <cell r="BW68">
            <v>-69304803</v>
          </cell>
          <cell r="BX68">
            <v>-574053</v>
          </cell>
          <cell r="BY68">
            <v>52951930</v>
          </cell>
          <cell r="BZ68">
            <v>1060333023</v>
          </cell>
          <cell r="CA68">
            <v>-287026</v>
          </cell>
          <cell r="CB68">
            <v>-172216</v>
          </cell>
          <cell r="CC68">
            <v>-114811</v>
          </cell>
          <cell r="CD68">
            <v>0</v>
          </cell>
          <cell r="CE68">
            <v>26475965</v>
          </cell>
          <cell r="CF68">
            <v>15885579</v>
          </cell>
          <cell r="CG68">
            <v>10590386</v>
          </cell>
          <cell r="CH68">
            <v>0</v>
          </cell>
        </row>
        <row r="69">
          <cell r="A69">
            <v>62</v>
          </cell>
          <cell r="B69" t="str">
            <v>Colchester</v>
          </cell>
          <cell r="C69" t="str">
            <v>E1536</v>
          </cell>
          <cell r="D69">
            <v>239982</v>
          </cell>
          <cell r="H69">
            <v>-777695</v>
          </cell>
          <cell r="I69">
            <v>0</v>
          </cell>
          <cell r="J69">
            <v>239982</v>
          </cell>
          <cell r="K69">
            <v>0</v>
          </cell>
          <cell r="L69">
            <v>0</v>
          </cell>
          <cell r="M69">
            <v>0</v>
          </cell>
          <cell r="N69">
            <v>0</v>
          </cell>
          <cell r="O69">
            <v>0</v>
          </cell>
          <cell r="P69">
            <v>0</v>
          </cell>
          <cell r="Q69">
            <v>0</v>
          </cell>
          <cell r="R69">
            <v>1044179</v>
          </cell>
          <cell r="S69">
            <v>234940</v>
          </cell>
          <cell r="T69">
            <v>26104</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M69">
            <v>0</v>
          </cell>
          <cell r="AN69">
            <v>0</v>
          </cell>
          <cell r="AO69">
            <v>0</v>
          </cell>
          <cell r="AP69">
            <v>364326</v>
          </cell>
          <cell r="AQ69">
            <v>81973</v>
          </cell>
          <cell r="AR69">
            <v>9108</v>
          </cell>
          <cell r="AS69">
            <v>-652480</v>
          </cell>
          <cell r="AT69">
            <v>-521984</v>
          </cell>
          <cell r="AU69">
            <v>-117445</v>
          </cell>
          <cell r="AV69">
            <v>-13050</v>
          </cell>
          <cell r="AW69">
            <v>-1304959</v>
          </cell>
          <cell r="AX69">
            <v>-2247321</v>
          </cell>
          <cell r="AY69">
            <v>-1797857</v>
          </cell>
          <cell r="AZ69">
            <v>-404518</v>
          </cell>
          <cell r="BA69">
            <v>-44945</v>
          </cell>
          <cell r="BB69">
            <v>-4494641</v>
          </cell>
          <cell r="BC69">
            <v>65647643</v>
          </cell>
          <cell r="BD69">
            <v>-3322390</v>
          </cell>
          <cell r="BE69">
            <v>1751374</v>
          </cell>
          <cell r="BF69">
            <v>0</v>
          </cell>
          <cell r="BG69">
            <v>-5160595</v>
          </cell>
          <cell r="BH69">
            <v>-58069</v>
          </cell>
          <cell r="BI69">
            <v>-12625</v>
          </cell>
          <cell r="BJ69">
            <v>-15716</v>
          </cell>
          <cell r="BK69">
            <v>-2136583</v>
          </cell>
          <cell r="BL69">
            <v>-171589</v>
          </cell>
          <cell r="BM69">
            <v>0</v>
          </cell>
          <cell r="BN69">
            <v>-14010</v>
          </cell>
          <cell r="BO69">
            <v>0</v>
          </cell>
          <cell r="BP69">
            <v>0</v>
          </cell>
          <cell r="BQ69">
            <v>0</v>
          </cell>
          <cell r="BR69">
            <v>0</v>
          </cell>
          <cell r="BS69">
            <v>0</v>
          </cell>
          <cell r="BT69">
            <v>64363077</v>
          </cell>
          <cell r="BU69">
            <v>-314795</v>
          </cell>
          <cell r="BV69">
            <v>2807195</v>
          </cell>
          <cell r="BW69">
            <v>-1952951</v>
          </cell>
          <cell r="BX69">
            <v>607793</v>
          </cell>
          <cell r="BY69">
            <v>-2395546</v>
          </cell>
          <cell r="BZ69">
            <v>60634272</v>
          </cell>
          <cell r="CA69">
            <v>303897</v>
          </cell>
          <cell r="CB69">
            <v>243117</v>
          </cell>
          <cell r="CC69">
            <v>54702</v>
          </cell>
          <cell r="CD69">
            <v>6077</v>
          </cell>
          <cell r="CE69">
            <v>-1197774</v>
          </cell>
          <cell r="CF69">
            <v>-958218</v>
          </cell>
          <cell r="CG69">
            <v>-215599</v>
          </cell>
          <cell r="CH69">
            <v>-23955</v>
          </cell>
        </row>
        <row r="70">
          <cell r="A70">
            <v>63</v>
          </cell>
          <cell r="B70" t="str">
            <v>Copeland</v>
          </cell>
          <cell r="C70" t="str">
            <v>E0934</v>
          </cell>
          <cell r="D70">
            <v>101141</v>
          </cell>
          <cell r="H70">
            <v>-6881743</v>
          </cell>
          <cell r="I70">
            <v>0</v>
          </cell>
          <cell r="J70">
            <v>101141</v>
          </cell>
          <cell r="K70">
            <v>0</v>
          </cell>
          <cell r="L70">
            <v>185613</v>
          </cell>
          <cell r="M70">
            <v>0</v>
          </cell>
          <cell r="N70">
            <v>0</v>
          </cell>
          <cell r="O70">
            <v>0</v>
          </cell>
          <cell r="P70">
            <v>0</v>
          </cell>
          <cell r="Q70">
            <v>0</v>
          </cell>
          <cell r="R70">
            <v>349168</v>
          </cell>
          <cell r="S70">
            <v>87292</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M70">
            <v>0</v>
          </cell>
          <cell r="AN70">
            <v>0</v>
          </cell>
          <cell r="AO70">
            <v>0</v>
          </cell>
          <cell r="AP70">
            <v>199472</v>
          </cell>
          <cell r="AQ70">
            <v>49171</v>
          </cell>
          <cell r="AR70">
            <v>0</v>
          </cell>
          <cell r="AS70">
            <v>-87500</v>
          </cell>
          <cell r="AT70">
            <v>-70000</v>
          </cell>
          <cell r="AU70">
            <v>-17500</v>
          </cell>
          <cell r="AV70">
            <v>0</v>
          </cell>
          <cell r="AW70">
            <v>-175000</v>
          </cell>
          <cell r="AX70">
            <v>-555475</v>
          </cell>
          <cell r="AY70">
            <v>-444379</v>
          </cell>
          <cell r="AZ70">
            <v>-111095</v>
          </cell>
          <cell r="BA70">
            <v>0</v>
          </cell>
          <cell r="BB70">
            <v>-1110949</v>
          </cell>
          <cell r="BC70">
            <v>42114075</v>
          </cell>
          <cell r="BD70">
            <v>-1491070</v>
          </cell>
          <cell r="BE70">
            <v>1078818</v>
          </cell>
          <cell r="BF70">
            <v>0</v>
          </cell>
          <cell r="BG70">
            <v>-1266456</v>
          </cell>
          <cell r="BH70">
            <v>-65423</v>
          </cell>
          <cell r="BI70">
            <v>-21282</v>
          </cell>
          <cell r="BJ70">
            <v>0</v>
          </cell>
          <cell r="BK70">
            <v>-361706</v>
          </cell>
          <cell r="BL70">
            <v>0</v>
          </cell>
          <cell r="BM70">
            <v>0</v>
          </cell>
          <cell r="BN70">
            <v>0</v>
          </cell>
          <cell r="BO70">
            <v>0</v>
          </cell>
          <cell r="BP70">
            <v>0</v>
          </cell>
          <cell r="BQ70">
            <v>0</v>
          </cell>
          <cell r="BR70">
            <v>0</v>
          </cell>
          <cell r="BS70">
            <v>0</v>
          </cell>
          <cell r="BT70">
            <v>42795255</v>
          </cell>
          <cell r="BU70">
            <v>-18390</v>
          </cell>
          <cell r="BV70">
            <v>790422</v>
          </cell>
          <cell r="BW70">
            <v>-2143420</v>
          </cell>
          <cell r="BX70">
            <v>2997105</v>
          </cell>
          <cell r="BY70">
            <v>631433</v>
          </cell>
          <cell r="BZ70">
            <v>32733855</v>
          </cell>
          <cell r="CA70">
            <v>1498552</v>
          </cell>
          <cell r="CB70">
            <v>1198842</v>
          </cell>
          <cell r="CC70">
            <v>299711</v>
          </cell>
          <cell r="CD70">
            <v>0</v>
          </cell>
          <cell r="CE70">
            <v>315717</v>
          </cell>
          <cell r="CF70">
            <v>252573</v>
          </cell>
          <cell r="CG70">
            <v>63143</v>
          </cell>
          <cell r="CH70">
            <v>0</v>
          </cell>
        </row>
        <row r="71">
          <cell r="A71">
            <v>64</v>
          </cell>
          <cell r="B71" t="str">
            <v>Corby</v>
          </cell>
          <cell r="C71" t="str">
            <v>E2831</v>
          </cell>
          <cell r="D71">
            <v>87948</v>
          </cell>
          <cell r="H71">
            <v>-232805</v>
          </cell>
          <cell r="I71">
            <v>0</v>
          </cell>
          <cell r="J71">
            <v>87948</v>
          </cell>
          <cell r="K71">
            <v>0</v>
          </cell>
          <cell r="L71">
            <v>0</v>
          </cell>
          <cell r="M71">
            <v>0</v>
          </cell>
          <cell r="N71">
            <v>0</v>
          </cell>
          <cell r="O71">
            <v>0</v>
          </cell>
          <cell r="P71">
            <v>0</v>
          </cell>
          <cell r="Q71">
            <v>0</v>
          </cell>
          <cell r="R71">
            <v>338170</v>
          </cell>
          <cell r="S71">
            <v>84543</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M71">
            <v>0</v>
          </cell>
          <cell r="AN71">
            <v>0</v>
          </cell>
          <cell r="AO71">
            <v>0</v>
          </cell>
          <cell r="AP71">
            <v>205153</v>
          </cell>
          <cell r="AQ71">
            <v>51288</v>
          </cell>
          <cell r="AR71">
            <v>0</v>
          </cell>
          <cell r="AS71">
            <v>-428910.69999999995</v>
          </cell>
          <cell r="AT71">
            <v>-343128</v>
          </cell>
          <cell r="AU71">
            <v>-85782</v>
          </cell>
          <cell r="AV71">
            <v>0</v>
          </cell>
          <cell r="AW71">
            <v>-857820.7</v>
          </cell>
          <cell r="AX71">
            <v>-1981336</v>
          </cell>
          <cell r="AY71">
            <v>-1585072</v>
          </cell>
          <cell r="AZ71">
            <v>-396267</v>
          </cell>
          <cell r="BA71">
            <v>0</v>
          </cell>
          <cell r="BB71">
            <v>-3962675</v>
          </cell>
          <cell r="BC71">
            <v>33403923</v>
          </cell>
          <cell r="BD71">
            <v>-1232766</v>
          </cell>
          <cell r="BE71">
            <v>993119</v>
          </cell>
          <cell r="BF71">
            <v>0</v>
          </cell>
          <cell r="BG71">
            <v>-1939273</v>
          </cell>
          <cell r="BH71">
            <v>0</v>
          </cell>
          <cell r="BI71">
            <v>-546</v>
          </cell>
          <cell r="BJ71">
            <v>-326401</v>
          </cell>
          <cell r="BK71">
            <v>-1213146</v>
          </cell>
          <cell r="BL71">
            <v>-27079</v>
          </cell>
          <cell r="BM71">
            <v>-499837</v>
          </cell>
          <cell r="BN71">
            <v>0</v>
          </cell>
          <cell r="BO71">
            <v>0</v>
          </cell>
          <cell r="BP71">
            <v>0</v>
          </cell>
          <cell r="BQ71">
            <v>0</v>
          </cell>
          <cell r="BR71">
            <v>0</v>
          </cell>
          <cell r="BS71">
            <v>0</v>
          </cell>
          <cell r="BT71">
            <v>34868583</v>
          </cell>
          <cell r="BU71">
            <v>-214713</v>
          </cell>
          <cell r="BV71">
            <v>2570345</v>
          </cell>
          <cell r="BW71">
            <v>-689290</v>
          </cell>
          <cell r="BX71">
            <v>-1288392</v>
          </cell>
          <cell r="BY71">
            <v>-230068</v>
          </cell>
          <cell r="BZ71">
            <v>34143256</v>
          </cell>
          <cell r="CA71">
            <v>-644196</v>
          </cell>
          <cell r="CB71">
            <v>-515357</v>
          </cell>
          <cell r="CC71">
            <v>-128839</v>
          </cell>
          <cell r="CD71">
            <v>0</v>
          </cell>
          <cell r="CE71">
            <v>-115034</v>
          </cell>
          <cell r="CF71">
            <v>-92027</v>
          </cell>
          <cell r="CG71">
            <v>-23007</v>
          </cell>
          <cell r="CH71">
            <v>0</v>
          </cell>
        </row>
        <row r="72">
          <cell r="A72">
            <v>65</v>
          </cell>
          <cell r="B72" t="str">
            <v>Cornwall UA</v>
          </cell>
          <cell r="C72" t="str">
            <v>E0801</v>
          </cell>
          <cell r="D72">
            <v>1124892</v>
          </cell>
          <cell r="H72">
            <v>-493226</v>
          </cell>
          <cell r="I72">
            <v>8497</v>
          </cell>
          <cell r="J72">
            <v>1124892</v>
          </cell>
          <cell r="K72">
            <v>148239</v>
          </cell>
          <cell r="L72">
            <v>1449994</v>
          </cell>
          <cell r="M72">
            <v>0</v>
          </cell>
          <cell r="N72">
            <v>0</v>
          </cell>
          <cell r="O72">
            <v>0</v>
          </cell>
          <cell r="P72">
            <v>0</v>
          </cell>
          <cell r="Q72">
            <v>0</v>
          </cell>
          <cell r="R72">
            <v>15653198</v>
          </cell>
          <cell r="S72">
            <v>0</v>
          </cell>
          <cell r="T72">
            <v>0</v>
          </cell>
          <cell r="U72">
            <v>63463</v>
          </cell>
          <cell r="V72">
            <v>0</v>
          </cell>
          <cell r="W72">
            <v>0</v>
          </cell>
          <cell r="X72">
            <v>2508</v>
          </cell>
          <cell r="Y72">
            <v>0</v>
          </cell>
          <cell r="Z72">
            <v>0</v>
          </cell>
          <cell r="AA72">
            <v>8978</v>
          </cell>
          <cell r="AB72">
            <v>0</v>
          </cell>
          <cell r="AC72">
            <v>0</v>
          </cell>
          <cell r="AD72">
            <v>0</v>
          </cell>
          <cell r="AE72">
            <v>0</v>
          </cell>
          <cell r="AF72">
            <v>0</v>
          </cell>
          <cell r="AG72">
            <v>0</v>
          </cell>
          <cell r="AH72">
            <v>0</v>
          </cell>
          <cell r="AI72">
            <v>0</v>
          </cell>
          <cell r="AM72">
            <v>0</v>
          </cell>
          <cell r="AN72">
            <v>0</v>
          </cell>
          <cell r="AO72">
            <v>0</v>
          </cell>
          <cell r="AP72">
            <v>2130221</v>
          </cell>
          <cell r="AQ72">
            <v>0</v>
          </cell>
          <cell r="AR72">
            <v>0</v>
          </cell>
          <cell r="AS72">
            <v>-1232382</v>
          </cell>
          <cell r="AT72">
            <v>-1232382</v>
          </cell>
          <cell r="AU72">
            <v>0</v>
          </cell>
          <cell r="AV72">
            <v>0</v>
          </cell>
          <cell r="AW72">
            <v>-2464764</v>
          </cell>
          <cell r="AX72">
            <v>-10088500</v>
          </cell>
          <cell r="AY72">
            <v>-10088500</v>
          </cell>
          <cell r="AZ72">
            <v>0</v>
          </cell>
          <cell r="BA72">
            <v>0</v>
          </cell>
          <cell r="BB72">
            <v>-20177000</v>
          </cell>
          <cell r="BC72">
            <v>154418435</v>
          </cell>
          <cell r="BD72">
            <v>-25898292</v>
          </cell>
          <cell r="BE72">
            <v>4077846</v>
          </cell>
          <cell r="BF72">
            <v>0</v>
          </cell>
          <cell r="BG72">
            <v>-16349241</v>
          </cell>
          <cell r="BH72">
            <v>-208698</v>
          </cell>
          <cell r="BI72">
            <v>-212762</v>
          </cell>
          <cell r="BJ72">
            <v>-38175</v>
          </cell>
          <cell r="BK72">
            <v>-3447212</v>
          </cell>
          <cell r="BL72">
            <v>-705336</v>
          </cell>
          <cell r="BM72">
            <v>-327383</v>
          </cell>
          <cell r="BN72">
            <v>-7339</v>
          </cell>
          <cell r="BO72">
            <v>-108610</v>
          </cell>
          <cell r="BP72">
            <v>-16450</v>
          </cell>
          <cell r="BQ72">
            <v>-278957</v>
          </cell>
          <cell r="BR72">
            <v>-283677</v>
          </cell>
          <cell r="BS72">
            <v>0</v>
          </cell>
          <cell r="BT72">
            <v>158090880</v>
          </cell>
          <cell r="BU72">
            <v>-1178946</v>
          </cell>
          <cell r="BV72">
            <v>6619843</v>
          </cell>
          <cell r="BW72">
            <v>-4411763</v>
          </cell>
          <cell r="BX72">
            <v>2449021</v>
          </cell>
          <cell r="BY72">
            <v>2000512</v>
          </cell>
          <cell r="BZ72">
            <v>140213620</v>
          </cell>
          <cell r="CA72">
            <v>1224510</v>
          </cell>
          <cell r="CB72">
            <v>1224511</v>
          </cell>
          <cell r="CC72">
            <v>0</v>
          </cell>
          <cell r="CD72">
            <v>0</v>
          </cell>
          <cell r="CE72">
            <v>1000256</v>
          </cell>
          <cell r="CF72">
            <v>1000256</v>
          </cell>
          <cell r="CG72">
            <v>0</v>
          </cell>
          <cell r="CH72">
            <v>0</v>
          </cell>
        </row>
        <row r="73">
          <cell r="A73">
            <v>66</v>
          </cell>
          <cell r="B73" t="str">
            <v>Cotswold</v>
          </cell>
          <cell r="C73" t="str">
            <v>E1632</v>
          </cell>
          <cell r="D73">
            <v>179930</v>
          </cell>
          <cell r="H73">
            <v>2090912</v>
          </cell>
          <cell r="I73">
            <v>0</v>
          </cell>
          <cell r="J73">
            <v>179930</v>
          </cell>
          <cell r="K73">
            <v>0</v>
          </cell>
          <cell r="L73">
            <v>135070</v>
          </cell>
          <cell r="M73">
            <v>0</v>
          </cell>
          <cell r="N73">
            <v>0</v>
          </cell>
          <cell r="O73">
            <v>0</v>
          </cell>
          <cell r="P73">
            <v>0</v>
          </cell>
          <cell r="Q73">
            <v>0</v>
          </cell>
          <cell r="R73">
            <v>322054</v>
          </cell>
          <cell r="S73">
            <v>80513</v>
          </cell>
          <cell r="T73">
            <v>0</v>
          </cell>
          <cell r="U73">
            <v>3452</v>
          </cell>
          <cell r="V73">
            <v>863</v>
          </cell>
          <cell r="W73">
            <v>0</v>
          </cell>
          <cell r="X73">
            <v>0</v>
          </cell>
          <cell r="Y73">
            <v>0</v>
          </cell>
          <cell r="Z73">
            <v>0</v>
          </cell>
          <cell r="AA73">
            <v>3525</v>
          </cell>
          <cell r="AB73">
            <v>881</v>
          </cell>
          <cell r="AC73">
            <v>0</v>
          </cell>
          <cell r="AD73">
            <v>0</v>
          </cell>
          <cell r="AE73">
            <v>0</v>
          </cell>
          <cell r="AF73">
            <v>0</v>
          </cell>
          <cell r="AG73">
            <v>0</v>
          </cell>
          <cell r="AH73">
            <v>0</v>
          </cell>
          <cell r="AI73">
            <v>0</v>
          </cell>
          <cell r="AM73">
            <v>0</v>
          </cell>
          <cell r="AN73">
            <v>0</v>
          </cell>
          <cell r="AO73">
            <v>0</v>
          </cell>
          <cell r="AP73">
            <v>213473</v>
          </cell>
          <cell r="AQ73">
            <v>52861</v>
          </cell>
          <cell r="AR73">
            <v>0</v>
          </cell>
          <cell r="AS73">
            <v>-146062</v>
          </cell>
          <cell r="AT73">
            <v>-116851</v>
          </cell>
          <cell r="AU73">
            <v>-29212</v>
          </cell>
          <cell r="AV73">
            <v>0</v>
          </cell>
          <cell r="AW73">
            <v>-292125</v>
          </cell>
          <cell r="AX73">
            <v>-946240</v>
          </cell>
          <cell r="AY73">
            <v>-756992</v>
          </cell>
          <cell r="AZ73">
            <v>-189248</v>
          </cell>
          <cell r="BA73">
            <v>0</v>
          </cell>
          <cell r="BB73">
            <v>-1892480</v>
          </cell>
          <cell r="BC73">
            <v>30990257</v>
          </cell>
          <cell r="BD73">
            <v>-2988595</v>
          </cell>
          <cell r="BE73">
            <v>763542</v>
          </cell>
          <cell r="BF73">
            <v>0</v>
          </cell>
          <cell r="BG73">
            <v>-2143297</v>
          </cell>
          <cell r="BH73">
            <v>-46173</v>
          </cell>
          <cell r="BI73">
            <v>-31726</v>
          </cell>
          <cell r="BJ73">
            <v>-7687</v>
          </cell>
          <cell r="BK73">
            <v>-955453</v>
          </cell>
          <cell r="BL73">
            <v>-81060</v>
          </cell>
          <cell r="BM73">
            <v>-11967</v>
          </cell>
          <cell r="BN73">
            <v>-79</v>
          </cell>
          <cell r="BO73">
            <v>-8752</v>
          </cell>
          <cell r="BP73">
            <v>0</v>
          </cell>
          <cell r="BQ73">
            <v>0</v>
          </cell>
          <cell r="BR73">
            <v>0</v>
          </cell>
          <cell r="BS73">
            <v>0</v>
          </cell>
          <cell r="BT73">
            <v>31062427</v>
          </cell>
          <cell r="BU73">
            <v>-94015</v>
          </cell>
          <cell r="BV73">
            <v>1142343</v>
          </cell>
          <cell r="BW73">
            <v>-252437</v>
          </cell>
          <cell r="BX73">
            <v>833452</v>
          </cell>
          <cell r="BY73">
            <v>517600</v>
          </cell>
          <cell r="BZ73">
            <v>35190337</v>
          </cell>
          <cell r="CA73">
            <v>416725</v>
          </cell>
          <cell r="CB73">
            <v>333381</v>
          </cell>
          <cell r="CC73">
            <v>83346</v>
          </cell>
          <cell r="CD73">
            <v>0</v>
          </cell>
          <cell r="CE73">
            <v>258800</v>
          </cell>
          <cell r="CF73">
            <v>207040</v>
          </cell>
          <cell r="CG73">
            <v>51760</v>
          </cell>
          <cell r="CH73">
            <v>0</v>
          </cell>
        </row>
        <row r="74">
          <cell r="A74">
            <v>67</v>
          </cell>
          <cell r="B74" t="str">
            <v>Coventry</v>
          </cell>
          <cell r="C74" t="str">
            <v>E4602</v>
          </cell>
          <cell r="D74">
            <v>373014</v>
          </cell>
          <cell r="H74">
            <v>-3818850</v>
          </cell>
          <cell r="I74">
            <v>0</v>
          </cell>
          <cell r="J74">
            <v>373014</v>
          </cell>
          <cell r="K74">
            <v>0</v>
          </cell>
          <cell r="L74">
            <v>0</v>
          </cell>
          <cell r="M74">
            <v>0</v>
          </cell>
          <cell r="N74">
            <v>0</v>
          </cell>
          <cell r="O74">
            <v>0</v>
          </cell>
          <cell r="P74">
            <v>0</v>
          </cell>
          <cell r="Q74">
            <v>0</v>
          </cell>
          <cell r="R74">
            <v>3669535</v>
          </cell>
          <cell r="S74">
            <v>0</v>
          </cell>
          <cell r="T74">
            <v>37066</v>
          </cell>
          <cell r="U74">
            <v>1639</v>
          </cell>
          <cell r="V74">
            <v>0</v>
          </cell>
          <cell r="W74">
            <v>17</v>
          </cell>
          <cell r="X74">
            <v>345939</v>
          </cell>
          <cell r="Y74">
            <v>0</v>
          </cell>
          <cell r="Z74">
            <v>3494</v>
          </cell>
          <cell r="AA74">
            <v>22033</v>
          </cell>
          <cell r="AB74">
            <v>0</v>
          </cell>
          <cell r="AC74">
            <v>223</v>
          </cell>
          <cell r="AD74">
            <v>0</v>
          </cell>
          <cell r="AE74">
            <v>0</v>
          </cell>
          <cell r="AF74">
            <v>0</v>
          </cell>
          <cell r="AG74">
            <v>0</v>
          </cell>
          <cell r="AH74">
            <v>0</v>
          </cell>
          <cell r="AI74">
            <v>0</v>
          </cell>
          <cell r="AM74">
            <v>0</v>
          </cell>
          <cell r="AN74">
            <v>0</v>
          </cell>
          <cell r="AO74">
            <v>0</v>
          </cell>
          <cell r="AP74">
            <v>1717331</v>
          </cell>
          <cell r="AQ74">
            <v>0</v>
          </cell>
          <cell r="AR74">
            <v>17347</v>
          </cell>
          <cell r="AS74">
            <v>-1355803</v>
          </cell>
          <cell r="AT74">
            <v>-1328687</v>
          </cell>
          <cell r="AU74">
            <v>0</v>
          </cell>
          <cell r="AV74">
            <v>-27116</v>
          </cell>
          <cell r="AW74">
            <v>-2711606</v>
          </cell>
          <cell r="AX74">
            <v>-3644405</v>
          </cell>
          <cell r="AY74">
            <v>-3571516</v>
          </cell>
          <cell r="AZ74">
            <v>0</v>
          </cell>
          <cell r="BA74">
            <v>-72887</v>
          </cell>
          <cell r="BB74">
            <v>-7288808</v>
          </cell>
          <cell r="BC74">
            <v>123265176</v>
          </cell>
          <cell r="BD74">
            <v>-5720048</v>
          </cell>
          <cell r="BE74">
            <v>3489213</v>
          </cell>
          <cell r="BF74">
            <v>0</v>
          </cell>
          <cell r="BG74">
            <v>-13660876</v>
          </cell>
          <cell r="BH74">
            <v>-59560</v>
          </cell>
          <cell r="BI74">
            <v>0</v>
          </cell>
          <cell r="BJ74">
            <v>-70540</v>
          </cell>
          <cell r="BK74">
            <v>-3044396</v>
          </cell>
          <cell r="BL74">
            <v>-355280</v>
          </cell>
          <cell r="BM74">
            <v>-18596</v>
          </cell>
          <cell r="BN74">
            <v>0</v>
          </cell>
          <cell r="BO74">
            <v>0</v>
          </cell>
          <cell r="BP74">
            <v>0</v>
          </cell>
          <cell r="BQ74">
            <v>0</v>
          </cell>
          <cell r="BR74">
            <v>0</v>
          </cell>
          <cell r="BS74">
            <v>0</v>
          </cell>
          <cell r="BT74">
            <v>123104630</v>
          </cell>
          <cell r="BU74">
            <v>-998264</v>
          </cell>
          <cell r="BV74">
            <v>5547447</v>
          </cell>
          <cell r="BW74">
            <v>-2470555</v>
          </cell>
          <cell r="BX74">
            <v>2658308</v>
          </cell>
          <cell r="BY74">
            <v>2510428</v>
          </cell>
          <cell r="BZ74">
            <v>115479993</v>
          </cell>
          <cell r="CA74">
            <v>1329155</v>
          </cell>
          <cell r="CB74">
            <v>1302570</v>
          </cell>
          <cell r="CC74">
            <v>0</v>
          </cell>
          <cell r="CD74">
            <v>26583</v>
          </cell>
          <cell r="CE74">
            <v>1255214</v>
          </cell>
          <cell r="CF74">
            <v>1230110</v>
          </cell>
          <cell r="CG74">
            <v>0</v>
          </cell>
          <cell r="CH74">
            <v>25104</v>
          </cell>
        </row>
        <row r="75">
          <cell r="A75">
            <v>68</v>
          </cell>
          <cell r="B75" t="str">
            <v>Craven</v>
          </cell>
          <cell r="C75" t="str">
            <v>E2731</v>
          </cell>
          <cell r="D75">
            <v>118120</v>
          </cell>
          <cell r="H75">
            <v>321764</v>
          </cell>
          <cell r="I75">
            <v>0</v>
          </cell>
          <cell r="J75">
            <v>118120</v>
          </cell>
          <cell r="K75">
            <v>0</v>
          </cell>
          <cell r="L75">
            <v>0</v>
          </cell>
          <cell r="M75">
            <v>0</v>
          </cell>
          <cell r="N75">
            <v>0</v>
          </cell>
          <cell r="O75">
            <v>0</v>
          </cell>
          <cell r="P75">
            <v>0</v>
          </cell>
          <cell r="Q75">
            <v>0</v>
          </cell>
          <cell r="R75">
            <v>616987</v>
          </cell>
          <cell r="S75">
            <v>138822</v>
          </cell>
          <cell r="T75">
            <v>15425</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M75">
            <v>0</v>
          </cell>
          <cell r="AN75">
            <v>0</v>
          </cell>
          <cell r="AO75">
            <v>0</v>
          </cell>
          <cell r="AP75">
            <v>109797</v>
          </cell>
          <cell r="AQ75">
            <v>24704</v>
          </cell>
          <cell r="AR75">
            <v>2745</v>
          </cell>
          <cell r="AS75">
            <v>-69374</v>
          </cell>
          <cell r="AT75">
            <v>-55500</v>
          </cell>
          <cell r="AU75">
            <v>-12488</v>
          </cell>
          <cell r="AV75">
            <v>-1388</v>
          </cell>
          <cell r="AW75">
            <v>-138750</v>
          </cell>
          <cell r="AX75">
            <v>-872150</v>
          </cell>
          <cell r="AY75">
            <v>-697720</v>
          </cell>
          <cell r="AZ75">
            <v>-156986</v>
          </cell>
          <cell r="BA75">
            <v>-17444</v>
          </cell>
          <cell r="BB75">
            <v>-1744300</v>
          </cell>
          <cell r="BC75">
            <v>18444092</v>
          </cell>
          <cell r="BD75">
            <v>-2457018</v>
          </cell>
          <cell r="BE75">
            <v>460542</v>
          </cell>
          <cell r="BF75">
            <v>0</v>
          </cell>
          <cell r="BG75">
            <v>-1101468</v>
          </cell>
          <cell r="BH75">
            <v>-24413</v>
          </cell>
          <cell r="BI75">
            <v>-30460</v>
          </cell>
          <cell r="BJ75">
            <v>-2578</v>
          </cell>
          <cell r="BK75">
            <v>-687082</v>
          </cell>
          <cell r="BL75">
            <v>-22131</v>
          </cell>
          <cell r="BM75">
            <v>-11759</v>
          </cell>
          <cell r="BN75">
            <v>0</v>
          </cell>
          <cell r="BO75">
            <v>-24253</v>
          </cell>
          <cell r="BP75">
            <v>0</v>
          </cell>
          <cell r="BQ75">
            <v>0</v>
          </cell>
          <cell r="BR75">
            <v>0</v>
          </cell>
          <cell r="BS75">
            <v>0</v>
          </cell>
          <cell r="BT75">
            <v>18446226</v>
          </cell>
          <cell r="BU75">
            <v>-120375</v>
          </cell>
          <cell r="BV75">
            <v>374729</v>
          </cell>
          <cell r="BW75">
            <v>-157382</v>
          </cell>
          <cell r="BX75">
            <v>-1259250</v>
          </cell>
          <cell r="BY75">
            <v>-1209206</v>
          </cell>
          <cell r="BZ75">
            <v>18273284</v>
          </cell>
          <cell r="CA75">
            <v>-629627</v>
          </cell>
          <cell r="CB75">
            <v>-503699</v>
          </cell>
          <cell r="CC75">
            <v>-113332</v>
          </cell>
          <cell r="CD75">
            <v>-12592</v>
          </cell>
          <cell r="CE75">
            <v>-604603</v>
          </cell>
          <cell r="CF75">
            <v>-483682</v>
          </cell>
          <cell r="CG75">
            <v>-108829</v>
          </cell>
          <cell r="CH75">
            <v>-12092</v>
          </cell>
        </row>
        <row r="76">
          <cell r="A76">
            <v>69</v>
          </cell>
          <cell r="B76" t="str">
            <v>Crawley</v>
          </cell>
          <cell r="C76" t="str">
            <v>E3834</v>
          </cell>
          <cell r="D76">
            <v>201502</v>
          </cell>
          <cell r="H76">
            <v>-3975713</v>
          </cell>
          <cell r="I76">
            <v>0</v>
          </cell>
          <cell r="J76">
            <v>201502</v>
          </cell>
          <cell r="K76">
            <v>0</v>
          </cell>
          <cell r="L76">
            <v>4660</v>
          </cell>
          <cell r="M76">
            <v>0</v>
          </cell>
          <cell r="N76">
            <v>0</v>
          </cell>
          <cell r="O76">
            <v>0</v>
          </cell>
          <cell r="P76">
            <v>0</v>
          </cell>
          <cell r="Q76">
            <v>0</v>
          </cell>
          <cell r="R76">
            <v>302303</v>
          </cell>
          <cell r="S76">
            <v>75576</v>
          </cell>
          <cell r="T76">
            <v>0</v>
          </cell>
          <cell r="U76">
            <v>1214</v>
          </cell>
          <cell r="V76">
            <v>304</v>
          </cell>
          <cell r="W76">
            <v>0</v>
          </cell>
          <cell r="X76">
            <v>0</v>
          </cell>
          <cell r="Y76">
            <v>0</v>
          </cell>
          <cell r="Z76">
            <v>0</v>
          </cell>
          <cell r="AA76">
            <v>26</v>
          </cell>
          <cell r="AB76">
            <v>6</v>
          </cell>
          <cell r="AC76">
            <v>0</v>
          </cell>
          <cell r="AD76">
            <v>0</v>
          </cell>
          <cell r="AE76">
            <v>0</v>
          </cell>
          <cell r="AF76">
            <v>0</v>
          </cell>
          <cell r="AG76">
            <v>0</v>
          </cell>
          <cell r="AH76">
            <v>0</v>
          </cell>
          <cell r="AI76">
            <v>0</v>
          </cell>
          <cell r="AM76">
            <v>0</v>
          </cell>
          <cell r="AN76">
            <v>0</v>
          </cell>
          <cell r="AO76">
            <v>0</v>
          </cell>
          <cell r="AP76">
            <v>699687</v>
          </cell>
          <cell r="AQ76">
            <v>174904</v>
          </cell>
          <cell r="AR76">
            <v>0</v>
          </cell>
          <cell r="AS76">
            <v>-779591</v>
          </cell>
          <cell r="AT76">
            <v>-623672</v>
          </cell>
          <cell r="AU76">
            <v>-155917</v>
          </cell>
          <cell r="AV76">
            <v>0</v>
          </cell>
          <cell r="AW76">
            <v>-1559180</v>
          </cell>
          <cell r="AX76">
            <v>-2689798</v>
          </cell>
          <cell r="AY76">
            <v>-2151837</v>
          </cell>
          <cell r="AZ76">
            <v>-537959</v>
          </cell>
          <cell r="BA76">
            <v>0</v>
          </cell>
          <cell r="BB76">
            <v>-5379594</v>
          </cell>
          <cell r="BC76">
            <v>120569501</v>
          </cell>
          <cell r="BD76">
            <v>-829698</v>
          </cell>
          <cell r="BE76">
            <v>3221290</v>
          </cell>
          <cell r="BF76">
            <v>0</v>
          </cell>
          <cell r="BG76">
            <v>-2947007</v>
          </cell>
          <cell r="BH76">
            <v>-29259</v>
          </cell>
          <cell r="BI76">
            <v>0</v>
          </cell>
          <cell r="BJ76">
            <v>-15327</v>
          </cell>
          <cell r="BK76">
            <v>-3108420</v>
          </cell>
          <cell r="BL76">
            <v>-303755</v>
          </cell>
          <cell r="BM76">
            <v>-121231</v>
          </cell>
          <cell r="BN76">
            <v>-1696</v>
          </cell>
          <cell r="BO76">
            <v>0</v>
          </cell>
          <cell r="BP76">
            <v>0</v>
          </cell>
          <cell r="BQ76">
            <v>0</v>
          </cell>
          <cell r="BR76">
            <v>0</v>
          </cell>
          <cell r="BS76">
            <v>0</v>
          </cell>
          <cell r="BT76">
            <v>118646104</v>
          </cell>
          <cell r="BU76">
            <v>-359937</v>
          </cell>
          <cell r="BV76">
            <v>2912506</v>
          </cell>
          <cell r="BW76">
            <v>-3503684</v>
          </cell>
          <cell r="BX76">
            <v>-2590272</v>
          </cell>
          <cell r="BY76">
            <v>-5906904</v>
          </cell>
          <cell r="BZ76">
            <v>116436242</v>
          </cell>
          <cell r="CA76">
            <v>-1295136</v>
          </cell>
          <cell r="CB76">
            <v>-1036109</v>
          </cell>
          <cell r="CC76">
            <v>-259027</v>
          </cell>
          <cell r="CD76">
            <v>0</v>
          </cell>
          <cell r="CE76">
            <v>-2953452</v>
          </cell>
          <cell r="CF76">
            <v>-2362762</v>
          </cell>
          <cell r="CG76">
            <v>-590690</v>
          </cell>
          <cell r="CH76">
            <v>0</v>
          </cell>
        </row>
        <row r="77">
          <cell r="A77">
            <v>70</v>
          </cell>
          <cell r="B77" t="str">
            <v>Croydon</v>
          </cell>
          <cell r="C77" t="str">
            <v>E5035</v>
          </cell>
          <cell r="D77">
            <v>429856</v>
          </cell>
          <cell r="H77">
            <v>4441356</v>
          </cell>
          <cell r="I77">
            <v>0</v>
          </cell>
          <cell r="J77">
            <v>429856</v>
          </cell>
          <cell r="K77">
            <v>0</v>
          </cell>
          <cell r="L77">
            <v>0</v>
          </cell>
          <cell r="M77">
            <v>0</v>
          </cell>
          <cell r="N77">
            <v>0</v>
          </cell>
          <cell r="O77">
            <v>0</v>
          </cell>
          <cell r="P77">
            <v>0</v>
          </cell>
          <cell r="Q77">
            <v>0</v>
          </cell>
          <cell r="R77">
            <v>1010834</v>
          </cell>
          <cell r="S77">
            <v>1246694</v>
          </cell>
          <cell r="T77">
            <v>0</v>
          </cell>
          <cell r="U77">
            <v>0</v>
          </cell>
          <cell r="V77">
            <v>0</v>
          </cell>
          <cell r="W77">
            <v>0</v>
          </cell>
          <cell r="X77">
            <v>0</v>
          </cell>
          <cell r="Y77">
            <v>0</v>
          </cell>
          <cell r="Z77">
            <v>0</v>
          </cell>
          <cell r="AA77">
            <v>390</v>
          </cell>
          <cell r="AB77">
            <v>480</v>
          </cell>
          <cell r="AC77">
            <v>0</v>
          </cell>
          <cell r="AD77">
            <v>0</v>
          </cell>
          <cell r="AE77">
            <v>0</v>
          </cell>
          <cell r="AF77">
            <v>0</v>
          </cell>
          <cell r="AG77">
            <v>0</v>
          </cell>
          <cell r="AH77">
            <v>0</v>
          </cell>
          <cell r="AI77">
            <v>0</v>
          </cell>
          <cell r="AM77">
            <v>0</v>
          </cell>
          <cell r="AN77">
            <v>0</v>
          </cell>
          <cell r="AO77">
            <v>0</v>
          </cell>
          <cell r="AP77">
            <v>530342</v>
          </cell>
          <cell r="AQ77">
            <v>654089</v>
          </cell>
          <cell r="AR77">
            <v>0</v>
          </cell>
          <cell r="AS77">
            <v>-5607771</v>
          </cell>
          <cell r="AT77">
            <v>-3364664</v>
          </cell>
          <cell r="AU77">
            <v>-2243109</v>
          </cell>
          <cell r="AV77">
            <v>0</v>
          </cell>
          <cell r="AW77">
            <v>-11215544</v>
          </cell>
          <cell r="AX77">
            <v>-5750000</v>
          </cell>
          <cell r="AY77">
            <v>-3450000</v>
          </cell>
          <cell r="AZ77">
            <v>-2300000</v>
          </cell>
          <cell r="BA77">
            <v>0</v>
          </cell>
          <cell r="BB77">
            <v>-11500000</v>
          </cell>
          <cell r="BC77">
            <v>123704855</v>
          </cell>
          <cell r="BD77">
            <v>-6026615</v>
          </cell>
          <cell r="BE77">
            <v>31987</v>
          </cell>
          <cell r="BF77">
            <v>0</v>
          </cell>
          <cell r="BG77">
            <v>-9290531</v>
          </cell>
          <cell r="BH77">
            <v>-189329</v>
          </cell>
          <cell r="BI77">
            <v>0</v>
          </cell>
          <cell r="BJ77">
            <v>-737757</v>
          </cell>
          <cell r="BK77">
            <v>-9235370</v>
          </cell>
          <cell r="BL77">
            <v>-127045</v>
          </cell>
          <cell r="BM77">
            <v>-38990</v>
          </cell>
          <cell r="BN77">
            <v>0</v>
          </cell>
          <cell r="BO77">
            <v>0</v>
          </cell>
          <cell r="BP77">
            <v>0</v>
          </cell>
          <cell r="BQ77">
            <v>-52328</v>
          </cell>
          <cell r="BR77">
            <v>0</v>
          </cell>
          <cell r="BS77">
            <v>-3043</v>
          </cell>
          <cell r="BT77">
            <v>112017249</v>
          </cell>
          <cell r="BU77">
            <v>-2125258</v>
          </cell>
          <cell r="BV77">
            <v>11510642</v>
          </cell>
          <cell r="BW77">
            <v>-4452655</v>
          </cell>
          <cell r="BX77">
            <v>5018154</v>
          </cell>
          <cell r="BY77">
            <v>-7259734</v>
          </cell>
          <cell r="BZ77">
            <v>117685441</v>
          </cell>
          <cell r="CA77">
            <v>2509076</v>
          </cell>
          <cell r="CB77">
            <v>1505447</v>
          </cell>
          <cell r="CC77">
            <v>1003631</v>
          </cell>
          <cell r="CD77">
            <v>0</v>
          </cell>
          <cell r="CE77">
            <v>-3629867</v>
          </cell>
          <cell r="CF77">
            <v>-2177920</v>
          </cell>
          <cell r="CG77">
            <v>-1451947</v>
          </cell>
          <cell r="CH77">
            <v>0</v>
          </cell>
        </row>
        <row r="78">
          <cell r="A78">
            <v>71</v>
          </cell>
          <cell r="B78" t="str">
            <v>Dacorum</v>
          </cell>
          <cell r="C78" t="str">
            <v>E1932</v>
          </cell>
          <cell r="D78">
            <v>207475</v>
          </cell>
          <cell r="H78">
            <v>389953</v>
          </cell>
          <cell r="I78">
            <v>4701</v>
          </cell>
          <cell r="J78">
            <v>207475</v>
          </cell>
          <cell r="K78">
            <v>0</v>
          </cell>
          <cell r="L78">
            <v>0</v>
          </cell>
          <cell r="M78">
            <v>0</v>
          </cell>
          <cell r="N78">
            <v>0</v>
          </cell>
          <cell r="O78">
            <v>0</v>
          </cell>
          <cell r="P78">
            <v>0</v>
          </cell>
          <cell r="Q78">
            <v>0</v>
          </cell>
          <cell r="R78">
            <v>613178</v>
          </cell>
          <cell r="S78">
            <v>153295</v>
          </cell>
          <cell r="T78">
            <v>0</v>
          </cell>
          <cell r="U78">
            <v>0</v>
          </cell>
          <cell r="V78">
            <v>0</v>
          </cell>
          <cell r="W78">
            <v>0</v>
          </cell>
          <cell r="X78">
            <v>17454</v>
          </cell>
          <cell r="Y78">
            <v>4363</v>
          </cell>
          <cell r="Z78">
            <v>0</v>
          </cell>
          <cell r="AA78">
            <v>3248</v>
          </cell>
          <cell r="AB78">
            <v>812</v>
          </cell>
          <cell r="AC78">
            <v>0</v>
          </cell>
          <cell r="AD78">
            <v>0</v>
          </cell>
          <cell r="AE78">
            <v>0</v>
          </cell>
          <cell r="AF78">
            <v>0</v>
          </cell>
          <cell r="AG78">
            <v>0</v>
          </cell>
          <cell r="AH78">
            <v>0</v>
          </cell>
          <cell r="AI78">
            <v>0</v>
          </cell>
          <cell r="AM78">
            <v>0</v>
          </cell>
          <cell r="AN78">
            <v>0</v>
          </cell>
          <cell r="AO78">
            <v>0</v>
          </cell>
          <cell r="AP78">
            <v>348198</v>
          </cell>
          <cell r="AQ78">
            <v>87049</v>
          </cell>
          <cell r="AR78">
            <v>0</v>
          </cell>
          <cell r="AS78">
            <v>-363509</v>
          </cell>
          <cell r="AT78">
            <v>-290808</v>
          </cell>
          <cell r="AU78">
            <v>-72703</v>
          </cell>
          <cell r="AV78">
            <v>0</v>
          </cell>
          <cell r="AW78">
            <v>-727020</v>
          </cell>
          <cell r="AX78">
            <v>-4551158.5999999996</v>
          </cell>
          <cell r="AY78">
            <v>-3640926</v>
          </cell>
          <cell r="AZ78">
            <v>-910231</v>
          </cell>
          <cell r="BA78">
            <v>0</v>
          </cell>
          <cell r="BB78">
            <v>-9102315</v>
          </cell>
          <cell r="BC78">
            <v>62196279</v>
          </cell>
          <cell r="BD78">
            <v>-2148895</v>
          </cell>
          <cell r="BE78">
            <v>1721549</v>
          </cell>
          <cell r="BF78">
            <v>0</v>
          </cell>
          <cell r="BG78">
            <v>-4362362</v>
          </cell>
          <cell r="BH78">
            <v>-84241</v>
          </cell>
          <cell r="BI78">
            <v>-4125</v>
          </cell>
          <cell r="BJ78">
            <v>-143345</v>
          </cell>
          <cell r="BK78">
            <v>-1977526</v>
          </cell>
          <cell r="BL78">
            <v>-271091</v>
          </cell>
          <cell r="BM78">
            <v>-1851</v>
          </cell>
          <cell r="BN78">
            <v>0</v>
          </cell>
          <cell r="BO78">
            <v>-1125</v>
          </cell>
          <cell r="BP78">
            <v>-888</v>
          </cell>
          <cell r="BQ78">
            <v>0</v>
          </cell>
          <cell r="BR78">
            <v>0</v>
          </cell>
          <cell r="BS78">
            <v>0</v>
          </cell>
          <cell r="BT78">
            <v>62592295</v>
          </cell>
          <cell r="BU78">
            <v>-461891</v>
          </cell>
          <cell r="BV78">
            <v>2694014</v>
          </cell>
          <cell r="BW78">
            <v>-1562440</v>
          </cell>
          <cell r="BX78">
            <v>-1652648</v>
          </cell>
          <cell r="BY78">
            <v>-521318</v>
          </cell>
          <cell r="BZ78">
            <v>57950038</v>
          </cell>
          <cell r="CA78">
            <v>-826324</v>
          </cell>
          <cell r="CB78">
            <v>-661059</v>
          </cell>
          <cell r="CC78">
            <v>-165265</v>
          </cell>
          <cell r="CD78">
            <v>0</v>
          </cell>
          <cell r="CE78">
            <v>-260659</v>
          </cell>
          <cell r="CF78">
            <v>-208527</v>
          </cell>
          <cell r="CG78">
            <v>-52132</v>
          </cell>
          <cell r="CH78">
            <v>0</v>
          </cell>
        </row>
        <row r="79">
          <cell r="A79">
            <v>72</v>
          </cell>
          <cell r="B79" t="str">
            <v>Darlington</v>
          </cell>
          <cell r="C79" t="str">
            <v>E1301</v>
          </cell>
          <cell r="D79">
            <v>143297</v>
          </cell>
          <cell r="H79">
            <v>-3678725</v>
          </cell>
          <cell r="I79">
            <v>-12096</v>
          </cell>
          <cell r="J79">
            <v>143297</v>
          </cell>
          <cell r="K79">
            <v>221036</v>
          </cell>
          <cell r="L79">
            <v>0</v>
          </cell>
          <cell r="M79">
            <v>0</v>
          </cell>
          <cell r="N79">
            <v>16520</v>
          </cell>
          <cell r="O79">
            <v>16520</v>
          </cell>
          <cell r="P79">
            <v>0</v>
          </cell>
          <cell r="Q79">
            <v>0</v>
          </cell>
          <cell r="R79">
            <v>780129</v>
          </cell>
          <cell r="S79">
            <v>0</v>
          </cell>
          <cell r="T79">
            <v>15592</v>
          </cell>
          <cell r="U79">
            <v>3618</v>
          </cell>
          <cell r="V79">
            <v>0</v>
          </cell>
          <cell r="W79">
            <v>74</v>
          </cell>
          <cell r="X79">
            <v>53089</v>
          </cell>
          <cell r="Y79">
            <v>0</v>
          </cell>
          <cell r="Z79">
            <v>1036</v>
          </cell>
          <cell r="AA79">
            <v>12301</v>
          </cell>
          <cell r="AB79">
            <v>0</v>
          </cell>
          <cell r="AC79">
            <v>251</v>
          </cell>
          <cell r="AD79">
            <v>0</v>
          </cell>
          <cell r="AE79">
            <v>0</v>
          </cell>
          <cell r="AF79">
            <v>0</v>
          </cell>
          <cell r="AG79">
            <v>0</v>
          </cell>
          <cell r="AH79">
            <v>0</v>
          </cell>
          <cell r="AI79">
            <v>0</v>
          </cell>
          <cell r="AM79">
            <v>0</v>
          </cell>
          <cell r="AN79">
            <v>0</v>
          </cell>
          <cell r="AO79">
            <v>0</v>
          </cell>
          <cell r="AP79">
            <v>221361</v>
          </cell>
          <cell r="AQ79">
            <v>0</v>
          </cell>
          <cell r="AR79">
            <v>4445</v>
          </cell>
          <cell r="AS79">
            <v>-181220</v>
          </cell>
          <cell r="AT79">
            <v>-177595</v>
          </cell>
          <cell r="AU79">
            <v>0</v>
          </cell>
          <cell r="AV79">
            <v>-3625</v>
          </cell>
          <cell r="AW79">
            <v>-362440</v>
          </cell>
          <cell r="AX79">
            <v>-529889</v>
          </cell>
          <cell r="AY79">
            <v>-519290</v>
          </cell>
          <cell r="AZ79">
            <v>0</v>
          </cell>
          <cell r="BA79">
            <v>-10599</v>
          </cell>
          <cell r="BB79">
            <v>-1059778</v>
          </cell>
          <cell r="BC79">
            <v>33546353</v>
          </cell>
          <cell r="BD79">
            <v>-2545405</v>
          </cell>
          <cell r="BE79">
            <v>966697</v>
          </cell>
          <cell r="BF79">
            <v>0</v>
          </cell>
          <cell r="BG79">
            <v>-2612725</v>
          </cell>
          <cell r="BH79">
            <v>-53566</v>
          </cell>
          <cell r="BI79">
            <v>-335</v>
          </cell>
          <cell r="BJ79">
            <v>-9421</v>
          </cell>
          <cell r="BK79">
            <v>-1512550</v>
          </cell>
          <cell r="BL79">
            <v>-40934</v>
          </cell>
          <cell r="BM79">
            <v>0</v>
          </cell>
          <cell r="BN79">
            <v>0</v>
          </cell>
          <cell r="BO79">
            <v>0</v>
          </cell>
          <cell r="BP79">
            <v>0</v>
          </cell>
          <cell r="BQ79">
            <v>-14298</v>
          </cell>
          <cell r="BR79">
            <v>-14298</v>
          </cell>
          <cell r="BS79">
            <v>0</v>
          </cell>
          <cell r="BT79">
            <v>34831495</v>
          </cell>
          <cell r="BU79">
            <v>-373716</v>
          </cell>
          <cell r="BV79">
            <v>1448378</v>
          </cell>
          <cell r="BW79">
            <v>-467631</v>
          </cell>
          <cell r="BX79">
            <v>-2482880</v>
          </cell>
          <cell r="BY79">
            <v>-2363574</v>
          </cell>
          <cell r="BZ79">
            <v>29589332</v>
          </cell>
          <cell r="CA79">
            <v>-1241441</v>
          </cell>
          <cell r="CB79">
            <v>-1216611</v>
          </cell>
          <cell r="CC79">
            <v>0</v>
          </cell>
          <cell r="CD79">
            <v>-24828</v>
          </cell>
          <cell r="CE79">
            <v>-1181787</v>
          </cell>
          <cell r="CF79">
            <v>-1158151</v>
          </cell>
          <cell r="CG79">
            <v>0</v>
          </cell>
          <cell r="CH79">
            <v>-23636</v>
          </cell>
        </row>
        <row r="80">
          <cell r="A80">
            <v>73</v>
          </cell>
          <cell r="B80" t="str">
            <v>Dartford</v>
          </cell>
          <cell r="C80" t="str">
            <v>E2233</v>
          </cell>
          <cell r="D80">
            <v>168218</v>
          </cell>
          <cell r="H80">
            <v>-4455256</v>
          </cell>
          <cell r="I80">
            <v>0</v>
          </cell>
          <cell r="J80">
            <v>168218</v>
          </cell>
          <cell r="K80">
            <v>0</v>
          </cell>
          <cell r="L80">
            <v>0</v>
          </cell>
          <cell r="M80">
            <v>0</v>
          </cell>
          <cell r="N80">
            <v>0</v>
          </cell>
          <cell r="O80">
            <v>0</v>
          </cell>
          <cell r="P80">
            <v>0</v>
          </cell>
          <cell r="Q80">
            <v>0</v>
          </cell>
          <cell r="R80">
            <v>529308</v>
          </cell>
          <cell r="S80">
            <v>119094</v>
          </cell>
          <cell r="T80">
            <v>13233</v>
          </cell>
          <cell r="U80">
            <v>4295</v>
          </cell>
          <cell r="V80">
            <v>966</v>
          </cell>
          <cell r="W80">
            <v>107</v>
          </cell>
          <cell r="X80">
            <v>0</v>
          </cell>
          <cell r="Y80">
            <v>0</v>
          </cell>
          <cell r="Z80">
            <v>0</v>
          </cell>
          <cell r="AA80">
            <v>0</v>
          </cell>
          <cell r="AB80">
            <v>0</v>
          </cell>
          <cell r="AC80">
            <v>0</v>
          </cell>
          <cell r="AD80">
            <v>0</v>
          </cell>
          <cell r="AE80">
            <v>0</v>
          </cell>
          <cell r="AF80">
            <v>0</v>
          </cell>
          <cell r="AG80">
            <v>0</v>
          </cell>
          <cell r="AH80">
            <v>0</v>
          </cell>
          <cell r="AI80">
            <v>0</v>
          </cell>
          <cell r="AM80">
            <v>0</v>
          </cell>
          <cell r="AN80">
            <v>0</v>
          </cell>
          <cell r="AO80">
            <v>0</v>
          </cell>
          <cell r="AP80">
            <v>475913</v>
          </cell>
          <cell r="AQ80">
            <v>107081</v>
          </cell>
          <cell r="AR80">
            <v>11898</v>
          </cell>
          <cell r="AS80">
            <v>-671885</v>
          </cell>
          <cell r="AT80">
            <v>-537512</v>
          </cell>
          <cell r="AU80">
            <v>-120941</v>
          </cell>
          <cell r="AV80">
            <v>-13439</v>
          </cell>
          <cell r="AW80">
            <v>-1343777</v>
          </cell>
          <cell r="AX80">
            <v>-6186874</v>
          </cell>
          <cell r="AY80">
            <v>-4949498</v>
          </cell>
          <cell r="AZ80">
            <v>-1113637</v>
          </cell>
          <cell r="BA80">
            <v>-123737</v>
          </cell>
          <cell r="BB80">
            <v>-12373746</v>
          </cell>
          <cell r="BC80">
            <v>88351909</v>
          </cell>
          <cell r="BD80">
            <v>-1509070</v>
          </cell>
          <cell r="BE80">
            <v>2403648</v>
          </cell>
          <cell r="BF80">
            <v>0</v>
          </cell>
          <cell r="BG80">
            <v>-2796576</v>
          </cell>
          <cell r="BH80">
            <v>-52257</v>
          </cell>
          <cell r="BI80">
            <v>0</v>
          </cell>
          <cell r="BJ80">
            <v>-95630</v>
          </cell>
          <cell r="BK80">
            <v>-2074603</v>
          </cell>
          <cell r="BL80">
            <v>-39964</v>
          </cell>
          <cell r="BM80">
            <v>-134053</v>
          </cell>
          <cell r="BN80">
            <v>-8051</v>
          </cell>
          <cell r="BO80">
            <v>0</v>
          </cell>
          <cell r="BP80">
            <v>-2319</v>
          </cell>
          <cell r="BQ80">
            <v>-2500</v>
          </cell>
          <cell r="BR80">
            <v>0</v>
          </cell>
          <cell r="BS80">
            <v>0</v>
          </cell>
          <cell r="BT80">
            <v>89101483</v>
          </cell>
          <cell r="BU80">
            <v>-235745</v>
          </cell>
          <cell r="BV80">
            <v>1200798</v>
          </cell>
          <cell r="BW80">
            <v>-3262725</v>
          </cell>
          <cell r="BX80">
            <v>1940286</v>
          </cell>
          <cell r="BY80">
            <v>1178002</v>
          </cell>
          <cell r="BZ80">
            <v>79205588</v>
          </cell>
          <cell r="CA80">
            <v>970142</v>
          </cell>
          <cell r="CB80">
            <v>776115</v>
          </cell>
          <cell r="CC80">
            <v>174626</v>
          </cell>
          <cell r="CD80">
            <v>19403</v>
          </cell>
          <cell r="CE80">
            <v>589001</v>
          </cell>
          <cell r="CF80">
            <v>471201</v>
          </cell>
          <cell r="CG80">
            <v>106020</v>
          </cell>
          <cell r="CH80">
            <v>11780</v>
          </cell>
        </row>
        <row r="81">
          <cell r="A81">
            <v>74</v>
          </cell>
          <cell r="B81" t="str">
            <v>Daventry</v>
          </cell>
          <cell r="C81" t="str">
            <v>E2832</v>
          </cell>
          <cell r="D81">
            <v>119376</v>
          </cell>
          <cell r="H81">
            <v>-766314</v>
          </cell>
          <cell r="I81">
            <v>0</v>
          </cell>
          <cell r="J81">
            <v>119376</v>
          </cell>
          <cell r="K81">
            <v>0</v>
          </cell>
          <cell r="L81">
            <v>799514</v>
          </cell>
          <cell r="M81">
            <v>0.13999999989755452</v>
          </cell>
          <cell r="N81">
            <v>0</v>
          </cell>
          <cell r="O81">
            <v>0</v>
          </cell>
          <cell r="P81">
            <v>0</v>
          </cell>
          <cell r="Q81">
            <v>0</v>
          </cell>
          <cell r="R81">
            <v>465155</v>
          </cell>
          <cell r="S81">
            <v>116289</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M81">
            <v>0</v>
          </cell>
          <cell r="AN81">
            <v>0</v>
          </cell>
          <cell r="AO81">
            <v>0</v>
          </cell>
          <cell r="AP81">
            <v>278083</v>
          </cell>
          <cell r="AQ81">
            <v>66518</v>
          </cell>
          <cell r="AR81">
            <v>0</v>
          </cell>
          <cell r="AS81">
            <v>-104597</v>
          </cell>
          <cell r="AT81">
            <v>-83678</v>
          </cell>
          <cell r="AU81">
            <v>-20921</v>
          </cell>
          <cell r="AV81">
            <v>0</v>
          </cell>
          <cell r="AW81">
            <v>-209196</v>
          </cell>
          <cell r="AX81">
            <v>-1201507</v>
          </cell>
          <cell r="AY81">
            <v>-961204</v>
          </cell>
          <cell r="AZ81">
            <v>-240300</v>
          </cell>
          <cell r="BA81">
            <v>0</v>
          </cell>
          <cell r="BB81">
            <v>-2403011</v>
          </cell>
          <cell r="BC81">
            <v>46229102</v>
          </cell>
          <cell r="BD81">
            <v>-1789296</v>
          </cell>
          <cell r="BE81">
            <v>1198941</v>
          </cell>
          <cell r="BF81">
            <v>0</v>
          </cell>
          <cell r="BG81">
            <v>-1769794</v>
          </cell>
          <cell r="BH81">
            <v>-36788</v>
          </cell>
          <cell r="BI81">
            <v>-40093</v>
          </cell>
          <cell r="BJ81">
            <v>-264034</v>
          </cell>
          <cell r="BK81">
            <v>-1230100</v>
          </cell>
          <cell r="BL81">
            <v>-40185</v>
          </cell>
          <cell r="BM81">
            <v>-12709</v>
          </cell>
          <cell r="BN81">
            <v>-393</v>
          </cell>
          <cell r="BO81">
            <v>-7748</v>
          </cell>
          <cell r="BP81">
            <v>0</v>
          </cell>
          <cell r="BQ81">
            <v>0</v>
          </cell>
          <cell r="BR81">
            <v>0</v>
          </cell>
          <cell r="BS81">
            <v>0</v>
          </cell>
          <cell r="BT81">
            <v>45449158</v>
          </cell>
          <cell r="BU81">
            <v>-105924</v>
          </cell>
          <cell r="BV81">
            <v>366398</v>
          </cell>
          <cell r="BW81">
            <v>-350415</v>
          </cell>
          <cell r="BX81">
            <v>2718600</v>
          </cell>
          <cell r="BY81">
            <v>2502573</v>
          </cell>
          <cell r="BZ81">
            <v>44282179</v>
          </cell>
          <cell r="CA81">
            <v>1359300</v>
          </cell>
          <cell r="CB81">
            <v>1087440</v>
          </cell>
          <cell r="CC81">
            <v>271860</v>
          </cell>
          <cell r="CD81">
            <v>0</v>
          </cell>
          <cell r="CE81">
            <v>1251287</v>
          </cell>
          <cell r="CF81">
            <v>1001029</v>
          </cell>
          <cell r="CG81">
            <v>250257</v>
          </cell>
          <cell r="CH81">
            <v>0</v>
          </cell>
        </row>
        <row r="82">
          <cell r="A82">
            <v>75</v>
          </cell>
          <cell r="B82" t="str">
            <v>Derby</v>
          </cell>
          <cell r="C82" t="str">
            <v>E1001</v>
          </cell>
          <cell r="D82">
            <v>314953</v>
          </cell>
          <cell r="H82">
            <v>1496192</v>
          </cell>
          <cell r="I82">
            <v>0</v>
          </cell>
          <cell r="J82">
            <v>314953</v>
          </cell>
          <cell r="K82">
            <v>137025</v>
          </cell>
          <cell r="L82">
            <v>740000</v>
          </cell>
          <cell r="M82">
            <v>0</v>
          </cell>
          <cell r="N82">
            <v>0</v>
          </cell>
          <cell r="O82">
            <v>0</v>
          </cell>
          <cell r="P82">
            <v>0</v>
          </cell>
          <cell r="Q82">
            <v>0</v>
          </cell>
          <cell r="R82">
            <v>1329085</v>
          </cell>
          <cell r="S82">
            <v>0</v>
          </cell>
          <cell r="T82">
            <v>27124</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M82">
            <v>0</v>
          </cell>
          <cell r="AN82">
            <v>0</v>
          </cell>
          <cell r="AO82">
            <v>0</v>
          </cell>
          <cell r="AP82">
            <v>671889</v>
          </cell>
          <cell r="AQ82">
            <v>0</v>
          </cell>
          <cell r="AR82">
            <v>13443</v>
          </cell>
          <cell r="AS82">
            <v>-2181475</v>
          </cell>
          <cell r="AT82">
            <v>-2137845</v>
          </cell>
          <cell r="AU82">
            <v>0</v>
          </cell>
          <cell r="AV82">
            <v>-43630</v>
          </cell>
          <cell r="AW82">
            <v>-4362950</v>
          </cell>
          <cell r="AX82">
            <v>-4036602</v>
          </cell>
          <cell r="AY82">
            <v>-3955868</v>
          </cell>
          <cell r="AZ82">
            <v>0</v>
          </cell>
          <cell r="BA82">
            <v>-80733</v>
          </cell>
          <cell r="BB82">
            <v>-8073203</v>
          </cell>
          <cell r="BC82">
            <v>87358749</v>
          </cell>
          <cell r="BD82">
            <v>-4395297</v>
          </cell>
          <cell r="BE82">
            <v>2461047</v>
          </cell>
          <cell r="BF82">
            <v>0</v>
          </cell>
          <cell r="BG82">
            <v>-5802038</v>
          </cell>
          <cell r="BH82">
            <v>-37096</v>
          </cell>
          <cell r="BI82">
            <v>0</v>
          </cell>
          <cell r="BJ82">
            <v>-303138</v>
          </cell>
          <cell r="BK82">
            <v>-2841120</v>
          </cell>
          <cell r="BL82">
            <v>-65364</v>
          </cell>
          <cell r="BM82">
            <v>-166370</v>
          </cell>
          <cell r="BN82">
            <v>-8697</v>
          </cell>
          <cell r="BO82">
            <v>0</v>
          </cell>
          <cell r="BP82">
            <v>0</v>
          </cell>
          <cell r="BQ82">
            <v>-22066</v>
          </cell>
          <cell r="BR82">
            <v>-22066</v>
          </cell>
          <cell r="BS82">
            <v>0</v>
          </cell>
          <cell r="BT82">
            <v>89826047</v>
          </cell>
          <cell r="BU82">
            <v>-570081</v>
          </cell>
          <cell r="BV82">
            <v>7095088</v>
          </cell>
          <cell r="BW82">
            <v>-479770</v>
          </cell>
          <cell r="BX82">
            <v>-5373791</v>
          </cell>
          <cell r="BY82">
            <v>-1208083</v>
          </cell>
          <cell r="BZ82">
            <v>89493062</v>
          </cell>
          <cell r="CA82">
            <v>-2686895</v>
          </cell>
          <cell r="CB82">
            <v>-2633157</v>
          </cell>
          <cell r="CC82">
            <v>0</v>
          </cell>
          <cell r="CD82">
            <v>-53739</v>
          </cell>
          <cell r="CE82">
            <v>-604041</v>
          </cell>
          <cell r="CF82">
            <v>-591961</v>
          </cell>
          <cell r="CG82">
            <v>0</v>
          </cell>
          <cell r="CH82">
            <v>-12081</v>
          </cell>
        </row>
        <row r="83">
          <cell r="A83">
            <v>76</v>
          </cell>
          <cell r="B83" t="str">
            <v>Derbyshire Dales</v>
          </cell>
          <cell r="C83" t="str">
            <v>E1035</v>
          </cell>
          <cell r="D83">
            <v>147507</v>
          </cell>
          <cell r="H83">
            <v>2122714</v>
          </cell>
          <cell r="I83">
            <v>0</v>
          </cell>
          <cell r="J83">
            <v>147507</v>
          </cell>
          <cell r="K83">
            <v>0</v>
          </cell>
          <cell r="L83">
            <v>166647</v>
          </cell>
          <cell r="M83">
            <v>0</v>
          </cell>
          <cell r="N83">
            <v>0</v>
          </cell>
          <cell r="O83">
            <v>0</v>
          </cell>
          <cell r="P83">
            <v>0</v>
          </cell>
          <cell r="Q83">
            <v>0</v>
          </cell>
          <cell r="R83">
            <v>698650</v>
          </cell>
          <cell r="S83">
            <v>157196</v>
          </cell>
          <cell r="T83">
            <v>17466</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M83">
            <v>0</v>
          </cell>
          <cell r="AN83">
            <v>0</v>
          </cell>
          <cell r="AO83">
            <v>0</v>
          </cell>
          <cell r="AP83">
            <v>119748</v>
          </cell>
          <cell r="AQ83">
            <v>26380</v>
          </cell>
          <cell r="AR83">
            <v>2931</v>
          </cell>
          <cell r="AS83">
            <v>-82500</v>
          </cell>
          <cell r="AT83">
            <v>-66000</v>
          </cell>
          <cell r="AU83">
            <v>-14850</v>
          </cell>
          <cell r="AV83">
            <v>-1650</v>
          </cell>
          <cell r="AW83">
            <v>-165000</v>
          </cell>
          <cell r="AX83">
            <v>-318000</v>
          </cell>
          <cell r="AY83">
            <v>-254400</v>
          </cell>
          <cell r="AZ83">
            <v>-57239</v>
          </cell>
          <cell r="BA83">
            <v>-6361</v>
          </cell>
          <cell r="BB83">
            <v>-636000</v>
          </cell>
          <cell r="BC83">
            <v>16387341</v>
          </cell>
          <cell r="BD83">
            <v>-2875862</v>
          </cell>
          <cell r="BE83">
            <v>409716</v>
          </cell>
          <cell r="BF83">
            <v>0</v>
          </cell>
          <cell r="BG83">
            <v>-1067524</v>
          </cell>
          <cell r="BH83">
            <v>-20476</v>
          </cell>
          <cell r="BI83">
            <v>-61968</v>
          </cell>
          <cell r="BJ83">
            <v>-1157</v>
          </cell>
          <cell r="BK83">
            <v>-357563</v>
          </cell>
          <cell r="BL83">
            <v>-116607</v>
          </cell>
          <cell r="BM83">
            <v>-125572</v>
          </cell>
          <cell r="BN83">
            <v>-3578</v>
          </cell>
          <cell r="BO83">
            <v>-61968</v>
          </cell>
          <cell r="BP83">
            <v>-9414</v>
          </cell>
          <cell r="BQ83">
            <v>0</v>
          </cell>
          <cell r="BR83">
            <v>0</v>
          </cell>
          <cell r="BS83">
            <v>0</v>
          </cell>
          <cell r="BT83">
            <v>17103372</v>
          </cell>
          <cell r="BU83">
            <v>-525492</v>
          </cell>
          <cell r="BV83">
            <v>790685</v>
          </cell>
          <cell r="BW83">
            <v>-276247</v>
          </cell>
          <cell r="BX83">
            <v>-1503270</v>
          </cell>
          <cell r="BY83">
            <v>-156743</v>
          </cell>
          <cell r="BZ83">
            <v>19512848</v>
          </cell>
          <cell r="CA83">
            <v>-751633</v>
          </cell>
          <cell r="CB83">
            <v>-601309</v>
          </cell>
          <cell r="CC83">
            <v>-135295</v>
          </cell>
          <cell r="CD83">
            <v>-15033</v>
          </cell>
          <cell r="CE83">
            <v>-78372</v>
          </cell>
          <cell r="CF83">
            <v>-62697</v>
          </cell>
          <cell r="CG83">
            <v>-14107</v>
          </cell>
          <cell r="CH83">
            <v>-1567</v>
          </cell>
        </row>
        <row r="84">
          <cell r="A84">
            <v>77</v>
          </cell>
          <cell r="B84" t="str">
            <v>Doncaster</v>
          </cell>
          <cell r="C84" t="str">
            <v>E4402</v>
          </cell>
          <cell r="D84">
            <v>371344</v>
          </cell>
          <cell r="H84">
            <v>-4276330</v>
          </cell>
          <cell r="I84">
            <v>0</v>
          </cell>
          <cell r="J84">
            <v>371344</v>
          </cell>
          <cell r="K84">
            <v>0</v>
          </cell>
          <cell r="L84">
            <v>171341</v>
          </cell>
          <cell r="M84">
            <v>0</v>
          </cell>
          <cell r="N84">
            <v>0</v>
          </cell>
          <cell r="O84">
            <v>0</v>
          </cell>
          <cell r="P84">
            <v>0</v>
          </cell>
          <cell r="Q84">
            <v>0</v>
          </cell>
          <cell r="R84">
            <v>1863538</v>
          </cell>
          <cell r="S84">
            <v>0</v>
          </cell>
          <cell r="T84">
            <v>38031</v>
          </cell>
          <cell r="U84">
            <v>25806</v>
          </cell>
          <cell r="V84">
            <v>0</v>
          </cell>
          <cell r="W84">
            <v>527</v>
          </cell>
          <cell r="X84">
            <v>70887</v>
          </cell>
          <cell r="Y84">
            <v>0</v>
          </cell>
          <cell r="Z84">
            <v>1447</v>
          </cell>
          <cell r="AA84">
            <v>0</v>
          </cell>
          <cell r="AB84">
            <v>0</v>
          </cell>
          <cell r="AC84">
            <v>0</v>
          </cell>
          <cell r="AD84">
            <v>0</v>
          </cell>
          <cell r="AE84">
            <v>0</v>
          </cell>
          <cell r="AF84">
            <v>0</v>
          </cell>
          <cell r="AG84">
            <v>0</v>
          </cell>
          <cell r="AH84">
            <v>0</v>
          </cell>
          <cell r="AI84">
            <v>0</v>
          </cell>
          <cell r="AM84">
            <v>0</v>
          </cell>
          <cell r="AN84">
            <v>0</v>
          </cell>
          <cell r="AO84">
            <v>0</v>
          </cell>
          <cell r="AP84">
            <v>669210</v>
          </cell>
          <cell r="AQ84">
            <v>0</v>
          </cell>
          <cell r="AR84">
            <v>13605</v>
          </cell>
          <cell r="AS84">
            <v>-1687563</v>
          </cell>
          <cell r="AT84">
            <v>-1653811</v>
          </cell>
          <cell r="AU84">
            <v>0</v>
          </cell>
          <cell r="AV84">
            <v>-33751</v>
          </cell>
          <cell r="AW84">
            <v>-3375125</v>
          </cell>
          <cell r="AX84">
            <v>-3396396</v>
          </cell>
          <cell r="AY84">
            <v>-3328472</v>
          </cell>
          <cell r="AZ84">
            <v>0</v>
          </cell>
          <cell r="BA84">
            <v>-67929</v>
          </cell>
          <cell r="BB84">
            <v>-6792797</v>
          </cell>
          <cell r="BC84">
            <v>94741667</v>
          </cell>
          <cell r="BD84">
            <v>-6421985</v>
          </cell>
          <cell r="BE84">
            <v>2602422</v>
          </cell>
          <cell r="BF84">
            <v>0</v>
          </cell>
          <cell r="BG84">
            <v>-6129111</v>
          </cell>
          <cell r="BH84">
            <v>-50730</v>
          </cell>
          <cell r="BI84">
            <v>-9282</v>
          </cell>
          <cell r="BJ84">
            <v>-73720</v>
          </cell>
          <cell r="BK84">
            <v>-3340997</v>
          </cell>
          <cell r="BL84">
            <v>-337347</v>
          </cell>
          <cell r="BM84">
            <v>-179346</v>
          </cell>
          <cell r="BN84">
            <v>0</v>
          </cell>
          <cell r="BO84">
            <v>-1273</v>
          </cell>
          <cell r="BP84">
            <v>0</v>
          </cell>
          <cell r="BQ84">
            <v>0</v>
          </cell>
          <cell r="BR84">
            <v>0</v>
          </cell>
          <cell r="BS84">
            <v>0</v>
          </cell>
          <cell r="BT84">
            <v>95035771</v>
          </cell>
          <cell r="BU84">
            <v>-2412554</v>
          </cell>
          <cell r="BV84">
            <v>7031614</v>
          </cell>
          <cell r="BW84">
            <v>-1680589</v>
          </cell>
          <cell r="BX84">
            <v>-2340394</v>
          </cell>
          <cell r="BY84">
            <v>-995680</v>
          </cell>
          <cell r="BZ84">
            <v>90569233</v>
          </cell>
          <cell r="CA84">
            <v>-1170198</v>
          </cell>
          <cell r="CB84">
            <v>-1146793</v>
          </cell>
          <cell r="CC84">
            <v>0</v>
          </cell>
          <cell r="CD84">
            <v>-23403</v>
          </cell>
          <cell r="CE84">
            <v>-497840</v>
          </cell>
          <cell r="CF84">
            <v>-487883</v>
          </cell>
          <cell r="CG84">
            <v>0</v>
          </cell>
          <cell r="CH84">
            <v>-9957</v>
          </cell>
        </row>
        <row r="85">
          <cell r="A85">
            <v>78</v>
          </cell>
          <cell r="B85" t="str">
            <v>Dover</v>
          </cell>
          <cell r="C85" t="str">
            <v>E2234</v>
          </cell>
          <cell r="D85">
            <v>164215</v>
          </cell>
          <cell r="H85">
            <v>4615286</v>
          </cell>
          <cell r="I85">
            <v>0</v>
          </cell>
          <cell r="J85">
            <v>164215</v>
          </cell>
          <cell r="K85">
            <v>0</v>
          </cell>
          <cell r="L85">
            <v>39656</v>
          </cell>
          <cell r="M85">
            <v>0</v>
          </cell>
          <cell r="N85">
            <v>1327000</v>
          </cell>
          <cell r="O85">
            <v>1061600</v>
          </cell>
          <cell r="P85">
            <v>238860</v>
          </cell>
          <cell r="Q85">
            <v>26540</v>
          </cell>
          <cell r="R85">
            <v>859688</v>
          </cell>
          <cell r="S85">
            <v>193430</v>
          </cell>
          <cell r="T85">
            <v>21492</v>
          </cell>
          <cell r="U85">
            <v>739</v>
          </cell>
          <cell r="V85">
            <v>166</v>
          </cell>
          <cell r="W85">
            <v>18</v>
          </cell>
          <cell r="X85">
            <v>0</v>
          </cell>
          <cell r="Y85">
            <v>0</v>
          </cell>
          <cell r="Z85">
            <v>0</v>
          </cell>
          <cell r="AA85">
            <v>271</v>
          </cell>
          <cell r="AB85">
            <v>61</v>
          </cell>
          <cell r="AC85">
            <v>7</v>
          </cell>
          <cell r="AD85">
            <v>0</v>
          </cell>
          <cell r="AE85">
            <v>0</v>
          </cell>
          <cell r="AF85">
            <v>0</v>
          </cell>
          <cell r="AG85">
            <v>0</v>
          </cell>
          <cell r="AH85">
            <v>0</v>
          </cell>
          <cell r="AI85">
            <v>0</v>
          </cell>
          <cell r="AM85">
            <v>0</v>
          </cell>
          <cell r="AN85">
            <v>0</v>
          </cell>
          <cell r="AO85">
            <v>0</v>
          </cell>
          <cell r="AP85">
            <v>246503</v>
          </cell>
          <cell r="AQ85">
            <v>55329</v>
          </cell>
          <cell r="AR85">
            <v>6148</v>
          </cell>
          <cell r="AS85">
            <v>-880768</v>
          </cell>
          <cell r="AT85">
            <v>-704617</v>
          </cell>
          <cell r="AU85">
            <v>-158539</v>
          </cell>
          <cell r="AV85">
            <v>-17616</v>
          </cell>
          <cell r="AW85">
            <v>-1761540</v>
          </cell>
          <cell r="AX85">
            <v>-1203000</v>
          </cell>
          <cell r="AY85">
            <v>-962400</v>
          </cell>
          <cell r="AZ85">
            <v>-216540</v>
          </cell>
          <cell r="BA85">
            <v>-24060</v>
          </cell>
          <cell r="BB85">
            <v>-2406000</v>
          </cell>
          <cell r="BC85">
            <v>35013793</v>
          </cell>
          <cell r="BD85">
            <v>-2660732</v>
          </cell>
          <cell r="BE85">
            <v>971236</v>
          </cell>
          <cell r="BF85">
            <v>0</v>
          </cell>
          <cell r="BG85">
            <v>-2407067</v>
          </cell>
          <cell r="BH85">
            <v>-36718</v>
          </cell>
          <cell r="BI85">
            <v>-27028</v>
          </cell>
          <cell r="BJ85">
            <v>0</v>
          </cell>
          <cell r="BK85">
            <v>-1038459</v>
          </cell>
          <cell r="BL85">
            <v>-146065</v>
          </cell>
          <cell r="BM85">
            <v>-24352</v>
          </cell>
          <cell r="BN85">
            <v>0</v>
          </cell>
          <cell r="BO85">
            <v>0</v>
          </cell>
          <cell r="BP85">
            <v>0</v>
          </cell>
          <cell r="BQ85">
            <v>-2708889</v>
          </cell>
          <cell r="BR85">
            <v>0</v>
          </cell>
          <cell r="BS85">
            <v>-2750260</v>
          </cell>
          <cell r="BT85">
            <v>34842167</v>
          </cell>
          <cell r="BU85">
            <v>-228710</v>
          </cell>
          <cell r="BV85">
            <v>2218812</v>
          </cell>
          <cell r="BW85">
            <v>-659002</v>
          </cell>
          <cell r="BX85">
            <v>-1298484</v>
          </cell>
          <cell r="BY85">
            <v>-1820018</v>
          </cell>
          <cell r="BZ85">
            <v>38272000</v>
          </cell>
          <cell r="CA85">
            <v>-649241</v>
          </cell>
          <cell r="CB85">
            <v>-519394</v>
          </cell>
          <cell r="CC85">
            <v>-116864</v>
          </cell>
          <cell r="CD85">
            <v>-12985</v>
          </cell>
          <cell r="CE85">
            <v>-910009</v>
          </cell>
          <cell r="CF85">
            <v>-728007</v>
          </cell>
          <cell r="CG85">
            <v>-163802</v>
          </cell>
          <cell r="CH85">
            <v>-18200</v>
          </cell>
        </row>
        <row r="86">
          <cell r="A86">
            <v>79</v>
          </cell>
          <cell r="B86" t="str">
            <v>Dudley</v>
          </cell>
          <cell r="C86" t="str">
            <v>E4603</v>
          </cell>
          <cell r="D86">
            <v>417732</v>
          </cell>
          <cell r="H86">
            <v>-4574788</v>
          </cell>
          <cell r="I86">
            <v>-2338</v>
          </cell>
          <cell r="J86">
            <v>417732</v>
          </cell>
          <cell r="K86">
            <v>0</v>
          </cell>
          <cell r="L86">
            <v>0</v>
          </cell>
          <cell r="M86">
            <v>0</v>
          </cell>
          <cell r="N86">
            <v>0</v>
          </cell>
          <cell r="O86">
            <v>0</v>
          </cell>
          <cell r="P86">
            <v>0</v>
          </cell>
          <cell r="Q86">
            <v>0</v>
          </cell>
          <cell r="R86">
            <v>4626557</v>
          </cell>
          <cell r="S86">
            <v>0</v>
          </cell>
          <cell r="T86">
            <v>46710</v>
          </cell>
          <cell r="U86">
            <v>7934</v>
          </cell>
          <cell r="V86">
            <v>0</v>
          </cell>
          <cell r="W86">
            <v>80</v>
          </cell>
          <cell r="X86">
            <v>0</v>
          </cell>
          <cell r="Y86">
            <v>0</v>
          </cell>
          <cell r="Z86">
            <v>0</v>
          </cell>
          <cell r="AA86">
            <v>18287</v>
          </cell>
          <cell r="AB86">
            <v>0</v>
          </cell>
          <cell r="AC86">
            <v>185</v>
          </cell>
          <cell r="AD86">
            <v>0</v>
          </cell>
          <cell r="AE86">
            <v>0</v>
          </cell>
          <cell r="AF86">
            <v>0</v>
          </cell>
          <cell r="AG86">
            <v>0</v>
          </cell>
          <cell r="AH86">
            <v>0</v>
          </cell>
          <cell r="AI86">
            <v>0</v>
          </cell>
          <cell r="AM86">
            <v>0</v>
          </cell>
          <cell r="AN86">
            <v>0</v>
          </cell>
          <cell r="AO86">
            <v>0</v>
          </cell>
          <cell r="AP86">
            <v>1255799</v>
          </cell>
          <cell r="AQ86">
            <v>0</v>
          </cell>
          <cell r="AR86">
            <v>12685</v>
          </cell>
          <cell r="AS86">
            <v>-2405000</v>
          </cell>
          <cell r="AT86">
            <v>-2356900</v>
          </cell>
          <cell r="AU86">
            <v>0</v>
          </cell>
          <cell r="AV86">
            <v>-48100</v>
          </cell>
          <cell r="AW86">
            <v>-4810000</v>
          </cell>
          <cell r="AX86">
            <v>-7250000</v>
          </cell>
          <cell r="AY86">
            <v>-7105000</v>
          </cell>
          <cell r="AZ86">
            <v>0</v>
          </cell>
          <cell r="BA86">
            <v>-145000</v>
          </cell>
          <cell r="BB86">
            <v>-14500000</v>
          </cell>
          <cell r="BC86">
            <v>90278607</v>
          </cell>
          <cell r="BD86">
            <v>-7445205</v>
          </cell>
          <cell r="BE86">
            <v>2623952</v>
          </cell>
          <cell r="BF86">
            <v>0</v>
          </cell>
          <cell r="BG86">
            <v>-5157660</v>
          </cell>
          <cell r="BH86">
            <v>-36162</v>
          </cell>
          <cell r="BI86">
            <v>0</v>
          </cell>
          <cell r="BJ86">
            <v>-25222</v>
          </cell>
          <cell r="BK86">
            <v>-4838327</v>
          </cell>
          <cell r="BL86">
            <v>-501390</v>
          </cell>
          <cell r="BM86">
            <v>-96855</v>
          </cell>
          <cell r="BN86">
            <v>-9040</v>
          </cell>
          <cell r="BO86">
            <v>0</v>
          </cell>
          <cell r="BP86">
            <v>0</v>
          </cell>
          <cell r="BQ86">
            <v>-30729</v>
          </cell>
          <cell r="BR86">
            <v>0</v>
          </cell>
          <cell r="BS86">
            <v>0</v>
          </cell>
          <cell r="BT86">
            <v>98603426</v>
          </cell>
          <cell r="BU86">
            <v>-1573196</v>
          </cell>
          <cell r="BV86">
            <v>7805788</v>
          </cell>
          <cell r="BW86">
            <v>-645370</v>
          </cell>
          <cell r="BX86">
            <v>-1195770</v>
          </cell>
          <cell r="BY86">
            <v>-1373428</v>
          </cell>
          <cell r="BZ86">
            <v>84444787</v>
          </cell>
          <cell r="CA86">
            <v>-597884</v>
          </cell>
          <cell r="CB86">
            <v>-585928</v>
          </cell>
          <cell r="CC86">
            <v>0</v>
          </cell>
          <cell r="CD86">
            <v>-11958</v>
          </cell>
          <cell r="CE86">
            <v>-686714</v>
          </cell>
          <cell r="CF86">
            <v>-672980</v>
          </cell>
          <cell r="CG86">
            <v>0</v>
          </cell>
          <cell r="CH86">
            <v>-13734</v>
          </cell>
        </row>
        <row r="87">
          <cell r="A87">
            <v>80</v>
          </cell>
          <cell r="B87" t="str">
            <v>Durham UA</v>
          </cell>
          <cell r="C87" t="str">
            <v>E1302</v>
          </cell>
          <cell r="D87">
            <v>589560</v>
          </cell>
          <cell r="H87">
            <v>-4826243</v>
          </cell>
          <cell r="I87">
            <v>0</v>
          </cell>
          <cell r="J87">
            <v>589560</v>
          </cell>
          <cell r="K87">
            <v>0</v>
          </cell>
          <cell r="L87">
            <v>86069</v>
          </cell>
          <cell r="M87">
            <v>0</v>
          </cell>
          <cell r="N87">
            <v>0</v>
          </cell>
          <cell r="O87">
            <v>0</v>
          </cell>
          <cell r="P87">
            <v>0</v>
          </cell>
          <cell r="Q87">
            <v>0</v>
          </cell>
          <cell r="R87">
            <v>3299520</v>
          </cell>
          <cell r="S87">
            <v>0</v>
          </cell>
          <cell r="T87">
            <v>67337</v>
          </cell>
          <cell r="U87">
            <v>6724</v>
          </cell>
          <cell r="V87">
            <v>0</v>
          </cell>
          <cell r="W87">
            <v>137</v>
          </cell>
          <cell r="X87">
            <v>5504</v>
          </cell>
          <cell r="Y87">
            <v>0</v>
          </cell>
          <cell r="Z87">
            <v>112</v>
          </cell>
          <cell r="AA87">
            <v>12883</v>
          </cell>
          <cell r="AB87">
            <v>0</v>
          </cell>
          <cell r="AC87">
            <v>263</v>
          </cell>
          <cell r="AD87">
            <v>0</v>
          </cell>
          <cell r="AE87">
            <v>0</v>
          </cell>
          <cell r="AF87">
            <v>0</v>
          </cell>
          <cell r="AG87">
            <v>0</v>
          </cell>
          <cell r="AH87">
            <v>0</v>
          </cell>
          <cell r="AI87">
            <v>0</v>
          </cell>
          <cell r="AM87">
            <v>0</v>
          </cell>
          <cell r="AN87">
            <v>0</v>
          </cell>
          <cell r="AO87">
            <v>0</v>
          </cell>
          <cell r="AP87">
            <v>732133</v>
          </cell>
          <cell r="AQ87">
            <v>0</v>
          </cell>
          <cell r="AR87">
            <v>14915</v>
          </cell>
          <cell r="AS87">
            <v>-2079461</v>
          </cell>
          <cell r="AT87">
            <v>-2037873</v>
          </cell>
          <cell r="AU87">
            <v>0</v>
          </cell>
          <cell r="AV87">
            <v>-41589</v>
          </cell>
          <cell r="AW87">
            <v>-4158923</v>
          </cell>
          <cell r="AX87">
            <v>-9100722</v>
          </cell>
          <cell r="AY87">
            <v>-8918709</v>
          </cell>
          <cell r="AZ87">
            <v>0</v>
          </cell>
          <cell r="BA87">
            <v>-182014</v>
          </cell>
          <cell r="BB87">
            <v>-18201445</v>
          </cell>
          <cell r="BC87">
            <v>116541364</v>
          </cell>
          <cell r="BD87">
            <v>-10200374</v>
          </cell>
          <cell r="BE87">
            <v>3306652</v>
          </cell>
          <cell r="BF87">
            <v>0</v>
          </cell>
          <cell r="BG87">
            <v>-10736733</v>
          </cell>
          <cell r="BH87">
            <v>-226838</v>
          </cell>
          <cell r="BI87">
            <v>-94507</v>
          </cell>
          <cell r="BJ87">
            <v>-669858</v>
          </cell>
          <cell r="BK87">
            <v>-5258814</v>
          </cell>
          <cell r="BL87">
            <v>-556643</v>
          </cell>
          <cell r="BM87">
            <v>-180320</v>
          </cell>
          <cell r="BN87">
            <v>0</v>
          </cell>
          <cell r="BO87">
            <v>-77321</v>
          </cell>
          <cell r="BP87">
            <v>-2118</v>
          </cell>
          <cell r="BQ87">
            <v>0</v>
          </cell>
          <cell r="BR87">
            <v>0</v>
          </cell>
          <cell r="BS87">
            <v>0</v>
          </cell>
          <cell r="BT87">
            <v>118332349</v>
          </cell>
          <cell r="BU87">
            <v>-1891132</v>
          </cell>
          <cell r="BV87">
            <v>5838403</v>
          </cell>
          <cell r="BW87">
            <v>-2263434</v>
          </cell>
          <cell r="BX87">
            <v>3706361</v>
          </cell>
          <cell r="BY87">
            <v>1695918</v>
          </cell>
          <cell r="BZ87">
            <v>99292047</v>
          </cell>
          <cell r="CA87">
            <v>1853181</v>
          </cell>
          <cell r="CB87">
            <v>1816116</v>
          </cell>
          <cell r="CC87">
            <v>0</v>
          </cell>
          <cell r="CD87">
            <v>37064</v>
          </cell>
          <cell r="CE87">
            <v>847959</v>
          </cell>
          <cell r="CF87">
            <v>831000</v>
          </cell>
          <cell r="CG87">
            <v>0</v>
          </cell>
          <cell r="CH87">
            <v>16959</v>
          </cell>
        </row>
        <row r="88">
          <cell r="A88">
            <v>81</v>
          </cell>
          <cell r="B88" t="str">
            <v>Ealing</v>
          </cell>
          <cell r="C88" t="str">
            <v>E5036</v>
          </cell>
          <cell r="D88">
            <v>495725</v>
          </cell>
          <cell r="H88">
            <v>5528699</v>
          </cell>
          <cell r="I88">
            <v>0</v>
          </cell>
          <cell r="J88">
            <v>495725</v>
          </cell>
          <cell r="K88">
            <v>0</v>
          </cell>
          <cell r="L88">
            <v>0</v>
          </cell>
          <cell r="M88">
            <v>0</v>
          </cell>
          <cell r="N88">
            <v>0</v>
          </cell>
          <cell r="O88">
            <v>0</v>
          </cell>
          <cell r="P88">
            <v>0</v>
          </cell>
          <cell r="Q88">
            <v>0</v>
          </cell>
          <cell r="R88">
            <v>1116225</v>
          </cell>
          <cell r="S88">
            <v>1376678</v>
          </cell>
          <cell r="T88">
            <v>0</v>
          </cell>
          <cell r="U88">
            <v>0</v>
          </cell>
          <cell r="V88">
            <v>0</v>
          </cell>
          <cell r="W88">
            <v>0</v>
          </cell>
          <cell r="X88">
            <v>25871</v>
          </cell>
          <cell r="Y88">
            <v>31908</v>
          </cell>
          <cell r="Z88">
            <v>0</v>
          </cell>
          <cell r="AA88">
            <v>6323</v>
          </cell>
          <cell r="AB88">
            <v>7798</v>
          </cell>
          <cell r="AC88">
            <v>0</v>
          </cell>
          <cell r="AD88">
            <v>0</v>
          </cell>
          <cell r="AE88">
            <v>0</v>
          </cell>
          <cell r="AF88">
            <v>0</v>
          </cell>
          <cell r="AG88">
            <v>0</v>
          </cell>
          <cell r="AH88">
            <v>0</v>
          </cell>
          <cell r="AI88">
            <v>0</v>
          </cell>
          <cell r="AM88">
            <v>0</v>
          </cell>
          <cell r="AN88">
            <v>0</v>
          </cell>
          <cell r="AO88">
            <v>0</v>
          </cell>
          <cell r="AP88">
            <v>677240</v>
          </cell>
          <cell r="AQ88">
            <v>835263</v>
          </cell>
          <cell r="AR88">
            <v>0</v>
          </cell>
          <cell r="AS88">
            <v>-4842619.4950000001</v>
          </cell>
          <cell r="AT88">
            <v>-2905570.7390000001</v>
          </cell>
          <cell r="AU88">
            <v>-1937047.8260000004</v>
          </cell>
          <cell r="AV88">
            <v>0</v>
          </cell>
          <cell r="AW88">
            <v>-9685238.0600000005</v>
          </cell>
          <cell r="AX88">
            <v>-8547112</v>
          </cell>
          <cell r="AY88">
            <v>-5128265</v>
          </cell>
          <cell r="AZ88">
            <v>-3418846</v>
          </cell>
          <cell r="BA88">
            <v>0</v>
          </cell>
          <cell r="BB88">
            <v>-17094223</v>
          </cell>
          <cell r="BC88">
            <v>145553894</v>
          </cell>
          <cell r="BD88">
            <v>-5179140</v>
          </cell>
          <cell r="BE88">
            <v>3805532</v>
          </cell>
          <cell r="BF88">
            <v>0</v>
          </cell>
          <cell r="BG88">
            <v>-7750340</v>
          </cell>
          <cell r="BH88">
            <v>-26039</v>
          </cell>
          <cell r="BI88">
            <v>0</v>
          </cell>
          <cell r="BJ88">
            <v>0</v>
          </cell>
          <cell r="BK88">
            <v>-5841417</v>
          </cell>
          <cell r="BL88">
            <v>-169591</v>
          </cell>
          <cell r="BM88">
            <v>-341604</v>
          </cell>
          <cell r="BN88">
            <v>0</v>
          </cell>
          <cell r="BO88">
            <v>0</v>
          </cell>
          <cell r="BP88">
            <v>0</v>
          </cell>
          <cell r="BQ88">
            <v>-56146</v>
          </cell>
          <cell r="BR88">
            <v>0</v>
          </cell>
          <cell r="BS88">
            <v>0</v>
          </cell>
          <cell r="BT88">
            <v>148818123</v>
          </cell>
          <cell r="BU88">
            <v>-3178306</v>
          </cell>
          <cell r="BV88">
            <v>18132520</v>
          </cell>
          <cell r="BW88">
            <v>-9190952</v>
          </cell>
          <cell r="BX88">
            <v>6557034</v>
          </cell>
          <cell r="BY88">
            <v>5477000</v>
          </cell>
          <cell r="BZ88">
            <v>150282821</v>
          </cell>
          <cell r="CA88">
            <v>3278517</v>
          </cell>
          <cell r="CB88">
            <v>1967110</v>
          </cell>
          <cell r="CC88">
            <v>1311407</v>
          </cell>
          <cell r="CD88">
            <v>0</v>
          </cell>
          <cell r="CE88">
            <v>2738500</v>
          </cell>
          <cell r="CF88">
            <v>1643100</v>
          </cell>
          <cell r="CG88">
            <v>1095400</v>
          </cell>
          <cell r="CH88">
            <v>0</v>
          </cell>
        </row>
        <row r="89">
          <cell r="A89">
            <v>82</v>
          </cell>
          <cell r="B89" t="str">
            <v>East Cambridgeshire</v>
          </cell>
          <cell r="C89" t="str">
            <v>E0532</v>
          </cell>
          <cell r="D89">
            <v>94945</v>
          </cell>
          <cell r="H89">
            <v>967665</v>
          </cell>
          <cell r="I89">
            <v>0</v>
          </cell>
          <cell r="J89">
            <v>94945</v>
          </cell>
          <cell r="K89">
            <v>0</v>
          </cell>
          <cell r="L89">
            <v>348576</v>
          </cell>
          <cell r="M89">
            <v>0</v>
          </cell>
          <cell r="N89">
            <v>0</v>
          </cell>
          <cell r="O89">
            <v>0</v>
          </cell>
          <cell r="P89">
            <v>0</v>
          </cell>
          <cell r="Q89">
            <v>0</v>
          </cell>
          <cell r="R89">
            <v>460251</v>
          </cell>
          <cell r="S89">
            <v>103557</v>
          </cell>
          <cell r="T89">
            <v>11506</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M89">
            <v>0</v>
          </cell>
          <cell r="AN89">
            <v>0</v>
          </cell>
          <cell r="AO89">
            <v>0</v>
          </cell>
          <cell r="AP89">
            <v>126520</v>
          </cell>
          <cell r="AQ89">
            <v>27289</v>
          </cell>
          <cell r="AR89">
            <v>3032</v>
          </cell>
          <cell r="AS89">
            <v>-113320.47</v>
          </cell>
          <cell r="AT89">
            <v>-90658</v>
          </cell>
          <cell r="AU89">
            <v>-20398</v>
          </cell>
          <cell r="AV89">
            <v>-2268</v>
          </cell>
          <cell r="AW89">
            <v>-226644.47</v>
          </cell>
          <cell r="AX89">
            <v>-458981</v>
          </cell>
          <cell r="AY89">
            <v>-367183</v>
          </cell>
          <cell r="AZ89">
            <v>-82616</v>
          </cell>
          <cell r="BA89">
            <v>-9181</v>
          </cell>
          <cell r="BB89">
            <v>-917961</v>
          </cell>
          <cell r="BC89">
            <v>19635225</v>
          </cell>
          <cell r="BD89">
            <v>-1651384</v>
          </cell>
          <cell r="BE89">
            <v>498602</v>
          </cell>
          <cell r="BF89">
            <v>0</v>
          </cell>
          <cell r="BG89">
            <v>-1647101</v>
          </cell>
          <cell r="BH89">
            <v>-23796</v>
          </cell>
          <cell r="BI89">
            <v>-36638</v>
          </cell>
          <cell r="BJ89">
            <v>0</v>
          </cell>
          <cell r="BK89">
            <v>-455751</v>
          </cell>
          <cell r="BL89">
            <v>-34014</v>
          </cell>
          <cell r="BM89">
            <v>-13812</v>
          </cell>
          <cell r="BN89">
            <v>-4893</v>
          </cell>
          <cell r="BO89">
            <v>-8089</v>
          </cell>
          <cell r="BP89">
            <v>0</v>
          </cell>
          <cell r="BQ89">
            <v>0</v>
          </cell>
          <cell r="BR89">
            <v>0</v>
          </cell>
          <cell r="BS89">
            <v>0</v>
          </cell>
          <cell r="BT89">
            <v>19895157</v>
          </cell>
          <cell r="BU89">
            <v>-51323</v>
          </cell>
          <cell r="BV89">
            <v>763306</v>
          </cell>
          <cell r="BW89">
            <v>-287349</v>
          </cell>
          <cell r="BX89">
            <v>430436</v>
          </cell>
          <cell r="BY89">
            <v>626677</v>
          </cell>
          <cell r="BZ89">
            <v>19596300</v>
          </cell>
          <cell r="CA89">
            <v>215218</v>
          </cell>
          <cell r="CB89">
            <v>172174</v>
          </cell>
          <cell r="CC89">
            <v>38739</v>
          </cell>
          <cell r="CD89">
            <v>4305</v>
          </cell>
          <cell r="CE89">
            <v>313338</v>
          </cell>
          <cell r="CF89">
            <v>250671</v>
          </cell>
          <cell r="CG89">
            <v>56401</v>
          </cell>
          <cell r="CH89">
            <v>6267</v>
          </cell>
        </row>
        <row r="90">
          <cell r="A90">
            <v>83</v>
          </cell>
          <cell r="B90" t="str">
            <v>East Devon</v>
          </cell>
          <cell r="C90" t="str">
            <v>E1131</v>
          </cell>
          <cell r="D90">
            <v>228268</v>
          </cell>
          <cell r="H90">
            <v>-226724</v>
          </cell>
          <cell r="I90">
            <v>-11413</v>
          </cell>
          <cell r="J90">
            <v>228268</v>
          </cell>
          <cell r="K90">
            <v>0</v>
          </cell>
          <cell r="L90">
            <v>199062</v>
          </cell>
          <cell r="M90">
            <v>0</v>
          </cell>
          <cell r="N90">
            <v>136305</v>
          </cell>
          <cell r="O90">
            <v>136305</v>
          </cell>
          <cell r="P90">
            <v>0</v>
          </cell>
          <cell r="Q90">
            <v>0</v>
          </cell>
          <cell r="R90">
            <v>1216278</v>
          </cell>
          <cell r="S90">
            <v>270209</v>
          </cell>
          <cell r="T90">
            <v>30023</v>
          </cell>
          <cell r="U90">
            <v>0</v>
          </cell>
          <cell r="V90">
            <v>0</v>
          </cell>
          <cell r="W90">
            <v>0</v>
          </cell>
          <cell r="X90">
            <v>25635</v>
          </cell>
          <cell r="Y90">
            <v>5768</v>
          </cell>
          <cell r="Z90">
            <v>641</v>
          </cell>
          <cell r="AA90">
            <v>0</v>
          </cell>
          <cell r="AB90">
            <v>0</v>
          </cell>
          <cell r="AC90">
            <v>0</v>
          </cell>
          <cell r="AD90">
            <v>0</v>
          </cell>
          <cell r="AE90">
            <v>0</v>
          </cell>
          <cell r="AF90">
            <v>0</v>
          </cell>
          <cell r="AG90">
            <v>0</v>
          </cell>
          <cell r="AH90">
            <v>0</v>
          </cell>
          <cell r="AI90">
            <v>0</v>
          </cell>
          <cell r="AM90">
            <v>0</v>
          </cell>
          <cell r="AN90">
            <v>0</v>
          </cell>
          <cell r="AO90">
            <v>0</v>
          </cell>
          <cell r="AP90">
            <v>210031</v>
          </cell>
          <cell r="AQ90">
            <v>46124</v>
          </cell>
          <cell r="AR90">
            <v>5125</v>
          </cell>
          <cell r="AS90">
            <v>-154037</v>
          </cell>
          <cell r="AT90">
            <v>-123230</v>
          </cell>
          <cell r="AU90">
            <v>-27727</v>
          </cell>
          <cell r="AV90">
            <v>-3081</v>
          </cell>
          <cell r="AW90">
            <v>-308075</v>
          </cell>
          <cell r="AX90">
            <v>-776380</v>
          </cell>
          <cell r="AY90">
            <v>-621101</v>
          </cell>
          <cell r="AZ90">
            <v>-139747</v>
          </cell>
          <cell r="BA90">
            <v>-15527</v>
          </cell>
          <cell r="BB90">
            <v>-1552755</v>
          </cell>
          <cell r="BC90">
            <v>34342080</v>
          </cell>
          <cell r="BD90">
            <v>-4630316</v>
          </cell>
          <cell r="BE90">
            <v>855349</v>
          </cell>
          <cell r="BF90">
            <v>0</v>
          </cell>
          <cell r="BG90">
            <v>-2525399</v>
          </cell>
          <cell r="BH90">
            <v>-444173</v>
          </cell>
          <cell r="BI90">
            <v>-44797</v>
          </cell>
          <cell r="BJ90">
            <v>-5909</v>
          </cell>
          <cell r="BK90">
            <v>-1254115</v>
          </cell>
          <cell r="BL90">
            <v>-111482</v>
          </cell>
          <cell r="BM90">
            <v>-339</v>
          </cell>
          <cell r="BN90">
            <v>-82374</v>
          </cell>
          <cell r="BO90">
            <v>-15061</v>
          </cell>
          <cell r="BP90">
            <v>0</v>
          </cell>
          <cell r="BQ90">
            <v>0</v>
          </cell>
          <cell r="BR90">
            <v>0</v>
          </cell>
          <cell r="BS90">
            <v>0</v>
          </cell>
          <cell r="BT90">
            <v>33402076</v>
          </cell>
          <cell r="BU90">
            <v>-82862</v>
          </cell>
          <cell r="BV90">
            <v>1113465</v>
          </cell>
          <cell r="BW90">
            <v>-539442</v>
          </cell>
          <cell r="BX90">
            <v>750805</v>
          </cell>
          <cell r="BY90">
            <v>73470</v>
          </cell>
          <cell r="BZ90">
            <v>34116805</v>
          </cell>
          <cell r="CA90">
            <v>375402</v>
          </cell>
          <cell r="CB90">
            <v>300323</v>
          </cell>
          <cell r="CC90">
            <v>67572</v>
          </cell>
          <cell r="CD90">
            <v>7508</v>
          </cell>
          <cell r="CE90">
            <v>36735</v>
          </cell>
          <cell r="CF90">
            <v>29388</v>
          </cell>
          <cell r="CG90">
            <v>6612</v>
          </cell>
          <cell r="CH90">
            <v>735</v>
          </cell>
        </row>
        <row r="91">
          <cell r="A91">
            <v>84</v>
          </cell>
          <cell r="B91" t="str">
            <v>East Dorset</v>
          </cell>
          <cell r="C91" t="str">
            <v>E1233</v>
          </cell>
          <cell r="D91">
            <v>108647</v>
          </cell>
          <cell r="H91">
            <v>451131</v>
          </cell>
          <cell r="I91">
            <v>0</v>
          </cell>
          <cell r="J91">
            <v>108647</v>
          </cell>
          <cell r="K91">
            <v>0</v>
          </cell>
          <cell r="L91">
            <v>202519</v>
          </cell>
          <cell r="M91">
            <v>0</v>
          </cell>
          <cell r="N91">
            <v>0</v>
          </cell>
          <cell r="O91">
            <v>0</v>
          </cell>
          <cell r="P91">
            <v>0</v>
          </cell>
          <cell r="Q91">
            <v>0</v>
          </cell>
          <cell r="R91">
            <v>588372</v>
          </cell>
          <cell r="S91">
            <v>132384</v>
          </cell>
          <cell r="T91">
            <v>14709</v>
          </cell>
          <cell r="U91">
            <v>0</v>
          </cell>
          <cell r="V91">
            <v>0</v>
          </cell>
          <cell r="W91">
            <v>0</v>
          </cell>
          <cell r="X91">
            <v>9296</v>
          </cell>
          <cell r="Y91">
            <v>2092</v>
          </cell>
          <cell r="Z91">
            <v>232</v>
          </cell>
          <cell r="AA91">
            <v>0</v>
          </cell>
          <cell r="AB91">
            <v>0</v>
          </cell>
          <cell r="AC91">
            <v>0</v>
          </cell>
          <cell r="AD91">
            <v>0</v>
          </cell>
          <cell r="AE91">
            <v>0</v>
          </cell>
          <cell r="AF91">
            <v>0</v>
          </cell>
          <cell r="AG91">
            <v>0</v>
          </cell>
          <cell r="AH91">
            <v>0</v>
          </cell>
          <cell r="AI91">
            <v>0</v>
          </cell>
          <cell r="AM91">
            <v>0</v>
          </cell>
          <cell r="AN91">
            <v>0</v>
          </cell>
          <cell r="AO91">
            <v>0</v>
          </cell>
          <cell r="AP91">
            <v>138402</v>
          </cell>
          <cell r="AQ91">
            <v>30456</v>
          </cell>
          <cell r="AR91">
            <v>3384</v>
          </cell>
          <cell r="AS91">
            <v>-156876.00000000003</v>
          </cell>
          <cell r="AT91">
            <v>-125502</v>
          </cell>
          <cell r="AU91">
            <v>-28239</v>
          </cell>
          <cell r="AV91">
            <v>-3137</v>
          </cell>
          <cell r="AW91">
            <v>-313754</v>
          </cell>
          <cell r="AX91">
            <v>-490904.4</v>
          </cell>
          <cell r="AY91">
            <v>-392724</v>
          </cell>
          <cell r="AZ91">
            <v>-88363</v>
          </cell>
          <cell r="BA91">
            <v>-9818</v>
          </cell>
          <cell r="BB91">
            <v>-981809.39999999991</v>
          </cell>
          <cell r="BC91">
            <v>22338117</v>
          </cell>
          <cell r="BD91">
            <v>-2140656</v>
          </cell>
          <cell r="BE91">
            <v>541756</v>
          </cell>
          <cell r="BF91">
            <v>0</v>
          </cell>
          <cell r="BG91">
            <v>-1323247</v>
          </cell>
          <cell r="BH91">
            <v>-38044</v>
          </cell>
          <cell r="BI91">
            <v>-13028</v>
          </cell>
          <cell r="BJ91">
            <v>-46160</v>
          </cell>
          <cell r="BK91">
            <v>-591809</v>
          </cell>
          <cell r="BL91">
            <v>-27272</v>
          </cell>
          <cell r="BM91">
            <v>-7336</v>
          </cell>
          <cell r="BN91">
            <v>0</v>
          </cell>
          <cell r="BO91">
            <v>-6871</v>
          </cell>
          <cell r="BP91">
            <v>0</v>
          </cell>
          <cell r="BQ91">
            <v>0</v>
          </cell>
          <cell r="BR91">
            <v>0</v>
          </cell>
          <cell r="BS91">
            <v>0</v>
          </cell>
          <cell r="BT91">
            <v>21705210</v>
          </cell>
          <cell r="BU91">
            <v>-117882</v>
          </cell>
          <cell r="BV91">
            <v>502389</v>
          </cell>
          <cell r="BW91">
            <v>-160596</v>
          </cell>
          <cell r="BX91">
            <v>-73995.730000000447</v>
          </cell>
          <cell r="BY91">
            <v>-106725</v>
          </cell>
          <cell r="BZ91">
            <v>22527754</v>
          </cell>
          <cell r="CA91">
            <v>-36998.730000000447</v>
          </cell>
          <cell r="CB91">
            <v>-29598</v>
          </cell>
          <cell r="CC91">
            <v>-6659</v>
          </cell>
          <cell r="CD91">
            <v>-740</v>
          </cell>
          <cell r="CE91">
            <v>-53363</v>
          </cell>
          <cell r="CF91">
            <v>-42690</v>
          </cell>
          <cell r="CG91">
            <v>-9605</v>
          </cell>
          <cell r="CH91">
            <v>-1067</v>
          </cell>
        </row>
        <row r="92">
          <cell r="A92">
            <v>85</v>
          </cell>
          <cell r="B92" t="str">
            <v>East Hampshire</v>
          </cell>
          <cell r="C92" t="str">
            <v>E1732</v>
          </cell>
          <cell r="D92">
            <v>155157</v>
          </cell>
          <cell r="H92">
            <v>1544553.1400000001</v>
          </cell>
          <cell r="I92">
            <v>0</v>
          </cell>
          <cell r="J92">
            <v>155157</v>
          </cell>
          <cell r="K92">
            <v>29680</v>
          </cell>
          <cell r="L92">
            <v>0</v>
          </cell>
          <cell r="M92">
            <v>0</v>
          </cell>
          <cell r="N92">
            <v>0</v>
          </cell>
          <cell r="O92">
            <v>0</v>
          </cell>
          <cell r="P92">
            <v>0</v>
          </cell>
          <cell r="Q92">
            <v>0</v>
          </cell>
          <cell r="R92">
            <v>677354</v>
          </cell>
          <cell r="S92">
            <v>152405</v>
          </cell>
          <cell r="T92">
            <v>16934</v>
          </cell>
          <cell r="U92">
            <v>14318</v>
          </cell>
          <cell r="V92">
            <v>3221</v>
          </cell>
          <cell r="W92">
            <v>358</v>
          </cell>
          <cell r="X92">
            <v>0</v>
          </cell>
          <cell r="Y92">
            <v>0</v>
          </cell>
          <cell r="Z92">
            <v>0</v>
          </cell>
          <cell r="AA92">
            <v>3128</v>
          </cell>
          <cell r="AB92">
            <v>704</v>
          </cell>
          <cell r="AC92">
            <v>78</v>
          </cell>
          <cell r="AD92">
            <v>0</v>
          </cell>
          <cell r="AE92">
            <v>0</v>
          </cell>
          <cell r="AF92">
            <v>0</v>
          </cell>
          <cell r="AG92">
            <v>0</v>
          </cell>
          <cell r="AH92">
            <v>0</v>
          </cell>
          <cell r="AI92">
            <v>0</v>
          </cell>
          <cell r="AM92">
            <v>0</v>
          </cell>
          <cell r="AN92">
            <v>0</v>
          </cell>
          <cell r="AO92">
            <v>0</v>
          </cell>
          <cell r="AP92">
            <v>197545</v>
          </cell>
          <cell r="AQ92">
            <v>44347</v>
          </cell>
          <cell r="AR92">
            <v>4927</v>
          </cell>
          <cell r="AS92">
            <v>-216094</v>
          </cell>
          <cell r="AT92">
            <v>-172874</v>
          </cell>
          <cell r="AU92">
            <v>-38896</v>
          </cell>
          <cell r="AV92">
            <v>-4322</v>
          </cell>
          <cell r="AW92">
            <v>-432186</v>
          </cell>
          <cell r="AX92">
            <v>-1227731</v>
          </cell>
          <cell r="AY92">
            <v>-982184</v>
          </cell>
          <cell r="AZ92">
            <v>-220992</v>
          </cell>
          <cell r="BA92">
            <v>-24555</v>
          </cell>
          <cell r="BB92">
            <v>-2455462</v>
          </cell>
          <cell r="BC92">
            <v>27329786</v>
          </cell>
          <cell r="BD92">
            <v>-2666720</v>
          </cell>
          <cell r="BE92">
            <v>772538</v>
          </cell>
          <cell r="BF92">
            <v>0</v>
          </cell>
          <cell r="BG92">
            <v>-2573443</v>
          </cell>
          <cell r="BH92">
            <v>-32891</v>
          </cell>
          <cell r="BI92">
            <v>-29794</v>
          </cell>
          <cell r="BJ92">
            <v>-284548</v>
          </cell>
          <cell r="BK92">
            <v>-804863</v>
          </cell>
          <cell r="BL92">
            <v>-128698</v>
          </cell>
          <cell r="BM92">
            <v>-2278</v>
          </cell>
          <cell r="BN92">
            <v>-4111</v>
          </cell>
          <cell r="BO92">
            <v>-29794</v>
          </cell>
          <cell r="BP92">
            <v>0</v>
          </cell>
          <cell r="BQ92">
            <v>0</v>
          </cell>
          <cell r="BR92">
            <v>0</v>
          </cell>
          <cell r="BS92">
            <v>0</v>
          </cell>
          <cell r="BT92">
            <v>29038921</v>
          </cell>
          <cell r="BU92">
            <v>-211308</v>
          </cell>
          <cell r="BV92">
            <v>1434039</v>
          </cell>
          <cell r="BW92">
            <v>-1163381</v>
          </cell>
          <cell r="BX92">
            <v>-2032360</v>
          </cell>
          <cell r="BY92">
            <v>-110232</v>
          </cell>
          <cell r="BZ92">
            <v>32803008</v>
          </cell>
          <cell r="CA92">
            <v>-1016180</v>
          </cell>
          <cell r="CB92">
            <v>-812944</v>
          </cell>
          <cell r="CC92">
            <v>-182913</v>
          </cell>
          <cell r="CD92">
            <v>-20323</v>
          </cell>
          <cell r="CE92">
            <v>-55116</v>
          </cell>
          <cell r="CF92">
            <v>-44093</v>
          </cell>
          <cell r="CG92">
            <v>-9921</v>
          </cell>
          <cell r="CH92">
            <v>-1102</v>
          </cell>
        </row>
        <row r="93">
          <cell r="A93">
            <v>86</v>
          </cell>
          <cell r="B93" t="str">
            <v>East Hertfordshire</v>
          </cell>
          <cell r="C93" t="str">
            <v>E1933</v>
          </cell>
          <cell r="D93">
            <v>193979</v>
          </cell>
          <cell r="H93">
            <v>196431</v>
          </cell>
          <cell r="I93">
            <v>0</v>
          </cell>
          <cell r="J93">
            <v>193979</v>
          </cell>
          <cell r="K93">
            <v>0</v>
          </cell>
          <cell r="L93">
            <v>0</v>
          </cell>
          <cell r="M93">
            <v>0</v>
          </cell>
          <cell r="N93">
            <v>0</v>
          </cell>
          <cell r="O93">
            <v>0</v>
          </cell>
          <cell r="P93">
            <v>0</v>
          </cell>
          <cell r="Q93">
            <v>0</v>
          </cell>
          <cell r="R93">
            <v>876234</v>
          </cell>
          <cell r="S93">
            <v>219058</v>
          </cell>
          <cell r="T93">
            <v>0</v>
          </cell>
          <cell r="U93">
            <v>0</v>
          </cell>
          <cell r="V93">
            <v>0</v>
          </cell>
          <cell r="W93">
            <v>0</v>
          </cell>
          <cell r="X93">
            <v>13535</v>
          </cell>
          <cell r="Y93">
            <v>3384</v>
          </cell>
          <cell r="Z93">
            <v>0</v>
          </cell>
          <cell r="AA93">
            <v>2701</v>
          </cell>
          <cell r="AB93">
            <v>675</v>
          </cell>
          <cell r="AC93">
            <v>0</v>
          </cell>
          <cell r="AD93">
            <v>0</v>
          </cell>
          <cell r="AE93">
            <v>0</v>
          </cell>
          <cell r="AF93">
            <v>0</v>
          </cell>
          <cell r="AG93">
            <v>0</v>
          </cell>
          <cell r="AH93">
            <v>0</v>
          </cell>
          <cell r="AI93">
            <v>0</v>
          </cell>
          <cell r="AM93">
            <v>0</v>
          </cell>
          <cell r="AN93">
            <v>0</v>
          </cell>
          <cell r="AO93">
            <v>0</v>
          </cell>
          <cell r="AP93">
            <v>247148</v>
          </cell>
          <cell r="AQ93">
            <v>61787</v>
          </cell>
          <cell r="AR93">
            <v>0</v>
          </cell>
          <cell r="AS93">
            <v>-502240</v>
          </cell>
          <cell r="AT93">
            <v>-401790</v>
          </cell>
          <cell r="AU93">
            <v>-100447</v>
          </cell>
          <cell r="AV93">
            <v>0</v>
          </cell>
          <cell r="AW93">
            <v>-1004477</v>
          </cell>
          <cell r="AX93">
            <v>-3395443</v>
          </cell>
          <cell r="AY93">
            <v>-2716355</v>
          </cell>
          <cell r="AZ93">
            <v>-679089</v>
          </cell>
          <cell r="BA93">
            <v>0</v>
          </cell>
          <cell r="BB93">
            <v>-6790887</v>
          </cell>
          <cell r="BC93">
            <v>44137693</v>
          </cell>
          <cell r="BD93">
            <v>-2806318</v>
          </cell>
          <cell r="BE93">
            <v>1220329</v>
          </cell>
          <cell r="BF93">
            <v>0</v>
          </cell>
          <cell r="BG93">
            <v>-4162099</v>
          </cell>
          <cell r="BH93">
            <v>-68338</v>
          </cell>
          <cell r="BI93">
            <v>-49365</v>
          </cell>
          <cell r="BJ93">
            <v>-51129</v>
          </cell>
          <cell r="BK93">
            <v>-1866095</v>
          </cell>
          <cell r="BL93">
            <v>-174005</v>
          </cell>
          <cell r="BM93">
            <v>-48607</v>
          </cell>
          <cell r="BN93">
            <v>0</v>
          </cell>
          <cell r="BO93">
            <v>-20226</v>
          </cell>
          <cell r="BP93">
            <v>-3721</v>
          </cell>
          <cell r="BQ93">
            <v>0</v>
          </cell>
          <cell r="BR93">
            <v>0</v>
          </cell>
          <cell r="BS93">
            <v>0</v>
          </cell>
          <cell r="BT93">
            <v>45562496</v>
          </cell>
          <cell r="BU93">
            <v>-585605</v>
          </cell>
          <cell r="BV93">
            <v>1776110</v>
          </cell>
          <cell r="BW93">
            <v>-666828</v>
          </cell>
          <cell r="BX93">
            <v>-501120</v>
          </cell>
          <cell r="BY93">
            <v>-1149424</v>
          </cell>
          <cell r="BZ93">
            <v>41132484</v>
          </cell>
          <cell r="CA93">
            <v>-250559</v>
          </cell>
          <cell r="CB93">
            <v>-200448</v>
          </cell>
          <cell r="CC93">
            <v>-50113</v>
          </cell>
          <cell r="CD93">
            <v>0</v>
          </cell>
          <cell r="CE93">
            <v>-574712</v>
          </cell>
          <cell r="CF93">
            <v>-459770</v>
          </cell>
          <cell r="CG93">
            <v>-114942</v>
          </cell>
          <cell r="CH93">
            <v>0</v>
          </cell>
        </row>
        <row r="94">
          <cell r="A94">
            <v>87</v>
          </cell>
          <cell r="B94" t="str">
            <v>East Lindsey</v>
          </cell>
          <cell r="C94" t="str">
            <v>E2532</v>
          </cell>
          <cell r="D94">
            <v>267225</v>
          </cell>
          <cell r="H94">
            <v>1033802</v>
          </cell>
          <cell r="I94">
            <v>0</v>
          </cell>
          <cell r="J94">
            <v>267225</v>
          </cell>
          <cell r="K94">
            <v>0</v>
          </cell>
          <cell r="L94">
            <v>464613</v>
          </cell>
          <cell r="M94">
            <v>69490</v>
          </cell>
          <cell r="N94">
            <v>0</v>
          </cell>
          <cell r="O94">
            <v>0</v>
          </cell>
          <cell r="P94">
            <v>0</v>
          </cell>
          <cell r="Q94">
            <v>0</v>
          </cell>
          <cell r="R94">
            <v>1247785</v>
          </cell>
          <cell r="S94">
            <v>311946</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M94">
            <v>0</v>
          </cell>
          <cell r="AN94">
            <v>0</v>
          </cell>
          <cell r="AO94">
            <v>0</v>
          </cell>
          <cell r="AP94">
            <v>214160</v>
          </cell>
          <cell r="AQ94">
            <v>52839</v>
          </cell>
          <cell r="AR94">
            <v>0</v>
          </cell>
          <cell r="AS94">
            <v>-607500</v>
          </cell>
          <cell r="AT94">
            <v>-485998</v>
          </cell>
          <cell r="AU94">
            <v>-121500</v>
          </cell>
          <cell r="AV94">
            <v>0</v>
          </cell>
          <cell r="AW94">
            <v>-1214998</v>
          </cell>
          <cell r="AX94">
            <v>-1450432</v>
          </cell>
          <cell r="AY94">
            <v>-1160347</v>
          </cell>
          <cell r="AZ94">
            <v>-290086</v>
          </cell>
          <cell r="BA94">
            <v>0</v>
          </cell>
          <cell r="BB94">
            <v>-2900865</v>
          </cell>
          <cell r="BC94">
            <v>34925756</v>
          </cell>
          <cell r="BD94">
            <v>-4907206</v>
          </cell>
          <cell r="BE94">
            <v>875474</v>
          </cell>
          <cell r="BF94">
            <v>0</v>
          </cell>
          <cell r="BG94">
            <v>-2643330</v>
          </cell>
          <cell r="BH94">
            <v>-81641</v>
          </cell>
          <cell r="BI94">
            <v>-117818</v>
          </cell>
          <cell r="BJ94">
            <v>0</v>
          </cell>
          <cell r="BK94">
            <v>-646631</v>
          </cell>
          <cell r="BL94">
            <v>-79880</v>
          </cell>
          <cell r="BM94">
            <v>-6202</v>
          </cell>
          <cell r="BN94">
            <v>-9846</v>
          </cell>
          <cell r="BO94">
            <v>-26130</v>
          </cell>
          <cell r="BP94">
            <v>0</v>
          </cell>
          <cell r="BQ94">
            <v>0</v>
          </cell>
          <cell r="BR94">
            <v>0</v>
          </cell>
          <cell r="BS94">
            <v>0</v>
          </cell>
          <cell r="BT94">
            <v>36217142</v>
          </cell>
          <cell r="BU94">
            <v>-514777</v>
          </cell>
          <cell r="BV94">
            <v>2870466</v>
          </cell>
          <cell r="BW94">
            <v>-749479</v>
          </cell>
          <cell r="BX94">
            <v>1342973</v>
          </cell>
          <cell r="BY94">
            <v>2204585</v>
          </cell>
          <cell r="BZ94">
            <v>34480869</v>
          </cell>
          <cell r="CA94">
            <v>671486</v>
          </cell>
          <cell r="CB94">
            <v>537189</v>
          </cell>
          <cell r="CC94">
            <v>134298</v>
          </cell>
          <cell r="CD94">
            <v>0</v>
          </cell>
          <cell r="CE94">
            <v>1102292</v>
          </cell>
          <cell r="CF94">
            <v>881834</v>
          </cell>
          <cell r="CG94">
            <v>220459</v>
          </cell>
          <cell r="CH94">
            <v>0</v>
          </cell>
        </row>
        <row r="95">
          <cell r="A95">
            <v>88</v>
          </cell>
          <cell r="B95" t="str">
            <v>East Northamptonshire</v>
          </cell>
          <cell r="C95" t="str">
            <v>E2833</v>
          </cell>
          <cell r="D95">
            <v>99517</v>
          </cell>
          <cell r="H95">
            <v>-679568</v>
          </cell>
          <cell r="I95">
            <v>0</v>
          </cell>
          <cell r="J95">
            <v>99517</v>
          </cell>
          <cell r="K95">
            <v>0</v>
          </cell>
          <cell r="L95">
            <v>287400</v>
          </cell>
          <cell r="M95">
            <v>0</v>
          </cell>
          <cell r="N95">
            <v>0</v>
          </cell>
          <cell r="O95">
            <v>0</v>
          </cell>
          <cell r="P95">
            <v>0</v>
          </cell>
          <cell r="Q95">
            <v>0</v>
          </cell>
          <cell r="R95">
            <v>505226</v>
          </cell>
          <cell r="S95">
            <v>126307</v>
          </cell>
          <cell r="T95">
            <v>0</v>
          </cell>
          <cell r="U95">
            <v>2758</v>
          </cell>
          <cell r="V95">
            <v>690</v>
          </cell>
          <cell r="W95">
            <v>0</v>
          </cell>
          <cell r="X95">
            <v>0</v>
          </cell>
          <cell r="Y95">
            <v>0</v>
          </cell>
          <cell r="Z95">
            <v>0</v>
          </cell>
          <cell r="AA95">
            <v>0</v>
          </cell>
          <cell r="AB95">
            <v>0</v>
          </cell>
          <cell r="AC95">
            <v>0</v>
          </cell>
          <cell r="AD95">
            <v>0</v>
          </cell>
          <cell r="AE95">
            <v>0</v>
          </cell>
          <cell r="AF95">
            <v>0</v>
          </cell>
          <cell r="AG95">
            <v>0</v>
          </cell>
          <cell r="AH95">
            <v>0</v>
          </cell>
          <cell r="AI95">
            <v>0</v>
          </cell>
          <cell r="AM95">
            <v>0</v>
          </cell>
          <cell r="AN95">
            <v>0</v>
          </cell>
          <cell r="AO95">
            <v>0</v>
          </cell>
          <cell r="AP95">
            <v>159137</v>
          </cell>
          <cell r="AQ95">
            <v>38705</v>
          </cell>
          <cell r="AR95">
            <v>0</v>
          </cell>
          <cell r="AS95">
            <v>-66378</v>
          </cell>
          <cell r="AT95">
            <v>-53101</v>
          </cell>
          <cell r="AU95">
            <v>-13275</v>
          </cell>
          <cell r="AV95">
            <v>0</v>
          </cell>
          <cell r="AW95">
            <v>-132754</v>
          </cell>
          <cell r="AX95">
            <v>-1325881</v>
          </cell>
          <cell r="AY95">
            <v>-1060704</v>
          </cell>
          <cell r="AZ95">
            <v>-265176</v>
          </cell>
          <cell r="BA95">
            <v>0</v>
          </cell>
          <cell r="BB95">
            <v>-2651761</v>
          </cell>
          <cell r="BC95">
            <v>22998431</v>
          </cell>
          <cell r="BD95">
            <v>-1998550</v>
          </cell>
          <cell r="BE95">
            <v>686928</v>
          </cell>
          <cell r="BF95">
            <v>0</v>
          </cell>
          <cell r="BG95">
            <v>-1796881</v>
          </cell>
          <cell r="BH95">
            <v>-15397</v>
          </cell>
          <cell r="BI95">
            <v>-36066</v>
          </cell>
          <cell r="BJ95">
            <v>-34477</v>
          </cell>
          <cell r="BK95">
            <v>-853755</v>
          </cell>
          <cell r="BL95">
            <v>-88163</v>
          </cell>
          <cell r="BM95">
            <v>-66807</v>
          </cell>
          <cell r="BN95">
            <v>-3849</v>
          </cell>
          <cell r="BO95">
            <v>-20189</v>
          </cell>
          <cell r="BP95">
            <v>-56439</v>
          </cell>
          <cell r="BQ95">
            <v>0</v>
          </cell>
          <cell r="BR95">
            <v>0</v>
          </cell>
          <cell r="BS95">
            <v>0</v>
          </cell>
          <cell r="BT95">
            <v>24357790</v>
          </cell>
          <cell r="BU95">
            <v>-86351</v>
          </cell>
          <cell r="BV95">
            <v>269553</v>
          </cell>
          <cell r="BW95">
            <v>-297527</v>
          </cell>
          <cell r="BX95">
            <v>-288923</v>
          </cell>
          <cell r="BY95">
            <v>-53873</v>
          </cell>
          <cell r="BZ95">
            <v>25766406</v>
          </cell>
          <cell r="CA95">
            <v>-144462</v>
          </cell>
          <cell r="CB95">
            <v>-115569</v>
          </cell>
          <cell r="CC95">
            <v>-28892</v>
          </cell>
          <cell r="CD95">
            <v>0</v>
          </cell>
          <cell r="CE95">
            <v>-26937</v>
          </cell>
          <cell r="CF95">
            <v>-21549</v>
          </cell>
          <cell r="CG95">
            <v>-5387</v>
          </cell>
          <cell r="CH95">
            <v>0</v>
          </cell>
        </row>
        <row r="96">
          <cell r="A96">
            <v>89</v>
          </cell>
          <cell r="B96" t="str">
            <v>East Riding of Yorkshire</v>
          </cell>
          <cell r="C96" t="str">
            <v>E2001</v>
          </cell>
          <cell r="D96">
            <v>431637</v>
          </cell>
          <cell r="H96">
            <v>-8761964</v>
          </cell>
          <cell r="I96">
            <v>0</v>
          </cell>
          <cell r="J96">
            <v>431637</v>
          </cell>
          <cell r="K96">
            <v>0</v>
          </cell>
          <cell r="L96">
            <v>4455733</v>
          </cell>
          <cell r="M96">
            <v>0</v>
          </cell>
          <cell r="N96">
            <v>116081.5</v>
          </cell>
          <cell r="O96">
            <v>114620.5</v>
          </cell>
          <cell r="P96">
            <v>0</v>
          </cell>
          <cell r="Q96">
            <v>1461</v>
          </cell>
          <cell r="R96">
            <v>3013836</v>
          </cell>
          <cell r="S96">
            <v>0</v>
          </cell>
          <cell r="T96">
            <v>61507</v>
          </cell>
          <cell r="U96">
            <v>0</v>
          </cell>
          <cell r="V96">
            <v>0</v>
          </cell>
          <cell r="W96">
            <v>0</v>
          </cell>
          <cell r="X96">
            <v>0</v>
          </cell>
          <cell r="Y96">
            <v>0</v>
          </cell>
          <cell r="Z96">
            <v>0</v>
          </cell>
          <cell r="AA96">
            <v>8628</v>
          </cell>
          <cell r="AB96">
            <v>0</v>
          </cell>
          <cell r="AC96">
            <v>176</v>
          </cell>
          <cell r="AD96">
            <v>0</v>
          </cell>
          <cell r="AE96">
            <v>0</v>
          </cell>
          <cell r="AF96">
            <v>0</v>
          </cell>
          <cell r="AG96">
            <v>0</v>
          </cell>
          <cell r="AH96">
            <v>0</v>
          </cell>
          <cell r="AI96">
            <v>0</v>
          </cell>
          <cell r="AM96">
            <v>0</v>
          </cell>
          <cell r="AN96">
            <v>0</v>
          </cell>
          <cell r="AO96">
            <v>0</v>
          </cell>
          <cell r="AP96">
            <v>737826</v>
          </cell>
          <cell r="AQ96">
            <v>0</v>
          </cell>
          <cell r="AR96">
            <v>13679</v>
          </cell>
          <cell r="AS96">
            <v>-954149</v>
          </cell>
          <cell r="AT96">
            <v>-935065</v>
          </cell>
          <cell r="AU96">
            <v>0</v>
          </cell>
          <cell r="AV96">
            <v>-19083</v>
          </cell>
          <cell r="AW96">
            <v>-1908297</v>
          </cell>
          <cell r="AX96">
            <v>-2136846</v>
          </cell>
          <cell r="AY96">
            <v>-2094107</v>
          </cell>
          <cell r="AZ96">
            <v>0</v>
          </cell>
          <cell r="BA96">
            <v>-42737</v>
          </cell>
          <cell r="BB96">
            <v>-4273690</v>
          </cell>
          <cell r="BC96">
            <v>105634164</v>
          </cell>
          <cell r="BD96">
            <v>-8451385</v>
          </cell>
          <cell r="BE96">
            <v>2776544</v>
          </cell>
          <cell r="BF96">
            <v>0</v>
          </cell>
          <cell r="BG96">
            <v>-3416063</v>
          </cell>
          <cell r="BH96">
            <v>-43406</v>
          </cell>
          <cell r="BI96">
            <v>-108100</v>
          </cell>
          <cell r="BJ96">
            <v>-96820</v>
          </cell>
          <cell r="BK96">
            <v>-2490571</v>
          </cell>
          <cell r="BL96">
            <v>-121663</v>
          </cell>
          <cell r="BM96">
            <v>-413082</v>
          </cell>
          <cell r="BN96">
            <v>-9517</v>
          </cell>
          <cell r="BO96">
            <v>-36540</v>
          </cell>
          <cell r="BP96">
            <v>-53582</v>
          </cell>
          <cell r="BQ96">
            <v>-208216</v>
          </cell>
          <cell r="BR96">
            <v>0</v>
          </cell>
          <cell r="BS96">
            <v>-191231</v>
          </cell>
          <cell r="BT96">
            <v>109898498</v>
          </cell>
          <cell r="BU96">
            <v>-375897</v>
          </cell>
          <cell r="BV96">
            <v>3761183</v>
          </cell>
          <cell r="BW96">
            <v>-2254454</v>
          </cell>
          <cell r="BX96">
            <v>-1349492</v>
          </cell>
          <cell r="BY96">
            <v>-1671018</v>
          </cell>
          <cell r="BZ96">
            <v>90913789</v>
          </cell>
          <cell r="CA96">
            <v>-674745</v>
          </cell>
          <cell r="CB96">
            <v>-661252</v>
          </cell>
          <cell r="CC96">
            <v>0</v>
          </cell>
          <cell r="CD96">
            <v>-13495</v>
          </cell>
          <cell r="CE96">
            <v>-835509</v>
          </cell>
          <cell r="CF96">
            <v>-818799</v>
          </cell>
          <cell r="CG96">
            <v>0</v>
          </cell>
          <cell r="CH96">
            <v>-16710</v>
          </cell>
        </row>
        <row r="97">
          <cell r="A97">
            <v>90</v>
          </cell>
          <cell r="B97" t="str">
            <v>East Staffordshire</v>
          </cell>
          <cell r="C97" t="str">
            <v>E3432</v>
          </cell>
          <cell r="D97">
            <v>175258</v>
          </cell>
          <cell r="H97">
            <v>-922055</v>
          </cell>
          <cell r="I97">
            <v>0</v>
          </cell>
          <cell r="J97">
            <v>175258</v>
          </cell>
          <cell r="K97">
            <v>0</v>
          </cell>
          <cell r="L97">
            <v>0</v>
          </cell>
          <cell r="M97">
            <v>0</v>
          </cell>
          <cell r="N97">
            <v>0</v>
          </cell>
          <cell r="O97">
            <v>0</v>
          </cell>
          <cell r="P97">
            <v>0</v>
          </cell>
          <cell r="Q97">
            <v>0</v>
          </cell>
          <cell r="R97">
            <v>706741</v>
          </cell>
          <cell r="S97">
            <v>159016</v>
          </cell>
          <cell r="T97">
            <v>17668</v>
          </cell>
          <cell r="U97">
            <v>1078</v>
          </cell>
          <cell r="V97">
            <v>243</v>
          </cell>
          <cell r="W97">
            <v>27</v>
          </cell>
          <cell r="X97">
            <v>1343</v>
          </cell>
          <cell r="Y97">
            <v>302</v>
          </cell>
          <cell r="Z97">
            <v>34</v>
          </cell>
          <cell r="AA97">
            <v>0</v>
          </cell>
          <cell r="AB97">
            <v>0</v>
          </cell>
          <cell r="AC97">
            <v>0</v>
          </cell>
          <cell r="AD97">
            <v>0</v>
          </cell>
          <cell r="AE97">
            <v>0</v>
          </cell>
          <cell r="AF97">
            <v>0</v>
          </cell>
          <cell r="AG97">
            <v>0</v>
          </cell>
          <cell r="AH97">
            <v>0</v>
          </cell>
          <cell r="AI97">
            <v>0</v>
          </cell>
          <cell r="AM97">
            <v>0</v>
          </cell>
          <cell r="AN97">
            <v>0</v>
          </cell>
          <cell r="AO97">
            <v>0</v>
          </cell>
          <cell r="AP97">
            <v>313510</v>
          </cell>
          <cell r="AQ97">
            <v>70540</v>
          </cell>
          <cell r="AR97">
            <v>7838</v>
          </cell>
          <cell r="AS97">
            <v>-295787</v>
          </cell>
          <cell r="AT97">
            <v>-236632</v>
          </cell>
          <cell r="AU97">
            <v>-53243</v>
          </cell>
          <cell r="AV97">
            <v>-5916</v>
          </cell>
          <cell r="AW97">
            <v>-591578</v>
          </cell>
          <cell r="AX97">
            <v>-2699503</v>
          </cell>
          <cell r="AY97">
            <v>-2159603</v>
          </cell>
          <cell r="AZ97">
            <v>-485912</v>
          </cell>
          <cell r="BA97">
            <v>-53991</v>
          </cell>
          <cell r="BB97">
            <v>-5399009</v>
          </cell>
          <cell r="BC97">
            <v>56810035</v>
          </cell>
          <cell r="BD97">
            <v>-2820981</v>
          </cell>
          <cell r="BE97">
            <v>1530643</v>
          </cell>
          <cell r="BF97">
            <v>0</v>
          </cell>
          <cell r="BG97">
            <v>-2000007</v>
          </cell>
          <cell r="BH97">
            <v>-58825</v>
          </cell>
          <cell r="BI97">
            <v>-4075</v>
          </cell>
          <cell r="BJ97">
            <v>-40080</v>
          </cell>
          <cell r="BK97">
            <v>-2240773</v>
          </cell>
          <cell r="BL97">
            <v>-68018</v>
          </cell>
          <cell r="BM97">
            <v>-28130</v>
          </cell>
          <cell r="BN97">
            <v>-5718</v>
          </cell>
          <cell r="BO97">
            <v>0</v>
          </cell>
          <cell r="BP97">
            <v>0</v>
          </cell>
          <cell r="BQ97">
            <v>0</v>
          </cell>
          <cell r="BR97">
            <v>0</v>
          </cell>
          <cell r="BS97">
            <v>0</v>
          </cell>
          <cell r="BT97">
            <v>57400930</v>
          </cell>
          <cell r="BU97">
            <v>-356338</v>
          </cell>
          <cell r="BV97">
            <v>1995558</v>
          </cell>
          <cell r="BW97">
            <v>-1951253</v>
          </cell>
          <cell r="BX97">
            <v>3092684</v>
          </cell>
          <cell r="BY97">
            <v>876671</v>
          </cell>
          <cell r="BZ97">
            <v>52177000</v>
          </cell>
          <cell r="CA97">
            <v>1546343</v>
          </cell>
          <cell r="CB97">
            <v>1237073</v>
          </cell>
          <cell r="CC97">
            <v>278341</v>
          </cell>
          <cell r="CD97">
            <v>30927</v>
          </cell>
          <cell r="CE97">
            <v>438336</v>
          </cell>
          <cell r="CF97">
            <v>350668</v>
          </cell>
          <cell r="CG97">
            <v>78900</v>
          </cell>
          <cell r="CH97">
            <v>8767</v>
          </cell>
        </row>
        <row r="98">
          <cell r="A98">
            <v>91</v>
          </cell>
          <cell r="B98" t="str">
            <v>Eastbourne</v>
          </cell>
          <cell r="C98" t="str">
            <v>E1432</v>
          </cell>
          <cell r="D98">
            <v>125525</v>
          </cell>
          <cell r="H98">
            <v>748643</v>
          </cell>
          <cell r="I98">
            <v>0</v>
          </cell>
          <cell r="J98">
            <v>125525</v>
          </cell>
          <cell r="K98">
            <v>0</v>
          </cell>
          <cell r="L98">
            <v>0</v>
          </cell>
          <cell r="M98">
            <v>0</v>
          </cell>
          <cell r="N98">
            <v>0</v>
          </cell>
          <cell r="O98">
            <v>0</v>
          </cell>
          <cell r="P98">
            <v>0</v>
          </cell>
          <cell r="Q98">
            <v>0</v>
          </cell>
          <cell r="R98">
            <v>567532</v>
          </cell>
          <cell r="S98">
            <v>127695</v>
          </cell>
          <cell r="T98">
            <v>14188</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M98">
            <v>0</v>
          </cell>
          <cell r="AN98">
            <v>0</v>
          </cell>
          <cell r="AO98">
            <v>0</v>
          </cell>
          <cell r="AP98">
            <v>214691</v>
          </cell>
          <cell r="AQ98">
            <v>48305</v>
          </cell>
          <cell r="AR98">
            <v>5367</v>
          </cell>
          <cell r="AS98">
            <v>-244644</v>
          </cell>
          <cell r="AT98">
            <v>-195716</v>
          </cell>
          <cell r="AU98">
            <v>-44036</v>
          </cell>
          <cell r="AV98">
            <v>-4892</v>
          </cell>
          <cell r="AW98">
            <v>-489288</v>
          </cell>
          <cell r="AX98">
            <v>-702682</v>
          </cell>
          <cell r="AY98">
            <v>-562148</v>
          </cell>
          <cell r="AZ98">
            <v>-126483</v>
          </cell>
          <cell r="BA98">
            <v>-14054</v>
          </cell>
          <cell r="BB98">
            <v>-1405367</v>
          </cell>
          <cell r="BC98">
            <v>32468161</v>
          </cell>
          <cell r="BD98">
            <v>-2120638</v>
          </cell>
          <cell r="BE98">
            <v>916833</v>
          </cell>
          <cell r="BF98">
            <v>0</v>
          </cell>
          <cell r="BG98">
            <v>-2922345</v>
          </cell>
          <cell r="BH98">
            <v>-121318</v>
          </cell>
          <cell r="BI98">
            <v>0</v>
          </cell>
          <cell r="BJ98">
            <v>0</v>
          </cell>
          <cell r="BK98">
            <v>-827799</v>
          </cell>
          <cell r="BL98">
            <v>-49495</v>
          </cell>
          <cell r="BM98">
            <v>-38989</v>
          </cell>
          <cell r="BN98">
            <v>0</v>
          </cell>
          <cell r="BO98">
            <v>0</v>
          </cell>
          <cell r="BP98">
            <v>0</v>
          </cell>
          <cell r="BQ98">
            <v>0</v>
          </cell>
          <cell r="BR98">
            <v>0</v>
          </cell>
          <cell r="BS98">
            <v>0</v>
          </cell>
          <cell r="BT98">
            <v>32645246</v>
          </cell>
          <cell r="BU98">
            <v>130525</v>
          </cell>
          <cell r="BV98">
            <v>1930966</v>
          </cell>
          <cell r="BW98">
            <v>-2807277</v>
          </cell>
          <cell r="BX98">
            <v>-2377045</v>
          </cell>
          <cell r="BY98">
            <v>-853666</v>
          </cell>
          <cell r="BZ98">
            <v>35730666</v>
          </cell>
          <cell r="CA98">
            <v>-1188522</v>
          </cell>
          <cell r="CB98">
            <v>-950819</v>
          </cell>
          <cell r="CC98">
            <v>-213934</v>
          </cell>
          <cell r="CD98">
            <v>-23770</v>
          </cell>
          <cell r="CE98">
            <v>-426833</v>
          </cell>
          <cell r="CF98">
            <v>-341466</v>
          </cell>
          <cell r="CG98">
            <v>-76830</v>
          </cell>
          <cell r="CH98">
            <v>-8537</v>
          </cell>
        </row>
        <row r="99">
          <cell r="A99">
            <v>92</v>
          </cell>
          <cell r="B99" t="str">
            <v>Eastleigh</v>
          </cell>
          <cell r="C99" t="str">
            <v>E1733</v>
          </cell>
          <cell r="D99">
            <v>145309</v>
          </cell>
          <cell r="H99">
            <v>-2311413</v>
          </cell>
          <cell r="I99">
            <v>0</v>
          </cell>
          <cell r="J99">
            <v>145309</v>
          </cell>
          <cell r="K99">
            <v>0</v>
          </cell>
          <cell r="L99">
            <v>0</v>
          </cell>
          <cell r="M99">
            <v>0</v>
          </cell>
          <cell r="N99">
            <v>0</v>
          </cell>
          <cell r="O99">
            <v>0</v>
          </cell>
          <cell r="P99">
            <v>0</v>
          </cell>
          <cell r="Q99">
            <v>0</v>
          </cell>
          <cell r="R99">
            <v>528320</v>
          </cell>
          <cell r="S99">
            <v>118872</v>
          </cell>
          <cell r="T99">
            <v>13208</v>
          </cell>
          <cell r="U99">
            <v>0</v>
          </cell>
          <cell r="V99">
            <v>0</v>
          </cell>
          <cell r="W99">
            <v>0</v>
          </cell>
          <cell r="X99">
            <v>0</v>
          </cell>
          <cell r="Y99">
            <v>0</v>
          </cell>
          <cell r="Z99">
            <v>0</v>
          </cell>
          <cell r="AA99">
            <v>1537</v>
          </cell>
          <cell r="AB99">
            <v>346</v>
          </cell>
          <cell r="AC99">
            <v>38</v>
          </cell>
          <cell r="AD99">
            <v>0</v>
          </cell>
          <cell r="AE99">
            <v>0</v>
          </cell>
          <cell r="AF99">
            <v>0</v>
          </cell>
          <cell r="AG99">
            <v>0</v>
          </cell>
          <cell r="AH99">
            <v>0</v>
          </cell>
          <cell r="AI99">
            <v>0</v>
          </cell>
          <cell r="AM99">
            <v>0</v>
          </cell>
          <cell r="AN99">
            <v>0</v>
          </cell>
          <cell r="AO99">
            <v>0</v>
          </cell>
          <cell r="AP99">
            <v>336146</v>
          </cell>
          <cell r="AQ99">
            <v>75633</v>
          </cell>
          <cell r="AR99">
            <v>8404</v>
          </cell>
          <cell r="AS99">
            <v>-237071</v>
          </cell>
          <cell r="AT99">
            <v>-189659</v>
          </cell>
          <cell r="AU99">
            <v>-42674</v>
          </cell>
          <cell r="AV99">
            <v>-4742</v>
          </cell>
          <cell r="AW99">
            <v>-474146</v>
          </cell>
          <cell r="AX99">
            <v>-2834233</v>
          </cell>
          <cell r="AY99">
            <v>-2267385</v>
          </cell>
          <cell r="AZ99">
            <v>-510162</v>
          </cell>
          <cell r="BA99">
            <v>-56685</v>
          </cell>
          <cell r="BB99">
            <v>-5668465</v>
          </cell>
          <cell r="BC99">
            <v>58663150</v>
          </cell>
          <cell r="BD99">
            <v>-1767835</v>
          </cell>
          <cell r="BE99">
            <v>1571401</v>
          </cell>
          <cell r="BF99">
            <v>0</v>
          </cell>
          <cell r="BG99">
            <v>-2199995</v>
          </cell>
          <cell r="BH99">
            <v>0</v>
          </cell>
          <cell r="BI99">
            <v>0</v>
          </cell>
          <cell r="BJ99">
            <v>-3830</v>
          </cell>
          <cell r="BK99">
            <v>-983077</v>
          </cell>
          <cell r="BL99">
            <v>-47954</v>
          </cell>
          <cell r="BM99">
            <v>-135184</v>
          </cell>
          <cell r="BN99">
            <v>0</v>
          </cell>
          <cell r="BO99">
            <v>0</v>
          </cell>
          <cell r="BP99">
            <v>0</v>
          </cell>
          <cell r="BQ99">
            <v>0</v>
          </cell>
          <cell r="BR99">
            <v>0</v>
          </cell>
          <cell r="BS99">
            <v>0</v>
          </cell>
          <cell r="BT99">
            <v>59533718</v>
          </cell>
          <cell r="BU99">
            <v>-445226</v>
          </cell>
          <cell r="BV99">
            <v>1019966</v>
          </cell>
          <cell r="BW99">
            <v>-1044033</v>
          </cell>
          <cell r="BX99">
            <v>-1609738</v>
          </cell>
          <cell r="BY99">
            <v>-2073759</v>
          </cell>
          <cell r="BZ99">
            <v>55944250</v>
          </cell>
          <cell r="CA99">
            <v>-804871</v>
          </cell>
          <cell r="CB99">
            <v>-643895</v>
          </cell>
          <cell r="CC99">
            <v>-144875</v>
          </cell>
          <cell r="CD99">
            <v>-16097</v>
          </cell>
          <cell r="CE99">
            <v>-1036879</v>
          </cell>
          <cell r="CF99">
            <v>-829504</v>
          </cell>
          <cell r="CG99">
            <v>-186638</v>
          </cell>
          <cell r="CH99">
            <v>-20738</v>
          </cell>
        </row>
        <row r="100">
          <cell r="A100">
            <v>93</v>
          </cell>
          <cell r="B100" t="str">
            <v>Eden</v>
          </cell>
          <cell r="C100" t="str">
            <v>E0935</v>
          </cell>
          <cell r="D100">
            <v>125987</v>
          </cell>
          <cell r="H100">
            <v>320990</v>
          </cell>
          <cell r="I100">
            <v>0</v>
          </cell>
          <cell r="J100">
            <v>125987</v>
          </cell>
          <cell r="K100">
            <v>0</v>
          </cell>
          <cell r="L100">
            <v>0</v>
          </cell>
          <cell r="M100">
            <v>0</v>
          </cell>
          <cell r="N100">
            <v>0</v>
          </cell>
          <cell r="O100">
            <v>0</v>
          </cell>
          <cell r="P100">
            <v>0</v>
          </cell>
          <cell r="Q100">
            <v>0</v>
          </cell>
          <cell r="R100">
            <v>662764</v>
          </cell>
          <cell r="S100">
            <v>165691</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M100">
            <v>0</v>
          </cell>
          <cell r="AN100">
            <v>0</v>
          </cell>
          <cell r="AO100">
            <v>0</v>
          </cell>
          <cell r="AP100">
            <v>125416</v>
          </cell>
          <cell r="AQ100">
            <v>31354</v>
          </cell>
          <cell r="AR100">
            <v>0</v>
          </cell>
          <cell r="AS100">
            <v>-77787</v>
          </cell>
          <cell r="AT100">
            <v>-62229</v>
          </cell>
          <cell r="AU100">
            <v>-15557</v>
          </cell>
          <cell r="AV100">
            <v>0</v>
          </cell>
          <cell r="AW100">
            <v>-155573</v>
          </cell>
          <cell r="AX100">
            <v>-155045.04000000004</v>
          </cell>
          <cell r="AY100">
            <v>-124035</v>
          </cell>
          <cell r="AZ100">
            <v>-31009</v>
          </cell>
          <cell r="BA100">
            <v>0</v>
          </cell>
          <cell r="BB100">
            <v>-310089</v>
          </cell>
          <cell r="BC100">
            <v>19888399</v>
          </cell>
          <cell r="BD100">
            <v>-2341524</v>
          </cell>
          <cell r="BE100">
            <v>531030</v>
          </cell>
          <cell r="BF100">
            <v>0</v>
          </cell>
          <cell r="BG100">
            <v>-1313659</v>
          </cell>
          <cell r="BH100">
            <v>-79384</v>
          </cell>
          <cell r="BI100">
            <v>-70770</v>
          </cell>
          <cell r="BJ100">
            <v>0</v>
          </cell>
          <cell r="BK100">
            <v>-544222</v>
          </cell>
          <cell r="BL100">
            <v>-50559</v>
          </cell>
          <cell r="BM100">
            <v>-35375</v>
          </cell>
          <cell r="BN100">
            <v>-1558</v>
          </cell>
          <cell r="BO100">
            <v>-34305</v>
          </cell>
          <cell r="BP100">
            <v>-3209</v>
          </cell>
          <cell r="BQ100">
            <v>0</v>
          </cell>
          <cell r="BR100">
            <v>0</v>
          </cell>
          <cell r="BS100">
            <v>0</v>
          </cell>
          <cell r="BT100">
            <v>18378392</v>
          </cell>
          <cell r="BU100">
            <v>-109335</v>
          </cell>
          <cell r="BV100">
            <v>711017</v>
          </cell>
          <cell r="BW100">
            <v>-100690</v>
          </cell>
          <cell r="BX100">
            <v>-2932676</v>
          </cell>
          <cell r="BY100">
            <v>-3027463</v>
          </cell>
          <cell r="BZ100">
            <v>20872730</v>
          </cell>
          <cell r="CA100">
            <v>-1466338</v>
          </cell>
          <cell r="CB100">
            <v>-1173070</v>
          </cell>
          <cell r="CC100">
            <v>-293268</v>
          </cell>
          <cell r="CD100">
            <v>0</v>
          </cell>
          <cell r="CE100">
            <v>-1513732</v>
          </cell>
          <cell r="CF100">
            <v>-1210985</v>
          </cell>
          <cell r="CG100">
            <v>-302746</v>
          </cell>
          <cell r="CH100">
            <v>0</v>
          </cell>
        </row>
        <row r="101">
          <cell r="A101">
            <v>94</v>
          </cell>
          <cell r="B101" t="str">
            <v>Elmbridge</v>
          </cell>
          <cell r="C101" t="str">
            <v>E3631</v>
          </cell>
          <cell r="D101">
            <v>183674</v>
          </cell>
          <cell r="H101">
            <v>5062654</v>
          </cell>
          <cell r="I101">
            <v>0</v>
          </cell>
          <cell r="J101">
            <v>183674</v>
          </cell>
          <cell r="K101">
            <v>0</v>
          </cell>
          <cell r="L101">
            <v>22549</v>
          </cell>
          <cell r="M101">
            <v>0</v>
          </cell>
          <cell r="N101">
            <v>0</v>
          </cell>
          <cell r="O101">
            <v>0</v>
          </cell>
          <cell r="P101">
            <v>0</v>
          </cell>
          <cell r="Q101">
            <v>0</v>
          </cell>
          <cell r="R101">
            <v>513906</v>
          </cell>
          <cell r="S101">
            <v>128477</v>
          </cell>
          <cell r="T101">
            <v>0</v>
          </cell>
          <cell r="U101">
            <v>405</v>
          </cell>
          <cell r="V101">
            <v>101</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M101">
            <v>0</v>
          </cell>
          <cell r="AN101">
            <v>0</v>
          </cell>
          <cell r="AO101">
            <v>0</v>
          </cell>
          <cell r="AP101">
            <v>382101</v>
          </cell>
          <cell r="AQ101">
            <v>95441</v>
          </cell>
          <cell r="AR101">
            <v>0</v>
          </cell>
          <cell r="AS101">
            <v>-167500</v>
          </cell>
          <cell r="AT101">
            <v>-134000</v>
          </cell>
          <cell r="AU101">
            <v>-33500</v>
          </cell>
          <cell r="AV101">
            <v>0</v>
          </cell>
          <cell r="AW101">
            <v>-335000</v>
          </cell>
          <cell r="AX101">
            <v>-2828412</v>
          </cell>
          <cell r="AY101">
            <v>-2262729</v>
          </cell>
          <cell r="AZ101">
            <v>-565683</v>
          </cell>
          <cell r="BA101">
            <v>0</v>
          </cell>
          <cell r="BB101">
            <v>-5656824</v>
          </cell>
          <cell r="BC101">
            <v>54037980</v>
          </cell>
          <cell r="BD101">
            <v>-2011536</v>
          </cell>
          <cell r="BE101">
            <v>1553160</v>
          </cell>
          <cell r="BF101">
            <v>0</v>
          </cell>
          <cell r="BG101">
            <v>-3715716</v>
          </cell>
          <cell r="BH101">
            <v>-54312</v>
          </cell>
          <cell r="BI101">
            <v>0</v>
          </cell>
          <cell r="BJ101">
            <v>-128273</v>
          </cell>
          <cell r="BK101">
            <v>-1774993</v>
          </cell>
          <cell r="BL101">
            <v>-107105</v>
          </cell>
          <cell r="BM101">
            <v>-327149</v>
          </cell>
          <cell r="BN101">
            <v>0</v>
          </cell>
          <cell r="BO101">
            <v>0</v>
          </cell>
          <cell r="BP101">
            <v>0</v>
          </cell>
          <cell r="BQ101">
            <v>0</v>
          </cell>
          <cell r="BR101">
            <v>0</v>
          </cell>
          <cell r="BS101">
            <v>0</v>
          </cell>
          <cell r="BT101">
            <v>57569306</v>
          </cell>
          <cell r="BU101">
            <v>-232501</v>
          </cell>
          <cell r="BV101">
            <v>622712</v>
          </cell>
          <cell r="BW101">
            <v>-1820847</v>
          </cell>
          <cell r="BX101">
            <v>268582</v>
          </cell>
          <cell r="BY101">
            <v>333496</v>
          </cell>
          <cell r="BZ101">
            <v>63536140</v>
          </cell>
          <cell r="CA101">
            <v>134291</v>
          </cell>
          <cell r="CB101">
            <v>107432</v>
          </cell>
          <cell r="CC101">
            <v>26859</v>
          </cell>
          <cell r="CD101">
            <v>0</v>
          </cell>
          <cell r="CE101">
            <v>166748</v>
          </cell>
          <cell r="CF101">
            <v>133398</v>
          </cell>
          <cell r="CG101">
            <v>33350</v>
          </cell>
          <cell r="CH101">
            <v>0</v>
          </cell>
        </row>
        <row r="102">
          <cell r="A102">
            <v>95</v>
          </cell>
          <cell r="B102" t="str">
            <v>Enfield</v>
          </cell>
          <cell r="C102" t="str">
            <v>E5037</v>
          </cell>
          <cell r="D102">
            <v>339782</v>
          </cell>
          <cell r="H102">
            <v>0</v>
          </cell>
          <cell r="I102">
            <v>0</v>
          </cell>
          <cell r="J102">
            <v>339782</v>
          </cell>
          <cell r="K102">
            <v>0</v>
          </cell>
          <cell r="L102">
            <v>0</v>
          </cell>
          <cell r="M102">
            <v>0</v>
          </cell>
          <cell r="N102">
            <v>0</v>
          </cell>
          <cell r="O102">
            <v>0</v>
          </cell>
          <cell r="P102">
            <v>0</v>
          </cell>
          <cell r="Q102">
            <v>0</v>
          </cell>
          <cell r="R102">
            <v>942111</v>
          </cell>
          <cell r="S102">
            <v>1161938</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M102">
            <v>0</v>
          </cell>
          <cell r="AN102">
            <v>0</v>
          </cell>
          <cell r="AO102">
            <v>0</v>
          </cell>
          <cell r="AP102">
            <v>514483</v>
          </cell>
          <cell r="AQ102">
            <v>634529</v>
          </cell>
          <cell r="AR102">
            <v>0</v>
          </cell>
          <cell r="AS102">
            <v>-1955768</v>
          </cell>
          <cell r="AT102">
            <v>-1173459</v>
          </cell>
          <cell r="AU102">
            <v>-782307</v>
          </cell>
          <cell r="AV102">
            <v>0</v>
          </cell>
          <cell r="AW102">
            <v>-3911534</v>
          </cell>
          <cell r="AX102">
            <v>-4038000.5</v>
          </cell>
          <cell r="AY102">
            <v>-2422799</v>
          </cell>
          <cell r="AZ102">
            <v>-1615200</v>
          </cell>
          <cell r="BA102">
            <v>0</v>
          </cell>
          <cell r="BB102">
            <v>-8075999.5</v>
          </cell>
          <cell r="BC102">
            <v>115566113</v>
          </cell>
          <cell r="BD102">
            <v>-3941858</v>
          </cell>
          <cell r="BE102">
            <v>2762918</v>
          </cell>
          <cell r="BF102">
            <v>0</v>
          </cell>
          <cell r="BG102">
            <v>-5709166</v>
          </cell>
          <cell r="BH102">
            <v>-117391</v>
          </cell>
          <cell r="BI102">
            <v>0</v>
          </cell>
          <cell r="BJ102">
            <v>0</v>
          </cell>
          <cell r="BK102">
            <v>-3272089</v>
          </cell>
          <cell r="BL102">
            <v>-212411</v>
          </cell>
          <cell r="BM102">
            <v>-193749</v>
          </cell>
          <cell r="BN102">
            <v>0</v>
          </cell>
          <cell r="BO102">
            <v>0</v>
          </cell>
          <cell r="BP102">
            <v>0</v>
          </cell>
          <cell r="BQ102">
            <v>0</v>
          </cell>
          <cell r="BR102">
            <v>0</v>
          </cell>
          <cell r="BS102">
            <v>0</v>
          </cell>
          <cell r="BT102">
            <v>111518565</v>
          </cell>
          <cell r="BU102">
            <v>-1074869</v>
          </cell>
          <cell r="BV102">
            <v>5824679</v>
          </cell>
          <cell r="BW102">
            <v>-3730370</v>
          </cell>
          <cell r="BX102">
            <v>2136913</v>
          </cell>
          <cell r="BY102">
            <v>-2542858</v>
          </cell>
          <cell r="BZ102">
            <v>114166246</v>
          </cell>
          <cell r="CA102">
            <v>1068457</v>
          </cell>
          <cell r="CB102">
            <v>641074</v>
          </cell>
          <cell r="CC102">
            <v>427382</v>
          </cell>
          <cell r="CD102">
            <v>0</v>
          </cell>
          <cell r="CE102">
            <v>-1271429</v>
          </cell>
          <cell r="CF102">
            <v>-762857</v>
          </cell>
          <cell r="CG102">
            <v>-508572</v>
          </cell>
          <cell r="CH102">
            <v>0</v>
          </cell>
        </row>
        <row r="103">
          <cell r="A103">
            <v>96</v>
          </cell>
          <cell r="B103" t="str">
            <v>Epping Forest</v>
          </cell>
          <cell r="C103" t="str">
            <v>E1537</v>
          </cell>
          <cell r="D103">
            <v>172654</v>
          </cell>
          <cell r="H103">
            <v>981919</v>
          </cell>
          <cell r="I103">
            <v>0</v>
          </cell>
          <cell r="J103">
            <v>172654</v>
          </cell>
          <cell r="K103">
            <v>0</v>
          </cell>
          <cell r="L103">
            <v>0</v>
          </cell>
          <cell r="M103">
            <v>0</v>
          </cell>
          <cell r="N103">
            <v>0</v>
          </cell>
          <cell r="O103">
            <v>0</v>
          </cell>
          <cell r="P103">
            <v>0</v>
          </cell>
          <cell r="Q103">
            <v>0</v>
          </cell>
          <cell r="R103">
            <v>799161</v>
          </cell>
          <cell r="S103">
            <v>179811</v>
          </cell>
          <cell r="T103">
            <v>19979</v>
          </cell>
          <cell r="U103">
            <v>1186</v>
          </cell>
          <cell r="V103">
            <v>267</v>
          </cell>
          <cell r="W103">
            <v>30</v>
          </cell>
          <cell r="X103">
            <v>0</v>
          </cell>
          <cell r="Y103">
            <v>0</v>
          </cell>
          <cell r="Z103">
            <v>0</v>
          </cell>
          <cell r="AA103">
            <v>0</v>
          </cell>
          <cell r="AB103">
            <v>0</v>
          </cell>
          <cell r="AC103">
            <v>0</v>
          </cell>
          <cell r="AD103">
            <v>0</v>
          </cell>
          <cell r="AE103">
            <v>0</v>
          </cell>
          <cell r="AF103">
            <v>0</v>
          </cell>
          <cell r="AG103">
            <v>0</v>
          </cell>
          <cell r="AH103">
            <v>0</v>
          </cell>
          <cell r="AI103">
            <v>0</v>
          </cell>
          <cell r="AM103">
            <v>0</v>
          </cell>
          <cell r="AN103">
            <v>0</v>
          </cell>
          <cell r="AO103">
            <v>0</v>
          </cell>
          <cell r="AP103">
            <v>208568</v>
          </cell>
          <cell r="AQ103">
            <v>46928</v>
          </cell>
          <cell r="AR103">
            <v>5214</v>
          </cell>
          <cell r="AS103">
            <v>-135474</v>
          </cell>
          <cell r="AT103">
            <v>-108378</v>
          </cell>
          <cell r="AU103">
            <v>-24386</v>
          </cell>
          <cell r="AV103">
            <v>-2710</v>
          </cell>
          <cell r="AW103">
            <v>-270948</v>
          </cell>
          <cell r="AX103">
            <v>-1754506</v>
          </cell>
          <cell r="AY103">
            <v>-1403607</v>
          </cell>
          <cell r="AZ103">
            <v>-315811</v>
          </cell>
          <cell r="BA103">
            <v>-35091</v>
          </cell>
          <cell r="BB103">
            <v>-3509015</v>
          </cell>
          <cell r="BC103">
            <v>35802219</v>
          </cell>
          <cell r="BD103">
            <v>-2726041</v>
          </cell>
          <cell r="BE103">
            <v>864671</v>
          </cell>
          <cell r="BF103">
            <v>0</v>
          </cell>
          <cell r="BG103">
            <v>-2363249</v>
          </cell>
          <cell r="BH103">
            <v>-33836</v>
          </cell>
          <cell r="BI103">
            <v>-9294</v>
          </cell>
          <cell r="BJ103">
            <v>0</v>
          </cell>
          <cell r="BK103">
            <v>-781463</v>
          </cell>
          <cell r="BL103">
            <v>-18054</v>
          </cell>
          <cell r="BM103">
            <v>-56452</v>
          </cell>
          <cell r="BN103">
            <v>0</v>
          </cell>
          <cell r="BO103">
            <v>-5576</v>
          </cell>
          <cell r="BP103">
            <v>-12235</v>
          </cell>
          <cell r="BQ103">
            <v>0</v>
          </cell>
          <cell r="BR103">
            <v>0</v>
          </cell>
          <cell r="BS103">
            <v>0</v>
          </cell>
          <cell r="BT103">
            <v>36181619</v>
          </cell>
          <cell r="BU103">
            <v>-290399</v>
          </cell>
          <cell r="BV103">
            <v>1112962</v>
          </cell>
          <cell r="BW103">
            <v>-1316220</v>
          </cell>
          <cell r="BX103">
            <v>-86994</v>
          </cell>
          <cell r="BY103">
            <v>-500341</v>
          </cell>
          <cell r="BZ103">
            <v>34711694</v>
          </cell>
          <cell r="CA103">
            <v>-43498</v>
          </cell>
          <cell r="CB103">
            <v>-34797</v>
          </cell>
          <cell r="CC103">
            <v>-7829</v>
          </cell>
          <cell r="CD103">
            <v>-870</v>
          </cell>
          <cell r="CE103">
            <v>-250171</v>
          </cell>
          <cell r="CF103">
            <v>-200136</v>
          </cell>
          <cell r="CG103">
            <v>-45031</v>
          </cell>
          <cell r="CH103">
            <v>-5003</v>
          </cell>
        </row>
        <row r="104">
          <cell r="A104">
            <v>97</v>
          </cell>
          <cell r="B104" t="str">
            <v>Epsom &amp; Ewell</v>
          </cell>
          <cell r="C104" t="str">
            <v>E3632</v>
          </cell>
          <cell r="D104">
            <v>83437</v>
          </cell>
          <cell r="H104">
            <v>277933</v>
          </cell>
          <cell r="I104">
            <v>0</v>
          </cell>
          <cell r="J104">
            <v>83437</v>
          </cell>
          <cell r="K104">
            <v>0</v>
          </cell>
          <cell r="L104">
            <v>0</v>
          </cell>
          <cell r="M104">
            <v>0</v>
          </cell>
          <cell r="N104">
            <v>0</v>
          </cell>
          <cell r="O104">
            <v>0</v>
          </cell>
          <cell r="P104">
            <v>0</v>
          </cell>
          <cell r="Q104">
            <v>0</v>
          </cell>
          <cell r="R104">
            <v>289507</v>
          </cell>
          <cell r="S104">
            <v>72377</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M104">
            <v>0</v>
          </cell>
          <cell r="AN104">
            <v>0</v>
          </cell>
          <cell r="AO104">
            <v>0</v>
          </cell>
          <cell r="AP104">
            <v>148262</v>
          </cell>
          <cell r="AQ104">
            <v>37065</v>
          </cell>
          <cell r="AR104">
            <v>0</v>
          </cell>
          <cell r="AS104">
            <v>-45511</v>
          </cell>
          <cell r="AT104">
            <v>-36408</v>
          </cell>
          <cell r="AU104">
            <v>-9101</v>
          </cell>
          <cell r="AV104">
            <v>0</v>
          </cell>
          <cell r="AW104">
            <v>-91020</v>
          </cell>
          <cell r="AX104">
            <v>-1062818</v>
          </cell>
          <cell r="AY104">
            <v>-850254</v>
          </cell>
          <cell r="AZ104">
            <v>-212565</v>
          </cell>
          <cell r="BA104">
            <v>0</v>
          </cell>
          <cell r="BB104">
            <v>-2125637</v>
          </cell>
          <cell r="BC104">
            <v>23193578</v>
          </cell>
          <cell r="BD104">
            <v>-1119399</v>
          </cell>
          <cell r="BE104">
            <v>668384</v>
          </cell>
          <cell r="BF104">
            <v>0</v>
          </cell>
          <cell r="BG104">
            <v>-2862916</v>
          </cell>
          <cell r="BH104">
            <v>-50296</v>
          </cell>
          <cell r="BI104">
            <v>0</v>
          </cell>
          <cell r="BJ104">
            <v>-11517</v>
          </cell>
          <cell r="BK104">
            <v>-851867</v>
          </cell>
          <cell r="BL104">
            <v>-89892</v>
          </cell>
          <cell r="BM104">
            <v>-590</v>
          </cell>
          <cell r="BN104">
            <v>-8817</v>
          </cell>
          <cell r="BO104">
            <v>0</v>
          </cell>
          <cell r="BP104">
            <v>0</v>
          </cell>
          <cell r="BQ104">
            <v>0</v>
          </cell>
          <cell r="BR104">
            <v>0</v>
          </cell>
          <cell r="BS104">
            <v>0</v>
          </cell>
          <cell r="BT104">
            <v>23580931</v>
          </cell>
          <cell r="BU104">
            <v>-81109</v>
          </cell>
          <cell r="BV104">
            <v>161385</v>
          </cell>
          <cell r="BW104">
            <v>-108894</v>
          </cell>
          <cell r="BX104">
            <v>-1032036</v>
          </cell>
          <cell r="BY104">
            <v>-341773</v>
          </cell>
          <cell r="BZ104">
            <v>24675012</v>
          </cell>
          <cell r="CA104">
            <v>-516019</v>
          </cell>
          <cell r="CB104">
            <v>-412814</v>
          </cell>
          <cell r="CC104">
            <v>-103203</v>
          </cell>
          <cell r="CD104">
            <v>0</v>
          </cell>
          <cell r="CE104">
            <v>-170887</v>
          </cell>
          <cell r="CF104">
            <v>-136709</v>
          </cell>
          <cell r="CG104">
            <v>-34177</v>
          </cell>
          <cell r="CH104">
            <v>0</v>
          </cell>
        </row>
        <row r="105">
          <cell r="A105">
            <v>98</v>
          </cell>
          <cell r="B105" t="str">
            <v>Erewash</v>
          </cell>
          <cell r="C105" t="str">
            <v>E1036</v>
          </cell>
          <cell r="D105">
            <v>134458</v>
          </cell>
          <cell r="H105">
            <v>-342248</v>
          </cell>
          <cell r="I105">
            <v>0</v>
          </cell>
          <cell r="J105">
            <v>134458</v>
          </cell>
          <cell r="K105">
            <v>0</v>
          </cell>
          <cell r="L105">
            <v>0</v>
          </cell>
          <cell r="M105">
            <v>0</v>
          </cell>
          <cell r="N105">
            <v>0</v>
          </cell>
          <cell r="O105">
            <v>0</v>
          </cell>
          <cell r="P105">
            <v>0</v>
          </cell>
          <cell r="Q105">
            <v>0</v>
          </cell>
          <cell r="R105">
            <v>834944</v>
          </cell>
          <cell r="S105">
            <v>187862</v>
          </cell>
          <cell r="T105">
            <v>20874</v>
          </cell>
          <cell r="U105">
            <v>609</v>
          </cell>
          <cell r="V105">
            <v>137</v>
          </cell>
          <cell r="W105">
            <v>15</v>
          </cell>
          <cell r="X105">
            <v>0</v>
          </cell>
          <cell r="Y105">
            <v>0</v>
          </cell>
          <cell r="Z105">
            <v>0</v>
          </cell>
          <cell r="AA105">
            <v>211</v>
          </cell>
          <cell r="AB105">
            <v>48</v>
          </cell>
          <cell r="AC105">
            <v>5</v>
          </cell>
          <cell r="AD105">
            <v>0</v>
          </cell>
          <cell r="AE105">
            <v>0</v>
          </cell>
          <cell r="AF105">
            <v>0</v>
          </cell>
          <cell r="AG105">
            <v>0</v>
          </cell>
          <cell r="AH105">
            <v>0</v>
          </cell>
          <cell r="AI105">
            <v>0</v>
          </cell>
          <cell r="AM105">
            <v>0</v>
          </cell>
          <cell r="AN105">
            <v>0</v>
          </cell>
          <cell r="AO105">
            <v>0</v>
          </cell>
          <cell r="AP105">
            <v>146851</v>
          </cell>
          <cell r="AQ105">
            <v>33042</v>
          </cell>
          <cell r="AR105">
            <v>3671</v>
          </cell>
          <cell r="AS105">
            <v>-343250</v>
          </cell>
          <cell r="AT105">
            <v>-274600</v>
          </cell>
          <cell r="AU105">
            <v>-61785</v>
          </cell>
          <cell r="AV105">
            <v>-6865</v>
          </cell>
          <cell r="AW105">
            <v>-686500</v>
          </cell>
          <cell r="AX105">
            <v>-508850</v>
          </cell>
          <cell r="AY105">
            <v>-407080</v>
          </cell>
          <cell r="AZ105">
            <v>-91593</v>
          </cell>
          <cell r="BA105">
            <v>-10177</v>
          </cell>
          <cell r="BB105">
            <v>-1017700</v>
          </cell>
          <cell r="BC105">
            <v>23846391</v>
          </cell>
          <cell r="BD105">
            <v>-2602214</v>
          </cell>
          <cell r="BE105">
            <v>639434</v>
          </cell>
          <cell r="BF105">
            <v>0</v>
          </cell>
          <cell r="BG105">
            <v>-1739482</v>
          </cell>
          <cell r="BH105">
            <v>-60892</v>
          </cell>
          <cell r="BI105">
            <v>-1230</v>
          </cell>
          <cell r="BJ105">
            <v>-3408</v>
          </cell>
          <cell r="BK105">
            <v>-662025</v>
          </cell>
          <cell r="BL105">
            <v>-18819</v>
          </cell>
          <cell r="BM105">
            <v>-37439</v>
          </cell>
          <cell r="BN105">
            <v>0</v>
          </cell>
          <cell r="BO105">
            <v>-1230</v>
          </cell>
          <cell r="BP105">
            <v>0</v>
          </cell>
          <cell r="BQ105">
            <v>0</v>
          </cell>
          <cell r="BR105">
            <v>0</v>
          </cell>
          <cell r="BS105">
            <v>0</v>
          </cell>
          <cell r="BT105">
            <v>24514648</v>
          </cell>
          <cell r="BU105">
            <v>-299675</v>
          </cell>
          <cell r="BV105">
            <v>1145410</v>
          </cell>
          <cell r="BW105">
            <v>-867561</v>
          </cell>
          <cell r="BX105">
            <v>-3297570</v>
          </cell>
          <cell r="BY105">
            <v>-2143695</v>
          </cell>
          <cell r="BZ105">
            <v>24440275</v>
          </cell>
          <cell r="CA105">
            <v>-1648785</v>
          </cell>
          <cell r="CB105">
            <v>-1319029</v>
          </cell>
          <cell r="CC105">
            <v>-296781</v>
          </cell>
          <cell r="CD105">
            <v>-32975</v>
          </cell>
          <cell r="CE105">
            <v>-1071847</v>
          </cell>
          <cell r="CF105">
            <v>-857478</v>
          </cell>
          <cell r="CG105">
            <v>-192933</v>
          </cell>
          <cell r="CH105">
            <v>-21437</v>
          </cell>
        </row>
        <row r="106">
          <cell r="A106">
            <v>99</v>
          </cell>
          <cell r="B106" t="str">
            <v>Exeter</v>
          </cell>
          <cell r="C106" t="str">
            <v>E1132</v>
          </cell>
          <cell r="D106">
            <v>215774</v>
          </cell>
          <cell r="H106">
            <v>-5394536</v>
          </cell>
          <cell r="I106">
            <v>0</v>
          </cell>
          <cell r="J106">
            <v>215774</v>
          </cell>
          <cell r="K106">
            <v>0</v>
          </cell>
          <cell r="L106">
            <v>0</v>
          </cell>
          <cell r="M106">
            <v>0</v>
          </cell>
          <cell r="N106">
            <v>0</v>
          </cell>
          <cell r="O106">
            <v>0</v>
          </cell>
          <cell r="P106">
            <v>0</v>
          </cell>
          <cell r="Q106">
            <v>0</v>
          </cell>
          <cell r="R106">
            <v>628227</v>
          </cell>
          <cell r="S106">
            <v>141351</v>
          </cell>
          <cell r="T106">
            <v>15706</v>
          </cell>
          <cell r="U106">
            <v>9451</v>
          </cell>
          <cell r="V106">
            <v>2126</v>
          </cell>
          <cell r="W106">
            <v>236</v>
          </cell>
          <cell r="X106">
            <v>0</v>
          </cell>
          <cell r="Y106">
            <v>0</v>
          </cell>
          <cell r="Z106">
            <v>0</v>
          </cell>
          <cell r="AA106">
            <v>1584</v>
          </cell>
          <cell r="AB106">
            <v>357</v>
          </cell>
          <cell r="AC106">
            <v>40</v>
          </cell>
          <cell r="AD106">
            <v>0</v>
          </cell>
          <cell r="AE106">
            <v>0</v>
          </cell>
          <cell r="AF106">
            <v>0</v>
          </cell>
          <cell r="AG106">
            <v>0</v>
          </cell>
          <cell r="AH106">
            <v>0</v>
          </cell>
          <cell r="AI106">
            <v>0</v>
          </cell>
          <cell r="AM106">
            <v>0</v>
          </cell>
          <cell r="AN106">
            <v>0</v>
          </cell>
          <cell r="AO106">
            <v>0</v>
          </cell>
          <cell r="AP106">
            <v>440057</v>
          </cell>
          <cell r="AQ106">
            <v>99013</v>
          </cell>
          <cell r="AR106">
            <v>11001</v>
          </cell>
          <cell r="AS106">
            <v>-105000</v>
          </cell>
          <cell r="AT106">
            <v>-84000</v>
          </cell>
          <cell r="AU106">
            <v>-18900</v>
          </cell>
          <cell r="AV106">
            <v>-2100</v>
          </cell>
          <cell r="AW106">
            <v>-210000</v>
          </cell>
          <cell r="AX106">
            <v>-573624</v>
          </cell>
          <cell r="AY106">
            <v>-458897</v>
          </cell>
          <cell r="AZ106">
            <v>-103253</v>
          </cell>
          <cell r="BA106">
            <v>-11472</v>
          </cell>
          <cell r="BB106">
            <v>-1147246</v>
          </cell>
          <cell r="BC106">
            <v>78330157</v>
          </cell>
          <cell r="BD106">
            <v>-2307494</v>
          </cell>
          <cell r="BE106">
            <v>2204525</v>
          </cell>
          <cell r="BF106">
            <v>0</v>
          </cell>
          <cell r="BG106">
            <v>-6459583</v>
          </cell>
          <cell r="BH106">
            <v>-36271</v>
          </cell>
          <cell r="BI106">
            <v>0</v>
          </cell>
          <cell r="BJ106">
            <v>-10533</v>
          </cell>
          <cell r="BK106">
            <v>-1971284</v>
          </cell>
          <cell r="BL106">
            <v>-234740</v>
          </cell>
          <cell r="BM106">
            <v>-56887</v>
          </cell>
          <cell r="BN106">
            <v>-3412</v>
          </cell>
          <cell r="BO106">
            <v>0</v>
          </cell>
          <cell r="BP106">
            <v>0</v>
          </cell>
          <cell r="BQ106">
            <v>0</v>
          </cell>
          <cell r="BR106">
            <v>0</v>
          </cell>
          <cell r="BS106">
            <v>0</v>
          </cell>
          <cell r="BT106">
            <v>78528933</v>
          </cell>
          <cell r="BU106">
            <v>0</v>
          </cell>
          <cell r="BV106">
            <v>2965661</v>
          </cell>
          <cell r="BW106">
            <v>-1470008</v>
          </cell>
          <cell r="BX106">
            <v>-833851</v>
          </cell>
          <cell r="BY106">
            <v>79877</v>
          </cell>
          <cell r="BZ106">
            <v>73238075</v>
          </cell>
          <cell r="CA106">
            <v>-416927</v>
          </cell>
          <cell r="CB106">
            <v>-333540</v>
          </cell>
          <cell r="CC106">
            <v>-75046</v>
          </cell>
          <cell r="CD106">
            <v>-8338</v>
          </cell>
          <cell r="CE106">
            <v>39938</v>
          </cell>
          <cell r="CF106">
            <v>31951</v>
          </cell>
          <cell r="CG106">
            <v>7189</v>
          </cell>
          <cell r="CH106">
            <v>799</v>
          </cell>
        </row>
        <row r="107">
          <cell r="A107">
            <v>100</v>
          </cell>
          <cell r="B107" t="str">
            <v>Fareham</v>
          </cell>
          <cell r="C107" t="str">
            <v>E1734</v>
          </cell>
          <cell r="D107">
            <v>138082</v>
          </cell>
          <cell r="H107">
            <v>-1955487</v>
          </cell>
          <cell r="I107">
            <v>49</v>
          </cell>
          <cell r="J107">
            <v>138082</v>
          </cell>
          <cell r="K107">
            <v>206050</v>
          </cell>
          <cell r="L107">
            <v>75611</v>
          </cell>
          <cell r="M107">
            <v>0</v>
          </cell>
          <cell r="N107">
            <v>318655</v>
          </cell>
          <cell r="O107">
            <v>318655</v>
          </cell>
          <cell r="P107">
            <v>0</v>
          </cell>
          <cell r="Q107">
            <v>0</v>
          </cell>
          <cell r="R107">
            <v>549811</v>
          </cell>
          <cell r="S107">
            <v>123708</v>
          </cell>
          <cell r="T107">
            <v>13745</v>
          </cell>
          <cell r="U107">
            <v>3123</v>
          </cell>
          <cell r="V107">
            <v>702</v>
          </cell>
          <cell r="W107">
            <v>78</v>
          </cell>
          <cell r="X107">
            <v>1219</v>
          </cell>
          <cell r="Y107">
            <v>274</v>
          </cell>
          <cell r="Z107">
            <v>30</v>
          </cell>
          <cell r="AA107">
            <v>1406</v>
          </cell>
          <cell r="AB107">
            <v>316</v>
          </cell>
          <cell r="AC107">
            <v>35</v>
          </cell>
          <cell r="AD107">
            <v>0</v>
          </cell>
          <cell r="AE107">
            <v>0</v>
          </cell>
          <cell r="AF107">
            <v>0</v>
          </cell>
          <cell r="AG107">
            <v>0</v>
          </cell>
          <cell r="AH107">
            <v>0</v>
          </cell>
          <cell r="AI107">
            <v>0</v>
          </cell>
          <cell r="AM107">
            <v>0</v>
          </cell>
          <cell r="AN107">
            <v>0</v>
          </cell>
          <cell r="AO107">
            <v>0</v>
          </cell>
          <cell r="AP107">
            <v>232435</v>
          </cell>
          <cell r="AQ107">
            <v>50269</v>
          </cell>
          <cell r="AR107">
            <v>5585</v>
          </cell>
          <cell r="AS107">
            <v>-192930.49</v>
          </cell>
          <cell r="AT107">
            <v>-154344</v>
          </cell>
          <cell r="AU107">
            <v>-34728</v>
          </cell>
          <cell r="AV107">
            <v>-3859</v>
          </cell>
          <cell r="AW107">
            <v>-385861.49</v>
          </cell>
          <cell r="AX107">
            <v>-3390586</v>
          </cell>
          <cell r="AY107">
            <v>-2712468</v>
          </cell>
          <cell r="AZ107">
            <v>-610304</v>
          </cell>
          <cell r="BA107">
            <v>-67811</v>
          </cell>
          <cell r="BB107">
            <v>-6781169</v>
          </cell>
          <cell r="BC107">
            <v>43021475</v>
          </cell>
          <cell r="BD107">
            <v>-1838648</v>
          </cell>
          <cell r="BE107">
            <v>1130956</v>
          </cell>
          <cell r="BF107">
            <v>0</v>
          </cell>
          <cell r="BG107">
            <v>-2767427</v>
          </cell>
          <cell r="BH107">
            <v>0</v>
          </cell>
          <cell r="BI107">
            <v>0</v>
          </cell>
          <cell r="BJ107">
            <v>-3251</v>
          </cell>
          <cell r="BK107">
            <v>-1028846</v>
          </cell>
          <cell r="BL107">
            <v>-149848</v>
          </cell>
          <cell r="BM107">
            <v>-478338</v>
          </cell>
          <cell r="BN107">
            <v>0</v>
          </cell>
          <cell r="BO107">
            <v>0</v>
          </cell>
          <cell r="BP107">
            <v>0</v>
          </cell>
          <cell r="BQ107">
            <v>-305159</v>
          </cell>
          <cell r="BR107">
            <v>-320123</v>
          </cell>
          <cell r="BS107">
            <v>0</v>
          </cell>
          <cell r="BT107">
            <v>40876479</v>
          </cell>
          <cell r="BU107">
            <v>-89982</v>
          </cell>
          <cell r="BV107">
            <v>908760</v>
          </cell>
          <cell r="BW107">
            <v>-1302986</v>
          </cell>
          <cell r="BX107">
            <v>-1058217</v>
          </cell>
          <cell r="BY107">
            <v>-1842311</v>
          </cell>
          <cell r="BZ107">
            <v>37183072</v>
          </cell>
          <cell r="CA107">
            <v>-529110</v>
          </cell>
          <cell r="CB107">
            <v>-423287</v>
          </cell>
          <cell r="CC107">
            <v>-95238</v>
          </cell>
          <cell r="CD107">
            <v>-10582</v>
          </cell>
          <cell r="CE107">
            <v>-921156</v>
          </cell>
          <cell r="CF107">
            <v>-736924</v>
          </cell>
          <cell r="CG107">
            <v>-165808</v>
          </cell>
          <cell r="CH107">
            <v>-18423</v>
          </cell>
        </row>
        <row r="108">
          <cell r="A108">
            <v>101</v>
          </cell>
          <cell r="B108" t="str">
            <v>Fenland</v>
          </cell>
          <cell r="C108" t="str">
            <v>E0533</v>
          </cell>
          <cell r="D108">
            <v>124366</v>
          </cell>
          <cell r="H108">
            <v>-441276</v>
          </cell>
          <cell r="I108">
            <v>0</v>
          </cell>
          <cell r="J108">
            <v>124366</v>
          </cell>
          <cell r="K108">
            <v>0</v>
          </cell>
          <cell r="L108">
            <v>253074</v>
          </cell>
          <cell r="M108">
            <v>0</v>
          </cell>
          <cell r="N108">
            <v>0</v>
          </cell>
          <cell r="O108">
            <v>0</v>
          </cell>
          <cell r="P108">
            <v>0</v>
          </cell>
          <cell r="Q108">
            <v>0</v>
          </cell>
          <cell r="R108">
            <v>656002</v>
          </cell>
          <cell r="S108">
            <v>147600</v>
          </cell>
          <cell r="T108">
            <v>16400</v>
          </cell>
          <cell r="U108">
            <v>521</v>
          </cell>
          <cell r="V108">
            <v>117</v>
          </cell>
          <cell r="W108">
            <v>13</v>
          </cell>
          <cell r="X108">
            <v>0</v>
          </cell>
          <cell r="Y108">
            <v>0</v>
          </cell>
          <cell r="Z108">
            <v>0</v>
          </cell>
          <cell r="AA108">
            <v>0</v>
          </cell>
          <cell r="AB108">
            <v>0</v>
          </cell>
          <cell r="AC108">
            <v>0</v>
          </cell>
          <cell r="AD108">
            <v>0</v>
          </cell>
          <cell r="AE108">
            <v>0</v>
          </cell>
          <cell r="AF108">
            <v>0</v>
          </cell>
          <cell r="AG108">
            <v>0</v>
          </cell>
          <cell r="AH108">
            <v>0</v>
          </cell>
          <cell r="AI108">
            <v>0</v>
          </cell>
          <cell r="AM108">
            <v>0</v>
          </cell>
          <cell r="AN108">
            <v>0</v>
          </cell>
          <cell r="AO108">
            <v>0</v>
          </cell>
          <cell r="AP108">
            <v>148788</v>
          </cell>
          <cell r="AQ108">
            <v>32622</v>
          </cell>
          <cell r="AR108">
            <v>3625</v>
          </cell>
          <cell r="AS108">
            <v>-362896.53</v>
          </cell>
          <cell r="AT108">
            <v>-290318</v>
          </cell>
          <cell r="AU108">
            <v>-65322</v>
          </cell>
          <cell r="AV108">
            <v>-7257</v>
          </cell>
          <cell r="AW108">
            <v>-725793.53</v>
          </cell>
          <cell r="AX108">
            <v>-1301573</v>
          </cell>
          <cell r="AY108">
            <v>-1041259</v>
          </cell>
          <cell r="AZ108">
            <v>-234284</v>
          </cell>
          <cell r="BA108">
            <v>-26033</v>
          </cell>
          <cell r="BB108">
            <v>-2603149</v>
          </cell>
          <cell r="BC108">
            <v>25352406</v>
          </cell>
          <cell r="BD108">
            <v>-2503813</v>
          </cell>
          <cell r="BE108">
            <v>688077</v>
          </cell>
          <cell r="BF108">
            <v>0</v>
          </cell>
          <cell r="BG108">
            <v>-1999520</v>
          </cell>
          <cell r="BH108">
            <v>-34154</v>
          </cell>
          <cell r="BI108">
            <v>-29715</v>
          </cell>
          <cell r="BJ108">
            <v>0</v>
          </cell>
          <cell r="BK108">
            <v>-552925</v>
          </cell>
          <cell r="BL108">
            <v>-28920</v>
          </cell>
          <cell r="BM108">
            <v>-65636</v>
          </cell>
          <cell r="BN108">
            <v>-1068</v>
          </cell>
          <cell r="BO108">
            <v>-23184</v>
          </cell>
          <cell r="BP108">
            <v>-16803</v>
          </cell>
          <cell r="BQ108">
            <v>0</v>
          </cell>
          <cell r="BR108">
            <v>0</v>
          </cell>
          <cell r="BS108">
            <v>0</v>
          </cell>
          <cell r="BT108">
            <v>25781187</v>
          </cell>
          <cell r="BU108">
            <v>-11370</v>
          </cell>
          <cell r="BV108">
            <v>1485217</v>
          </cell>
          <cell r="BW108">
            <v>-250806</v>
          </cell>
          <cell r="BX108">
            <v>-385693</v>
          </cell>
          <cell r="BY108">
            <v>-252629</v>
          </cell>
          <cell r="BZ108">
            <v>24086734</v>
          </cell>
          <cell r="CA108">
            <v>-192846</v>
          </cell>
          <cell r="CB108">
            <v>-154277</v>
          </cell>
          <cell r="CC108">
            <v>-34712</v>
          </cell>
          <cell r="CD108">
            <v>-3858</v>
          </cell>
          <cell r="CE108">
            <v>-126314</v>
          </cell>
          <cell r="CF108">
            <v>-101052</v>
          </cell>
          <cell r="CG108">
            <v>-22737</v>
          </cell>
          <cell r="CH108">
            <v>-2526</v>
          </cell>
        </row>
        <row r="109">
          <cell r="A109">
            <v>102</v>
          </cell>
          <cell r="B109" t="str">
            <v>Forest Heath</v>
          </cell>
          <cell r="C109" t="str">
            <v>E3532</v>
          </cell>
          <cell r="D109">
            <v>90908</v>
          </cell>
          <cell r="H109">
            <v>962712</v>
          </cell>
          <cell r="I109">
            <v>0</v>
          </cell>
          <cell r="J109">
            <v>90908</v>
          </cell>
          <cell r="K109">
            <v>0</v>
          </cell>
          <cell r="L109">
            <v>97797</v>
          </cell>
          <cell r="M109">
            <v>0</v>
          </cell>
          <cell r="N109">
            <v>0</v>
          </cell>
          <cell r="O109">
            <v>0</v>
          </cell>
          <cell r="P109">
            <v>0</v>
          </cell>
          <cell r="Q109">
            <v>0</v>
          </cell>
          <cell r="R109">
            <v>394037</v>
          </cell>
          <cell r="S109">
            <v>98509</v>
          </cell>
          <cell r="T109">
            <v>0</v>
          </cell>
          <cell r="U109">
            <v>537</v>
          </cell>
          <cell r="V109">
            <v>134</v>
          </cell>
          <cell r="W109">
            <v>0</v>
          </cell>
          <cell r="X109">
            <v>0</v>
          </cell>
          <cell r="Y109">
            <v>0</v>
          </cell>
          <cell r="Z109">
            <v>0</v>
          </cell>
          <cell r="AA109">
            <v>4172</v>
          </cell>
          <cell r="AB109">
            <v>1043</v>
          </cell>
          <cell r="AC109">
            <v>0</v>
          </cell>
          <cell r="AD109">
            <v>0</v>
          </cell>
          <cell r="AE109">
            <v>0</v>
          </cell>
          <cell r="AF109">
            <v>0</v>
          </cell>
          <cell r="AG109">
            <v>0</v>
          </cell>
          <cell r="AH109">
            <v>0</v>
          </cell>
          <cell r="AI109">
            <v>0</v>
          </cell>
          <cell r="AM109">
            <v>0</v>
          </cell>
          <cell r="AN109">
            <v>0</v>
          </cell>
          <cell r="AO109">
            <v>0</v>
          </cell>
          <cell r="AP109">
            <v>148722</v>
          </cell>
          <cell r="AQ109">
            <v>36813</v>
          </cell>
          <cell r="AR109">
            <v>0</v>
          </cell>
          <cell r="AS109">
            <v>-126108.6</v>
          </cell>
          <cell r="AT109">
            <v>-100885</v>
          </cell>
          <cell r="AU109">
            <v>-25220</v>
          </cell>
          <cell r="AV109">
            <v>0</v>
          </cell>
          <cell r="AW109">
            <v>-252213.59999999998</v>
          </cell>
          <cell r="AX109">
            <v>-474369</v>
          </cell>
          <cell r="AY109">
            <v>-379497</v>
          </cell>
          <cell r="AZ109">
            <v>-94873</v>
          </cell>
          <cell r="BA109">
            <v>0</v>
          </cell>
          <cell r="BB109">
            <v>-948739</v>
          </cell>
          <cell r="BC109">
            <v>23606981</v>
          </cell>
          <cell r="BD109">
            <v>-1452888</v>
          </cell>
          <cell r="BE109">
            <v>598844</v>
          </cell>
          <cell r="BF109">
            <v>0</v>
          </cell>
          <cell r="BG109">
            <v>-1151782</v>
          </cell>
          <cell r="BH109">
            <v>-13039</v>
          </cell>
          <cell r="BI109">
            <v>-13291</v>
          </cell>
          <cell r="BJ109">
            <v>-20950</v>
          </cell>
          <cell r="BK109">
            <v>-374510</v>
          </cell>
          <cell r="BL109">
            <v>-15143</v>
          </cell>
          <cell r="BM109">
            <v>-636</v>
          </cell>
          <cell r="BN109">
            <v>-579</v>
          </cell>
          <cell r="BO109">
            <v>-3575</v>
          </cell>
          <cell r="BP109">
            <v>0</v>
          </cell>
          <cell r="BQ109">
            <v>-1920</v>
          </cell>
          <cell r="BR109">
            <v>0</v>
          </cell>
          <cell r="BS109">
            <v>0</v>
          </cell>
          <cell r="BT109">
            <v>23847898</v>
          </cell>
          <cell r="BU109">
            <v>-181446</v>
          </cell>
          <cell r="BV109">
            <v>793300</v>
          </cell>
          <cell r="BW109">
            <v>-334673</v>
          </cell>
          <cell r="BX109">
            <v>2348480</v>
          </cell>
          <cell r="BY109">
            <v>1843030</v>
          </cell>
          <cell r="BZ109">
            <v>24507067</v>
          </cell>
          <cell r="CA109">
            <v>1174241</v>
          </cell>
          <cell r="CB109">
            <v>939391</v>
          </cell>
          <cell r="CC109">
            <v>234848</v>
          </cell>
          <cell r="CD109">
            <v>0</v>
          </cell>
          <cell r="CE109">
            <v>921515</v>
          </cell>
          <cell r="CF109">
            <v>737212</v>
          </cell>
          <cell r="CG109">
            <v>184303</v>
          </cell>
          <cell r="CH109">
            <v>0</v>
          </cell>
        </row>
        <row r="110">
          <cell r="A110">
            <v>103</v>
          </cell>
          <cell r="B110" t="str">
            <v>Forest of Dean</v>
          </cell>
          <cell r="C110" t="str">
            <v>E1633</v>
          </cell>
          <cell r="D110">
            <v>119111</v>
          </cell>
          <cell r="H110">
            <v>811542</v>
          </cell>
          <cell r="I110">
            <v>0</v>
          </cell>
          <cell r="J110">
            <v>119111</v>
          </cell>
          <cell r="K110">
            <v>0</v>
          </cell>
          <cell r="L110">
            <v>73768</v>
          </cell>
          <cell r="M110">
            <v>0</v>
          </cell>
          <cell r="N110">
            <v>0</v>
          </cell>
          <cell r="O110">
            <v>0</v>
          </cell>
          <cell r="P110">
            <v>0</v>
          </cell>
          <cell r="Q110">
            <v>0</v>
          </cell>
          <cell r="R110">
            <v>592151</v>
          </cell>
          <cell r="S110">
            <v>148038</v>
          </cell>
          <cell r="T110">
            <v>0</v>
          </cell>
          <cell r="U110">
            <v>1918</v>
          </cell>
          <cell r="V110">
            <v>479</v>
          </cell>
          <cell r="W110">
            <v>0</v>
          </cell>
          <cell r="X110">
            <v>812</v>
          </cell>
          <cell r="Y110">
            <v>203</v>
          </cell>
          <cell r="Z110">
            <v>0</v>
          </cell>
          <cell r="AA110">
            <v>0</v>
          </cell>
          <cell r="AB110">
            <v>0</v>
          </cell>
          <cell r="AC110">
            <v>0</v>
          </cell>
          <cell r="AD110">
            <v>0</v>
          </cell>
          <cell r="AE110">
            <v>0</v>
          </cell>
          <cell r="AF110">
            <v>0</v>
          </cell>
          <cell r="AG110">
            <v>0</v>
          </cell>
          <cell r="AH110">
            <v>0</v>
          </cell>
          <cell r="AI110">
            <v>0</v>
          </cell>
          <cell r="AM110">
            <v>0</v>
          </cell>
          <cell r="AN110">
            <v>0</v>
          </cell>
          <cell r="AO110">
            <v>0</v>
          </cell>
          <cell r="AP110">
            <v>76352</v>
          </cell>
          <cell r="AQ110">
            <v>18811</v>
          </cell>
          <cell r="AR110">
            <v>0</v>
          </cell>
          <cell r="AS110">
            <v>-135000</v>
          </cell>
          <cell r="AT110">
            <v>-107999</v>
          </cell>
          <cell r="AU110">
            <v>-27001</v>
          </cell>
          <cell r="AV110">
            <v>0</v>
          </cell>
          <cell r="AW110">
            <v>-270000</v>
          </cell>
          <cell r="AX110">
            <v>-253554</v>
          </cell>
          <cell r="AY110">
            <v>-202844</v>
          </cell>
          <cell r="AZ110">
            <v>-50712</v>
          </cell>
          <cell r="BA110">
            <v>0</v>
          </cell>
          <cell r="BB110">
            <v>-507110</v>
          </cell>
          <cell r="BC110">
            <v>12001499</v>
          </cell>
          <cell r="BD110">
            <v>-2511643</v>
          </cell>
          <cell r="BE110">
            <v>313745</v>
          </cell>
          <cell r="BF110">
            <v>0</v>
          </cell>
          <cell r="BG110">
            <v>-1612685</v>
          </cell>
          <cell r="BH110">
            <v>-6505</v>
          </cell>
          <cell r="BI110">
            <v>-49094</v>
          </cell>
          <cell r="BJ110">
            <v>-3121</v>
          </cell>
          <cell r="BK110">
            <v>-373414</v>
          </cell>
          <cell r="BL110">
            <v>-30296</v>
          </cell>
          <cell r="BM110">
            <v>-26661</v>
          </cell>
          <cell r="BN110">
            <v>-162</v>
          </cell>
          <cell r="BO110">
            <v>-12177</v>
          </cell>
          <cell r="BP110">
            <v>0</v>
          </cell>
          <cell r="BQ110">
            <v>0</v>
          </cell>
          <cell r="BR110">
            <v>0</v>
          </cell>
          <cell r="BS110">
            <v>0</v>
          </cell>
          <cell r="BT110">
            <v>11910268</v>
          </cell>
          <cell r="BU110">
            <v>-187463</v>
          </cell>
          <cell r="BV110">
            <v>410612</v>
          </cell>
          <cell r="BW110">
            <v>-134067</v>
          </cell>
          <cell r="BX110">
            <v>-437374</v>
          </cell>
          <cell r="BY110">
            <v>-286992</v>
          </cell>
          <cell r="BZ110">
            <v>12522675</v>
          </cell>
          <cell r="CA110">
            <v>-218688</v>
          </cell>
          <cell r="CB110">
            <v>-174949</v>
          </cell>
          <cell r="CC110">
            <v>-43737</v>
          </cell>
          <cell r="CD110">
            <v>0</v>
          </cell>
          <cell r="CE110">
            <v>-143496</v>
          </cell>
          <cell r="CF110">
            <v>-114797</v>
          </cell>
          <cell r="CG110">
            <v>-28699</v>
          </cell>
          <cell r="CH110">
            <v>0</v>
          </cell>
        </row>
        <row r="111">
          <cell r="A111">
            <v>104</v>
          </cell>
          <cell r="B111" t="str">
            <v>Fylde</v>
          </cell>
          <cell r="C111" t="str">
            <v>E2335</v>
          </cell>
          <cell r="D111">
            <v>112715</v>
          </cell>
          <cell r="H111">
            <v>-555386</v>
          </cell>
          <cell r="I111">
            <v>-119259</v>
          </cell>
          <cell r="J111">
            <v>112715</v>
          </cell>
          <cell r="K111">
            <v>0</v>
          </cell>
          <cell r="L111">
            <v>39531</v>
          </cell>
          <cell r="M111">
            <v>0</v>
          </cell>
          <cell r="N111">
            <v>39375</v>
          </cell>
          <cell r="O111">
            <v>39375</v>
          </cell>
          <cell r="P111">
            <v>0</v>
          </cell>
          <cell r="Q111">
            <v>0</v>
          </cell>
          <cell r="R111">
            <v>610611</v>
          </cell>
          <cell r="S111">
            <v>134742</v>
          </cell>
          <cell r="T111">
            <v>14971</v>
          </cell>
          <cell r="U111">
            <v>1380</v>
          </cell>
          <cell r="V111">
            <v>311</v>
          </cell>
          <cell r="W111">
            <v>35</v>
          </cell>
          <cell r="X111">
            <v>15077</v>
          </cell>
          <cell r="Y111">
            <v>3392</v>
          </cell>
          <cell r="Z111">
            <v>377</v>
          </cell>
          <cell r="AA111">
            <v>2483</v>
          </cell>
          <cell r="AB111">
            <v>559</v>
          </cell>
          <cell r="AC111">
            <v>62</v>
          </cell>
          <cell r="AD111">
            <v>0</v>
          </cell>
          <cell r="AE111">
            <v>0</v>
          </cell>
          <cell r="AF111">
            <v>0</v>
          </cell>
          <cell r="AG111">
            <v>0</v>
          </cell>
          <cell r="AH111">
            <v>0</v>
          </cell>
          <cell r="AI111">
            <v>0</v>
          </cell>
          <cell r="AM111">
            <v>0</v>
          </cell>
          <cell r="AN111">
            <v>0</v>
          </cell>
          <cell r="AO111">
            <v>0</v>
          </cell>
          <cell r="AP111">
            <v>147689</v>
          </cell>
          <cell r="AQ111">
            <v>32963</v>
          </cell>
          <cell r="AR111">
            <v>3663</v>
          </cell>
          <cell r="AS111">
            <v>-437111</v>
          </cell>
          <cell r="AT111">
            <v>-349691</v>
          </cell>
          <cell r="AU111">
            <v>-78681</v>
          </cell>
          <cell r="AV111">
            <v>-8743</v>
          </cell>
          <cell r="AW111">
            <v>-874226</v>
          </cell>
          <cell r="AX111">
            <v>-2461082</v>
          </cell>
          <cell r="AY111">
            <v>-1968866</v>
          </cell>
          <cell r="AZ111">
            <v>-442994</v>
          </cell>
          <cell r="BA111">
            <v>-49222</v>
          </cell>
          <cell r="BB111">
            <v>-4922164</v>
          </cell>
          <cell r="BC111">
            <v>31118974</v>
          </cell>
          <cell r="BD111">
            <v>-2290914</v>
          </cell>
          <cell r="BE111">
            <v>684420</v>
          </cell>
          <cell r="BF111">
            <v>0</v>
          </cell>
          <cell r="BG111">
            <v>-1241186</v>
          </cell>
          <cell r="BH111">
            <v>-7843</v>
          </cell>
          <cell r="BI111">
            <v>-7419</v>
          </cell>
          <cell r="BJ111">
            <v>0</v>
          </cell>
          <cell r="BK111">
            <v>-681160</v>
          </cell>
          <cell r="BL111">
            <v>-62589</v>
          </cell>
          <cell r="BM111">
            <v>-19294</v>
          </cell>
          <cell r="BN111">
            <v>-1073</v>
          </cell>
          <cell r="BO111">
            <v>-6445</v>
          </cell>
          <cell r="BP111">
            <v>0</v>
          </cell>
          <cell r="BQ111">
            <v>-50452</v>
          </cell>
          <cell r="BR111">
            <v>0</v>
          </cell>
          <cell r="BS111">
            <v>-50452</v>
          </cell>
          <cell r="BT111">
            <v>27169546</v>
          </cell>
          <cell r="BU111">
            <v>-191891</v>
          </cell>
          <cell r="BV111">
            <v>1844380</v>
          </cell>
          <cell r="BW111">
            <v>-929582</v>
          </cell>
          <cell r="BX111">
            <v>3504449</v>
          </cell>
          <cell r="BY111">
            <v>2828185</v>
          </cell>
          <cell r="BZ111">
            <v>24382463</v>
          </cell>
          <cell r="CA111">
            <v>1752224</v>
          </cell>
          <cell r="CB111">
            <v>1401780</v>
          </cell>
          <cell r="CC111">
            <v>315401</v>
          </cell>
          <cell r="CD111">
            <v>35044</v>
          </cell>
          <cell r="CE111">
            <v>1414092</v>
          </cell>
          <cell r="CF111">
            <v>1131274</v>
          </cell>
          <cell r="CG111">
            <v>254537</v>
          </cell>
          <cell r="CH111">
            <v>28282</v>
          </cell>
        </row>
        <row r="112">
          <cell r="A112">
            <v>105</v>
          </cell>
          <cell r="B112" t="str">
            <v>Gateshead</v>
          </cell>
          <cell r="C112" t="str">
            <v>E4501</v>
          </cell>
          <cell r="D112">
            <v>285107</v>
          </cell>
          <cell r="H112">
            <v>-2670074</v>
          </cell>
          <cell r="I112">
            <v>-1569</v>
          </cell>
          <cell r="J112">
            <v>285107</v>
          </cell>
          <cell r="K112">
            <v>481708</v>
          </cell>
          <cell r="L112">
            <v>0</v>
          </cell>
          <cell r="M112">
            <v>0</v>
          </cell>
          <cell r="N112">
            <v>0</v>
          </cell>
          <cell r="O112">
            <v>0</v>
          </cell>
          <cell r="P112">
            <v>0</v>
          </cell>
          <cell r="Q112">
            <v>0</v>
          </cell>
          <cell r="R112">
            <v>1346893</v>
          </cell>
          <cell r="S112">
            <v>0</v>
          </cell>
          <cell r="T112">
            <v>26735</v>
          </cell>
          <cell r="U112">
            <v>0</v>
          </cell>
          <cell r="V112">
            <v>0</v>
          </cell>
          <cell r="W112">
            <v>0</v>
          </cell>
          <cell r="X112">
            <v>0</v>
          </cell>
          <cell r="Y112">
            <v>0</v>
          </cell>
          <cell r="Z112">
            <v>0</v>
          </cell>
          <cell r="AA112">
            <v>18402</v>
          </cell>
          <cell r="AB112">
            <v>0</v>
          </cell>
          <cell r="AC112">
            <v>376</v>
          </cell>
          <cell r="AD112">
            <v>0</v>
          </cell>
          <cell r="AE112">
            <v>0</v>
          </cell>
          <cell r="AF112">
            <v>0</v>
          </cell>
          <cell r="AG112">
            <v>0</v>
          </cell>
          <cell r="AH112">
            <v>0</v>
          </cell>
          <cell r="AI112">
            <v>0</v>
          </cell>
          <cell r="AM112">
            <v>0</v>
          </cell>
          <cell r="AN112">
            <v>0</v>
          </cell>
          <cell r="AO112">
            <v>0</v>
          </cell>
          <cell r="AP112">
            <v>669670</v>
          </cell>
          <cell r="AQ112">
            <v>0</v>
          </cell>
          <cell r="AR112">
            <v>13519</v>
          </cell>
          <cell r="AS112">
            <v>-1582500</v>
          </cell>
          <cell r="AT112">
            <v>-1550850</v>
          </cell>
          <cell r="AU112">
            <v>0</v>
          </cell>
          <cell r="AV112">
            <v>-31650</v>
          </cell>
          <cell r="AW112">
            <v>-3165000</v>
          </cell>
          <cell r="AX112">
            <v>-1689937</v>
          </cell>
          <cell r="AY112">
            <v>-1656139</v>
          </cell>
          <cell r="AZ112">
            <v>0</v>
          </cell>
          <cell r="BA112">
            <v>-33799</v>
          </cell>
          <cell r="BB112">
            <v>-3379875</v>
          </cell>
          <cell r="BC112">
            <v>88480501</v>
          </cell>
          <cell r="BD112">
            <v>-4147847</v>
          </cell>
          <cell r="BE112">
            <v>2568725</v>
          </cell>
          <cell r="BF112">
            <v>0</v>
          </cell>
          <cell r="BG112">
            <v>-4092112</v>
          </cell>
          <cell r="BH112">
            <v>-87074</v>
          </cell>
          <cell r="BI112">
            <v>-10772</v>
          </cell>
          <cell r="BJ112">
            <v>-6608</v>
          </cell>
          <cell r="BK112">
            <v>-4403888</v>
          </cell>
          <cell r="BL112">
            <v>-118667</v>
          </cell>
          <cell r="BM112">
            <v>-49377</v>
          </cell>
          <cell r="BN112">
            <v>-736</v>
          </cell>
          <cell r="BO112">
            <v>0</v>
          </cell>
          <cell r="BP112">
            <v>0</v>
          </cell>
          <cell r="BQ112">
            <v>0</v>
          </cell>
          <cell r="BR112">
            <v>0</v>
          </cell>
          <cell r="BS112">
            <v>0</v>
          </cell>
          <cell r="BT112">
            <v>92890842</v>
          </cell>
          <cell r="BU112">
            <v>-3165000</v>
          </cell>
          <cell r="BV112">
            <v>4646834</v>
          </cell>
          <cell r="BW112">
            <v>-2284362</v>
          </cell>
          <cell r="BX112">
            <v>-7697184</v>
          </cell>
          <cell r="BY112">
            <v>-7117471</v>
          </cell>
          <cell r="BZ112">
            <v>89998370</v>
          </cell>
          <cell r="CA112">
            <v>-3848591</v>
          </cell>
          <cell r="CB112">
            <v>-3771621</v>
          </cell>
          <cell r="CC112">
            <v>0</v>
          </cell>
          <cell r="CD112">
            <v>-76972</v>
          </cell>
          <cell r="CE112">
            <v>-3558735</v>
          </cell>
          <cell r="CF112">
            <v>-3487561</v>
          </cell>
          <cell r="CG112">
            <v>0</v>
          </cell>
          <cell r="CH112">
            <v>-71175</v>
          </cell>
        </row>
        <row r="113">
          <cell r="A113">
            <v>106</v>
          </cell>
          <cell r="B113" t="str">
            <v>Gedling</v>
          </cell>
          <cell r="C113" t="str">
            <v>E3034</v>
          </cell>
          <cell r="D113">
            <v>100864</v>
          </cell>
          <cell r="H113">
            <v>532556.47</v>
          </cell>
          <cell r="I113">
            <v>0</v>
          </cell>
          <cell r="J113">
            <v>100864</v>
          </cell>
          <cell r="K113">
            <v>0</v>
          </cell>
          <cell r="L113">
            <v>74525</v>
          </cell>
          <cell r="M113">
            <v>0</v>
          </cell>
          <cell r="N113">
            <v>0</v>
          </cell>
          <cell r="O113">
            <v>0</v>
          </cell>
          <cell r="P113">
            <v>0</v>
          </cell>
          <cell r="Q113">
            <v>0</v>
          </cell>
          <cell r="R113">
            <v>451887</v>
          </cell>
          <cell r="S113">
            <v>101674</v>
          </cell>
          <cell r="T113">
            <v>11297</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M113">
            <v>0</v>
          </cell>
          <cell r="AN113">
            <v>0</v>
          </cell>
          <cell r="AO113">
            <v>0</v>
          </cell>
          <cell r="AP113">
            <v>139789</v>
          </cell>
          <cell r="AQ113">
            <v>31201</v>
          </cell>
          <cell r="AR113">
            <v>3467</v>
          </cell>
          <cell r="AS113">
            <v>-95437</v>
          </cell>
          <cell r="AT113">
            <v>-76351</v>
          </cell>
          <cell r="AU113">
            <v>-17180</v>
          </cell>
          <cell r="AV113">
            <v>-1908</v>
          </cell>
          <cell r="AW113">
            <v>-190876</v>
          </cell>
          <cell r="AX113">
            <v>-1297588</v>
          </cell>
          <cell r="AY113">
            <v>-1038070</v>
          </cell>
          <cell r="AZ113">
            <v>-233566</v>
          </cell>
          <cell r="BA113">
            <v>-25951</v>
          </cell>
          <cell r="BB113">
            <v>-2595175</v>
          </cell>
          <cell r="BC113">
            <v>21876415</v>
          </cell>
          <cell r="BD113">
            <v>-1737459</v>
          </cell>
          <cell r="BE113">
            <v>565261</v>
          </cell>
          <cell r="BF113">
            <v>0</v>
          </cell>
          <cell r="BG113">
            <v>-1346737</v>
          </cell>
          <cell r="BH113">
            <v>-49799</v>
          </cell>
          <cell r="BI113">
            <v>-478</v>
          </cell>
          <cell r="BJ113">
            <v>0</v>
          </cell>
          <cell r="BK113">
            <v>-412180</v>
          </cell>
          <cell r="BL113">
            <v>-76688</v>
          </cell>
          <cell r="BM113">
            <v>-45171</v>
          </cell>
          <cell r="BN113">
            <v>-5989</v>
          </cell>
          <cell r="BO113">
            <v>-5125</v>
          </cell>
          <cell r="BP113">
            <v>0</v>
          </cell>
          <cell r="BQ113">
            <v>0</v>
          </cell>
          <cell r="BR113">
            <v>0</v>
          </cell>
          <cell r="BS113">
            <v>0</v>
          </cell>
          <cell r="BT113">
            <v>22435020</v>
          </cell>
          <cell r="BU113">
            <v>-61680</v>
          </cell>
          <cell r="BV113">
            <v>432934</v>
          </cell>
          <cell r="BW113">
            <v>-320968</v>
          </cell>
          <cell r="BX113">
            <v>386600</v>
          </cell>
          <cell r="BY113">
            <v>583482</v>
          </cell>
          <cell r="BZ113">
            <v>23078503</v>
          </cell>
          <cell r="CA113">
            <v>193300</v>
          </cell>
          <cell r="CB113">
            <v>154640</v>
          </cell>
          <cell r="CC113">
            <v>34794</v>
          </cell>
          <cell r="CD113">
            <v>3866</v>
          </cell>
          <cell r="CE113">
            <v>291741</v>
          </cell>
          <cell r="CF113">
            <v>233393</v>
          </cell>
          <cell r="CG113">
            <v>52513</v>
          </cell>
          <cell r="CH113">
            <v>5835</v>
          </cell>
        </row>
        <row r="114">
          <cell r="A114">
            <v>107</v>
          </cell>
          <cell r="B114" t="str">
            <v>Gloucester</v>
          </cell>
          <cell r="C114" t="str">
            <v>E1634</v>
          </cell>
          <cell r="D114">
            <v>174575</v>
          </cell>
          <cell r="H114">
            <v>-2088773</v>
          </cell>
          <cell r="I114">
            <v>0</v>
          </cell>
          <cell r="J114">
            <v>174575</v>
          </cell>
          <cell r="K114">
            <v>0</v>
          </cell>
          <cell r="L114">
            <v>0</v>
          </cell>
          <cell r="M114">
            <v>0</v>
          </cell>
          <cell r="N114">
            <v>0</v>
          </cell>
          <cell r="O114">
            <v>0</v>
          </cell>
          <cell r="P114">
            <v>0</v>
          </cell>
          <cell r="Q114">
            <v>0</v>
          </cell>
          <cell r="R114">
            <v>633815</v>
          </cell>
          <cell r="S114">
            <v>158454</v>
          </cell>
          <cell r="T114">
            <v>0</v>
          </cell>
          <cell r="U114">
            <v>0</v>
          </cell>
          <cell r="V114">
            <v>0</v>
          </cell>
          <cell r="W114">
            <v>0</v>
          </cell>
          <cell r="X114">
            <v>318</v>
          </cell>
          <cell r="Y114">
            <v>79</v>
          </cell>
          <cell r="Z114">
            <v>0</v>
          </cell>
          <cell r="AA114">
            <v>654</v>
          </cell>
          <cell r="AB114">
            <v>164</v>
          </cell>
          <cell r="AC114">
            <v>0</v>
          </cell>
          <cell r="AD114">
            <v>0</v>
          </cell>
          <cell r="AE114">
            <v>0</v>
          </cell>
          <cell r="AF114">
            <v>0</v>
          </cell>
          <cell r="AG114">
            <v>0</v>
          </cell>
          <cell r="AH114">
            <v>0</v>
          </cell>
          <cell r="AI114">
            <v>0</v>
          </cell>
          <cell r="AM114">
            <v>0</v>
          </cell>
          <cell r="AN114">
            <v>0</v>
          </cell>
          <cell r="AO114">
            <v>0</v>
          </cell>
          <cell r="AP114">
            <v>314084</v>
          </cell>
          <cell r="AQ114">
            <v>78521</v>
          </cell>
          <cell r="AR114">
            <v>0</v>
          </cell>
          <cell r="AS114">
            <v>-845219</v>
          </cell>
          <cell r="AT114">
            <v>-676177</v>
          </cell>
          <cell r="AU114">
            <v>-169044</v>
          </cell>
          <cell r="AV114">
            <v>0</v>
          </cell>
          <cell r="AW114">
            <v>-1690440</v>
          </cell>
          <cell r="AX114">
            <v>-1483125</v>
          </cell>
          <cell r="AY114">
            <v>-1186499</v>
          </cell>
          <cell r="AZ114">
            <v>-296623</v>
          </cell>
          <cell r="BA114">
            <v>0</v>
          </cell>
          <cell r="BB114">
            <v>-2966247</v>
          </cell>
          <cell r="BC114">
            <v>51417625</v>
          </cell>
          <cell r="BD114">
            <v>-2084482</v>
          </cell>
          <cell r="BE114">
            <v>1474296</v>
          </cell>
          <cell r="BF114">
            <v>0</v>
          </cell>
          <cell r="BG114">
            <v>-3473845</v>
          </cell>
          <cell r="BH114">
            <v>-40277</v>
          </cell>
          <cell r="BI114">
            <v>0</v>
          </cell>
          <cell r="BJ114">
            <v>-41211</v>
          </cell>
          <cell r="BK114">
            <v>-2111495</v>
          </cell>
          <cell r="BL114">
            <v>-2311</v>
          </cell>
          <cell r="BM114">
            <v>-78277</v>
          </cell>
          <cell r="BN114">
            <v>0</v>
          </cell>
          <cell r="BO114">
            <v>0</v>
          </cell>
          <cell r="BP114">
            <v>0</v>
          </cell>
          <cell r="BQ114">
            <v>0</v>
          </cell>
          <cell r="BR114">
            <v>0</v>
          </cell>
          <cell r="BS114">
            <v>0</v>
          </cell>
          <cell r="BT114">
            <v>53012693</v>
          </cell>
          <cell r="BU114">
            <v>-29158</v>
          </cell>
          <cell r="BV114">
            <v>2469895</v>
          </cell>
          <cell r="BW114">
            <v>-1153394</v>
          </cell>
          <cell r="BX114">
            <v>-4306930</v>
          </cell>
          <cell r="BY114">
            <v>-3012265</v>
          </cell>
          <cell r="BZ114">
            <v>52272497</v>
          </cell>
          <cell r="CA114">
            <v>-2153465</v>
          </cell>
          <cell r="CB114">
            <v>-1722772</v>
          </cell>
          <cell r="CC114">
            <v>-430693</v>
          </cell>
          <cell r="CD114">
            <v>0</v>
          </cell>
          <cell r="CE114">
            <v>-1506132</v>
          </cell>
          <cell r="CF114">
            <v>-1204906</v>
          </cell>
          <cell r="CG114">
            <v>-301227</v>
          </cell>
          <cell r="CH114">
            <v>0</v>
          </cell>
        </row>
        <row r="115">
          <cell r="A115">
            <v>108</v>
          </cell>
          <cell r="B115" t="str">
            <v>Gosport</v>
          </cell>
          <cell r="C115" t="str">
            <v>E1735</v>
          </cell>
          <cell r="D115">
            <v>78069</v>
          </cell>
          <cell r="H115">
            <v>-283920</v>
          </cell>
          <cell r="I115">
            <v>-36333</v>
          </cell>
          <cell r="J115">
            <v>78069</v>
          </cell>
          <cell r="K115">
            <v>0</v>
          </cell>
          <cell r="L115">
            <v>0</v>
          </cell>
          <cell r="M115">
            <v>0</v>
          </cell>
          <cell r="N115">
            <v>64685</v>
          </cell>
          <cell r="O115">
            <v>64685</v>
          </cell>
          <cell r="P115">
            <v>0</v>
          </cell>
          <cell r="Q115">
            <v>0</v>
          </cell>
          <cell r="R115">
            <v>484458</v>
          </cell>
          <cell r="S115">
            <v>101155</v>
          </cell>
          <cell r="T115">
            <v>11239</v>
          </cell>
          <cell r="U115">
            <v>7105</v>
          </cell>
          <cell r="V115">
            <v>457</v>
          </cell>
          <cell r="W115">
            <v>51</v>
          </cell>
          <cell r="X115">
            <v>2030</v>
          </cell>
          <cell r="Y115">
            <v>457</v>
          </cell>
          <cell r="Z115">
            <v>51</v>
          </cell>
          <cell r="AA115">
            <v>23</v>
          </cell>
          <cell r="AB115">
            <v>5</v>
          </cell>
          <cell r="AC115">
            <v>1</v>
          </cell>
          <cell r="AD115">
            <v>0</v>
          </cell>
          <cell r="AE115">
            <v>0</v>
          </cell>
          <cell r="AF115">
            <v>0</v>
          </cell>
          <cell r="AG115">
            <v>0</v>
          </cell>
          <cell r="AH115">
            <v>0</v>
          </cell>
          <cell r="AI115">
            <v>0</v>
          </cell>
          <cell r="AM115">
            <v>0</v>
          </cell>
          <cell r="AN115">
            <v>0</v>
          </cell>
          <cell r="AO115">
            <v>0</v>
          </cell>
          <cell r="AP115">
            <v>88587</v>
          </cell>
          <cell r="AQ115">
            <v>19713</v>
          </cell>
          <cell r="AR115">
            <v>2190</v>
          </cell>
          <cell r="AS115">
            <v>-467600</v>
          </cell>
          <cell r="AT115">
            <v>-374080</v>
          </cell>
          <cell r="AU115">
            <v>-84168</v>
          </cell>
          <cell r="AV115">
            <v>-9352</v>
          </cell>
          <cell r="AW115">
            <v>-935200</v>
          </cell>
          <cell r="AX115">
            <v>-1389653</v>
          </cell>
          <cell r="AY115">
            <v>-1111721</v>
          </cell>
          <cell r="AZ115">
            <v>-250137</v>
          </cell>
          <cell r="BA115">
            <v>-27793</v>
          </cell>
          <cell r="BB115">
            <v>-2779304</v>
          </cell>
          <cell r="BC115">
            <v>16854820</v>
          </cell>
          <cell r="BD115">
            <v>-1422488</v>
          </cell>
          <cell r="BE115">
            <v>429166</v>
          </cell>
          <cell r="BF115">
            <v>0</v>
          </cell>
          <cell r="BG115">
            <v>-1158694</v>
          </cell>
          <cell r="BH115">
            <v>-15523</v>
          </cell>
          <cell r="BI115">
            <v>0</v>
          </cell>
          <cell r="BJ115">
            <v>0</v>
          </cell>
          <cell r="BK115">
            <v>-398307</v>
          </cell>
          <cell r="BL115">
            <v>-114660</v>
          </cell>
          <cell r="BM115">
            <v>-72260</v>
          </cell>
          <cell r="BN115">
            <v>0</v>
          </cell>
          <cell r="BO115">
            <v>0</v>
          </cell>
          <cell r="BP115">
            <v>0</v>
          </cell>
          <cell r="BQ115">
            <v>-120862</v>
          </cell>
          <cell r="BR115">
            <v>-111897</v>
          </cell>
          <cell r="BS115">
            <v>0</v>
          </cell>
          <cell r="BT115">
            <v>15234230</v>
          </cell>
          <cell r="BU115">
            <v>-115483</v>
          </cell>
          <cell r="BV115">
            <v>1165692</v>
          </cell>
          <cell r="BW115">
            <v>-37017</v>
          </cell>
          <cell r="BX115">
            <v>956283</v>
          </cell>
          <cell r="BY115">
            <v>1189948</v>
          </cell>
          <cell r="BZ115">
            <v>14581694</v>
          </cell>
          <cell r="CA115">
            <v>478142</v>
          </cell>
          <cell r="CB115">
            <v>382514</v>
          </cell>
          <cell r="CC115">
            <v>86065</v>
          </cell>
          <cell r="CD115">
            <v>9562</v>
          </cell>
          <cell r="CE115">
            <v>594975</v>
          </cell>
          <cell r="CF115">
            <v>475979</v>
          </cell>
          <cell r="CG115">
            <v>107095</v>
          </cell>
          <cell r="CH115">
            <v>11899</v>
          </cell>
        </row>
        <row r="116">
          <cell r="A116">
            <v>109</v>
          </cell>
          <cell r="B116" t="str">
            <v>Gravesham</v>
          </cell>
          <cell r="C116" t="str">
            <v>E2236</v>
          </cell>
          <cell r="D116">
            <v>94419</v>
          </cell>
          <cell r="H116">
            <v>-443714</v>
          </cell>
          <cell r="I116">
            <v>0</v>
          </cell>
          <cell r="J116">
            <v>94419</v>
          </cell>
          <cell r="K116">
            <v>0</v>
          </cell>
          <cell r="L116">
            <v>0</v>
          </cell>
          <cell r="M116">
            <v>0</v>
          </cell>
          <cell r="N116">
            <v>0</v>
          </cell>
          <cell r="O116">
            <v>0</v>
          </cell>
          <cell r="P116">
            <v>0</v>
          </cell>
          <cell r="Q116">
            <v>0</v>
          </cell>
          <cell r="R116">
            <v>468157</v>
          </cell>
          <cell r="S116">
            <v>105335</v>
          </cell>
          <cell r="T116">
            <v>11704</v>
          </cell>
          <cell r="U116">
            <v>0</v>
          </cell>
          <cell r="V116">
            <v>0</v>
          </cell>
          <cell r="W116">
            <v>0</v>
          </cell>
          <cell r="X116">
            <v>0</v>
          </cell>
          <cell r="Y116">
            <v>0</v>
          </cell>
          <cell r="Z116">
            <v>0</v>
          </cell>
          <cell r="AA116">
            <v>6027</v>
          </cell>
          <cell r="AB116">
            <v>1356</v>
          </cell>
          <cell r="AC116">
            <v>151</v>
          </cell>
          <cell r="AD116">
            <v>0</v>
          </cell>
          <cell r="AE116">
            <v>0</v>
          </cell>
          <cell r="AF116">
            <v>0</v>
          </cell>
          <cell r="AG116">
            <v>0</v>
          </cell>
          <cell r="AH116">
            <v>0</v>
          </cell>
          <cell r="AI116">
            <v>0</v>
          </cell>
          <cell r="AM116">
            <v>0</v>
          </cell>
          <cell r="AN116">
            <v>0</v>
          </cell>
          <cell r="AO116">
            <v>0</v>
          </cell>
          <cell r="AP116">
            <v>139488</v>
          </cell>
          <cell r="AQ116">
            <v>31385</v>
          </cell>
          <cell r="AR116">
            <v>3487</v>
          </cell>
          <cell r="AS116">
            <v>-528719</v>
          </cell>
          <cell r="AT116">
            <v>-422975.6</v>
          </cell>
          <cell r="AU116">
            <v>-95171</v>
          </cell>
          <cell r="AV116">
            <v>-10573</v>
          </cell>
          <cell r="AW116">
            <v>-1057439</v>
          </cell>
          <cell r="AX116">
            <v>-2317000</v>
          </cell>
          <cell r="AY116">
            <v>-1853600</v>
          </cell>
          <cell r="AZ116">
            <v>-417060</v>
          </cell>
          <cell r="BA116">
            <v>-46340</v>
          </cell>
          <cell r="BB116">
            <v>-4634000</v>
          </cell>
          <cell r="BC116">
            <v>23903819</v>
          </cell>
          <cell r="BD116">
            <v>-1724832</v>
          </cell>
          <cell r="BE116">
            <v>678214</v>
          </cell>
          <cell r="BF116">
            <v>0</v>
          </cell>
          <cell r="BG116">
            <v>-2498962</v>
          </cell>
          <cell r="BH116">
            <v>-39352</v>
          </cell>
          <cell r="BI116">
            <v>-8863</v>
          </cell>
          <cell r="BJ116">
            <v>0</v>
          </cell>
          <cell r="BK116">
            <v>-1033184</v>
          </cell>
          <cell r="BL116">
            <v>-103976</v>
          </cell>
          <cell r="BM116">
            <v>-17571</v>
          </cell>
          <cell r="BN116">
            <v>-226</v>
          </cell>
          <cell r="BO116">
            <v>-2988</v>
          </cell>
          <cell r="BP116">
            <v>0</v>
          </cell>
          <cell r="BQ116">
            <v>0</v>
          </cell>
          <cell r="BR116">
            <v>0</v>
          </cell>
          <cell r="BS116">
            <v>0</v>
          </cell>
          <cell r="BT116">
            <v>24806558</v>
          </cell>
          <cell r="BU116">
            <v>-231302</v>
          </cell>
          <cell r="BV116">
            <v>1194227</v>
          </cell>
          <cell r="BW116">
            <v>-17598</v>
          </cell>
          <cell r="BX116">
            <v>-391301</v>
          </cell>
          <cell r="BY116">
            <v>0</v>
          </cell>
          <cell r="BZ116">
            <v>23214803</v>
          </cell>
          <cell r="CA116">
            <v>-195652</v>
          </cell>
          <cell r="CB116">
            <v>-156519</v>
          </cell>
          <cell r="CC116">
            <v>-35216</v>
          </cell>
          <cell r="CD116">
            <v>-3914</v>
          </cell>
          <cell r="CE116">
            <v>0</v>
          </cell>
          <cell r="CF116">
            <v>0</v>
          </cell>
          <cell r="CG116">
            <v>0</v>
          </cell>
          <cell r="CH116">
            <v>0</v>
          </cell>
        </row>
        <row r="117">
          <cell r="A117">
            <v>110</v>
          </cell>
          <cell r="B117" t="str">
            <v>Great Yarmouth</v>
          </cell>
          <cell r="C117" t="str">
            <v>E2633</v>
          </cell>
          <cell r="D117">
            <v>179649</v>
          </cell>
          <cell r="H117">
            <v>-1818763</v>
          </cell>
          <cell r="I117">
            <v>-15630</v>
          </cell>
          <cell r="J117">
            <v>179649</v>
          </cell>
          <cell r="K117">
            <v>207196</v>
          </cell>
          <cell r="L117">
            <v>49763</v>
          </cell>
          <cell r="M117">
            <v>0</v>
          </cell>
          <cell r="N117">
            <v>509477</v>
          </cell>
          <cell r="O117">
            <v>509477</v>
          </cell>
          <cell r="P117">
            <v>0</v>
          </cell>
          <cell r="Q117">
            <v>0</v>
          </cell>
          <cell r="R117">
            <v>703464</v>
          </cell>
          <cell r="S117">
            <v>175866</v>
          </cell>
          <cell r="T117">
            <v>0</v>
          </cell>
          <cell r="U117">
            <v>0</v>
          </cell>
          <cell r="V117">
            <v>0</v>
          </cell>
          <cell r="W117">
            <v>0</v>
          </cell>
          <cell r="X117">
            <v>1420</v>
          </cell>
          <cell r="Y117">
            <v>355</v>
          </cell>
          <cell r="Z117">
            <v>0</v>
          </cell>
          <cell r="AA117">
            <v>185</v>
          </cell>
          <cell r="AB117">
            <v>46</v>
          </cell>
          <cell r="AC117">
            <v>0</v>
          </cell>
          <cell r="AD117">
            <v>0</v>
          </cell>
          <cell r="AE117">
            <v>0</v>
          </cell>
          <cell r="AF117">
            <v>0</v>
          </cell>
          <cell r="AG117">
            <v>0</v>
          </cell>
          <cell r="AH117">
            <v>0</v>
          </cell>
          <cell r="AI117">
            <v>0</v>
          </cell>
          <cell r="AM117">
            <v>0</v>
          </cell>
          <cell r="AN117">
            <v>0</v>
          </cell>
          <cell r="AO117">
            <v>0</v>
          </cell>
          <cell r="AP117">
            <v>179821</v>
          </cell>
          <cell r="AQ117">
            <v>42077</v>
          </cell>
          <cell r="AR117">
            <v>0</v>
          </cell>
          <cell r="AS117">
            <v>-17067.679999999993</v>
          </cell>
          <cell r="AT117">
            <v>-13653</v>
          </cell>
          <cell r="AU117">
            <v>-3412</v>
          </cell>
          <cell r="AV117">
            <v>0</v>
          </cell>
          <cell r="AW117">
            <v>-34132.679999999993</v>
          </cell>
          <cell r="AX117">
            <v>-5028775</v>
          </cell>
          <cell r="AY117">
            <v>-4023019</v>
          </cell>
          <cell r="AZ117">
            <v>-1005755</v>
          </cell>
          <cell r="BA117">
            <v>0</v>
          </cell>
          <cell r="BB117">
            <v>-10057549</v>
          </cell>
          <cell r="BC117">
            <v>33060664</v>
          </cell>
          <cell r="BD117">
            <v>-2829860</v>
          </cell>
          <cell r="BE117">
            <v>802973</v>
          </cell>
          <cell r="BF117">
            <v>0</v>
          </cell>
          <cell r="BG117">
            <v>-1919294</v>
          </cell>
          <cell r="BH117">
            <v>-19880</v>
          </cell>
          <cell r="BI117">
            <v>-979</v>
          </cell>
          <cell r="BJ117">
            <v>0</v>
          </cell>
          <cell r="BK117">
            <v>-1007968</v>
          </cell>
          <cell r="BL117">
            <v>-120778</v>
          </cell>
          <cell r="BM117">
            <v>-37092</v>
          </cell>
          <cell r="BN117">
            <v>0</v>
          </cell>
          <cell r="BO117">
            <v>-301</v>
          </cell>
          <cell r="BP117">
            <v>0</v>
          </cell>
          <cell r="BQ117">
            <v>-549905</v>
          </cell>
          <cell r="BR117">
            <v>-577867</v>
          </cell>
          <cell r="BS117">
            <v>0</v>
          </cell>
          <cell r="BT117">
            <v>30761736</v>
          </cell>
          <cell r="BU117">
            <v>-97466</v>
          </cell>
          <cell r="BV117">
            <v>1638589</v>
          </cell>
          <cell r="BW117">
            <v>-950278</v>
          </cell>
          <cell r="BX117">
            <v>1126113</v>
          </cell>
          <cell r="BY117">
            <v>783323</v>
          </cell>
          <cell r="BZ117">
            <v>28011276</v>
          </cell>
          <cell r="CA117">
            <v>563056</v>
          </cell>
          <cell r="CB117">
            <v>450446</v>
          </cell>
          <cell r="CC117">
            <v>112611</v>
          </cell>
          <cell r="CD117">
            <v>0</v>
          </cell>
          <cell r="CE117">
            <v>391662</v>
          </cell>
          <cell r="CF117">
            <v>313329</v>
          </cell>
          <cell r="CG117">
            <v>78332</v>
          </cell>
          <cell r="CH117">
            <v>0</v>
          </cell>
        </row>
        <row r="118">
          <cell r="A118">
            <v>111</v>
          </cell>
          <cell r="B118" t="str">
            <v>Greenwich</v>
          </cell>
          <cell r="C118" t="str">
            <v>E5012</v>
          </cell>
          <cell r="D118">
            <v>290353</v>
          </cell>
          <cell r="H118">
            <v>5551565</v>
          </cell>
          <cell r="I118">
            <v>0</v>
          </cell>
          <cell r="J118">
            <v>290353</v>
          </cell>
          <cell r="K118">
            <v>0</v>
          </cell>
          <cell r="L118">
            <v>0</v>
          </cell>
          <cell r="M118">
            <v>0</v>
          </cell>
          <cell r="N118">
            <v>0</v>
          </cell>
          <cell r="O118">
            <v>0</v>
          </cell>
          <cell r="P118">
            <v>0</v>
          </cell>
          <cell r="Q118">
            <v>0</v>
          </cell>
          <cell r="R118">
            <v>666390</v>
          </cell>
          <cell r="S118">
            <v>821881</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M118">
            <v>0</v>
          </cell>
          <cell r="AN118">
            <v>0</v>
          </cell>
          <cell r="AO118">
            <v>0</v>
          </cell>
          <cell r="AP118">
            <v>321300</v>
          </cell>
          <cell r="AQ118">
            <v>396269</v>
          </cell>
          <cell r="AR118">
            <v>0</v>
          </cell>
          <cell r="AS118">
            <v>-1099875</v>
          </cell>
          <cell r="AT118">
            <v>-659927</v>
          </cell>
          <cell r="AU118">
            <v>-439949</v>
          </cell>
          <cell r="AV118">
            <v>0</v>
          </cell>
          <cell r="AW118">
            <v>-2199751</v>
          </cell>
          <cell r="AX118">
            <v>-4823641</v>
          </cell>
          <cell r="AY118">
            <v>-2894185</v>
          </cell>
          <cell r="AZ118">
            <v>-1929457</v>
          </cell>
          <cell r="BA118">
            <v>0</v>
          </cell>
          <cell r="BB118">
            <v>-9647283</v>
          </cell>
          <cell r="BC118">
            <v>79429152</v>
          </cell>
          <cell r="BD118">
            <v>-3547817</v>
          </cell>
          <cell r="BE118">
            <v>2117272</v>
          </cell>
          <cell r="BF118">
            <v>0</v>
          </cell>
          <cell r="BG118">
            <v>-8975701</v>
          </cell>
          <cell r="BH118">
            <v>-118535</v>
          </cell>
          <cell r="BI118">
            <v>0</v>
          </cell>
          <cell r="BJ118">
            <v>-23810</v>
          </cell>
          <cell r="BK118">
            <v>-1499940</v>
          </cell>
          <cell r="BL118">
            <v>-574904</v>
          </cell>
          <cell r="BM118">
            <v>-44267</v>
          </cell>
          <cell r="BN118">
            <v>0</v>
          </cell>
          <cell r="BO118">
            <v>0</v>
          </cell>
          <cell r="BP118">
            <v>0</v>
          </cell>
          <cell r="BQ118">
            <v>-26584</v>
          </cell>
          <cell r="BR118">
            <v>0</v>
          </cell>
          <cell r="BS118">
            <v>0</v>
          </cell>
          <cell r="BT118">
            <v>82818217</v>
          </cell>
          <cell r="BU118">
            <v>-579901</v>
          </cell>
          <cell r="BV118">
            <v>3875519</v>
          </cell>
          <cell r="BW118">
            <v>-2855107</v>
          </cell>
          <cell r="BX118">
            <v>10610361</v>
          </cell>
          <cell r="BY118">
            <v>6766544</v>
          </cell>
          <cell r="BZ118">
            <v>71297893</v>
          </cell>
          <cell r="CA118">
            <v>5305181</v>
          </cell>
          <cell r="CB118">
            <v>3183108</v>
          </cell>
          <cell r="CC118">
            <v>2122072</v>
          </cell>
          <cell r="CD118">
            <v>0</v>
          </cell>
          <cell r="CE118">
            <v>3383272</v>
          </cell>
          <cell r="CF118">
            <v>2029963</v>
          </cell>
          <cell r="CG118">
            <v>1353309</v>
          </cell>
          <cell r="CH118">
            <v>0</v>
          </cell>
        </row>
        <row r="119">
          <cell r="A119">
            <v>112</v>
          </cell>
          <cell r="B119" t="str">
            <v>Guildford</v>
          </cell>
          <cell r="C119" t="str">
            <v>E3633</v>
          </cell>
          <cell r="D119">
            <v>231721</v>
          </cell>
          <cell r="H119">
            <v>2779137</v>
          </cell>
          <cell r="I119">
            <v>0</v>
          </cell>
          <cell r="J119">
            <v>231721</v>
          </cell>
          <cell r="K119">
            <v>0</v>
          </cell>
          <cell r="L119">
            <v>0</v>
          </cell>
          <cell r="M119">
            <v>0</v>
          </cell>
          <cell r="N119">
            <v>0</v>
          </cell>
          <cell r="O119">
            <v>0</v>
          </cell>
          <cell r="P119">
            <v>0</v>
          </cell>
          <cell r="Q119">
            <v>0</v>
          </cell>
          <cell r="R119">
            <v>521356</v>
          </cell>
          <cell r="S119">
            <v>130339</v>
          </cell>
          <cell r="T119">
            <v>0</v>
          </cell>
          <cell r="U119">
            <v>0</v>
          </cell>
          <cell r="V119">
            <v>0</v>
          </cell>
          <cell r="W119">
            <v>0</v>
          </cell>
          <cell r="X119">
            <v>0</v>
          </cell>
          <cell r="Y119">
            <v>0</v>
          </cell>
          <cell r="Z119">
            <v>0</v>
          </cell>
          <cell r="AA119">
            <v>9794</v>
          </cell>
          <cell r="AB119">
            <v>2449</v>
          </cell>
          <cell r="AC119">
            <v>0</v>
          </cell>
          <cell r="AD119">
            <v>0</v>
          </cell>
          <cell r="AE119">
            <v>0</v>
          </cell>
          <cell r="AF119">
            <v>0</v>
          </cell>
          <cell r="AG119">
            <v>0</v>
          </cell>
          <cell r="AH119">
            <v>0</v>
          </cell>
          <cell r="AI119">
            <v>0</v>
          </cell>
          <cell r="AM119">
            <v>0</v>
          </cell>
          <cell r="AN119">
            <v>0</v>
          </cell>
          <cell r="AO119">
            <v>0</v>
          </cell>
          <cell r="AP119">
            <v>529517</v>
          </cell>
          <cell r="AQ119">
            <v>132379</v>
          </cell>
          <cell r="AR119">
            <v>0</v>
          </cell>
          <cell r="AS119">
            <v>-450000</v>
          </cell>
          <cell r="AT119">
            <v>-360000</v>
          </cell>
          <cell r="AU119">
            <v>-90000</v>
          </cell>
          <cell r="AV119">
            <v>0</v>
          </cell>
          <cell r="AW119">
            <v>-900000</v>
          </cell>
          <cell r="AX119">
            <v>-4092641</v>
          </cell>
          <cell r="AY119">
            <v>-3274112</v>
          </cell>
          <cell r="AZ119">
            <v>-818529</v>
          </cell>
          <cell r="BA119">
            <v>0</v>
          </cell>
          <cell r="BB119">
            <v>-8185282</v>
          </cell>
          <cell r="BC119">
            <v>86433407</v>
          </cell>
          <cell r="BD119">
            <v>-1881418</v>
          </cell>
          <cell r="BE119">
            <v>2372388</v>
          </cell>
          <cell r="BF119">
            <v>0</v>
          </cell>
          <cell r="BG119">
            <v>-9042753</v>
          </cell>
          <cell r="BH119">
            <v>-37305</v>
          </cell>
          <cell r="BI119">
            <v>-18303</v>
          </cell>
          <cell r="BJ119">
            <v>0</v>
          </cell>
          <cell r="BK119">
            <v>-2309495</v>
          </cell>
          <cell r="BL119">
            <v>-142658</v>
          </cell>
          <cell r="BM119">
            <v>-5178</v>
          </cell>
          <cell r="BN119">
            <v>0</v>
          </cell>
          <cell r="BO119">
            <v>-18303</v>
          </cell>
          <cell r="BP119">
            <v>-17908</v>
          </cell>
          <cell r="BQ119">
            <v>0</v>
          </cell>
          <cell r="BR119">
            <v>0</v>
          </cell>
          <cell r="BS119">
            <v>0</v>
          </cell>
          <cell r="BT119">
            <v>81696936</v>
          </cell>
          <cell r="BU119">
            <v>0</v>
          </cell>
          <cell r="BV119">
            <v>160549</v>
          </cell>
          <cell r="BW119">
            <v>-2187260</v>
          </cell>
          <cell r="BX119">
            <v>-2778756</v>
          </cell>
          <cell r="BY119">
            <v>-1635037</v>
          </cell>
          <cell r="BZ119">
            <v>88126685</v>
          </cell>
          <cell r="CA119">
            <v>-1389378</v>
          </cell>
          <cell r="CB119">
            <v>-1111502</v>
          </cell>
          <cell r="CC119">
            <v>-277876</v>
          </cell>
          <cell r="CD119">
            <v>0</v>
          </cell>
          <cell r="CE119">
            <v>-817518</v>
          </cell>
          <cell r="CF119">
            <v>-654015</v>
          </cell>
          <cell r="CG119">
            <v>-163504</v>
          </cell>
          <cell r="CH119">
            <v>0</v>
          </cell>
        </row>
        <row r="120">
          <cell r="A120">
            <v>113</v>
          </cell>
          <cell r="B120" t="str">
            <v>Hackney</v>
          </cell>
          <cell r="C120" t="str">
            <v>E5013</v>
          </cell>
          <cell r="D120">
            <v>534739</v>
          </cell>
          <cell r="H120">
            <v>27268208</v>
          </cell>
          <cell r="I120">
            <v>0</v>
          </cell>
          <cell r="J120">
            <v>534739</v>
          </cell>
          <cell r="K120">
            <v>0</v>
          </cell>
          <cell r="L120">
            <v>0</v>
          </cell>
          <cell r="M120">
            <v>0</v>
          </cell>
          <cell r="N120">
            <v>0</v>
          </cell>
          <cell r="O120">
            <v>0</v>
          </cell>
          <cell r="P120">
            <v>0</v>
          </cell>
          <cell r="Q120">
            <v>0</v>
          </cell>
          <cell r="R120">
            <v>1147393</v>
          </cell>
          <cell r="S120">
            <v>1415117</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M120">
            <v>0</v>
          </cell>
          <cell r="AN120">
            <v>0</v>
          </cell>
          <cell r="AO120">
            <v>0</v>
          </cell>
          <cell r="AP120">
            <v>538823</v>
          </cell>
          <cell r="AQ120">
            <v>664549</v>
          </cell>
          <cell r="AR120">
            <v>0</v>
          </cell>
          <cell r="AS120">
            <v>-8683431</v>
          </cell>
          <cell r="AT120">
            <v>-5210059</v>
          </cell>
          <cell r="AU120">
            <v>-3473373</v>
          </cell>
          <cell r="AV120">
            <v>0</v>
          </cell>
          <cell r="AW120">
            <v>-17366863</v>
          </cell>
          <cell r="AX120">
            <v>-4877236</v>
          </cell>
          <cell r="AY120">
            <v>-2926344</v>
          </cell>
          <cell r="AZ120">
            <v>-1950895</v>
          </cell>
          <cell r="BA120">
            <v>0</v>
          </cell>
          <cell r="BB120">
            <v>-9754475</v>
          </cell>
          <cell r="BC120">
            <v>91899191</v>
          </cell>
          <cell r="BD120">
            <v>-5855913</v>
          </cell>
          <cell r="BE120">
            <v>2357816</v>
          </cell>
          <cell r="BF120">
            <v>0</v>
          </cell>
          <cell r="BG120">
            <v>-11914413</v>
          </cell>
          <cell r="BH120">
            <v>0</v>
          </cell>
          <cell r="BI120">
            <v>0</v>
          </cell>
          <cell r="BJ120">
            <v>0</v>
          </cell>
          <cell r="BK120">
            <v>-2796453</v>
          </cell>
          <cell r="BL120">
            <v>-243316</v>
          </cell>
          <cell r="BM120">
            <v>-18344</v>
          </cell>
          <cell r="BN120">
            <v>0</v>
          </cell>
          <cell r="BO120">
            <v>0</v>
          </cell>
          <cell r="BP120">
            <v>0</v>
          </cell>
          <cell r="BQ120">
            <v>0</v>
          </cell>
          <cell r="BR120">
            <v>0</v>
          </cell>
          <cell r="BS120">
            <v>0</v>
          </cell>
          <cell r="BT120">
            <v>95761735</v>
          </cell>
          <cell r="BU120">
            <v>0</v>
          </cell>
          <cell r="BV120">
            <v>24748993</v>
          </cell>
          <cell r="BW120">
            <v>-10839397</v>
          </cell>
          <cell r="BX120">
            <v>-5249668</v>
          </cell>
          <cell r="BY120">
            <v>-4060572</v>
          </cell>
          <cell r="BZ120">
            <v>119567434</v>
          </cell>
          <cell r="CA120">
            <v>-2624834</v>
          </cell>
          <cell r="CB120">
            <v>-1574901</v>
          </cell>
          <cell r="CC120">
            <v>-1049933</v>
          </cell>
          <cell r="CD120">
            <v>0</v>
          </cell>
          <cell r="CE120">
            <v>-2030286</v>
          </cell>
          <cell r="CF120">
            <v>-1218172</v>
          </cell>
          <cell r="CG120">
            <v>-812114</v>
          </cell>
          <cell r="CH120">
            <v>0</v>
          </cell>
        </row>
        <row r="121">
          <cell r="A121">
            <v>114</v>
          </cell>
          <cell r="B121" t="str">
            <v>Halton</v>
          </cell>
          <cell r="C121" t="str">
            <v>E0601</v>
          </cell>
          <cell r="D121">
            <v>157675</v>
          </cell>
          <cell r="H121">
            <v>3902936</v>
          </cell>
          <cell r="I121">
            <v>0</v>
          </cell>
          <cell r="J121">
            <v>157675</v>
          </cell>
          <cell r="K121">
            <v>0</v>
          </cell>
          <cell r="L121">
            <v>0</v>
          </cell>
          <cell r="M121">
            <v>0</v>
          </cell>
          <cell r="N121">
            <v>0</v>
          </cell>
          <cell r="O121">
            <v>0</v>
          </cell>
          <cell r="P121">
            <v>0</v>
          </cell>
          <cell r="Q121">
            <v>0</v>
          </cell>
          <cell r="R121">
            <v>1300512</v>
          </cell>
          <cell r="S121">
            <v>0</v>
          </cell>
          <cell r="T121">
            <v>13136</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M121">
            <v>0</v>
          </cell>
          <cell r="AN121">
            <v>0</v>
          </cell>
          <cell r="AO121">
            <v>0</v>
          </cell>
          <cell r="AP121">
            <v>747375</v>
          </cell>
          <cell r="AQ121">
            <v>0</v>
          </cell>
          <cell r="AR121">
            <v>7549</v>
          </cell>
          <cell r="AS121">
            <v>-1394205</v>
          </cell>
          <cell r="AT121">
            <v>-1366319</v>
          </cell>
          <cell r="AU121">
            <v>0</v>
          </cell>
          <cell r="AV121">
            <v>-27884</v>
          </cell>
          <cell r="AW121">
            <v>-2788408</v>
          </cell>
          <cell r="AX121">
            <v>-4014792</v>
          </cell>
          <cell r="AY121">
            <v>-3934496</v>
          </cell>
          <cell r="AZ121">
            <v>0</v>
          </cell>
          <cell r="BA121">
            <v>-80296</v>
          </cell>
          <cell r="BB121">
            <v>-8029584</v>
          </cell>
          <cell r="BC121">
            <v>59803423</v>
          </cell>
          <cell r="BD121">
            <v>-2060151</v>
          </cell>
          <cell r="BE121">
            <v>1599421</v>
          </cell>
          <cell r="BF121">
            <v>0</v>
          </cell>
          <cell r="BG121">
            <v>-2489855</v>
          </cell>
          <cell r="BH121">
            <v>-74451</v>
          </cell>
          <cell r="BI121">
            <v>-969</v>
          </cell>
          <cell r="BJ121">
            <v>-13423</v>
          </cell>
          <cell r="BK121">
            <v>-2080986</v>
          </cell>
          <cell r="BL121">
            <v>-61487</v>
          </cell>
          <cell r="BM121">
            <v>-87908</v>
          </cell>
          <cell r="BN121">
            <v>-10474</v>
          </cell>
          <cell r="BO121">
            <v>0</v>
          </cell>
          <cell r="BP121">
            <v>0</v>
          </cell>
          <cell r="BQ121">
            <v>-364714</v>
          </cell>
          <cell r="BR121">
            <v>-331185</v>
          </cell>
          <cell r="BS121">
            <v>-33529</v>
          </cell>
          <cell r="BT121">
            <v>58628151</v>
          </cell>
          <cell r="BU121">
            <v>-746014</v>
          </cell>
          <cell r="BV121">
            <v>4123116</v>
          </cell>
          <cell r="BW121">
            <v>-380183</v>
          </cell>
          <cell r="BX121">
            <v>7886615</v>
          </cell>
          <cell r="BY121">
            <v>390547</v>
          </cell>
          <cell r="BZ121">
            <v>50256370</v>
          </cell>
          <cell r="CA121">
            <v>3943308</v>
          </cell>
          <cell r="CB121">
            <v>3864441</v>
          </cell>
          <cell r="CC121">
            <v>0</v>
          </cell>
          <cell r="CD121">
            <v>78866</v>
          </cell>
          <cell r="CE121">
            <v>195274</v>
          </cell>
          <cell r="CF121">
            <v>191368</v>
          </cell>
          <cell r="CG121">
            <v>0</v>
          </cell>
          <cell r="CH121">
            <v>3905</v>
          </cell>
        </row>
        <row r="122">
          <cell r="A122">
            <v>115</v>
          </cell>
          <cell r="B122" t="str">
            <v>Hambleton</v>
          </cell>
          <cell r="C122" t="str">
            <v>E2732</v>
          </cell>
          <cell r="D122">
            <v>154954</v>
          </cell>
          <cell r="H122">
            <v>178721</v>
          </cell>
          <cell r="I122">
            <v>0</v>
          </cell>
          <cell r="J122">
            <v>154954</v>
          </cell>
          <cell r="K122">
            <v>0</v>
          </cell>
          <cell r="L122">
            <v>0</v>
          </cell>
          <cell r="M122">
            <v>0</v>
          </cell>
          <cell r="N122">
            <v>0</v>
          </cell>
          <cell r="O122">
            <v>0</v>
          </cell>
          <cell r="P122">
            <v>0</v>
          </cell>
          <cell r="Q122">
            <v>0</v>
          </cell>
          <cell r="R122">
            <v>767703</v>
          </cell>
          <cell r="S122">
            <v>172733</v>
          </cell>
          <cell r="T122">
            <v>19193</v>
          </cell>
          <cell r="U122">
            <v>4865</v>
          </cell>
          <cell r="V122">
            <v>1095</v>
          </cell>
          <cell r="W122">
            <v>122</v>
          </cell>
          <cell r="X122">
            <v>0</v>
          </cell>
          <cell r="Y122">
            <v>0</v>
          </cell>
          <cell r="Z122">
            <v>0</v>
          </cell>
          <cell r="AA122">
            <v>0</v>
          </cell>
          <cell r="AB122">
            <v>0</v>
          </cell>
          <cell r="AC122">
            <v>0</v>
          </cell>
          <cell r="AD122">
            <v>0</v>
          </cell>
          <cell r="AE122">
            <v>0</v>
          </cell>
          <cell r="AF122">
            <v>0</v>
          </cell>
          <cell r="AG122">
            <v>0</v>
          </cell>
          <cell r="AH122">
            <v>0</v>
          </cell>
          <cell r="AI122">
            <v>0</v>
          </cell>
          <cell r="AM122">
            <v>0</v>
          </cell>
          <cell r="AN122">
            <v>0</v>
          </cell>
          <cell r="AO122">
            <v>0</v>
          </cell>
          <cell r="AP122">
            <v>163760</v>
          </cell>
          <cell r="AQ122">
            <v>36846</v>
          </cell>
          <cell r="AR122">
            <v>4094</v>
          </cell>
          <cell r="AS122">
            <v>-116987</v>
          </cell>
          <cell r="AT122">
            <v>-93590</v>
          </cell>
          <cell r="AU122">
            <v>-21060</v>
          </cell>
          <cell r="AV122">
            <v>-2340</v>
          </cell>
          <cell r="AW122">
            <v>-233977</v>
          </cell>
          <cell r="AX122">
            <v>-730257</v>
          </cell>
          <cell r="AY122">
            <v>-584205</v>
          </cell>
          <cell r="AZ122">
            <v>-131445</v>
          </cell>
          <cell r="BA122">
            <v>-14604</v>
          </cell>
          <cell r="BB122">
            <v>-1460511</v>
          </cell>
          <cell r="BC122">
            <v>27240463</v>
          </cell>
          <cell r="BD122">
            <v>-2973690</v>
          </cell>
          <cell r="BE122">
            <v>670379</v>
          </cell>
          <cell r="BF122">
            <v>0</v>
          </cell>
          <cell r="BG122">
            <v>-945420</v>
          </cell>
          <cell r="BH122">
            <v>-102735</v>
          </cell>
          <cell r="BI122">
            <v>-70290</v>
          </cell>
          <cell r="BJ122">
            <v>0</v>
          </cell>
          <cell r="BK122">
            <v>-681583</v>
          </cell>
          <cell r="BL122">
            <v>-71497</v>
          </cell>
          <cell r="BM122">
            <v>-25765</v>
          </cell>
          <cell r="BN122">
            <v>-1398</v>
          </cell>
          <cell r="BO122">
            <v>-13080</v>
          </cell>
          <cell r="BP122">
            <v>-371</v>
          </cell>
          <cell r="BQ122">
            <v>0</v>
          </cell>
          <cell r="BR122">
            <v>0</v>
          </cell>
          <cell r="BS122">
            <v>0</v>
          </cell>
          <cell r="BT122">
            <v>27305505</v>
          </cell>
          <cell r="BU122">
            <v>-133615</v>
          </cell>
          <cell r="BV122">
            <v>671930</v>
          </cell>
          <cell r="BW122">
            <v>-625742</v>
          </cell>
          <cell r="BX122">
            <v>-164575</v>
          </cell>
          <cell r="BY122">
            <v>581059</v>
          </cell>
          <cell r="BZ122">
            <v>27254369</v>
          </cell>
          <cell r="CA122">
            <v>-82288</v>
          </cell>
          <cell r="CB122">
            <v>-65830</v>
          </cell>
          <cell r="CC122">
            <v>-14811</v>
          </cell>
          <cell r="CD122">
            <v>-1646</v>
          </cell>
          <cell r="CE122">
            <v>290529</v>
          </cell>
          <cell r="CF122">
            <v>232424</v>
          </cell>
          <cell r="CG122">
            <v>52295</v>
          </cell>
          <cell r="CH122">
            <v>5811</v>
          </cell>
        </row>
        <row r="123">
          <cell r="A123">
            <v>116</v>
          </cell>
          <cell r="B123" t="str">
            <v>Hammersmith and Fulham</v>
          </cell>
          <cell r="C123" t="str">
            <v>E5014</v>
          </cell>
          <cell r="D123">
            <v>584390</v>
          </cell>
          <cell r="H123">
            <v>25152301</v>
          </cell>
          <cell r="I123">
            <v>0</v>
          </cell>
          <cell r="J123">
            <v>584390</v>
          </cell>
          <cell r="K123">
            <v>0</v>
          </cell>
          <cell r="L123">
            <v>0</v>
          </cell>
          <cell r="M123">
            <v>0</v>
          </cell>
          <cell r="N123">
            <v>0</v>
          </cell>
          <cell r="O123">
            <v>0</v>
          </cell>
          <cell r="P123">
            <v>0</v>
          </cell>
          <cell r="Q123">
            <v>0</v>
          </cell>
          <cell r="R123">
            <v>550732</v>
          </cell>
          <cell r="S123">
            <v>679237</v>
          </cell>
          <cell r="T123">
            <v>0</v>
          </cell>
          <cell r="U123">
            <v>0</v>
          </cell>
          <cell r="V123">
            <v>0</v>
          </cell>
          <cell r="W123">
            <v>0</v>
          </cell>
          <cell r="X123">
            <v>114079</v>
          </cell>
          <cell r="Y123">
            <v>140698</v>
          </cell>
          <cell r="Z123">
            <v>0</v>
          </cell>
          <cell r="AA123">
            <v>8907</v>
          </cell>
          <cell r="AB123">
            <v>10984</v>
          </cell>
          <cell r="AC123">
            <v>0</v>
          </cell>
          <cell r="AD123">
            <v>0</v>
          </cell>
          <cell r="AE123">
            <v>0</v>
          </cell>
          <cell r="AF123">
            <v>0</v>
          </cell>
          <cell r="AG123">
            <v>0</v>
          </cell>
          <cell r="AH123">
            <v>0</v>
          </cell>
          <cell r="AI123">
            <v>0</v>
          </cell>
          <cell r="AM123">
            <v>0</v>
          </cell>
          <cell r="AN123">
            <v>0</v>
          </cell>
          <cell r="AO123">
            <v>0</v>
          </cell>
          <cell r="AP123">
            <v>1051865</v>
          </cell>
          <cell r="AQ123">
            <v>1297300</v>
          </cell>
          <cell r="AR123">
            <v>0</v>
          </cell>
          <cell r="AS123">
            <v>-7976974.4000000004</v>
          </cell>
          <cell r="AT123">
            <v>-4786187</v>
          </cell>
          <cell r="AU123">
            <v>-3190791</v>
          </cell>
          <cell r="AV123">
            <v>0</v>
          </cell>
          <cell r="AW123">
            <v>-15953952</v>
          </cell>
          <cell r="AX123">
            <v>-7862993</v>
          </cell>
          <cell r="AY123">
            <v>-4717796</v>
          </cell>
          <cell r="AZ123">
            <v>-3145199</v>
          </cell>
          <cell r="BA123">
            <v>0</v>
          </cell>
          <cell r="BB123">
            <v>-15725988</v>
          </cell>
          <cell r="BC123">
            <v>197001067</v>
          </cell>
          <cell r="BD123">
            <v>-2370135</v>
          </cell>
          <cell r="BE123">
            <v>4928695</v>
          </cell>
          <cell r="BF123">
            <v>0</v>
          </cell>
          <cell r="BG123">
            <v>-9019431</v>
          </cell>
          <cell r="BH123">
            <v>0</v>
          </cell>
          <cell r="BI123">
            <v>0</v>
          </cell>
          <cell r="BJ123">
            <v>-51087</v>
          </cell>
          <cell r="BK123">
            <v>-4341360</v>
          </cell>
          <cell r="BL123">
            <v>-49844</v>
          </cell>
          <cell r="BM123">
            <v>-79574</v>
          </cell>
          <cell r="BN123">
            <v>0</v>
          </cell>
          <cell r="BO123">
            <v>0</v>
          </cell>
          <cell r="BP123">
            <v>0</v>
          </cell>
          <cell r="BQ123">
            <v>0</v>
          </cell>
          <cell r="BR123">
            <v>0</v>
          </cell>
          <cell r="BS123">
            <v>0</v>
          </cell>
          <cell r="BT123">
            <v>181512134</v>
          </cell>
          <cell r="BU123">
            <v>-2249051</v>
          </cell>
          <cell r="BV123">
            <v>20268719.840000268</v>
          </cell>
          <cell r="BW123">
            <v>-18226507.300000004</v>
          </cell>
          <cell r="BX123">
            <v>15238389</v>
          </cell>
          <cell r="BY123">
            <v>13947815</v>
          </cell>
          <cell r="BZ123">
            <v>233413835</v>
          </cell>
          <cell r="CA123">
            <v>7619194</v>
          </cell>
          <cell r="CB123">
            <v>4571517</v>
          </cell>
          <cell r="CC123">
            <v>3047678</v>
          </cell>
          <cell r="CD123">
            <v>0</v>
          </cell>
          <cell r="CE123">
            <v>6973907</v>
          </cell>
          <cell r="CF123">
            <v>4184345</v>
          </cell>
          <cell r="CG123">
            <v>2789563</v>
          </cell>
          <cell r="CH123">
            <v>0</v>
          </cell>
        </row>
        <row r="124">
          <cell r="A124">
            <v>117</v>
          </cell>
          <cell r="B124" t="str">
            <v>Harborough</v>
          </cell>
          <cell r="C124" t="str">
            <v>E2433</v>
          </cell>
          <cell r="D124">
            <v>127153</v>
          </cell>
          <cell r="H124">
            <v>1886707</v>
          </cell>
          <cell r="I124">
            <v>0</v>
          </cell>
          <cell r="J124">
            <v>127153</v>
          </cell>
          <cell r="K124">
            <v>0</v>
          </cell>
          <cell r="L124">
            <v>33000</v>
          </cell>
          <cell r="M124">
            <v>0</v>
          </cell>
          <cell r="N124">
            <v>0</v>
          </cell>
          <cell r="O124">
            <v>0</v>
          </cell>
          <cell r="P124">
            <v>0</v>
          </cell>
          <cell r="Q124">
            <v>0</v>
          </cell>
          <cell r="R124">
            <v>473898</v>
          </cell>
          <cell r="S124">
            <v>106627</v>
          </cell>
          <cell r="T124">
            <v>11847</v>
          </cell>
          <cell r="U124">
            <v>800</v>
          </cell>
          <cell r="V124">
            <v>180</v>
          </cell>
          <cell r="W124">
            <v>20</v>
          </cell>
          <cell r="X124">
            <v>0</v>
          </cell>
          <cell r="Y124">
            <v>0</v>
          </cell>
          <cell r="Z124">
            <v>0</v>
          </cell>
          <cell r="AA124">
            <v>0</v>
          </cell>
          <cell r="AB124">
            <v>0</v>
          </cell>
          <cell r="AC124">
            <v>0</v>
          </cell>
          <cell r="AD124">
            <v>0</v>
          </cell>
          <cell r="AE124">
            <v>0</v>
          </cell>
          <cell r="AF124">
            <v>0</v>
          </cell>
          <cell r="AG124">
            <v>0</v>
          </cell>
          <cell r="AH124">
            <v>0</v>
          </cell>
          <cell r="AI124">
            <v>0</v>
          </cell>
          <cell r="AM124">
            <v>0</v>
          </cell>
          <cell r="AN124">
            <v>0</v>
          </cell>
          <cell r="AO124">
            <v>0</v>
          </cell>
          <cell r="AP124">
            <v>239121</v>
          </cell>
          <cell r="AQ124">
            <v>53691</v>
          </cell>
          <cell r="AR124">
            <v>5966</v>
          </cell>
          <cell r="AS124">
            <v>-18498</v>
          </cell>
          <cell r="AT124">
            <v>-14797</v>
          </cell>
          <cell r="AU124">
            <v>-3330</v>
          </cell>
          <cell r="AV124">
            <v>-370</v>
          </cell>
          <cell r="AW124">
            <v>-36995</v>
          </cell>
          <cell r="AX124">
            <v>-2557499</v>
          </cell>
          <cell r="AY124">
            <v>-2046001</v>
          </cell>
          <cell r="AZ124">
            <v>-460351</v>
          </cell>
          <cell r="BA124">
            <v>-51150</v>
          </cell>
          <cell r="BB124">
            <v>-5115001</v>
          </cell>
          <cell r="BC124">
            <v>40198120</v>
          </cell>
          <cell r="BD124">
            <v>-1922308</v>
          </cell>
          <cell r="BE124">
            <v>1029403</v>
          </cell>
          <cell r="BF124">
            <v>0</v>
          </cell>
          <cell r="BG124">
            <v>-1729231</v>
          </cell>
          <cell r="BH124">
            <v>-43169</v>
          </cell>
          <cell r="BI124">
            <v>-34821</v>
          </cell>
          <cell r="BJ124">
            <v>0</v>
          </cell>
          <cell r="BK124">
            <v>-1266100</v>
          </cell>
          <cell r="BL124">
            <v>-23557</v>
          </cell>
          <cell r="BM124">
            <v>-33902</v>
          </cell>
          <cell r="BN124">
            <v>-10792</v>
          </cell>
          <cell r="BO124">
            <v>-34821</v>
          </cell>
          <cell r="BP124">
            <v>-3933</v>
          </cell>
          <cell r="BQ124">
            <v>0</v>
          </cell>
          <cell r="BR124">
            <v>0</v>
          </cell>
          <cell r="BS124">
            <v>0</v>
          </cell>
          <cell r="BT124">
            <v>39853972</v>
          </cell>
          <cell r="BU124">
            <v>-64903</v>
          </cell>
          <cell r="BV124">
            <v>291093</v>
          </cell>
          <cell r="BW124">
            <v>-510330</v>
          </cell>
          <cell r="BX124">
            <v>855530</v>
          </cell>
          <cell r="BY124">
            <v>-1443497</v>
          </cell>
          <cell r="BZ124">
            <v>39714012</v>
          </cell>
          <cell r="CA124">
            <v>427764</v>
          </cell>
          <cell r="CB124">
            <v>342212</v>
          </cell>
          <cell r="CC124">
            <v>76998</v>
          </cell>
          <cell r="CD124">
            <v>8556</v>
          </cell>
          <cell r="CE124">
            <v>-721748</v>
          </cell>
          <cell r="CF124">
            <v>-577399</v>
          </cell>
          <cell r="CG124">
            <v>-129915</v>
          </cell>
          <cell r="CH124">
            <v>-14435</v>
          </cell>
        </row>
        <row r="125">
          <cell r="A125">
            <v>118</v>
          </cell>
          <cell r="B125" t="str">
            <v>Haringey</v>
          </cell>
          <cell r="C125" t="str">
            <v>E5038</v>
          </cell>
          <cell r="D125">
            <v>309182</v>
          </cell>
          <cell r="H125">
            <v>8304922</v>
          </cell>
          <cell r="I125">
            <v>0</v>
          </cell>
          <cell r="J125">
            <v>309182</v>
          </cell>
          <cell r="K125">
            <v>0</v>
          </cell>
          <cell r="L125">
            <v>0</v>
          </cell>
          <cell r="M125">
            <v>0</v>
          </cell>
          <cell r="N125">
            <v>0</v>
          </cell>
          <cell r="O125">
            <v>0</v>
          </cell>
          <cell r="P125">
            <v>0</v>
          </cell>
          <cell r="Q125">
            <v>0</v>
          </cell>
          <cell r="R125">
            <v>1024279</v>
          </cell>
          <cell r="S125">
            <v>1263278</v>
          </cell>
          <cell r="T125">
            <v>0</v>
          </cell>
          <cell r="U125">
            <v>3504</v>
          </cell>
          <cell r="V125">
            <v>4322</v>
          </cell>
          <cell r="W125">
            <v>0</v>
          </cell>
          <cell r="X125">
            <v>23028</v>
          </cell>
          <cell r="Y125">
            <v>28401</v>
          </cell>
          <cell r="Z125">
            <v>0</v>
          </cell>
          <cell r="AA125">
            <v>6593</v>
          </cell>
          <cell r="AB125">
            <v>8130</v>
          </cell>
          <cell r="AC125">
            <v>0</v>
          </cell>
          <cell r="AD125">
            <v>0</v>
          </cell>
          <cell r="AE125">
            <v>0</v>
          </cell>
          <cell r="AF125">
            <v>0</v>
          </cell>
          <cell r="AG125">
            <v>0</v>
          </cell>
          <cell r="AH125">
            <v>0</v>
          </cell>
          <cell r="AI125">
            <v>0</v>
          </cell>
          <cell r="AM125">
            <v>0</v>
          </cell>
          <cell r="AN125">
            <v>0</v>
          </cell>
          <cell r="AO125">
            <v>0</v>
          </cell>
          <cell r="AP125">
            <v>324967</v>
          </cell>
          <cell r="AQ125">
            <v>400792</v>
          </cell>
          <cell r="AR125">
            <v>0</v>
          </cell>
          <cell r="AS125">
            <v>-2484222.37</v>
          </cell>
          <cell r="AT125">
            <v>-1490534</v>
          </cell>
          <cell r="AU125">
            <v>-993689</v>
          </cell>
          <cell r="AV125">
            <v>0</v>
          </cell>
          <cell r="AW125">
            <v>-4968445.37</v>
          </cell>
          <cell r="AX125">
            <v>-4753463</v>
          </cell>
          <cell r="AY125">
            <v>-2852075</v>
          </cell>
          <cell r="AZ125">
            <v>-1901385</v>
          </cell>
          <cell r="BA125">
            <v>0</v>
          </cell>
          <cell r="BB125">
            <v>-9506923</v>
          </cell>
          <cell r="BC125">
            <v>68173356</v>
          </cell>
          <cell r="BD125">
            <v>-4577107</v>
          </cell>
          <cell r="BE125">
            <v>1569362</v>
          </cell>
          <cell r="BF125">
            <v>0</v>
          </cell>
          <cell r="BG125">
            <v>-5992703</v>
          </cell>
          <cell r="BH125">
            <v>-30277</v>
          </cell>
          <cell r="BI125">
            <v>0</v>
          </cell>
          <cell r="BJ125">
            <v>0</v>
          </cell>
          <cell r="BK125">
            <v>-1419521</v>
          </cell>
          <cell r="BL125">
            <v>-340936</v>
          </cell>
          <cell r="BM125">
            <v>-263875</v>
          </cell>
          <cell r="BN125">
            <v>0</v>
          </cell>
          <cell r="BO125">
            <v>0</v>
          </cell>
          <cell r="BP125">
            <v>0</v>
          </cell>
          <cell r="BQ125">
            <v>0</v>
          </cell>
          <cell r="BR125">
            <v>0</v>
          </cell>
          <cell r="BS125">
            <v>0</v>
          </cell>
          <cell r="BT125">
            <v>66311996</v>
          </cell>
          <cell r="BU125">
            <v>-1504770</v>
          </cell>
          <cell r="BV125">
            <v>8601312</v>
          </cell>
          <cell r="BW125">
            <v>-8994973</v>
          </cell>
          <cell r="BX125">
            <v>1221476.9299999997</v>
          </cell>
          <cell r="BY125">
            <v>1501170</v>
          </cell>
          <cell r="BZ125">
            <v>72111637</v>
          </cell>
          <cell r="CA125">
            <v>610738.9299999997</v>
          </cell>
          <cell r="CB125">
            <v>366443</v>
          </cell>
          <cell r="CC125">
            <v>244295</v>
          </cell>
          <cell r="CD125">
            <v>0</v>
          </cell>
          <cell r="CE125">
            <v>750585</v>
          </cell>
          <cell r="CF125">
            <v>450351</v>
          </cell>
          <cell r="CG125">
            <v>300234</v>
          </cell>
          <cell r="CH125">
            <v>0</v>
          </cell>
        </row>
        <row r="126">
          <cell r="A126">
            <v>119</v>
          </cell>
          <cell r="B126" t="str">
            <v>Harlow</v>
          </cell>
          <cell r="C126" t="str">
            <v>E1538</v>
          </cell>
          <cell r="D126">
            <v>117691</v>
          </cell>
          <cell r="H126">
            <v>-1055700</v>
          </cell>
          <cell r="I126">
            <v>-17366</v>
          </cell>
          <cell r="J126">
            <v>117691</v>
          </cell>
          <cell r="K126">
            <v>0</v>
          </cell>
          <cell r="L126">
            <v>0</v>
          </cell>
          <cell r="M126">
            <v>0</v>
          </cell>
          <cell r="N126">
            <v>0</v>
          </cell>
          <cell r="O126">
            <v>0</v>
          </cell>
          <cell r="P126">
            <v>0</v>
          </cell>
          <cell r="Q126">
            <v>0</v>
          </cell>
          <cell r="R126">
            <v>321562</v>
          </cell>
          <cell r="S126">
            <v>61985</v>
          </cell>
          <cell r="T126">
            <v>6887</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M126">
            <v>0</v>
          </cell>
          <cell r="AN126">
            <v>0</v>
          </cell>
          <cell r="AO126">
            <v>0</v>
          </cell>
          <cell r="AP126">
            <v>273534</v>
          </cell>
          <cell r="AQ126">
            <v>61545</v>
          </cell>
          <cell r="AR126">
            <v>6838</v>
          </cell>
          <cell r="AS126">
            <v>-746499</v>
          </cell>
          <cell r="AT126">
            <v>-597200</v>
          </cell>
          <cell r="AU126">
            <v>-134371</v>
          </cell>
          <cell r="AV126">
            <v>-14930</v>
          </cell>
          <cell r="AW126">
            <v>-1493000</v>
          </cell>
          <cell r="AX126">
            <v>-1318479</v>
          </cell>
          <cell r="AY126">
            <v>-1054782</v>
          </cell>
          <cell r="AZ126">
            <v>-237325</v>
          </cell>
          <cell r="BA126">
            <v>-26368</v>
          </cell>
          <cell r="BB126">
            <v>-2636954</v>
          </cell>
          <cell r="BC126">
            <v>47527831</v>
          </cell>
          <cell r="BD126">
            <v>-1006373</v>
          </cell>
          <cell r="BE126">
            <v>1302965.3499999999</v>
          </cell>
          <cell r="BF126">
            <v>0</v>
          </cell>
          <cell r="BG126">
            <v>-2697251</v>
          </cell>
          <cell r="BH126">
            <v>-58149</v>
          </cell>
          <cell r="BI126">
            <v>0</v>
          </cell>
          <cell r="BJ126">
            <v>-38476</v>
          </cell>
          <cell r="BK126">
            <v>-2329294</v>
          </cell>
          <cell r="BL126">
            <v>-30191</v>
          </cell>
          <cell r="BM126">
            <v>-3436</v>
          </cell>
          <cell r="BN126">
            <v>0</v>
          </cell>
          <cell r="BO126">
            <v>0</v>
          </cell>
          <cell r="BP126">
            <v>0</v>
          </cell>
          <cell r="BQ126">
            <v>-97402</v>
          </cell>
          <cell r="BR126">
            <v>0</v>
          </cell>
          <cell r="BS126">
            <v>0</v>
          </cell>
          <cell r="BT126">
            <v>45515486</v>
          </cell>
          <cell r="BU126">
            <v>-233817</v>
          </cell>
          <cell r="BV126">
            <v>2478472</v>
          </cell>
          <cell r="BW126">
            <v>-2304040</v>
          </cell>
          <cell r="BX126">
            <v>-999739</v>
          </cell>
          <cell r="BY126">
            <v>-2114212</v>
          </cell>
          <cell r="BZ126">
            <v>45523799</v>
          </cell>
          <cell r="CA126">
            <v>-499869</v>
          </cell>
          <cell r="CB126">
            <v>-399896</v>
          </cell>
          <cell r="CC126">
            <v>-89976</v>
          </cell>
          <cell r="CD126">
            <v>-9998</v>
          </cell>
          <cell r="CE126">
            <v>-1057106</v>
          </cell>
          <cell r="CF126">
            <v>-845685</v>
          </cell>
          <cell r="CG126">
            <v>-190279</v>
          </cell>
          <cell r="CH126">
            <v>-21142</v>
          </cell>
        </row>
        <row r="127">
          <cell r="A127">
            <v>120</v>
          </cell>
          <cell r="B127" t="str">
            <v>Harrogate</v>
          </cell>
          <cell r="C127" t="str">
            <v>E2753</v>
          </cell>
          <cell r="D127">
            <v>287118</v>
          </cell>
          <cell r="H127">
            <v>89668</v>
          </cell>
          <cell r="I127">
            <v>0</v>
          </cell>
          <cell r="J127">
            <v>287118</v>
          </cell>
          <cell r="K127">
            <v>0</v>
          </cell>
          <cell r="L127">
            <v>0</v>
          </cell>
          <cell r="M127">
            <v>0</v>
          </cell>
          <cell r="N127">
            <v>0</v>
          </cell>
          <cell r="O127">
            <v>0</v>
          </cell>
          <cell r="P127">
            <v>0</v>
          </cell>
          <cell r="Q127">
            <v>0</v>
          </cell>
          <cell r="R127">
            <v>1339893</v>
          </cell>
          <cell r="S127">
            <v>301476</v>
          </cell>
          <cell r="T127">
            <v>33497</v>
          </cell>
          <cell r="U127">
            <v>0</v>
          </cell>
          <cell r="V127">
            <v>0</v>
          </cell>
          <cell r="W127">
            <v>0</v>
          </cell>
          <cell r="X127">
            <v>3591</v>
          </cell>
          <cell r="Y127">
            <v>808</v>
          </cell>
          <cell r="Z127">
            <v>90</v>
          </cell>
          <cell r="AA127">
            <v>20946</v>
          </cell>
          <cell r="AB127">
            <v>4713</v>
          </cell>
          <cell r="AC127">
            <v>524</v>
          </cell>
          <cell r="AD127">
            <v>0</v>
          </cell>
          <cell r="AE127">
            <v>0</v>
          </cell>
          <cell r="AF127">
            <v>0</v>
          </cell>
          <cell r="AG127">
            <v>0</v>
          </cell>
          <cell r="AH127">
            <v>0</v>
          </cell>
          <cell r="AI127">
            <v>0</v>
          </cell>
          <cell r="AM127">
            <v>0</v>
          </cell>
          <cell r="AN127">
            <v>0</v>
          </cell>
          <cell r="AO127">
            <v>0</v>
          </cell>
          <cell r="AP127">
            <v>365101</v>
          </cell>
          <cell r="AQ127">
            <v>82148</v>
          </cell>
          <cell r="AR127">
            <v>9128</v>
          </cell>
          <cell r="AS127">
            <v>-522501</v>
          </cell>
          <cell r="AT127">
            <v>-418002</v>
          </cell>
          <cell r="AU127">
            <v>-94050</v>
          </cell>
          <cell r="AV127">
            <v>-10450</v>
          </cell>
          <cell r="AW127">
            <v>-1045003</v>
          </cell>
          <cell r="AX127">
            <v>-1517065</v>
          </cell>
          <cell r="AY127">
            <v>-1213651</v>
          </cell>
          <cell r="AZ127">
            <v>-273070</v>
          </cell>
          <cell r="BA127">
            <v>-30341</v>
          </cell>
          <cell r="BB127">
            <v>-3034127</v>
          </cell>
          <cell r="BC127">
            <v>62575151</v>
          </cell>
          <cell r="BD127">
            <v>-5162340</v>
          </cell>
          <cell r="BE127">
            <v>1611030</v>
          </cell>
          <cell r="BF127">
            <v>0</v>
          </cell>
          <cell r="BG127">
            <v>-3196973</v>
          </cell>
          <cell r="BH127">
            <v>-113836</v>
          </cell>
          <cell r="BI127">
            <v>-55850</v>
          </cell>
          <cell r="BJ127">
            <v>-42513</v>
          </cell>
          <cell r="BK127">
            <v>-2111577</v>
          </cell>
          <cell r="BL127">
            <v>-31813</v>
          </cell>
          <cell r="BM127">
            <v>-35503</v>
          </cell>
          <cell r="BN127">
            <v>0</v>
          </cell>
          <cell r="BO127">
            <v>-4706</v>
          </cell>
          <cell r="BP127">
            <v>-3599</v>
          </cell>
          <cell r="BQ127">
            <v>0</v>
          </cell>
          <cell r="BR127">
            <v>0</v>
          </cell>
          <cell r="BS127">
            <v>0</v>
          </cell>
          <cell r="BT127">
            <v>61824988</v>
          </cell>
          <cell r="BU127">
            <v>-454122</v>
          </cell>
          <cell r="BV127">
            <v>1844476</v>
          </cell>
          <cell r="BW127">
            <v>-1812379</v>
          </cell>
          <cell r="BX127">
            <v>655537</v>
          </cell>
          <cell r="BY127">
            <v>262195</v>
          </cell>
          <cell r="BZ127">
            <v>60763164</v>
          </cell>
          <cell r="CA127">
            <v>327769</v>
          </cell>
          <cell r="CB127">
            <v>262214</v>
          </cell>
          <cell r="CC127">
            <v>58998</v>
          </cell>
          <cell r="CD127">
            <v>6556</v>
          </cell>
          <cell r="CE127">
            <v>131097</v>
          </cell>
          <cell r="CF127">
            <v>104878</v>
          </cell>
          <cell r="CG127">
            <v>23598</v>
          </cell>
          <cell r="CH127">
            <v>2622</v>
          </cell>
        </row>
        <row r="128">
          <cell r="A128">
            <v>121</v>
          </cell>
          <cell r="B128" t="str">
            <v>Harrow</v>
          </cell>
          <cell r="C128" t="str">
            <v>E5039</v>
          </cell>
          <cell r="D128">
            <v>243685</v>
          </cell>
          <cell r="H128">
            <v>2661390</v>
          </cell>
          <cell r="I128">
            <v>0</v>
          </cell>
          <cell r="J128">
            <v>243685</v>
          </cell>
          <cell r="K128">
            <v>0</v>
          </cell>
          <cell r="L128">
            <v>0</v>
          </cell>
          <cell r="M128">
            <v>0</v>
          </cell>
          <cell r="N128">
            <v>0</v>
          </cell>
          <cell r="O128">
            <v>0</v>
          </cell>
          <cell r="P128">
            <v>0</v>
          </cell>
          <cell r="Q128">
            <v>0</v>
          </cell>
          <cell r="R128">
            <v>989646</v>
          </cell>
          <cell r="S128">
            <v>1220563</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M128">
            <v>0</v>
          </cell>
          <cell r="AN128">
            <v>0</v>
          </cell>
          <cell r="AO128">
            <v>0</v>
          </cell>
          <cell r="AP128">
            <v>216998</v>
          </cell>
          <cell r="AQ128">
            <v>267630</v>
          </cell>
          <cell r="AR128">
            <v>0</v>
          </cell>
          <cell r="AS128">
            <v>-888385</v>
          </cell>
          <cell r="AT128">
            <v>-533034</v>
          </cell>
          <cell r="AU128">
            <v>-355353</v>
          </cell>
          <cell r="AV128">
            <v>0</v>
          </cell>
          <cell r="AW128">
            <v>-1776772</v>
          </cell>
          <cell r="AX128">
            <v>-3100000</v>
          </cell>
          <cell r="AY128">
            <v>-1860000</v>
          </cell>
          <cell r="AZ128">
            <v>-1240000</v>
          </cell>
          <cell r="BA128">
            <v>0</v>
          </cell>
          <cell r="BB128">
            <v>-6200000</v>
          </cell>
          <cell r="BC128">
            <v>45679930</v>
          </cell>
          <cell r="BD128">
            <v>-3121684</v>
          </cell>
          <cell r="BE128">
            <v>1168574</v>
          </cell>
          <cell r="BF128">
            <v>0</v>
          </cell>
          <cell r="BG128">
            <v>-4858199</v>
          </cell>
          <cell r="BH128">
            <v>-139269</v>
          </cell>
          <cell r="BI128">
            <v>0</v>
          </cell>
          <cell r="BJ128">
            <v>-247380</v>
          </cell>
          <cell r="BK128">
            <v>-1187500</v>
          </cell>
          <cell r="BL128">
            <v>-41443</v>
          </cell>
          <cell r="BM128">
            <v>-11156</v>
          </cell>
          <cell r="BN128">
            <v>0</v>
          </cell>
          <cell r="BO128">
            <v>0</v>
          </cell>
          <cell r="BP128">
            <v>0</v>
          </cell>
          <cell r="BQ128">
            <v>0</v>
          </cell>
          <cell r="BR128">
            <v>0</v>
          </cell>
          <cell r="BS128">
            <v>0</v>
          </cell>
          <cell r="BT128">
            <v>51141888</v>
          </cell>
          <cell r="BU128">
            <v>-1317698</v>
          </cell>
          <cell r="BV128">
            <v>2586065</v>
          </cell>
          <cell r="BW128">
            <v>-353083</v>
          </cell>
          <cell r="BX128">
            <v>4852283</v>
          </cell>
          <cell r="BY128">
            <v>1711812</v>
          </cell>
          <cell r="BZ128">
            <v>48152785</v>
          </cell>
          <cell r="CA128">
            <v>2426142</v>
          </cell>
          <cell r="CB128">
            <v>1455685</v>
          </cell>
          <cell r="CC128">
            <v>970456</v>
          </cell>
          <cell r="CD128">
            <v>0</v>
          </cell>
          <cell r="CE128">
            <v>855906</v>
          </cell>
          <cell r="CF128">
            <v>513544</v>
          </cell>
          <cell r="CG128">
            <v>342362</v>
          </cell>
          <cell r="CH128">
            <v>0</v>
          </cell>
        </row>
        <row r="129">
          <cell r="A129">
            <v>122</v>
          </cell>
          <cell r="B129" t="str">
            <v>Hart</v>
          </cell>
          <cell r="C129" t="str">
            <v>E1736</v>
          </cell>
          <cell r="D129">
            <v>98299</v>
          </cell>
          <cell r="H129">
            <v>556842</v>
          </cell>
          <cell r="I129">
            <v>0</v>
          </cell>
          <cell r="J129">
            <v>98299</v>
          </cell>
          <cell r="K129">
            <v>0</v>
          </cell>
          <cell r="L129">
            <v>0</v>
          </cell>
          <cell r="M129">
            <v>0</v>
          </cell>
          <cell r="N129">
            <v>0</v>
          </cell>
          <cell r="O129">
            <v>0</v>
          </cell>
          <cell r="P129">
            <v>0</v>
          </cell>
          <cell r="Q129">
            <v>0</v>
          </cell>
          <cell r="R129">
            <v>354129</v>
          </cell>
          <cell r="S129">
            <v>79679</v>
          </cell>
          <cell r="T129">
            <v>8853</v>
          </cell>
          <cell r="U129">
            <v>0</v>
          </cell>
          <cell r="V129">
            <v>0</v>
          </cell>
          <cell r="W129">
            <v>0</v>
          </cell>
          <cell r="X129">
            <v>0</v>
          </cell>
          <cell r="Y129">
            <v>0</v>
          </cell>
          <cell r="Z129">
            <v>0</v>
          </cell>
          <cell r="AA129">
            <v>447</v>
          </cell>
          <cell r="AB129">
            <v>100</v>
          </cell>
          <cell r="AC129">
            <v>11</v>
          </cell>
          <cell r="AD129">
            <v>0</v>
          </cell>
          <cell r="AE129">
            <v>0</v>
          </cell>
          <cell r="AF129">
            <v>0</v>
          </cell>
          <cell r="AG129">
            <v>0</v>
          </cell>
          <cell r="AH129">
            <v>0</v>
          </cell>
          <cell r="AI129">
            <v>0</v>
          </cell>
          <cell r="AM129">
            <v>0</v>
          </cell>
          <cell r="AN129">
            <v>0</v>
          </cell>
          <cell r="AO129">
            <v>0</v>
          </cell>
          <cell r="AP129">
            <v>183200</v>
          </cell>
          <cell r="AQ129">
            <v>41220</v>
          </cell>
          <cell r="AR129">
            <v>4580</v>
          </cell>
          <cell r="AS129">
            <v>-235720</v>
          </cell>
          <cell r="AT129">
            <v>-188574</v>
          </cell>
          <cell r="AU129">
            <v>-42429</v>
          </cell>
          <cell r="AV129">
            <v>-4713</v>
          </cell>
          <cell r="AW129">
            <v>-471436</v>
          </cell>
          <cell r="AX129">
            <v>-1039542.3</v>
          </cell>
          <cell r="AY129">
            <v>-831638</v>
          </cell>
          <cell r="AZ129">
            <v>-187119</v>
          </cell>
          <cell r="BA129">
            <v>-20793</v>
          </cell>
          <cell r="BB129">
            <v>-2079092.2999999998</v>
          </cell>
          <cell r="BC129">
            <v>28604112</v>
          </cell>
          <cell r="BD129">
            <v>-1230109</v>
          </cell>
          <cell r="BE129">
            <v>802138</v>
          </cell>
          <cell r="BF129">
            <v>0</v>
          </cell>
          <cell r="BG129">
            <v>-1459096</v>
          </cell>
          <cell r="BH129">
            <v>-6698</v>
          </cell>
          <cell r="BI129">
            <v>-1715</v>
          </cell>
          <cell r="BJ129">
            <v>-47470</v>
          </cell>
          <cell r="BK129">
            <v>-2945482</v>
          </cell>
          <cell r="BL129">
            <v>-91136</v>
          </cell>
          <cell r="BM129">
            <v>-27957</v>
          </cell>
          <cell r="BN129">
            <v>0</v>
          </cell>
          <cell r="BO129">
            <v>-1715</v>
          </cell>
          <cell r="BP129">
            <v>0</v>
          </cell>
          <cell r="BQ129">
            <v>0</v>
          </cell>
          <cell r="BR129">
            <v>0</v>
          </cell>
          <cell r="BS129">
            <v>0</v>
          </cell>
          <cell r="BT129">
            <v>29510874</v>
          </cell>
          <cell r="BU129">
            <v>-308775</v>
          </cell>
          <cell r="BV129">
            <v>1502324</v>
          </cell>
          <cell r="BW129">
            <v>-822944</v>
          </cell>
          <cell r="BX129">
            <v>-3987245</v>
          </cell>
          <cell r="BY129">
            <v>-2325392</v>
          </cell>
          <cell r="BZ129">
            <v>30489687</v>
          </cell>
          <cell r="CA129">
            <v>-1993625</v>
          </cell>
          <cell r="CB129">
            <v>-1594897</v>
          </cell>
          <cell r="CC129">
            <v>-358851</v>
          </cell>
          <cell r="CD129">
            <v>-39872</v>
          </cell>
          <cell r="CE129">
            <v>-1162696</v>
          </cell>
          <cell r="CF129">
            <v>-930157</v>
          </cell>
          <cell r="CG129">
            <v>-209285</v>
          </cell>
          <cell r="CH129">
            <v>-23254</v>
          </cell>
        </row>
        <row r="130">
          <cell r="A130">
            <v>123</v>
          </cell>
          <cell r="B130" t="str">
            <v>Hartlepool</v>
          </cell>
          <cell r="C130" t="str">
            <v>E0701</v>
          </cell>
          <cell r="D130">
            <v>115333</v>
          </cell>
          <cell r="H130">
            <v>-2317884</v>
          </cell>
          <cell r="I130">
            <v>3434</v>
          </cell>
          <cell r="J130">
            <v>115333</v>
          </cell>
          <cell r="K130">
            <v>3434</v>
          </cell>
          <cell r="L130">
            <v>0</v>
          </cell>
          <cell r="M130">
            <v>0</v>
          </cell>
          <cell r="N130">
            <v>122171</v>
          </cell>
          <cell r="O130">
            <v>122171</v>
          </cell>
          <cell r="P130">
            <v>0</v>
          </cell>
          <cell r="Q130">
            <v>0</v>
          </cell>
          <cell r="R130">
            <v>590772</v>
          </cell>
          <cell r="S130">
            <v>0</v>
          </cell>
          <cell r="T130">
            <v>12057</v>
          </cell>
          <cell r="U130">
            <v>5317</v>
          </cell>
          <cell r="V130">
            <v>0</v>
          </cell>
          <cell r="W130">
            <v>109</v>
          </cell>
          <cell r="X130">
            <v>0</v>
          </cell>
          <cell r="Y130">
            <v>0</v>
          </cell>
          <cell r="Z130">
            <v>0</v>
          </cell>
          <cell r="AA130">
            <v>0</v>
          </cell>
          <cell r="AB130">
            <v>0</v>
          </cell>
          <cell r="AC130">
            <v>0</v>
          </cell>
          <cell r="AD130">
            <v>0</v>
          </cell>
          <cell r="AE130">
            <v>0</v>
          </cell>
          <cell r="AF130">
            <v>0</v>
          </cell>
          <cell r="AG130">
            <v>0</v>
          </cell>
          <cell r="AH130">
            <v>0</v>
          </cell>
          <cell r="AI130">
            <v>0</v>
          </cell>
          <cell r="AM130">
            <v>0</v>
          </cell>
          <cell r="AN130">
            <v>0</v>
          </cell>
          <cell r="AO130">
            <v>0</v>
          </cell>
          <cell r="AP130">
            <v>222423</v>
          </cell>
          <cell r="AQ130">
            <v>0</v>
          </cell>
          <cell r="AR130">
            <v>4501</v>
          </cell>
          <cell r="AS130">
            <v>-476736</v>
          </cell>
          <cell r="AT130">
            <v>-467201</v>
          </cell>
          <cell r="AU130">
            <v>0</v>
          </cell>
          <cell r="AV130">
            <v>-9535</v>
          </cell>
          <cell r="AW130">
            <v>-953472</v>
          </cell>
          <cell r="AX130">
            <v>-1070307</v>
          </cell>
          <cell r="AY130">
            <v>-1048903</v>
          </cell>
          <cell r="AZ130">
            <v>0</v>
          </cell>
          <cell r="BA130">
            <v>-21407</v>
          </cell>
          <cell r="BB130">
            <v>-2140617</v>
          </cell>
          <cell r="BC130">
            <v>34423619</v>
          </cell>
          <cell r="BD130">
            <v>-2135445</v>
          </cell>
          <cell r="BE130">
            <v>909337</v>
          </cell>
          <cell r="BF130">
            <v>0</v>
          </cell>
          <cell r="BG130">
            <v>-2172936</v>
          </cell>
          <cell r="BH130">
            <v>-34750</v>
          </cell>
          <cell r="BI130">
            <v>0</v>
          </cell>
          <cell r="BJ130">
            <v>-10912</v>
          </cell>
          <cell r="BK130">
            <v>-926257</v>
          </cell>
          <cell r="BL130">
            <v>-131362</v>
          </cell>
          <cell r="BM130">
            <v>-33406</v>
          </cell>
          <cell r="BN130">
            <v>-3057</v>
          </cell>
          <cell r="BO130">
            <v>0</v>
          </cell>
          <cell r="BP130">
            <v>0</v>
          </cell>
          <cell r="BQ130">
            <v>-126314</v>
          </cell>
          <cell r="BR130">
            <v>-129482</v>
          </cell>
          <cell r="BS130">
            <v>0</v>
          </cell>
          <cell r="BT130">
            <v>32409443</v>
          </cell>
          <cell r="BU130">
            <v>-551604</v>
          </cell>
          <cell r="BV130">
            <v>1911671</v>
          </cell>
          <cell r="BW130">
            <v>-1471285</v>
          </cell>
          <cell r="BX130">
            <v>-2590271</v>
          </cell>
          <cell r="BY130">
            <v>-3581243</v>
          </cell>
          <cell r="BZ130">
            <v>29962088</v>
          </cell>
          <cell r="CA130">
            <v>-1295135</v>
          </cell>
          <cell r="CB130">
            <v>-1269232</v>
          </cell>
          <cell r="CC130">
            <v>0</v>
          </cell>
          <cell r="CD130">
            <v>-25904</v>
          </cell>
          <cell r="CE130">
            <v>-1790622</v>
          </cell>
          <cell r="CF130">
            <v>-1754809</v>
          </cell>
          <cell r="CG130">
            <v>0</v>
          </cell>
          <cell r="CH130">
            <v>-35812</v>
          </cell>
        </row>
        <row r="131">
          <cell r="A131">
            <v>124</v>
          </cell>
          <cell r="B131" t="str">
            <v>Hastings</v>
          </cell>
          <cell r="C131" t="str">
            <v>E1433</v>
          </cell>
          <cell r="D131">
            <v>133508</v>
          </cell>
          <cell r="H131">
            <v>-139692</v>
          </cell>
          <cell r="I131">
            <v>0</v>
          </cell>
          <cell r="J131">
            <v>133508</v>
          </cell>
          <cell r="K131">
            <v>0</v>
          </cell>
          <cell r="L131">
            <v>0</v>
          </cell>
          <cell r="M131">
            <v>0</v>
          </cell>
          <cell r="N131">
            <v>0</v>
          </cell>
          <cell r="O131">
            <v>0</v>
          </cell>
          <cell r="P131">
            <v>0</v>
          </cell>
          <cell r="Q131">
            <v>0</v>
          </cell>
          <cell r="R131">
            <v>669205</v>
          </cell>
          <cell r="S131">
            <v>150571</v>
          </cell>
          <cell r="T131">
            <v>16730</v>
          </cell>
          <cell r="U131">
            <v>0</v>
          </cell>
          <cell r="V131">
            <v>0</v>
          </cell>
          <cell r="W131">
            <v>0</v>
          </cell>
          <cell r="X131">
            <v>7940</v>
          </cell>
          <cell r="Y131">
            <v>1786</v>
          </cell>
          <cell r="Z131">
            <v>198</v>
          </cell>
          <cell r="AA131">
            <v>493</v>
          </cell>
          <cell r="AB131">
            <v>111</v>
          </cell>
          <cell r="AC131">
            <v>12</v>
          </cell>
          <cell r="AD131">
            <v>0</v>
          </cell>
          <cell r="AE131">
            <v>0</v>
          </cell>
          <cell r="AF131">
            <v>0</v>
          </cell>
          <cell r="AG131">
            <v>0</v>
          </cell>
          <cell r="AH131">
            <v>0</v>
          </cell>
          <cell r="AI131">
            <v>0</v>
          </cell>
          <cell r="AM131">
            <v>0</v>
          </cell>
          <cell r="AN131">
            <v>0</v>
          </cell>
          <cell r="AO131">
            <v>0</v>
          </cell>
          <cell r="AP131">
            <v>125123</v>
          </cell>
          <cell r="AQ131">
            <v>28153</v>
          </cell>
          <cell r="AR131">
            <v>3128</v>
          </cell>
          <cell r="AS131">
            <v>-395233</v>
          </cell>
          <cell r="AT131">
            <v>-316189</v>
          </cell>
          <cell r="AU131">
            <v>-71144</v>
          </cell>
          <cell r="AV131">
            <v>-7904</v>
          </cell>
          <cell r="AW131">
            <v>-790470</v>
          </cell>
          <cell r="AX131">
            <v>-1437501</v>
          </cell>
          <cell r="AY131">
            <v>-1149999</v>
          </cell>
          <cell r="AZ131">
            <v>-258750</v>
          </cell>
          <cell r="BA131">
            <v>-28750</v>
          </cell>
          <cell r="BB131">
            <v>-2875000</v>
          </cell>
          <cell r="BC131">
            <v>20844980</v>
          </cell>
          <cell r="BD131">
            <v>-2677484</v>
          </cell>
          <cell r="BE131">
            <v>563569</v>
          </cell>
          <cell r="BF131">
            <v>0</v>
          </cell>
          <cell r="BG131">
            <v>-2612896</v>
          </cell>
          <cell r="BH131">
            <v>-40694</v>
          </cell>
          <cell r="BI131">
            <v>0</v>
          </cell>
          <cell r="BJ131">
            <v>-594</v>
          </cell>
          <cell r="BK131">
            <v>-675922</v>
          </cell>
          <cell r="BL131">
            <v>-107248</v>
          </cell>
          <cell r="BM131">
            <v>-145720</v>
          </cell>
          <cell r="BN131">
            <v>-1243</v>
          </cell>
          <cell r="BO131">
            <v>0</v>
          </cell>
          <cell r="BP131">
            <v>0</v>
          </cell>
          <cell r="BQ131">
            <v>0</v>
          </cell>
          <cell r="BR131">
            <v>0</v>
          </cell>
          <cell r="BS131">
            <v>0</v>
          </cell>
          <cell r="BT131">
            <v>21016062</v>
          </cell>
          <cell r="BU131">
            <v>-310894</v>
          </cell>
          <cell r="BV131">
            <v>1114379</v>
          </cell>
          <cell r="BW131">
            <v>-684556</v>
          </cell>
          <cell r="BX131">
            <v>-780951</v>
          </cell>
          <cell r="BY131">
            <v>-591733</v>
          </cell>
          <cell r="BZ131">
            <v>20824001</v>
          </cell>
          <cell r="CA131">
            <v>-390475</v>
          </cell>
          <cell r="CB131">
            <v>-312380</v>
          </cell>
          <cell r="CC131">
            <v>-70286</v>
          </cell>
          <cell r="CD131">
            <v>-7810</v>
          </cell>
          <cell r="CE131">
            <v>-295867</v>
          </cell>
          <cell r="CF131">
            <v>-236693</v>
          </cell>
          <cell r="CG131">
            <v>-53256</v>
          </cell>
          <cell r="CH131">
            <v>-5917</v>
          </cell>
        </row>
        <row r="132">
          <cell r="A132">
            <v>125</v>
          </cell>
          <cell r="B132" t="str">
            <v>Havant</v>
          </cell>
          <cell r="C132" t="str">
            <v>E1737</v>
          </cell>
          <cell r="D132">
            <v>137942</v>
          </cell>
          <cell r="H132">
            <v>-925380</v>
          </cell>
          <cell r="I132">
            <v>0</v>
          </cell>
          <cell r="J132">
            <v>137942</v>
          </cell>
          <cell r="K132">
            <v>0</v>
          </cell>
          <cell r="L132">
            <v>0</v>
          </cell>
          <cell r="M132">
            <v>0</v>
          </cell>
          <cell r="N132">
            <v>0</v>
          </cell>
          <cell r="O132">
            <v>0</v>
          </cell>
          <cell r="P132">
            <v>0</v>
          </cell>
          <cell r="Q132">
            <v>0</v>
          </cell>
          <cell r="R132">
            <v>587991</v>
          </cell>
          <cell r="S132">
            <v>132298</v>
          </cell>
          <cell r="T132">
            <v>14700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M132">
            <v>0</v>
          </cell>
          <cell r="AN132">
            <v>0</v>
          </cell>
          <cell r="AO132">
            <v>0</v>
          </cell>
          <cell r="AP132">
            <v>208505</v>
          </cell>
          <cell r="AQ132">
            <v>46914</v>
          </cell>
          <cell r="AR132">
            <v>5213</v>
          </cell>
          <cell r="AS132">
            <v>-78256</v>
          </cell>
          <cell r="AT132">
            <v>-62604</v>
          </cell>
          <cell r="AU132">
            <v>-14085</v>
          </cell>
          <cell r="AV132">
            <v>-1565</v>
          </cell>
          <cell r="AW132">
            <v>-156510</v>
          </cell>
          <cell r="AX132">
            <v>-831075</v>
          </cell>
          <cell r="AY132">
            <v>-664858</v>
          </cell>
          <cell r="AZ132">
            <v>-149593</v>
          </cell>
          <cell r="BA132">
            <v>-16621</v>
          </cell>
          <cell r="BB132">
            <v>-1662147</v>
          </cell>
          <cell r="BC132">
            <v>33447369</v>
          </cell>
          <cell r="BD132">
            <v>-2150478</v>
          </cell>
          <cell r="BE132">
            <v>900268</v>
          </cell>
          <cell r="BF132">
            <v>0</v>
          </cell>
          <cell r="BG132">
            <v>-1989927</v>
          </cell>
          <cell r="BH132">
            <v>-9990</v>
          </cell>
          <cell r="BI132">
            <v>-1988</v>
          </cell>
          <cell r="BJ132">
            <v>-17712</v>
          </cell>
          <cell r="BK132">
            <v>-683243</v>
          </cell>
          <cell r="BL132">
            <v>-118727</v>
          </cell>
          <cell r="BM132">
            <v>-86866</v>
          </cell>
          <cell r="BN132">
            <v>-393</v>
          </cell>
          <cell r="BO132">
            <v>-1988</v>
          </cell>
          <cell r="BP132">
            <v>0</v>
          </cell>
          <cell r="BQ132">
            <v>0</v>
          </cell>
          <cell r="BR132">
            <v>0</v>
          </cell>
          <cell r="BS132">
            <v>0</v>
          </cell>
          <cell r="BT132">
            <v>34524688</v>
          </cell>
          <cell r="BU132">
            <v>-134562</v>
          </cell>
          <cell r="BV132">
            <v>631569</v>
          </cell>
          <cell r="BW132">
            <v>-805653</v>
          </cell>
          <cell r="BX132">
            <v>-1643694</v>
          </cell>
          <cell r="BY132">
            <v>-753440</v>
          </cell>
          <cell r="BZ132">
            <v>34701173</v>
          </cell>
          <cell r="CA132">
            <v>-821847</v>
          </cell>
          <cell r="CB132">
            <v>-657477</v>
          </cell>
          <cell r="CC132">
            <v>-147933</v>
          </cell>
          <cell r="CD132">
            <v>-16437</v>
          </cell>
          <cell r="CE132">
            <v>-376720</v>
          </cell>
          <cell r="CF132">
            <v>-301376</v>
          </cell>
          <cell r="CG132">
            <v>-67810</v>
          </cell>
          <cell r="CH132">
            <v>-7534</v>
          </cell>
        </row>
        <row r="133">
          <cell r="A133">
            <v>126</v>
          </cell>
          <cell r="B133" t="str">
            <v>Havering</v>
          </cell>
          <cell r="C133" t="str">
            <v>E5040</v>
          </cell>
          <cell r="D133">
            <v>268121</v>
          </cell>
          <cell r="H133">
            <v>2881073</v>
          </cell>
          <cell r="I133">
            <v>0</v>
          </cell>
          <cell r="J133">
            <v>268121</v>
          </cell>
          <cell r="K133">
            <v>0</v>
          </cell>
          <cell r="L133">
            <v>0</v>
          </cell>
          <cell r="M133">
            <v>0</v>
          </cell>
          <cell r="N133">
            <v>0</v>
          </cell>
          <cell r="O133">
            <v>0</v>
          </cell>
          <cell r="P133">
            <v>0</v>
          </cell>
          <cell r="Q133">
            <v>0</v>
          </cell>
          <cell r="R133">
            <v>780071</v>
          </cell>
          <cell r="S133">
            <v>962088</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M133">
            <v>0</v>
          </cell>
          <cell r="AN133">
            <v>0</v>
          </cell>
          <cell r="AO133">
            <v>0</v>
          </cell>
          <cell r="AP133">
            <v>362015</v>
          </cell>
          <cell r="AQ133">
            <v>446485</v>
          </cell>
          <cell r="AR133">
            <v>0</v>
          </cell>
          <cell r="AS133">
            <v>-990103.39999999991</v>
          </cell>
          <cell r="AT133">
            <v>-594058</v>
          </cell>
          <cell r="AU133">
            <v>-396040</v>
          </cell>
          <cell r="AV133">
            <v>0</v>
          </cell>
          <cell r="AW133">
            <v>-1980201.4</v>
          </cell>
          <cell r="AX133">
            <v>-3372901.4</v>
          </cell>
          <cell r="AY133">
            <v>-2023740</v>
          </cell>
          <cell r="AZ133">
            <v>-1349161</v>
          </cell>
          <cell r="BA133">
            <v>0</v>
          </cell>
          <cell r="BB133">
            <v>-6745802.4000000004</v>
          </cell>
          <cell r="BC133">
            <v>75099125</v>
          </cell>
          <cell r="BD133">
            <v>-3788754</v>
          </cell>
          <cell r="BE133">
            <v>1888861</v>
          </cell>
          <cell r="BF133">
            <v>0</v>
          </cell>
          <cell r="BG133">
            <v>-4682696</v>
          </cell>
          <cell r="BH133">
            <v>-329889</v>
          </cell>
          <cell r="BI133">
            <v>0</v>
          </cell>
          <cell r="BJ133">
            <v>-79140</v>
          </cell>
          <cell r="BK133">
            <v>-2885990</v>
          </cell>
          <cell r="BL133">
            <v>-127019</v>
          </cell>
          <cell r="BM133">
            <v>-10708</v>
          </cell>
          <cell r="BN133">
            <v>-74500</v>
          </cell>
          <cell r="BO133">
            <v>0</v>
          </cell>
          <cell r="BP133">
            <v>0</v>
          </cell>
          <cell r="BQ133">
            <v>0</v>
          </cell>
          <cell r="BR133">
            <v>0</v>
          </cell>
          <cell r="BS133">
            <v>0</v>
          </cell>
          <cell r="BT133">
            <v>75137311</v>
          </cell>
          <cell r="BU133">
            <v>-749486</v>
          </cell>
          <cell r="BV133">
            <v>2299929</v>
          </cell>
          <cell r="BW133">
            <v>-3711877</v>
          </cell>
          <cell r="BX133">
            <v>-455790.82999999821</v>
          </cell>
          <cell r="BY133">
            <v>488766</v>
          </cell>
          <cell r="BZ133">
            <v>80332784</v>
          </cell>
          <cell r="CA133">
            <v>-227895.82999999821</v>
          </cell>
          <cell r="CB133">
            <v>-136736</v>
          </cell>
          <cell r="CC133">
            <v>-91159</v>
          </cell>
          <cell r="CD133">
            <v>0</v>
          </cell>
          <cell r="CE133">
            <v>244383</v>
          </cell>
          <cell r="CF133">
            <v>146630</v>
          </cell>
          <cell r="CG133">
            <v>97753</v>
          </cell>
          <cell r="CH133">
            <v>0</v>
          </cell>
        </row>
        <row r="134">
          <cell r="A134">
            <v>127</v>
          </cell>
          <cell r="B134" t="str">
            <v>Herefordshire</v>
          </cell>
          <cell r="C134" t="str">
            <v>E1801</v>
          </cell>
          <cell r="D134">
            <v>299893</v>
          </cell>
          <cell r="H134">
            <v>0</v>
          </cell>
          <cell r="I134">
            <v>0</v>
          </cell>
          <cell r="J134">
            <v>299893</v>
          </cell>
          <cell r="K134">
            <v>52447</v>
          </cell>
          <cell r="L134">
            <v>100000</v>
          </cell>
          <cell r="M134">
            <v>0</v>
          </cell>
          <cell r="N134">
            <v>481000</v>
          </cell>
          <cell r="O134">
            <v>481000</v>
          </cell>
          <cell r="P134">
            <v>0</v>
          </cell>
          <cell r="Q134">
            <v>0</v>
          </cell>
          <cell r="R134">
            <v>2037014</v>
          </cell>
          <cell r="S134">
            <v>0</v>
          </cell>
          <cell r="T134">
            <v>40862</v>
          </cell>
          <cell r="U134">
            <v>0</v>
          </cell>
          <cell r="V134">
            <v>0</v>
          </cell>
          <cell r="W134">
            <v>0</v>
          </cell>
          <cell r="X134">
            <v>0</v>
          </cell>
          <cell r="Y134">
            <v>0</v>
          </cell>
          <cell r="Z134">
            <v>0</v>
          </cell>
          <cell r="AA134">
            <v>27998</v>
          </cell>
          <cell r="AB134">
            <v>0</v>
          </cell>
          <cell r="AC134">
            <v>571</v>
          </cell>
          <cell r="AD134">
            <v>0</v>
          </cell>
          <cell r="AE134">
            <v>0</v>
          </cell>
          <cell r="AF134">
            <v>0</v>
          </cell>
          <cell r="AG134">
            <v>0</v>
          </cell>
          <cell r="AH134">
            <v>0</v>
          </cell>
          <cell r="AI134">
            <v>0</v>
          </cell>
          <cell r="AM134">
            <v>0</v>
          </cell>
          <cell r="AN134">
            <v>0</v>
          </cell>
          <cell r="AO134">
            <v>0</v>
          </cell>
          <cell r="AP134">
            <v>339751</v>
          </cell>
          <cell r="AQ134">
            <v>0</v>
          </cell>
          <cell r="AR134">
            <v>6740</v>
          </cell>
          <cell r="AS134">
            <v>-274443.42</v>
          </cell>
          <cell r="AT134">
            <v>-268953</v>
          </cell>
          <cell r="AU134">
            <v>0</v>
          </cell>
          <cell r="AV134">
            <v>-5488</v>
          </cell>
          <cell r="AW134">
            <v>-548884.42000000004</v>
          </cell>
          <cell r="AX134">
            <v>-3569564</v>
          </cell>
          <cell r="AY134">
            <v>-3498174</v>
          </cell>
          <cell r="AZ134">
            <v>0</v>
          </cell>
          <cell r="BA134">
            <v>-71392</v>
          </cell>
          <cell r="BB134">
            <v>-7139130</v>
          </cell>
          <cell r="BC134">
            <v>47594029</v>
          </cell>
          <cell r="BD134">
            <v>-5875956</v>
          </cell>
          <cell r="BE134">
            <v>1299901</v>
          </cell>
          <cell r="BF134">
            <v>0</v>
          </cell>
          <cell r="BG134">
            <v>-4422064</v>
          </cell>
          <cell r="BH134">
            <v>-85108</v>
          </cell>
          <cell r="BI134">
            <v>-104183</v>
          </cell>
          <cell r="BJ134">
            <v>-4562</v>
          </cell>
          <cell r="BK134">
            <v>-1781767</v>
          </cell>
          <cell r="BL134">
            <v>-366437</v>
          </cell>
          <cell r="BM134">
            <v>-152658</v>
          </cell>
          <cell r="BN134">
            <v>-12172</v>
          </cell>
          <cell r="BO134">
            <v>-63563</v>
          </cell>
          <cell r="BP134">
            <v>0</v>
          </cell>
          <cell r="BQ134">
            <v>-293304</v>
          </cell>
          <cell r="BR134">
            <v>-310203</v>
          </cell>
          <cell r="BS134">
            <v>0</v>
          </cell>
          <cell r="BT134">
            <v>48968055</v>
          </cell>
          <cell r="BU134">
            <v>-153071</v>
          </cell>
          <cell r="BV134">
            <v>1521568</v>
          </cell>
          <cell r="BW134">
            <v>-1117115</v>
          </cell>
          <cell r="BX134">
            <v>352503</v>
          </cell>
          <cell r="BY134">
            <v>1028910</v>
          </cell>
          <cell r="BZ134">
            <v>44865855</v>
          </cell>
          <cell r="CA134">
            <v>176253</v>
          </cell>
          <cell r="CB134">
            <v>172726</v>
          </cell>
          <cell r="CC134">
            <v>0</v>
          </cell>
          <cell r="CD134">
            <v>3524</v>
          </cell>
          <cell r="CE134">
            <v>514455</v>
          </cell>
          <cell r="CF134">
            <v>504166</v>
          </cell>
          <cell r="CG134">
            <v>0</v>
          </cell>
          <cell r="CH134">
            <v>10289</v>
          </cell>
        </row>
        <row r="135">
          <cell r="A135">
            <v>128</v>
          </cell>
          <cell r="B135" t="str">
            <v>Hertsmere</v>
          </cell>
          <cell r="C135" t="str">
            <v>E1934</v>
          </cell>
          <cell r="D135">
            <v>151151</v>
          </cell>
          <cell r="H135">
            <v>-425087</v>
          </cell>
          <cell r="I135">
            <v>0</v>
          </cell>
          <cell r="J135">
            <v>151151</v>
          </cell>
          <cell r="K135">
            <v>0</v>
          </cell>
          <cell r="L135">
            <v>0</v>
          </cell>
          <cell r="M135">
            <v>0</v>
          </cell>
          <cell r="N135">
            <v>0</v>
          </cell>
          <cell r="O135">
            <v>0</v>
          </cell>
          <cell r="P135">
            <v>0</v>
          </cell>
          <cell r="Q135">
            <v>0</v>
          </cell>
          <cell r="R135">
            <v>728804</v>
          </cell>
          <cell r="S135">
            <v>182201</v>
          </cell>
          <cell r="T135">
            <v>0</v>
          </cell>
          <cell r="U135">
            <v>0</v>
          </cell>
          <cell r="V135">
            <v>0</v>
          </cell>
          <cell r="W135">
            <v>0</v>
          </cell>
          <cell r="X135">
            <v>0</v>
          </cell>
          <cell r="Y135">
            <v>0</v>
          </cell>
          <cell r="Z135">
            <v>0</v>
          </cell>
          <cell r="AA135">
            <v>9502</v>
          </cell>
          <cell r="AB135">
            <v>2375</v>
          </cell>
          <cell r="AC135">
            <v>0</v>
          </cell>
          <cell r="AD135">
            <v>0</v>
          </cell>
          <cell r="AE135">
            <v>0</v>
          </cell>
          <cell r="AF135">
            <v>0</v>
          </cell>
          <cell r="AG135">
            <v>0</v>
          </cell>
          <cell r="AH135">
            <v>0</v>
          </cell>
          <cell r="AI135">
            <v>0</v>
          </cell>
          <cell r="AM135">
            <v>0</v>
          </cell>
          <cell r="AN135">
            <v>0</v>
          </cell>
          <cell r="AO135">
            <v>0</v>
          </cell>
          <cell r="AP135">
            <v>262429</v>
          </cell>
          <cell r="AQ135">
            <v>65607</v>
          </cell>
          <cell r="AR135">
            <v>0</v>
          </cell>
          <cell r="AS135">
            <v>-139602.35</v>
          </cell>
          <cell r="AT135">
            <v>-111681</v>
          </cell>
          <cell r="AU135">
            <v>-27921</v>
          </cell>
          <cell r="AV135">
            <v>0</v>
          </cell>
          <cell r="AW135">
            <v>-279204.34999999998</v>
          </cell>
          <cell r="AX135">
            <v>-1501920</v>
          </cell>
          <cell r="AY135">
            <v>-1201535</v>
          </cell>
          <cell r="AZ135">
            <v>-300382</v>
          </cell>
          <cell r="BA135">
            <v>0</v>
          </cell>
          <cell r="BB135">
            <v>-3003837</v>
          </cell>
          <cell r="BC135">
            <v>49325282</v>
          </cell>
          <cell r="BD135">
            <v>-1676878</v>
          </cell>
          <cell r="BE135">
            <v>1287095</v>
          </cell>
          <cell r="BF135">
            <v>0</v>
          </cell>
          <cell r="BG135">
            <v>-5028802</v>
          </cell>
          <cell r="BH135">
            <v>-59720</v>
          </cell>
          <cell r="BI135">
            <v>0</v>
          </cell>
          <cell r="BJ135">
            <v>0</v>
          </cell>
          <cell r="BK135">
            <v>-649481</v>
          </cell>
          <cell r="BL135">
            <v>-102709</v>
          </cell>
          <cell r="BM135">
            <v>-34861</v>
          </cell>
          <cell r="BN135">
            <v>0</v>
          </cell>
          <cell r="BO135">
            <v>0</v>
          </cell>
          <cell r="BP135">
            <v>0</v>
          </cell>
          <cell r="BQ135">
            <v>0</v>
          </cell>
          <cell r="BR135">
            <v>0</v>
          </cell>
          <cell r="BS135">
            <v>0</v>
          </cell>
          <cell r="BT135">
            <v>46699067</v>
          </cell>
          <cell r="BU135">
            <v>-54092</v>
          </cell>
          <cell r="BV135">
            <v>863336</v>
          </cell>
          <cell r="BW135">
            <v>-2391968</v>
          </cell>
          <cell r="BX135">
            <v>2019952</v>
          </cell>
          <cell r="BY135">
            <v>-3781</v>
          </cell>
          <cell r="BZ135">
            <v>43675694</v>
          </cell>
          <cell r="CA135">
            <v>1009977</v>
          </cell>
          <cell r="CB135">
            <v>807980</v>
          </cell>
          <cell r="CC135">
            <v>201995</v>
          </cell>
          <cell r="CD135">
            <v>0</v>
          </cell>
          <cell r="CE135">
            <v>-1891</v>
          </cell>
          <cell r="CF135">
            <v>-1512</v>
          </cell>
          <cell r="CG135">
            <v>-378</v>
          </cell>
          <cell r="CH135">
            <v>0</v>
          </cell>
        </row>
        <row r="136">
          <cell r="A136">
            <v>129</v>
          </cell>
          <cell r="B136" t="str">
            <v>High Peak</v>
          </cell>
          <cell r="C136" t="str">
            <v>E1037</v>
          </cell>
          <cell r="D136">
            <v>135269</v>
          </cell>
          <cell r="H136">
            <v>1576323</v>
          </cell>
          <cell r="I136">
            <v>0</v>
          </cell>
          <cell r="J136">
            <v>135269</v>
          </cell>
          <cell r="K136">
            <v>0</v>
          </cell>
          <cell r="L136">
            <v>0</v>
          </cell>
          <cell r="M136">
            <v>0</v>
          </cell>
          <cell r="N136">
            <v>0</v>
          </cell>
          <cell r="O136">
            <v>0</v>
          </cell>
          <cell r="P136">
            <v>0</v>
          </cell>
          <cell r="Q136">
            <v>0</v>
          </cell>
          <cell r="R136">
            <v>673127</v>
          </cell>
          <cell r="S136">
            <v>151453</v>
          </cell>
          <cell r="T136">
            <v>16828</v>
          </cell>
          <cell r="U136">
            <v>0</v>
          </cell>
          <cell r="V136">
            <v>0</v>
          </cell>
          <cell r="W136">
            <v>0</v>
          </cell>
          <cell r="X136">
            <v>0</v>
          </cell>
          <cell r="Y136">
            <v>0</v>
          </cell>
          <cell r="Z136">
            <v>0</v>
          </cell>
          <cell r="AA136">
            <v>2368</v>
          </cell>
          <cell r="AB136">
            <v>533</v>
          </cell>
          <cell r="AC136">
            <v>59</v>
          </cell>
          <cell r="AD136">
            <v>0</v>
          </cell>
          <cell r="AE136">
            <v>0</v>
          </cell>
          <cell r="AF136">
            <v>0</v>
          </cell>
          <cell r="AG136">
            <v>0</v>
          </cell>
          <cell r="AH136">
            <v>0</v>
          </cell>
          <cell r="AI136">
            <v>0</v>
          </cell>
          <cell r="AM136">
            <v>0</v>
          </cell>
          <cell r="AN136">
            <v>0</v>
          </cell>
          <cell r="AO136">
            <v>0</v>
          </cell>
          <cell r="AP136">
            <v>161629</v>
          </cell>
          <cell r="AQ136">
            <v>36367</v>
          </cell>
          <cell r="AR136">
            <v>4041</v>
          </cell>
          <cell r="AS136">
            <v>-360855</v>
          </cell>
          <cell r="AT136">
            <v>-288687</v>
          </cell>
          <cell r="AU136">
            <v>-64955</v>
          </cell>
          <cell r="AV136">
            <v>-7218</v>
          </cell>
          <cell r="AW136">
            <v>-721715</v>
          </cell>
          <cell r="AX136">
            <v>-626195</v>
          </cell>
          <cell r="AY136">
            <v>-500957</v>
          </cell>
          <cell r="AZ136">
            <v>-112716</v>
          </cell>
          <cell r="BA136">
            <v>-12525</v>
          </cell>
          <cell r="BB136">
            <v>-1252393</v>
          </cell>
          <cell r="BC136">
            <v>24773815</v>
          </cell>
          <cell r="BD136">
            <v>-2792808</v>
          </cell>
          <cell r="BE136">
            <v>617139</v>
          </cell>
          <cell r="BF136">
            <v>0</v>
          </cell>
          <cell r="BG136">
            <v>-951527</v>
          </cell>
          <cell r="BH136">
            <v>-91080</v>
          </cell>
          <cell r="BI136">
            <v>-14244</v>
          </cell>
          <cell r="BJ136">
            <v>-77965</v>
          </cell>
          <cell r="BK136">
            <v>-492707</v>
          </cell>
          <cell r="BL136">
            <v>-32781</v>
          </cell>
          <cell r="BM136">
            <v>-169857</v>
          </cell>
          <cell r="BN136">
            <v>-145</v>
          </cell>
          <cell r="BO136">
            <v>-5556</v>
          </cell>
          <cell r="BP136">
            <v>0</v>
          </cell>
          <cell r="BQ136">
            <v>0</v>
          </cell>
          <cell r="BR136">
            <v>0</v>
          </cell>
          <cell r="BS136">
            <v>0</v>
          </cell>
          <cell r="BT136">
            <v>24888784</v>
          </cell>
          <cell r="BU136">
            <v>-7611</v>
          </cell>
          <cell r="BV136">
            <v>1140949</v>
          </cell>
          <cell r="BW136">
            <v>-489718</v>
          </cell>
          <cell r="BX136">
            <v>131961</v>
          </cell>
          <cell r="BY136">
            <v>63919</v>
          </cell>
          <cell r="BZ136">
            <v>26899739</v>
          </cell>
          <cell r="CA136">
            <v>65981</v>
          </cell>
          <cell r="CB136">
            <v>52785</v>
          </cell>
          <cell r="CC136">
            <v>11876</v>
          </cell>
          <cell r="CD136">
            <v>1319</v>
          </cell>
          <cell r="CE136">
            <v>31959</v>
          </cell>
          <cell r="CF136">
            <v>25568</v>
          </cell>
          <cell r="CG136">
            <v>5753</v>
          </cell>
          <cell r="CH136">
            <v>639</v>
          </cell>
        </row>
        <row r="137">
          <cell r="A137">
            <v>130</v>
          </cell>
          <cell r="B137" t="str">
            <v>Hillingdon</v>
          </cell>
          <cell r="C137" t="str">
            <v>E5041</v>
          </cell>
          <cell r="D137">
            <v>576004</v>
          </cell>
          <cell r="H137">
            <v>-6724797</v>
          </cell>
          <cell r="I137">
            <v>0</v>
          </cell>
          <cell r="J137">
            <v>576004</v>
          </cell>
          <cell r="K137">
            <v>0</v>
          </cell>
          <cell r="L137">
            <v>0</v>
          </cell>
          <cell r="M137">
            <v>0</v>
          </cell>
          <cell r="N137">
            <v>0</v>
          </cell>
          <cell r="O137">
            <v>0</v>
          </cell>
          <cell r="P137">
            <v>0</v>
          </cell>
          <cell r="Q137">
            <v>0</v>
          </cell>
          <cell r="R137">
            <v>805630</v>
          </cell>
          <cell r="S137">
            <v>993610</v>
          </cell>
          <cell r="T137">
            <v>0</v>
          </cell>
          <cell r="U137">
            <v>0</v>
          </cell>
          <cell r="V137">
            <v>0</v>
          </cell>
          <cell r="W137">
            <v>0</v>
          </cell>
          <cell r="X137">
            <v>0</v>
          </cell>
          <cell r="Y137">
            <v>0</v>
          </cell>
          <cell r="Z137">
            <v>0</v>
          </cell>
          <cell r="AA137">
            <v>30450</v>
          </cell>
          <cell r="AB137">
            <v>37556</v>
          </cell>
          <cell r="AC137">
            <v>0</v>
          </cell>
          <cell r="AD137">
            <v>0</v>
          </cell>
          <cell r="AE137">
            <v>0</v>
          </cell>
          <cell r="AF137">
            <v>0</v>
          </cell>
          <cell r="AG137">
            <v>0</v>
          </cell>
          <cell r="AH137">
            <v>0</v>
          </cell>
          <cell r="AI137">
            <v>0</v>
          </cell>
          <cell r="AM137">
            <v>0</v>
          </cell>
          <cell r="AN137">
            <v>0</v>
          </cell>
          <cell r="AO137">
            <v>0</v>
          </cell>
          <cell r="AP137">
            <v>1585067</v>
          </cell>
          <cell r="AQ137">
            <v>1954916</v>
          </cell>
          <cell r="AR137">
            <v>0</v>
          </cell>
          <cell r="AS137">
            <v>-680097</v>
          </cell>
          <cell r="AT137">
            <v>-408058</v>
          </cell>
          <cell r="AU137">
            <v>-272039</v>
          </cell>
          <cell r="AV137">
            <v>0</v>
          </cell>
          <cell r="AW137">
            <v>-1360194</v>
          </cell>
          <cell r="AX137">
            <v>-2323970</v>
          </cell>
          <cell r="AY137">
            <v>-1394382</v>
          </cell>
          <cell r="AZ137">
            <v>-929589</v>
          </cell>
          <cell r="BA137">
            <v>0</v>
          </cell>
          <cell r="BB137">
            <v>-4647941</v>
          </cell>
          <cell r="BC137">
            <v>375192593</v>
          </cell>
          <cell r="BD137">
            <v>-3614601</v>
          </cell>
          <cell r="BE137">
            <v>9973542</v>
          </cell>
          <cell r="BF137">
            <v>0</v>
          </cell>
          <cell r="BG137">
            <v>-9078055</v>
          </cell>
          <cell r="BH137">
            <v>-61191</v>
          </cell>
          <cell r="BI137">
            <v>0</v>
          </cell>
          <cell r="BJ137">
            <v>-114834</v>
          </cell>
          <cell r="BK137">
            <v>-11538642</v>
          </cell>
          <cell r="BL137">
            <v>-208770</v>
          </cell>
          <cell r="BM137">
            <v>-14179</v>
          </cell>
          <cell r="BN137">
            <v>0</v>
          </cell>
          <cell r="BO137">
            <v>0</v>
          </cell>
          <cell r="BP137">
            <v>0</v>
          </cell>
          <cell r="BQ137">
            <v>0</v>
          </cell>
          <cell r="BR137">
            <v>0</v>
          </cell>
          <cell r="BS137">
            <v>0</v>
          </cell>
          <cell r="BT137">
            <v>376436961</v>
          </cell>
          <cell r="BU137">
            <v>-1196371</v>
          </cell>
          <cell r="BV137">
            <v>12192238</v>
          </cell>
          <cell r="BW137">
            <v>-22588604</v>
          </cell>
          <cell r="BX137">
            <v>1728195</v>
          </cell>
          <cell r="BY137">
            <v>4982000</v>
          </cell>
          <cell r="BZ137">
            <v>351733977</v>
          </cell>
          <cell r="CA137">
            <v>864097</v>
          </cell>
          <cell r="CB137">
            <v>518458</v>
          </cell>
          <cell r="CC137">
            <v>345640</v>
          </cell>
          <cell r="CD137">
            <v>0</v>
          </cell>
          <cell r="CE137">
            <v>2491000</v>
          </cell>
          <cell r="CF137">
            <v>1494600</v>
          </cell>
          <cell r="CG137">
            <v>996400</v>
          </cell>
          <cell r="CH137">
            <v>0</v>
          </cell>
        </row>
        <row r="138">
          <cell r="A138">
            <v>131</v>
          </cell>
          <cell r="B138" t="str">
            <v>Hinckley and Bosworth</v>
          </cell>
          <cell r="C138" t="str">
            <v>E2434</v>
          </cell>
          <cell r="D138">
            <v>127087</v>
          </cell>
          <cell r="H138">
            <v>836527</v>
          </cell>
          <cell r="I138">
            <v>-60074</v>
          </cell>
          <cell r="J138">
            <v>127087</v>
          </cell>
          <cell r="K138">
            <v>76165</v>
          </cell>
          <cell r="L138">
            <v>94708</v>
          </cell>
          <cell r="M138">
            <v>0</v>
          </cell>
          <cell r="N138">
            <v>251424</v>
          </cell>
          <cell r="O138">
            <v>251424</v>
          </cell>
          <cell r="P138">
            <v>0</v>
          </cell>
          <cell r="Q138">
            <v>0</v>
          </cell>
          <cell r="R138">
            <v>618648</v>
          </cell>
          <cell r="S138">
            <v>139196</v>
          </cell>
          <cell r="T138">
            <v>15466</v>
          </cell>
          <cell r="U138">
            <v>988</v>
          </cell>
          <cell r="V138">
            <v>223</v>
          </cell>
          <cell r="W138">
            <v>25</v>
          </cell>
          <cell r="X138">
            <v>47113</v>
          </cell>
          <cell r="Y138">
            <v>10600</v>
          </cell>
          <cell r="Z138">
            <v>1178</v>
          </cell>
          <cell r="AA138">
            <v>0</v>
          </cell>
          <cell r="AB138">
            <v>0</v>
          </cell>
          <cell r="AC138">
            <v>0</v>
          </cell>
          <cell r="AD138">
            <v>0</v>
          </cell>
          <cell r="AE138">
            <v>0</v>
          </cell>
          <cell r="AF138">
            <v>0</v>
          </cell>
          <cell r="AG138">
            <v>0</v>
          </cell>
          <cell r="AH138">
            <v>0</v>
          </cell>
          <cell r="AI138">
            <v>0</v>
          </cell>
          <cell r="AM138">
            <v>0</v>
          </cell>
          <cell r="AN138">
            <v>0</v>
          </cell>
          <cell r="AO138">
            <v>0</v>
          </cell>
          <cell r="AP138">
            <v>195942</v>
          </cell>
          <cell r="AQ138">
            <v>42660</v>
          </cell>
          <cell r="AR138">
            <v>4740</v>
          </cell>
          <cell r="AS138">
            <v>-98766</v>
          </cell>
          <cell r="AT138">
            <v>-79014</v>
          </cell>
          <cell r="AU138">
            <v>-17778</v>
          </cell>
          <cell r="AV138">
            <v>-1975</v>
          </cell>
          <cell r="AW138">
            <v>-197533</v>
          </cell>
          <cell r="AX138">
            <v>-1160360</v>
          </cell>
          <cell r="AY138">
            <v>-928288</v>
          </cell>
          <cell r="AZ138">
            <v>-208866</v>
          </cell>
          <cell r="BA138">
            <v>-23206</v>
          </cell>
          <cell r="BB138">
            <v>-2320720</v>
          </cell>
          <cell r="BC138">
            <v>31834169</v>
          </cell>
          <cell r="BD138">
            <v>-2459249</v>
          </cell>
          <cell r="BE138">
            <v>846065</v>
          </cell>
          <cell r="BF138">
            <v>0</v>
          </cell>
          <cell r="BG138">
            <v>-1934254</v>
          </cell>
          <cell r="BH138">
            <v>-6203</v>
          </cell>
          <cell r="BI138">
            <v>-10486</v>
          </cell>
          <cell r="BJ138">
            <v>0</v>
          </cell>
          <cell r="BK138">
            <v>-616861</v>
          </cell>
          <cell r="BL138">
            <v>-95584</v>
          </cell>
          <cell r="BM138">
            <v>-91697</v>
          </cell>
          <cell r="BN138">
            <v>-1551</v>
          </cell>
          <cell r="BO138">
            <v>0</v>
          </cell>
          <cell r="BP138">
            <v>0</v>
          </cell>
          <cell r="BQ138">
            <v>-144368</v>
          </cell>
          <cell r="BR138">
            <v>-380450</v>
          </cell>
          <cell r="BS138">
            <v>0</v>
          </cell>
          <cell r="BT138">
            <v>33550359</v>
          </cell>
          <cell r="BU138">
            <v>-184273</v>
          </cell>
          <cell r="BV138">
            <v>303954</v>
          </cell>
          <cell r="BW138">
            <v>-223077</v>
          </cell>
          <cell r="BX138">
            <v>-1062521</v>
          </cell>
          <cell r="BY138">
            <v>-926719</v>
          </cell>
          <cell r="BZ138">
            <v>31554630</v>
          </cell>
          <cell r="CA138">
            <v>-531261</v>
          </cell>
          <cell r="CB138">
            <v>-425008</v>
          </cell>
          <cell r="CC138">
            <v>-95627</v>
          </cell>
          <cell r="CD138">
            <v>-10625</v>
          </cell>
          <cell r="CE138">
            <v>-463359</v>
          </cell>
          <cell r="CF138">
            <v>-370688</v>
          </cell>
          <cell r="CG138">
            <v>-83405</v>
          </cell>
          <cell r="CH138">
            <v>-9267</v>
          </cell>
        </row>
        <row r="139">
          <cell r="A139">
            <v>132</v>
          </cell>
          <cell r="B139" t="str">
            <v>Horsham</v>
          </cell>
          <cell r="C139" t="str">
            <v>E3835</v>
          </cell>
          <cell r="D139">
            <v>179932</v>
          </cell>
          <cell r="H139">
            <v>861307</v>
          </cell>
          <cell r="I139">
            <v>0</v>
          </cell>
          <cell r="J139">
            <v>179932</v>
          </cell>
          <cell r="K139">
            <v>0</v>
          </cell>
          <cell r="L139">
            <v>0</v>
          </cell>
          <cell r="M139">
            <v>0</v>
          </cell>
          <cell r="N139">
            <v>0</v>
          </cell>
          <cell r="O139">
            <v>0</v>
          </cell>
          <cell r="P139">
            <v>0</v>
          </cell>
          <cell r="Q139">
            <v>0</v>
          </cell>
          <cell r="R139">
            <v>789483</v>
          </cell>
          <cell r="S139">
            <v>197371</v>
          </cell>
          <cell r="T139">
            <v>0</v>
          </cell>
          <cell r="U139">
            <v>1284</v>
          </cell>
          <cell r="V139">
            <v>321</v>
          </cell>
          <cell r="W139">
            <v>0</v>
          </cell>
          <cell r="X139">
            <v>57062</v>
          </cell>
          <cell r="Y139">
            <v>14266</v>
          </cell>
          <cell r="Z139">
            <v>0</v>
          </cell>
          <cell r="AA139">
            <v>2842</v>
          </cell>
          <cell r="AB139">
            <v>710</v>
          </cell>
          <cell r="AC139">
            <v>0</v>
          </cell>
          <cell r="AD139">
            <v>0</v>
          </cell>
          <cell r="AE139">
            <v>0</v>
          </cell>
          <cell r="AF139">
            <v>0</v>
          </cell>
          <cell r="AG139">
            <v>0</v>
          </cell>
          <cell r="AH139">
            <v>0</v>
          </cell>
          <cell r="AI139">
            <v>0</v>
          </cell>
          <cell r="AM139">
            <v>0</v>
          </cell>
          <cell r="AN139">
            <v>0</v>
          </cell>
          <cell r="AO139">
            <v>0</v>
          </cell>
          <cell r="AP139">
            <v>252617</v>
          </cell>
          <cell r="AQ139">
            <v>63154</v>
          </cell>
          <cell r="AR139">
            <v>0</v>
          </cell>
          <cell r="AS139">
            <v>-771936</v>
          </cell>
          <cell r="AT139">
            <v>-617548</v>
          </cell>
          <cell r="AU139">
            <v>-154387</v>
          </cell>
          <cell r="AV139">
            <v>0</v>
          </cell>
          <cell r="AW139">
            <v>-1543871</v>
          </cell>
          <cell r="AX139">
            <v>-2660486</v>
          </cell>
          <cell r="AY139">
            <v>-2128387</v>
          </cell>
          <cell r="AZ139">
            <v>-532096</v>
          </cell>
          <cell r="BA139">
            <v>0</v>
          </cell>
          <cell r="BB139">
            <v>-5320969</v>
          </cell>
          <cell r="BC139">
            <v>41253278</v>
          </cell>
          <cell r="BD139">
            <v>-3049852</v>
          </cell>
          <cell r="BE139">
            <v>1088980</v>
          </cell>
          <cell r="BF139">
            <v>0</v>
          </cell>
          <cell r="BG139">
            <v>-2854846</v>
          </cell>
          <cell r="BH139">
            <v>-56996</v>
          </cell>
          <cell r="BI139">
            <v>-16588</v>
          </cell>
          <cell r="BJ139">
            <v>-3671</v>
          </cell>
          <cell r="BK139">
            <v>-995761</v>
          </cell>
          <cell r="BL139">
            <v>-61859</v>
          </cell>
          <cell r="BM139">
            <v>-457915</v>
          </cell>
          <cell r="BN139">
            <v>-4201</v>
          </cell>
          <cell r="BO139">
            <v>-4548</v>
          </cell>
          <cell r="BP139">
            <v>0</v>
          </cell>
          <cell r="BQ139">
            <v>0</v>
          </cell>
          <cell r="BR139">
            <v>0</v>
          </cell>
          <cell r="BS139">
            <v>0</v>
          </cell>
          <cell r="BT139">
            <v>42230361</v>
          </cell>
          <cell r="BU139">
            <v>-308856</v>
          </cell>
          <cell r="BV139">
            <v>2812217</v>
          </cell>
          <cell r="BW139">
            <v>-2056975</v>
          </cell>
          <cell r="BX139">
            <v>89729</v>
          </cell>
          <cell r="BY139">
            <v>700000</v>
          </cell>
          <cell r="BZ139">
            <v>42042700</v>
          </cell>
          <cell r="CA139">
            <v>44865</v>
          </cell>
          <cell r="CB139">
            <v>35891</v>
          </cell>
          <cell r="CC139">
            <v>8973</v>
          </cell>
          <cell r="CD139">
            <v>0</v>
          </cell>
          <cell r="CE139">
            <v>350000</v>
          </cell>
          <cell r="CF139">
            <v>280000</v>
          </cell>
          <cell r="CG139">
            <v>70000</v>
          </cell>
          <cell r="CH139">
            <v>0</v>
          </cell>
        </row>
        <row r="140">
          <cell r="A140">
            <v>133</v>
          </cell>
          <cell r="B140" t="str">
            <v>Hounslow</v>
          </cell>
          <cell r="C140" t="str">
            <v>E5042</v>
          </cell>
          <cell r="D140">
            <v>415076</v>
          </cell>
          <cell r="H140">
            <v>14505064</v>
          </cell>
          <cell r="I140">
            <v>0</v>
          </cell>
          <cell r="J140">
            <v>415076</v>
          </cell>
          <cell r="K140">
            <v>0</v>
          </cell>
          <cell r="L140">
            <v>0</v>
          </cell>
          <cell r="M140">
            <v>0</v>
          </cell>
          <cell r="N140">
            <v>0</v>
          </cell>
          <cell r="O140">
            <v>0</v>
          </cell>
          <cell r="P140">
            <v>0</v>
          </cell>
          <cell r="Q140">
            <v>0</v>
          </cell>
          <cell r="R140">
            <v>630580</v>
          </cell>
          <cell r="S140">
            <v>777716</v>
          </cell>
          <cell r="T140">
            <v>0</v>
          </cell>
          <cell r="U140">
            <v>0</v>
          </cell>
          <cell r="V140">
            <v>0</v>
          </cell>
          <cell r="W140">
            <v>0</v>
          </cell>
          <cell r="X140">
            <v>0</v>
          </cell>
          <cell r="Y140">
            <v>0</v>
          </cell>
          <cell r="Z140">
            <v>0</v>
          </cell>
          <cell r="AA140">
            <v>6904</v>
          </cell>
          <cell r="AB140">
            <v>8515</v>
          </cell>
          <cell r="AC140">
            <v>0</v>
          </cell>
          <cell r="AD140">
            <v>0</v>
          </cell>
          <cell r="AE140">
            <v>0</v>
          </cell>
          <cell r="AF140">
            <v>0</v>
          </cell>
          <cell r="AG140">
            <v>0</v>
          </cell>
          <cell r="AH140">
            <v>0</v>
          </cell>
          <cell r="AI140">
            <v>0</v>
          </cell>
          <cell r="AM140">
            <v>0</v>
          </cell>
          <cell r="AN140">
            <v>0</v>
          </cell>
          <cell r="AO140">
            <v>0</v>
          </cell>
          <cell r="AP140">
            <v>828276</v>
          </cell>
          <cell r="AQ140">
            <v>1021540</v>
          </cell>
          <cell r="AR140">
            <v>0</v>
          </cell>
          <cell r="AS140">
            <v>-1750001</v>
          </cell>
          <cell r="AT140">
            <v>-1049999</v>
          </cell>
          <cell r="AU140">
            <v>-700000</v>
          </cell>
          <cell r="AV140">
            <v>0</v>
          </cell>
          <cell r="AW140">
            <v>-3500000</v>
          </cell>
          <cell r="AX140">
            <v>-14450000</v>
          </cell>
          <cell r="AY140">
            <v>-8670000</v>
          </cell>
          <cell r="AZ140">
            <v>-5780000</v>
          </cell>
          <cell r="BA140">
            <v>0</v>
          </cell>
          <cell r="BB140">
            <v>-28900000</v>
          </cell>
          <cell r="BC140">
            <v>149894494</v>
          </cell>
          <cell r="BD140">
            <v>-3116264</v>
          </cell>
          <cell r="BE140">
            <v>4394314</v>
          </cell>
          <cell r="BF140">
            <v>0</v>
          </cell>
          <cell r="BG140">
            <v>-5499902</v>
          </cell>
          <cell r="BH140">
            <v>-46559</v>
          </cell>
          <cell r="BI140">
            <v>0</v>
          </cell>
          <cell r="BJ140">
            <v>-610204</v>
          </cell>
          <cell r="BK140">
            <v>-8291004</v>
          </cell>
          <cell r="BL140">
            <v>-291233</v>
          </cell>
          <cell r="BM140">
            <v>-528435</v>
          </cell>
          <cell r="BN140">
            <v>-1541</v>
          </cell>
          <cell r="BO140">
            <v>0</v>
          </cell>
          <cell r="BP140">
            <v>0</v>
          </cell>
          <cell r="BQ140">
            <v>0</v>
          </cell>
          <cell r="BR140">
            <v>0</v>
          </cell>
          <cell r="BS140">
            <v>0</v>
          </cell>
          <cell r="BT140">
            <v>162842777</v>
          </cell>
          <cell r="BU140">
            <v>-2317752</v>
          </cell>
          <cell r="BV140">
            <v>9461897</v>
          </cell>
          <cell r="BW140">
            <v>-12742442</v>
          </cell>
          <cell r="BX140">
            <v>-11774953</v>
          </cell>
          <cell r="BY140">
            <v>-1034345</v>
          </cell>
          <cell r="BZ140">
            <v>183798333</v>
          </cell>
          <cell r="CA140">
            <v>-5887477</v>
          </cell>
          <cell r="CB140">
            <v>-3532486</v>
          </cell>
          <cell r="CC140">
            <v>-2354990</v>
          </cell>
          <cell r="CD140">
            <v>0</v>
          </cell>
          <cell r="CE140">
            <v>-517172</v>
          </cell>
          <cell r="CF140">
            <v>-310304</v>
          </cell>
          <cell r="CG140">
            <v>-206869</v>
          </cell>
          <cell r="CH140">
            <v>0</v>
          </cell>
        </row>
        <row r="141">
          <cell r="A141">
            <v>134</v>
          </cell>
          <cell r="B141" t="str">
            <v>Huntingdonshire</v>
          </cell>
          <cell r="C141" t="str">
            <v>E0551</v>
          </cell>
          <cell r="D141">
            <v>217080</v>
          </cell>
          <cell r="H141">
            <v>-1745285</v>
          </cell>
          <cell r="I141">
            <v>62367</v>
          </cell>
          <cell r="J141">
            <v>217080</v>
          </cell>
          <cell r="K141">
            <v>0</v>
          </cell>
          <cell r="L141">
            <v>864030</v>
          </cell>
          <cell r="M141">
            <v>0</v>
          </cell>
          <cell r="N141">
            <v>200238</v>
          </cell>
          <cell r="O141">
            <v>200238</v>
          </cell>
          <cell r="P141">
            <v>0</v>
          </cell>
          <cell r="Q141">
            <v>0</v>
          </cell>
          <cell r="R141">
            <v>1406077</v>
          </cell>
          <cell r="S141">
            <v>316368</v>
          </cell>
          <cell r="T141">
            <v>35152</v>
          </cell>
          <cell r="U141">
            <v>2513</v>
          </cell>
          <cell r="V141">
            <v>565</v>
          </cell>
          <cell r="W141">
            <v>63</v>
          </cell>
          <cell r="X141">
            <v>0</v>
          </cell>
          <cell r="Y141">
            <v>0</v>
          </cell>
          <cell r="Z141">
            <v>0</v>
          </cell>
          <cell r="AA141">
            <v>0</v>
          </cell>
          <cell r="AB141">
            <v>0</v>
          </cell>
          <cell r="AC141">
            <v>0</v>
          </cell>
          <cell r="AD141">
            <v>0</v>
          </cell>
          <cell r="AE141">
            <v>0</v>
          </cell>
          <cell r="AF141">
            <v>0</v>
          </cell>
          <cell r="AG141">
            <v>0</v>
          </cell>
          <cell r="AH141">
            <v>0</v>
          </cell>
          <cell r="AI141">
            <v>0</v>
          </cell>
          <cell r="AM141">
            <v>0</v>
          </cell>
          <cell r="AN141">
            <v>0</v>
          </cell>
          <cell r="AO141">
            <v>0</v>
          </cell>
          <cell r="AP141">
            <v>331834</v>
          </cell>
          <cell r="AQ141">
            <v>71066</v>
          </cell>
          <cell r="AR141">
            <v>7896</v>
          </cell>
          <cell r="AS141">
            <v>311548</v>
          </cell>
          <cell r="AT141">
            <v>249238</v>
          </cell>
          <cell r="AU141">
            <v>56078</v>
          </cell>
          <cell r="AV141">
            <v>6230</v>
          </cell>
          <cell r="AW141">
            <v>623094</v>
          </cell>
          <cell r="AX141">
            <v>-1603535</v>
          </cell>
          <cell r="AY141">
            <v>-1282828</v>
          </cell>
          <cell r="AZ141">
            <v>-288637</v>
          </cell>
          <cell r="BA141">
            <v>-32070</v>
          </cell>
          <cell r="BB141">
            <v>-3207070</v>
          </cell>
          <cell r="BC141">
            <v>61215220</v>
          </cell>
          <cell r="BD141">
            <v>-3232847</v>
          </cell>
          <cell r="BE141">
            <v>1569264</v>
          </cell>
          <cell r="BF141">
            <v>0</v>
          </cell>
          <cell r="BG141">
            <v>-2741865</v>
          </cell>
          <cell r="BH141">
            <v>-193376</v>
          </cell>
          <cell r="BI141">
            <v>-44613</v>
          </cell>
          <cell r="BJ141">
            <v>0</v>
          </cell>
          <cell r="BK141">
            <v>-1992066</v>
          </cell>
          <cell r="BL141">
            <v>-1670</v>
          </cell>
          <cell r="BM141">
            <v>-45407</v>
          </cell>
          <cell r="BN141">
            <v>0</v>
          </cell>
          <cell r="BO141">
            <v>-21257</v>
          </cell>
          <cell r="BP141">
            <v>0</v>
          </cell>
          <cell r="BQ141">
            <v>-198329</v>
          </cell>
          <cell r="BR141">
            <v>-204880</v>
          </cell>
          <cell r="BS141">
            <v>0</v>
          </cell>
          <cell r="BT141">
            <v>59979641</v>
          </cell>
          <cell r="BU141">
            <v>-189147</v>
          </cell>
          <cell r="BV141">
            <v>286868</v>
          </cell>
          <cell r="BW141">
            <v>-137765</v>
          </cell>
          <cell r="BX141">
            <v>3122978</v>
          </cell>
          <cell r="BY141">
            <v>3784348</v>
          </cell>
          <cell r="BZ141">
            <v>52566050</v>
          </cell>
          <cell r="CA141">
            <v>1561489</v>
          </cell>
          <cell r="CB141">
            <v>1249191</v>
          </cell>
          <cell r="CC141">
            <v>281068</v>
          </cell>
          <cell r="CD141">
            <v>31230</v>
          </cell>
          <cell r="CE141">
            <v>1892175</v>
          </cell>
          <cell r="CF141">
            <v>1513739</v>
          </cell>
          <cell r="CG141">
            <v>340591</v>
          </cell>
          <cell r="CH141">
            <v>37843</v>
          </cell>
        </row>
        <row r="142">
          <cell r="A142">
            <v>135</v>
          </cell>
          <cell r="B142" t="str">
            <v>Hyndburn</v>
          </cell>
          <cell r="C142" t="str">
            <v>E2336</v>
          </cell>
          <cell r="D142">
            <v>125909</v>
          </cell>
          <cell r="H142">
            <v>-1427239</v>
          </cell>
          <cell r="I142">
            <v>0</v>
          </cell>
          <cell r="J142">
            <v>125909</v>
          </cell>
          <cell r="K142">
            <v>0</v>
          </cell>
          <cell r="L142">
            <v>0</v>
          </cell>
          <cell r="M142">
            <v>0</v>
          </cell>
          <cell r="N142">
            <v>0</v>
          </cell>
          <cell r="O142">
            <v>0</v>
          </cell>
          <cell r="P142">
            <v>0</v>
          </cell>
          <cell r="Q142">
            <v>0</v>
          </cell>
          <cell r="R142">
            <v>596549</v>
          </cell>
          <cell r="S142">
            <v>134223</v>
          </cell>
          <cell r="T142">
            <v>14914</v>
          </cell>
          <cell r="U142">
            <v>3590</v>
          </cell>
          <cell r="V142">
            <v>808</v>
          </cell>
          <cell r="W142">
            <v>90</v>
          </cell>
          <cell r="X142">
            <v>0</v>
          </cell>
          <cell r="Y142">
            <v>0</v>
          </cell>
          <cell r="Z142">
            <v>0</v>
          </cell>
          <cell r="AA142">
            <v>1395</v>
          </cell>
          <cell r="AB142">
            <v>314</v>
          </cell>
          <cell r="AC142">
            <v>35</v>
          </cell>
          <cell r="AD142">
            <v>0</v>
          </cell>
          <cell r="AE142">
            <v>0</v>
          </cell>
          <cell r="AF142">
            <v>0</v>
          </cell>
          <cell r="AG142">
            <v>0</v>
          </cell>
          <cell r="AH142">
            <v>0</v>
          </cell>
          <cell r="AI142">
            <v>0</v>
          </cell>
          <cell r="AM142">
            <v>0</v>
          </cell>
          <cell r="AN142">
            <v>0</v>
          </cell>
          <cell r="AO142">
            <v>0</v>
          </cell>
          <cell r="AP142">
            <v>101176</v>
          </cell>
          <cell r="AQ142">
            <v>22765</v>
          </cell>
          <cell r="AR142">
            <v>2529</v>
          </cell>
          <cell r="AS142">
            <v>-1525075</v>
          </cell>
          <cell r="AT142">
            <v>-1220059</v>
          </cell>
          <cell r="AU142">
            <v>-274513</v>
          </cell>
          <cell r="AV142">
            <v>-30502</v>
          </cell>
          <cell r="AW142">
            <v>-3050149</v>
          </cell>
          <cell r="AX142">
            <v>-1793746.2</v>
          </cell>
          <cell r="AY142">
            <v>-1434997</v>
          </cell>
          <cell r="AZ142">
            <v>-322875</v>
          </cell>
          <cell r="BA142">
            <v>-35875</v>
          </cell>
          <cell r="BB142">
            <v>-3587493.2</v>
          </cell>
          <cell r="BC142">
            <v>21096614</v>
          </cell>
          <cell r="BD142">
            <v>-2641702</v>
          </cell>
          <cell r="BE142">
            <v>622641</v>
          </cell>
          <cell r="BF142">
            <v>0</v>
          </cell>
          <cell r="BG142">
            <v>-1453211</v>
          </cell>
          <cell r="BH142">
            <v>-41314</v>
          </cell>
          <cell r="BI142">
            <v>0</v>
          </cell>
          <cell r="BJ142">
            <v>-70778</v>
          </cell>
          <cell r="BK142">
            <v>-1714673</v>
          </cell>
          <cell r="BL142">
            <v>-131998</v>
          </cell>
          <cell r="BM142">
            <v>-65122</v>
          </cell>
          <cell r="BN142">
            <v>-2361</v>
          </cell>
          <cell r="BO142">
            <v>0</v>
          </cell>
          <cell r="BP142">
            <v>0</v>
          </cell>
          <cell r="BQ142">
            <v>0</v>
          </cell>
          <cell r="BR142">
            <v>0</v>
          </cell>
          <cell r="BS142">
            <v>0</v>
          </cell>
          <cell r="BT142">
            <v>23394027</v>
          </cell>
          <cell r="BU142">
            <v>-879395</v>
          </cell>
          <cell r="BV142">
            <v>4347090</v>
          </cell>
          <cell r="BW142">
            <v>-1077161</v>
          </cell>
          <cell r="BX142">
            <v>1464566</v>
          </cell>
          <cell r="BY142">
            <v>1767158</v>
          </cell>
          <cell r="BZ142">
            <v>16838515</v>
          </cell>
          <cell r="CA142">
            <v>732281</v>
          </cell>
          <cell r="CB142">
            <v>585828</v>
          </cell>
          <cell r="CC142">
            <v>131811</v>
          </cell>
          <cell r="CD142">
            <v>14646</v>
          </cell>
          <cell r="CE142">
            <v>883579</v>
          </cell>
          <cell r="CF142">
            <v>706863</v>
          </cell>
          <cell r="CG142">
            <v>159044</v>
          </cell>
          <cell r="CH142">
            <v>17672</v>
          </cell>
        </row>
        <row r="143">
          <cell r="A143">
            <v>136</v>
          </cell>
          <cell r="B143" t="str">
            <v>Ipswich</v>
          </cell>
          <cell r="C143" t="str">
            <v>E3533</v>
          </cell>
          <cell r="D143">
            <v>187343</v>
          </cell>
          <cell r="H143">
            <v>-2960226</v>
          </cell>
          <cell r="I143">
            <v>0</v>
          </cell>
          <cell r="J143">
            <v>187343</v>
          </cell>
          <cell r="K143">
            <v>169882</v>
          </cell>
          <cell r="L143">
            <v>2073</v>
          </cell>
          <cell r="M143">
            <v>0</v>
          </cell>
          <cell r="N143">
            <v>33600</v>
          </cell>
          <cell r="O143">
            <v>33600</v>
          </cell>
          <cell r="P143">
            <v>0</v>
          </cell>
          <cell r="Q143">
            <v>0</v>
          </cell>
          <cell r="R143">
            <v>704297</v>
          </cell>
          <cell r="S143">
            <v>174927</v>
          </cell>
          <cell r="T143">
            <v>0</v>
          </cell>
          <cell r="U143">
            <v>8523</v>
          </cell>
          <cell r="V143">
            <v>2131</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M143">
            <v>0</v>
          </cell>
          <cell r="AN143">
            <v>0</v>
          </cell>
          <cell r="AO143">
            <v>0</v>
          </cell>
          <cell r="AP143">
            <v>320364</v>
          </cell>
          <cell r="AQ143">
            <v>79319</v>
          </cell>
          <cell r="AR143">
            <v>0</v>
          </cell>
          <cell r="AS143">
            <v>-391100</v>
          </cell>
          <cell r="AT143">
            <v>-312880</v>
          </cell>
          <cell r="AU143">
            <v>-78221</v>
          </cell>
          <cell r="AV143">
            <v>0</v>
          </cell>
          <cell r="AW143">
            <v>-782201</v>
          </cell>
          <cell r="AX143">
            <v>-1175222</v>
          </cell>
          <cell r="AY143">
            <v>-940177</v>
          </cell>
          <cell r="AZ143">
            <v>-235046</v>
          </cell>
          <cell r="BA143">
            <v>0</v>
          </cell>
          <cell r="BB143">
            <v>-2350445</v>
          </cell>
          <cell r="BC143">
            <v>57269694</v>
          </cell>
          <cell r="BD143">
            <v>-2526049</v>
          </cell>
          <cell r="BE143">
            <v>1534855</v>
          </cell>
          <cell r="BF143">
            <v>0</v>
          </cell>
          <cell r="BG143">
            <v>-3781566</v>
          </cell>
          <cell r="BH143">
            <v>-90255</v>
          </cell>
          <cell r="BI143">
            <v>0</v>
          </cell>
          <cell r="BJ143">
            <v>-12080</v>
          </cell>
          <cell r="BK143">
            <v>-1939937</v>
          </cell>
          <cell r="BL143">
            <v>-129342</v>
          </cell>
          <cell r="BM143">
            <v>-57611</v>
          </cell>
          <cell r="BN143">
            <v>0</v>
          </cell>
          <cell r="BO143">
            <v>0</v>
          </cell>
          <cell r="BP143">
            <v>0</v>
          </cell>
          <cell r="BQ143">
            <v>0</v>
          </cell>
          <cell r="BR143">
            <v>0</v>
          </cell>
          <cell r="BS143">
            <v>0</v>
          </cell>
          <cell r="BT143">
            <v>56321935</v>
          </cell>
          <cell r="BU143">
            <v>-385825</v>
          </cell>
          <cell r="BV143">
            <v>1475797</v>
          </cell>
          <cell r="BW143">
            <v>-238366</v>
          </cell>
          <cell r="BX143">
            <v>-2542574</v>
          </cell>
          <cell r="BY143">
            <v>-1708994</v>
          </cell>
          <cell r="BZ143">
            <v>52803817</v>
          </cell>
          <cell r="CA143">
            <v>-1271287</v>
          </cell>
          <cell r="CB143">
            <v>-1017030</v>
          </cell>
          <cell r="CC143">
            <v>-254257</v>
          </cell>
          <cell r="CD143">
            <v>0</v>
          </cell>
          <cell r="CE143">
            <v>-854497</v>
          </cell>
          <cell r="CF143">
            <v>-683598</v>
          </cell>
          <cell r="CG143">
            <v>-170899</v>
          </cell>
          <cell r="CH143">
            <v>0</v>
          </cell>
        </row>
        <row r="144">
          <cell r="A144">
            <v>137</v>
          </cell>
          <cell r="B144" t="str">
            <v>Isle of Wight Council</v>
          </cell>
          <cell r="C144" t="str">
            <v>E2101</v>
          </cell>
          <cell r="D144">
            <v>263045</v>
          </cell>
          <cell r="H144">
            <v>2395904</v>
          </cell>
          <cell r="I144">
            <v>0</v>
          </cell>
          <cell r="J144">
            <v>263045</v>
          </cell>
          <cell r="K144">
            <v>0</v>
          </cell>
          <cell r="L144">
            <v>215490</v>
          </cell>
          <cell r="M144">
            <v>0</v>
          </cell>
          <cell r="N144">
            <v>0</v>
          </cell>
          <cell r="O144">
            <v>0</v>
          </cell>
          <cell r="P144">
            <v>0</v>
          </cell>
          <cell r="Q144">
            <v>0</v>
          </cell>
          <cell r="R144">
            <v>1629336</v>
          </cell>
          <cell r="S144">
            <v>0</v>
          </cell>
          <cell r="T144">
            <v>0</v>
          </cell>
          <cell r="U144">
            <v>3561</v>
          </cell>
          <cell r="V144">
            <v>0</v>
          </cell>
          <cell r="W144">
            <v>0</v>
          </cell>
          <cell r="X144">
            <v>2538</v>
          </cell>
          <cell r="Y144">
            <v>0</v>
          </cell>
          <cell r="Z144">
            <v>0</v>
          </cell>
          <cell r="AA144">
            <v>7613</v>
          </cell>
          <cell r="AB144">
            <v>0</v>
          </cell>
          <cell r="AC144">
            <v>0</v>
          </cell>
          <cell r="AD144">
            <v>0</v>
          </cell>
          <cell r="AE144">
            <v>0</v>
          </cell>
          <cell r="AF144">
            <v>0</v>
          </cell>
          <cell r="AG144">
            <v>0</v>
          </cell>
          <cell r="AH144">
            <v>0</v>
          </cell>
          <cell r="AI144">
            <v>0</v>
          </cell>
          <cell r="AM144">
            <v>0</v>
          </cell>
          <cell r="AN144">
            <v>0</v>
          </cell>
          <cell r="AO144">
            <v>0</v>
          </cell>
          <cell r="AP144">
            <v>279425</v>
          </cell>
          <cell r="AQ144">
            <v>0</v>
          </cell>
          <cell r="AR144">
            <v>0</v>
          </cell>
          <cell r="AS144">
            <v>-223566</v>
          </cell>
          <cell r="AT144">
            <v>-223566</v>
          </cell>
          <cell r="AU144">
            <v>0</v>
          </cell>
          <cell r="AV144">
            <v>0</v>
          </cell>
          <cell r="AW144">
            <v>-447132</v>
          </cell>
          <cell r="AX144">
            <v>-2060593</v>
          </cell>
          <cell r="AY144">
            <v>-2060595</v>
          </cell>
          <cell r="AZ144">
            <v>0</v>
          </cell>
          <cell r="BA144">
            <v>0</v>
          </cell>
          <cell r="BB144">
            <v>-4121188</v>
          </cell>
          <cell r="BC144">
            <v>34709896</v>
          </cell>
          <cell r="BD144">
            <v>-5405438</v>
          </cell>
          <cell r="BE144">
            <v>899312</v>
          </cell>
          <cell r="BF144">
            <v>0</v>
          </cell>
          <cell r="BG144">
            <v>-3013341</v>
          </cell>
          <cell r="BH144">
            <v>-96786</v>
          </cell>
          <cell r="BI144">
            <v>-10635</v>
          </cell>
          <cell r="BJ144">
            <v>-545</v>
          </cell>
          <cell r="BK144">
            <v>-945537</v>
          </cell>
          <cell r="BL144">
            <v>-101130</v>
          </cell>
          <cell r="BM144">
            <v>-63565</v>
          </cell>
          <cell r="BN144">
            <v>-944</v>
          </cell>
          <cell r="BO144">
            <v>-6080</v>
          </cell>
          <cell r="BP144">
            <v>0</v>
          </cell>
          <cell r="BQ144">
            <v>0</v>
          </cell>
          <cell r="BR144">
            <v>0</v>
          </cell>
          <cell r="BS144">
            <v>0</v>
          </cell>
          <cell r="BT144">
            <v>35627851</v>
          </cell>
          <cell r="BU144">
            <v>-413451</v>
          </cell>
          <cell r="BV144">
            <v>1093814</v>
          </cell>
          <cell r="BW144">
            <v>-419417</v>
          </cell>
          <cell r="BX144">
            <v>-1441020</v>
          </cell>
          <cell r="BY144">
            <v>-1800000</v>
          </cell>
          <cell r="BZ144">
            <v>36772407</v>
          </cell>
          <cell r="CA144">
            <v>-720510</v>
          </cell>
          <cell r="CB144">
            <v>-720510</v>
          </cell>
          <cell r="CC144">
            <v>0</v>
          </cell>
          <cell r="CD144">
            <v>0</v>
          </cell>
          <cell r="CE144">
            <v>-900000</v>
          </cell>
          <cell r="CF144">
            <v>-900000</v>
          </cell>
          <cell r="CG144">
            <v>0</v>
          </cell>
          <cell r="CH144">
            <v>0</v>
          </cell>
        </row>
        <row r="145">
          <cell r="A145">
            <v>138</v>
          </cell>
          <cell r="B145" t="str">
            <v>Isles of Scilly</v>
          </cell>
          <cell r="C145" t="str">
            <v>E4001</v>
          </cell>
          <cell r="D145">
            <v>24246</v>
          </cell>
          <cell r="H145">
            <v>31029</v>
          </cell>
          <cell r="I145">
            <v>0</v>
          </cell>
          <cell r="J145">
            <v>24246</v>
          </cell>
          <cell r="K145">
            <v>0</v>
          </cell>
          <cell r="L145">
            <v>0</v>
          </cell>
          <cell r="M145">
            <v>0</v>
          </cell>
          <cell r="N145">
            <v>0</v>
          </cell>
          <cell r="O145">
            <v>0</v>
          </cell>
          <cell r="P145">
            <v>0</v>
          </cell>
          <cell r="Q145">
            <v>0</v>
          </cell>
          <cell r="R145">
            <v>119983</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M145">
            <v>0</v>
          </cell>
          <cell r="AN145">
            <v>0</v>
          </cell>
          <cell r="AO145">
            <v>0</v>
          </cell>
          <cell r="AP145">
            <v>10809</v>
          </cell>
          <cell r="AQ145">
            <v>0</v>
          </cell>
          <cell r="AR145">
            <v>0</v>
          </cell>
          <cell r="AS145">
            <v>-24026</v>
          </cell>
          <cell r="AT145">
            <v>-24026</v>
          </cell>
          <cell r="AU145">
            <v>0</v>
          </cell>
          <cell r="AV145">
            <v>0</v>
          </cell>
          <cell r="AW145">
            <v>-48052</v>
          </cell>
          <cell r="AX145">
            <v>-56739</v>
          </cell>
          <cell r="AY145">
            <v>-56740</v>
          </cell>
          <cell r="AZ145">
            <v>0</v>
          </cell>
          <cell r="BA145">
            <v>0</v>
          </cell>
          <cell r="BB145">
            <v>-113479</v>
          </cell>
          <cell r="BC145">
            <v>1439312</v>
          </cell>
          <cell r="BD145">
            <v>-368332</v>
          </cell>
          <cell r="BE145">
            <v>0</v>
          </cell>
          <cell r="BF145">
            <v>0</v>
          </cell>
          <cell r="BG145">
            <v>-16441</v>
          </cell>
          <cell r="BH145">
            <v>-6570</v>
          </cell>
          <cell r="BI145">
            <v>-1814</v>
          </cell>
          <cell r="BJ145">
            <v>0</v>
          </cell>
          <cell r="BK145">
            <v>-709</v>
          </cell>
          <cell r="BL145">
            <v>-2475</v>
          </cell>
          <cell r="BM145">
            <v>-4641</v>
          </cell>
          <cell r="BN145">
            <v>-1446</v>
          </cell>
          <cell r="BO145">
            <v>-1267</v>
          </cell>
          <cell r="BP145">
            <v>0</v>
          </cell>
          <cell r="BQ145">
            <v>0</v>
          </cell>
          <cell r="BR145">
            <v>0</v>
          </cell>
          <cell r="BS145">
            <v>0</v>
          </cell>
          <cell r="BT145">
            <v>1493046</v>
          </cell>
          <cell r="BU145">
            <v>0</v>
          </cell>
          <cell r="BV145">
            <v>62725</v>
          </cell>
          <cell r="BW145">
            <v>-29213</v>
          </cell>
          <cell r="BX145">
            <v>-583387</v>
          </cell>
          <cell r="BY145">
            <v>-240000</v>
          </cell>
          <cell r="BZ145">
            <v>1439075</v>
          </cell>
          <cell r="CA145">
            <v>-291693</v>
          </cell>
          <cell r="CB145">
            <v>-291694</v>
          </cell>
          <cell r="CC145">
            <v>0</v>
          </cell>
          <cell r="CD145">
            <v>0</v>
          </cell>
          <cell r="CE145">
            <v>-120000</v>
          </cell>
          <cell r="CF145">
            <v>-120000</v>
          </cell>
          <cell r="CG145">
            <v>0</v>
          </cell>
          <cell r="CH145">
            <v>0</v>
          </cell>
        </row>
        <row r="146">
          <cell r="A146">
            <v>139</v>
          </cell>
          <cell r="B146" t="str">
            <v>Islington</v>
          </cell>
          <cell r="C146" t="str">
            <v>E5015</v>
          </cell>
          <cell r="D146">
            <v>703757</v>
          </cell>
          <cell r="H146">
            <v>38124629</v>
          </cell>
          <cell r="I146">
            <v>0</v>
          </cell>
          <cell r="J146">
            <v>703757</v>
          </cell>
          <cell r="K146">
            <v>0</v>
          </cell>
          <cell r="L146">
            <v>74351</v>
          </cell>
          <cell r="M146">
            <v>0</v>
          </cell>
          <cell r="N146">
            <v>0</v>
          </cell>
          <cell r="O146">
            <v>0</v>
          </cell>
          <cell r="P146">
            <v>0</v>
          </cell>
          <cell r="Q146">
            <v>0</v>
          </cell>
          <cell r="R146">
            <v>796751</v>
          </cell>
          <cell r="S146">
            <v>982660</v>
          </cell>
          <cell r="T146">
            <v>0</v>
          </cell>
          <cell r="U146">
            <v>0</v>
          </cell>
          <cell r="V146">
            <v>0</v>
          </cell>
          <cell r="W146">
            <v>0</v>
          </cell>
          <cell r="X146">
            <v>100383</v>
          </cell>
          <cell r="Y146">
            <v>123806</v>
          </cell>
          <cell r="Z146">
            <v>0</v>
          </cell>
          <cell r="AA146">
            <v>95</v>
          </cell>
          <cell r="AB146">
            <v>118</v>
          </cell>
          <cell r="AC146">
            <v>0</v>
          </cell>
          <cell r="AD146">
            <v>0</v>
          </cell>
          <cell r="AE146">
            <v>0</v>
          </cell>
          <cell r="AF146">
            <v>0</v>
          </cell>
          <cell r="AG146">
            <v>0</v>
          </cell>
          <cell r="AH146">
            <v>0</v>
          </cell>
          <cell r="AI146">
            <v>0</v>
          </cell>
          <cell r="AM146">
            <v>0</v>
          </cell>
          <cell r="AN146">
            <v>0</v>
          </cell>
          <cell r="AO146">
            <v>0</v>
          </cell>
          <cell r="AP146">
            <v>1176831</v>
          </cell>
          <cell r="AQ146">
            <v>1450047</v>
          </cell>
          <cell r="AR146">
            <v>0</v>
          </cell>
          <cell r="AS146">
            <v>-7933119.5999999996</v>
          </cell>
          <cell r="AT146">
            <v>-4759868</v>
          </cell>
          <cell r="AU146">
            <v>-3173246</v>
          </cell>
          <cell r="AV146">
            <v>0</v>
          </cell>
          <cell r="AW146">
            <v>-15866233</v>
          </cell>
          <cell r="AX146">
            <v>-9921789</v>
          </cell>
          <cell r="AY146">
            <v>-5953074</v>
          </cell>
          <cell r="AZ146">
            <v>-3968714</v>
          </cell>
          <cell r="BA146">
            <v>0</v>
          </cell>
          <cell r="BB146">
            <v>-19843577</v>
          </cell>
          <cell r="BC146">
            <v>198899844</v>
          </cell>
          <cell r="BD146">
            <v>-3498282</v>
          </cell>
          <cell r="BE146">
            <v>5547610</v>
          </cell>
          <cell r="BF146">
            <v>0</v>
          </cell>
          <cell r="BG146">
            <v>-18864310</v>
          </cell>
          <cell r="BH146">
            <v>0</v>
          </cell>
          <cell r="BI146">
            <v>0</v>
          </cell>
          <cell r="BJ146">
            <v>-314489</v>
          </cell>
          <cell r="BK146">
            <v>-6923757</v>
          </cell>
          <cell r="BL146">
            <v>-681994</v>
          </cell>
          <cell r="BM146">
            <v>-322204</v>
          </cell>
          <cell r="BN146">
            <v>0</v>
          </cell>
          <cell r="BO146">
            <v>0</v>
          </cell>
          <cell r="BP146">
            <v>0</v>
          </cell>
          <cell r="BQ146">
            <v>0</v>
          </cell>
          <cell r="BR146">
            <v>0</v>
          </cell>
          <cell r="BS146">
            <v>0</v>
          </cell>
          <cell r="BT146">
            <v>209251142</v>
          </cell>
          <cell r="BU146">
            <v>-2018305</v>
          </cell>
          <cell r="BV146">
            <v>18879468</v>
          </cell>
          <cell r="BW146">
            <v>-13732407</v>
          </cell>
          <cell r="BX146">
            <v>6358343</v>
          </cell>
          <cell r="BY146">
            <v>6199156</v>
          </cell>
          <cell r="BZ146">
            <v>260896510</v>
          </cell>
          <cell r="CA146">
            <v>3179172</v>
          </cell>
          <cell r="CB146">
            <v>1907502</v>
          </cell>
          <cell r="CC146">
            <v>1271669</v>
          </cell>
          <cell r="CD146">
            <v>0</v>
          </cell>
          <cell r="CE146">
            <v>3099578</v>
          </cell>
          <cell r="CF146">
            <v>1859747</v>
          </cell>
          <cell r="CG146">
            <v>1239831</v>
          </cell>
          <cell r="CH146">
            <v>0</v>
          </cell>
        </row>
        <row r="147">
          <cell r="A147">
            <v>140</v>
          </cell>
          <cell r="B147" t="str">
            <v>Kensington and Chelsea</v>
          </cell>
          <cell r="C147" t="str">
            <v>E5016</v>
          </cell>
          <cell r="D147">
            <v>649577</v>
          </cell>
          <cell r="H147">
            <v>19775110</v>
          </cell>
          <cell r="I147">
            <v>0</v>
          </cell>
          <cell r="J147">
            <v>649577</v>
          </cell>
          <cell r="K147">
            <v>0</v>
          </cell>
          <cell r="L147">
            <v>0</v>
          </cell>
          <cell r="M147">
            <v>0</v>
          </cell>
          <cell r="N147">
            <v>0</v>
          </cell>
          <cell r="O147">
            <v>0</v>
          </cell>
          <cell r="P147">
            <v>0</v>
          </cell>
          <cell r="Q147">
            <v>0</v>
          </cell>
          <cell r="R147">
            <v>389313</v>
          </cell>
          <cell r="S147">
            <v>480154</v>
          </cell>
          <cell r="T147">
            <v>0</v>
          </cell>
          <cell r="U147">
            <v>0</v>
          </cell>
          <cell r="V147">
            <v>0</v>
          </cell>
          <cell r="W147">
            <v>0</v>
          </cell>
          <cell r="X147">
            <v>0</v>
          </cell>
          <cell r="Y147">
            <v>0</v>
          </cell>
          <cell r="Z147">
            <v>0</v>
          </cell>
          <cell r="AA147">
            <v>13829</v>
          </cell>
          <cell r="AB147">
            <v>17055</v>
          </cell>
          <cell r="AC147">
            <v>0</v>
          </cell>
          <cell r="AD147">
            <v>0</v>
          </cell>
          <cell r="AE147">
            <v>0</v>
          </cell>
          <cell r="AF147">
            <v>0</v>
          </cell>
          <cell r="AG147">
            <v>0</v>
          </cell>
          <cell r="AH147">
            <v>0</v>
          </cell>
          <cell r="AI147">
            <v>0</v>
          </cell>
          <cell r="AM147">
            <v>0</v>
          </cell>
          <cell r="AN147">
            <v>0</v>
          </cell>
          <cell r="AO147">
            <v>0</v>
          </cell>
          <cell r="AP147">
            <v>1448137</v>
          </cell>
          <cell r="AQ147">
            <v>1786035</v>
          </cell>
          <cell r="AR147">
            <v>0</v>
          </cell>
          <cell r="AS147">
            <v>-1680829</v>
          </cell>
          <cell r="AT147">
            <v>-1008498</v>
          </cell>
          <cell r="AU147">
            <v>-672332</v>
          </cell>
          <cell r="AV147">
            <v>0</v>
          </cell>
          <cell r="AW147">
            <v>-3361659</v>
          </cell>
          <cell r="AX147">
            <v>-12056581.199999999</v>
          </cell>
          <cell r="AY147">
            <v>-7233949</v>
          </cell>
          <cell r="AZ147">
            <v>-4822631</v>
          </cell>
          <cell r="BA147">
            <v>0</v>
          </cell>
          <cell r="BB147">
            <v>-24113161</v>
          </cell>
          <cell r="BC147">
            <v>280208446</v>
          </cell>
          <cell r="BD147">
            <v>-1908026</v>
          </cell>
          <cell r="BE147">
            <v>7828364</v>
          </cell>
          <cell r="BF147">
            <v>0</v>
          </cell>
          <cell r="BG147">
            <v>-16637896</v>
          </cell>
          <cell r="BH147">
            <v>0</v>
          </cell>
          <cell r="BI147">
            <v>0</v>
          </cell>
          <cell r="BJ147">
            <v>-3719</v>
          </cell>
          <cell r="BK147">
            <v>-8804926</v>
          </cell>
          <cell r="BL147">
            <v>-73452</v>
          </cell>
          <cell r="BM147">
            <v>-84050</v>
          </cell>
          <cell r="BN147">
            <v>0</v>
          </cell>
          <cell r="BO147">
            <v>0</v>
          </cell>
          <cell r="BP147">
            <v>0</v>
          </cell>
          <cell r="BQ147">
            <v>0</v>
          </cell>
          <cell r="BR147">
            <v>0</v>
          </cell>
          <cell r="BS147">
            <v>0</v>
          </cell>
          <cell r="BT147">
            <v>284936593</v>
          </cell>
          <cell r="BU147">
            <v>-1972876</v>
          </cell>
          <cell r="BV147">
            <v>8527556</v>
          </cell>
          <cell r="BW147">
            <v>-7687751</v>
          </cell>
          <cell r="BX147">
            <v>-1166366</v>
          </cell>
          <cell r="BY147">
            <v>-4717005</v>
          </cell>
          <cell r="BZ147">
            <v>321348416</v>
          </cell>
          <cell r="CA147">
            <v>-583182</v>
          </cell>
          <cell r="CB147">
            <v>-349910</v>
          </cell>
          <cell r="CC147">
            <v>-233274</v>
          </cell>
          <cell r="CD147">
            <v>0</v>
          </cell>
          <cell r="CE147">
            <v>-2358502</v>
          </cell>
          <cell r="CF147">
            <v>-1415102</v>
          </cell>
          <cell r="CG147">
            <v>-943401</v>
          </cell>
          <cell r="CH147">
            <v>0</v>
          </cell>
        </row>
        <row r="148">
          <cell r="A148">
            <v>141</v>
          </cell>
          <cell r="B148" t="str">
            <v>Kettering</v>
          </cell>
          <cell r="C148" t="str">
            <v>E2834</v>
          </cell>
          <cell r="D148">
            <v>110062</v>
          </cell>
          <cell r="H148">
            <v>-1638962</v>
          </cell>
          <cell r="I148">
            <v>0</v>
          </cell>
          <cell r="J148">
            <v>110062</v>
          </cell>
          <cell r="K148">
            <v>0</v>
          </cell>
          <cell r="L148">
            <v>289400</v>
          </cell>
          <cell r="M148">
            <v>0</v>
          </cell>
          <cell r="N148">
            <v>0</v>
          </cell>
          <cell r="O148">
            <v>0</v>
          </cell>
          <cell r="P148">
            <v>0</v>
          </cell>
          <cell r="Q148">
            <v>0</v>
          </cell>
          <cell r="R148">
            <v>574609</v>
          </cell>
          <cell r="S148">
            <v>143652</v>
          </cell>
          <cell r="T148">
            <v>0</v>
          </cell>
          <cell r="U148">
            <v>0</v>
          </cell>
          <cell r="V148">
            <v>0</v>
          </cell>
          <cell r="W148">
            <v>0</v>
          </cell>
          <cell r="X148">
            <v>3630</v>
          </cell>
          <cell r="Y148">
            <v>908</v>
          </cell>
          <cell r="Z148">
            <v>0</v>
          </cell>
          <cell r="AA148">
            <v>0</v>
          </cell>
          <cell r="AB148">
            <v>0</v>
          </cell>
          <cell r="AC148">
            <v>0</v>
          </cell>
          <cell r="AD148">
            <v>0</v>
          </cell>
          <cell r="AE148">
            <v>0</v>
          </cell>
          <cell r="AF148">
            <v>0</v>
          </cell>
          <cell r="AG148">
            <v>0</v>
          </cell>
          <cell r="AH148">
            <v>0</v>
          </cell>
          <cell r="AI148">
            <v>0</v>
          </cell>
          <cell r="AM148">
            <v>0</v>
          </cell>
          <cell r="AN148">
            <v>0</v>
          </cell>
          <cell r="AO148">
            <v>0</v>
          </cell>
          <cell r="AP148">
            <v>182678</v>
          </cell>
          <cell r="AQ148">
            <v>44583</v>
          </cell>
          <cell r="AR148">
            <v>0</v>
          </cell>
          <cell r="AS148">
            <v>-51784</v>
          </cell>
          <cell r="AT148">
            <v>-41425</v>
          </cell>
          <cell r="AU148">
            <v>-10356</v>
          </cell>
          <cell r="AV148">
            <v>0</v>
          </cell>
          <cell r="AW148">
            <v>-103565</v>
          </cell>
          <cell r="AX148">
            <v>-1767021</v>
          </cell>
          <cell r="AY148">
            <v>-1413616</v>
          </cell>
          <cell r="AZ148">
            <v>-353403</v>
          </cell>
          <cell r="BA148">
            <v>0</v>
          </cell>
          <cell r="BB148">
            <v>-3534040</v>
          </cell>
          <cell r="BC148">
            <v>30481849</v>
          </cell>
          <cell r="BD148">
            <v>-1773459</v>
          </cell>
          <cell r="BE148">
            <v>874342</v>
          </cell>
          <cell r="BF148">
            <v>0</v>
          </cell>
          <cell r="BG148">
            <v>-2762201</v>
          </cell>
          <cell r="BH148">
            <v>-69341</v>
          </cell>
          <cell r="BI148">
            <v>-5287</v>
          </cell>
          <cell r="BJ148">
            <v>0</v>
          </cell>
          <cell r="BK148">
            <v>-447423</v>
          </cell>
          <cell r="BL148">
            <v>-9861</v>
          </cell>
          <cell r="BM148">
            <v>-44536</v>
          </cell>
          <cell r="BN148">
            <v>-2090</v>
          </cell>
          <cell r="BO148">
            <v>-1342</v>
          </cell>
          <cell r="BP148">
            <v>0</v>
          </cell>
          <cell r="BQ148">
            <v>0</v>
          </cell>
          <cell r="BR148">
            <v>0</v>
          </cell>
          <cell r="BS148">
            <v>0</v>
          </cell>
          <cell r="BT148">
            <v>31514923</v>
          </cell>
          <cell r="BU148">
            <v>-89022</v>
          </cell>
          <cell r="BV148">
            <v>368427</v>
          </cell>
          <cell r="BW148">
            <v>-849827</v>
          </cell>
          <cell r="BX148">
            <v>-2882371</v>
          </cell>
          <cell r="BY148">
            <v>-1469571</v>
          </cell>
          <cell r="BZ148">
            <v>29679389</v>
          </cell>
          <cell r="CA148">
            <v>-1441186</v>
          </cell>
          <cell r="CB148">
            <v>-1152948</v>
          </cell>
          <cell r="CC148">
            <v>-288237</v>
          </cell>
          <cell r="CD148">
            <v>0</v>
          </cell>
          <cell r="CE148">
            <v>-734786</v>
          </cell>
          <cell r="CF148">
            <v>-587828</v>
          </cell>
          <cell r="CG148">
            <v>-146957</v>
          </cell>
          <cell r="CH148">
            <v>0</v>
          </cell>
        </row>
        <row r="149">
          <cell r="A149">
            <v>142</v>
          </cell>
          <cell r="B149" t="str">
            <v>Kings Lynn and West Norfolk</v>
          </cell>
          <cell r="C149" t="str">
            <v>E2634</v>
          </cell>
          <cell r="D149">
            <v>220343</v>
          </cell>
          <cell r="H149">
            <v>-1717486</v>
          </cell>
          <cell r="I149">
            <v>0</v>
          </cell>
          <cell r="J149">
            <v>220343</v>
          </cell>
          <cell r="K149">
            <v>0</v>
          </cell>
          <cell r="L149">
            <v>1108598</v>
          </cell>
          <cell r="M149">
            <v>0</v>
          </cell>
          <cell r="N149">
            <v>84077</v>
          </cell>
          <cell r="O149">
            <v>84077</v>
          </cell>
          <cell r="P149">
            <v>0</v>
          </cell>
          <cell r="Q149">
            <v>0</v>
          </cell>
          <cell r="R149">
            <v>870424</v>
          </cell>
          <cell r="S149">
            <v>217275</v>
          </cell>
          <cell r="T149">
            <v>0</v>
          </cell>
          <cell r="U149">
            <v>11191</v>
          </cell>
          <cell r="V149">
            <v>2798</v>
          </cell>
          <cell r="W149">
            <v>0</v>
          </cell>
          <cell r="X149">
            <v>5965</v>
          </cell>
          <cell r="Y149">
            <v>1491</v>
          </cell>
          <cell r="Z149">
            <v>0</v>
          </cell>
          <cell r="AA149">
            <v>103</v>
          </cell>
          <cell r="AB149">
            <v>26</v>
          </cell>
          <cell r="AC149">
            <v>0</v>
          </cell>
          <cell r="AD149">
            <v>0</v>
          </cell>
          <cell r="AE149">
            <v>0</v>
          </cell>
          <cell r="AF149">
            <v>0</v>
          </cell>
          <cell r="AG149">
            <v>0</v>
          </cell>
          <cell r="AH149">
            <v>0</v>
          </cell>
          <cell r="AI149">
            <v>0</v>
          </cell>
          <cell r="AM149">
            <v>0</v>
          </cell>
          <cell r="AN149">
            <v>0</v>
          </cell>
          <cell r="AO149">
            <v>0</v>
          </cell>
          <cell r="AP149">
            <v>265566</v>
          </cell>
          <cell r="AQ149">
            <v>61913</v>
          </cell>
          <cell r="AR149">
            <v>0</v>
          </cell>
          <cell r="AS149">
            <v>-256109</v>
          </cell>
          <cell r="AT149">
            <v>-204885</v>
          </cell>
          <cell r="AU149">
            <v>-51222</v>
          </cell>
          <cell r="AV149">
            <v>0</v>
          </cell>
          <cell r="AW149">
            <v>-512216</v>
          </cell>
          <cell r="AX149">
            <v>-2095320.5999999996</v>
          </cell>
          <cell r="AY149">
            <v>-1676256</v>
          </cell>
          <cell r="AZ149">
            <v>-419064</v>
          </cell>
          <cell r="BA149">
            <v>0</v>
          </cell>
          <cell r="BB149">
            <v>-4190640.5999999996</v>
          </cell>
          <cell r="BC149">
            <v>46127370</v>
          </cell>
          <cell r="BD149">
            <v>-3694430</v>
          </cell>
          <cell r="BE149">
            <v>1204944</v>
          </cell>
          <cell r="BF149">
            <v>0</v>
          </cell>
          <cell r="BG149">
            <v>-2910141</v>
          </cell>
          <cell r="BH149">
            <v>-33261</v>
          </cell>
          <cell r="BI149">
            <v>-81341</v>
          </cell>
          <cell r="BJ149">
            <v>-17867</v>
          </cell>
          <cell r="BK149">
            <v>-1143296</v>
          </cell>
          <cell r="BL149">
            <v>-206891</v>
          </cell>
          <cell r="BM149">
            <v>-58533</v>
          </cell>
          <cell r="BN149">
            <v>-324</v>
          </cell>
          <cell r="BO149">
            <v>-29210</v>
          </cell>
          <cell r="BP149">
            <v>-20024</v>
          </cell>
          <cell r="BQ149">
            <v>-71513</v>
          </cell>
          <cell r="BR149">
            <v>-71513</v>
          </cell>
          <cell r="BS149">
            <v>0</v>
          </cell>
          <cell r="BT149">
            <v>46653109</v>
          </cell>
          <cell r="BU149">
            <v>-223685</v>
          </cell>
          <cell r="BV149">
            <v>1039150</v>
          </cell>
          <cell r="BW149">
            <v>-461080</v>
          </cell>
          <cell r="BX149">
            <v>2575518</v>
          </cell>
          <cell r="BY149">
            <v>-542793</v>
          </cell>
          <cell r="BZ149">
            <v>41216067</v>
          </cell>
          <cell r="CA149">
            <v>1287760</v>
          </cell>
          <cell r="CB149">
            <v>1030207</v>
          </cell>
          <cell r="CC149">
            <v>257551</v>
          </cell>
          <cell r="CD149">
            <v>0</v>
          </cell>
          <cell r="CE149">
            <v>-271397</v>
          </cell>
          <cell r="CF149">
            <v>-217117</v>
          </cell>
          <cell r="CG149">
            <v>-54279</v>
          </cell>
          <cell r="CH149">
            <v>0</v>
          </cell>
        </row>
        <row r="150">
          <cell r="A150">
            <v>143</v>
          </cell>
          <cell r="B150" t="str">
            <v>Kingston upon Hull</v>
          </cell>
          <cell r="C150" t="str">
            <v>E2002</v>
          </cell>
          <cell r="D150">
            <v>356488</v>
          </cell>
          <cell r="H150">
            <v>6777337</v>
          </cell>
          <cell r="I150">
            <v>0</v>
          </cell>
          <cell r="J150">
            <v>361488</v>
          </cell>
          <cell r="K150">
            <v>1536655</v>
          </cell>
          <cell r="L150">
            <v>0</v>
          </cell>
          <cell r="M150">
            <v>0</v>
          </cell>
          <cell r="N150">
            <v>0</v>
          </cell>
          <cell r="O150">
            <v>0</v>
          </cell>
          <cell r="P150">
            <v>0</v>
          </cell>
          <cell r="Q150">
            <v>0</v>
          </cell>
          <cell r="R150">
            <v>2324137</v>
          </cell>
          <cell r="S150">
            <v>0</v>
          </cell>
          <cell r="T150">
            <v>47431</v>
          </cell>
          <cell r="U150">
            <v>0</v>
          </cell>
          <cell r="V150">
            <v>0</v>
          </cell>
          <cell r="W150">
            <v>0</v>
          </cell>
          <cell r="X150">
            <v>0</v>
          </cell>
          <cell r="Y150">
            <v>0</v>
          </cell>
          <cell r="Z150">
            <v>0</v>
          </cell>
          <cell r="AA150">
            <v>18277</v>
          </cell>
          <cell r="AB150">
            <v>0</v>
          </cell>
          <cell r="AC150">
            <v>373</v>
          </cell>
          <cell r="AD150">
            <v>0</v>
          </cell>
          <cell r="AE150">
            <v>0</v>
          </cell>
          <cell r="AF150">
            <v>0</v>
          </cell>
          <cell r="AG150">
            <v>0</v>
          </cell>
          <cell r="AH150">
            <v>0</v>
          </cell>
          <cell r="AI150">
            <v>0</v>
          </cell>
          <cell r="AM150">
            <v>0</v>
          </cell>
          <cell r="AN150">
            <v>0</v>
          </cell>
          <cell r="AO150">
            <v>0</v>
          </cell>
          <cell r="AP150">
            <v>616723</v>
          </cell>
          <cell r="AQ150">
            <v>0</v>
          </cell>
          <cell r="AR150">
            <v>12115</v>
          </cell>
          <cell r="AS150">
            <v>-625000</v>
          </cell>
          <cell r="AT150">
            <v>-612501</v>
          </cell>
          <cell r="AU150">
            <v>0</v>
          </cell>
          <cell r="AV150">
            <v>-12499</v>
          </cell>
          <cell r="AW150">
            <v>-1250000</v>
          </cell>
          <cell r="AX150">
            <v>-885000</v>
          </cell>
          <cell r="AY150">
            <v>-867300</v>
          </cell>
          <cell r="AZ150">
            <v>0</v>
          </cell>
          <cell r="BA150">
            <v>-17700</v>
          </cell>
          <cell r="BB150">
            <v>-1770000</v>
          </cell>
          <cell r="BC150">
            <v>84794787</v>
          </cell>
          <cell r="BD150">
            <v>-6173553</v>
          </cell>
          <cell r="BE150">
            <v>2497230</v>
          </cell>
          <cell r="BF150">
            <v>0</v>
          </cell>
          <cell r="BG150">
            <v>-7772494</v>
          </cell>
          <cell r="BH150">
            <v>-17096</v>
          </cell>
          <cell r="BI150">
            <v>0</v>
          </cell>
          <cell r="BJ150">
            <v>0</v>
          </cell>
          <cell r="BK150">
            <v>-4069927</v>
          </cell>
          <cell r="BL150">
            <v>-5135</v>
          </cell>
          <cell r="BM150">
            <v>-939695</v>
          </cell>
          <cell r="BN150">
            <v>0</v>
          </cell>
          <cell r="BO150">
            <v>0</v>
          </cell>
          <cell r="BP150">
            <v>0</v>
          </cell>
          <cell r="BQ150">
            <v>-98644</v>
          </cell>
          <cell r="BR150">
            <v>-98644</v>
          </cell>
          <cell r="BS150">
            <v>0</v>
          </cell>
          <cell r="BT150">
            <v>82807895</v>
          </cell>
          <cell r="BU150">
            <v>-1251731</v>
          </cell>
          <cell r="BV150">
            <v>4831072</v>
          </cell>
          <cell r="BW150">
            <v>-500289</v>
          </cell>
          <cell r="BX150">
            <v>-18560638</v>
          </cell>
          <cell r="BY150">
            <v>-17901867</v>
          </cell>
          <cell r="BZ150">
            <v>80652034</v>
          </cell>
          <cell r="CA150">
            <v>-9280320</v>
          </cell>
          <cell r="CB150">
            <v>-9094712</v>
          </cell>
          <cell r="CC150">
            <v>0</v>
          </cell>
          <cell r="CD150">
            <v>-185606</v>
          </cell>
          <cell r="CE150">
            <v>-8950933</v>
          </cell>
          <cell r="CF150">
            <v>-8771915</v>
          </cell>
          <cell r="CG150">
            <v>0</v>
          </cell>
          <cell r="CH150">
            <v>-179019</v>
          </cell>
        </row>
        <row r="151">
          <cell r="A151">
            <v>144</v>
          </cell>
          <cell r="B151" t="str">
            <v>Kingston upon Thames</v>
          </cell>
          <cell r="C151" t="str">
            <v>E5043</v>
          </cell>
          <cell r="D151">
            <v>243188</v>
          </cell>
          <cell r="H151">
            <v>802411</v>
          </cell>
          <cell r="I151">
            <v>0</v>
          </cell>
          <cell r="J151">
            <v>243188</v>
          </cell>
          <cell r="K151">
            <v>0</v>
          </cell>
          <cell r="L151">
            <v>0</v>
          </cell>
          <cell r="M151">
            <v>0</v>
          </cell>
          <cell r="N151">
            <v>0</v>
          </cell>
          <cell r="O151">
            <v>0</v>
          </cell>
          <cell r="P151">
            <v>0</v>
          </cell>
          <cell r="Q151">
            <v>0</v>
          </cell>
          <cell r="R151">
            <v>509905</v>
          </cell>
          <cell r="S151">
            <v>628883</v>
          </cell>
          <cell r="T151">
            <v>0</v>
          </cell>
          <cell r="U151">
            <v>1522</v>
          </cell>
          <cell r="V151">
            <v>1878</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M151">
            <v>0</v>
          </cell>
          <cell r="AN151">
            <v>0</v>
          </cell>
          <cell r="AO151">
            <v>0</v>
          </cell>
          <cell r="AP151">
            <v>383863</v>
          </cell>
          <cell r="AQ151">
            <v>473432</v>
          </cell>
          <cell r="AR151">
            <v>0</v>
          </cell>
          <cell r="AS151">
            <v>-2811568.5</v>
          </cell>
          <cell r="AT151">
            <v>-1686943.9</v>
          </cell>
          <cell r="AU151">
            <v>-1124627.6000000001</v>
          </cell>
          <cell r="AV151">
            <v>0</v>
          </cell>
          <cell r="AW151">
            <v>-5623140</v>
          </cell>
          <cell r="AX151">
            <v>-2991455</v>
          </cell>
          <cell r="AY151">
            <v>-1794872</v>
          </cell>
          <cell r="AZ151">
            <v>-1196581</v>
          </cell>
          <cell r="BA151">
            <v>0</v>
          </cell>
          <cell r="BB151">
            <v>-5982908</v>
          </cell>
          <cell r="BC151">
            <v>82759020</v>
          </cell>
          <cell r="BD151">
            <v>-2383951</v>
          </cell>
          <cell r="BE151">
            <v>2277629</v>
          </cell>
          <cell r="BF151">
            <v>0</v>
          </cell>
          <cell r="BG151">
            <v>-6290436</v>
          </cell>
          <cell r="BH151">
            <v>-124807</v>
          </cell>
          <cell r="BI151">
            <v>0</v>
          </cell>
          <cell r="BJ151">
            <v>-109347</v>
          </cell>
          <cell r="BK151">
            <v>-2718214</v>
          </cell>
          <cell r="BL151">
            <v>-53507</v>
          </cell>
          <cell r="BM151">
            <v>-395959</v>
          </cell>
          <cell r="BN151">
            <v>0</v>
          </cell>
          <cell r="BO151">
            <v>0</v>
          </cell>
          <cell r="BP151">
            <v>0</v>
          </cell>
          <cell r="BQ151">
            <v>0</v>
          </cell>
          <cell r="BR151">
            <v>0</v>
          </cell>
          <cell r="BS151">
            <v>0</v>
          </cell>
          <cell r="BT151">
            <v>84249752</v>
          </cell>
          <cell r="BU151">
            <v>-25521</v>
          </cell>
          <cell r="BV151">
            <v>5230397</v>
          </cell>
          <cell r="BW151">
            <v>-1106373</v>
          </cell>
          <cell r="BX151">
            <v>-2850244</v>
          </cell>
          <cell r="BY151">
            <v>-5427000</v>
          </cell>
          <cell r="BZ151">
            <v>85181129</v>
          </cell>
          <cell r="CA151">
            <v>-1425122</v>
          </cell>
          <cell r="CB151">
            <v>-855073</v>
          </cell>
          <cell r="CC151">
            <v>-570049</v>
          </cell>
          <cell r="CD151">
            <v>0</v>
          </cell>
          <cell r="CE151">
            <v>-2713500</v>
          </cell>
          <cell r="CF151">
            <v>-1628100</v>
          </cell>
          <cell r="CG151">
            <v>-1085400</v>
          </cell>
          <cell r="CH151">
            <v>0</v>
          </cell>
        </row>
        <row r="152">
          <cell r="A152">
            <v>145</v>
          </cell>
          <cell r="B152" t="str">
            <v>Kirklees</v>
          </cell>
          <cell r="C152" t="str">
            <v>E4703</v>
          </cell>
          <cell r="D152">
            <v>600133</v>
          </cell>
          <cell r="H152">
            <v>-3167716</v>
          </cell>
          <cell r="I152">
            <v>0</v>
          </cell>
          <cell r="J152">
            <v>600133</v>
          </cell>
          <cell r="K152">
            <v>55000</v>
          </cell>
          <cell r="L152">
            <v>0</v>
          </cell>
          <cell r="M152">
            <v>0</v>
          </cell>
          <cell r="N152">
            <v>0</v>
          </cell>
          <cell r="O152">
            <v>0</v>
          </cell>
          <cell r="P152">
            <v>0</v>
          </cell>
          <cell r="Q152">
            <v>0</v>
          </cell>
          <cell r="R152">
            <v>4041594</v>
          </cell>
          <cell r="S152">
            <v>0</v>
          </cell>
          <cell r="T152">
            <v>82481</v>
          </cell>
          <cell r="U152">
            <v>23918</v>
          </cell>
          <cell r="V152">
            <v>0</v>
          </cell>
          <cell r="W152">
            <v>488</v>
          </cell>
          <cell r="X152">
            <v>0</v>
          </cell>
          <cell r="Y152">
            <v>0</v>
          </cell>
          <cell r="Z152">
            <v>0</v>
          </cell>
          <cell r="AA152">
            <v>8475</v>
          </cell>
          <cell r="AB152">
            <v>0</v>
          </cell>
          <cell r="AC152">
            <v>173</v>
          </cell>
          <cell r="AD152">
            <v>0</v>
          </cell>
          <cell r="AE152">
            <v>0</v>
          </cell>
          <cell r="AF152">
            <v>0</v>
          </cell>
          <cell r="AG152">
            <v>0</v>
          </cell>
          <cell r="AH152">
            <v>0</v>
          </cell>
          <cell r="AI152">
            <v>0</v>
          </cell>
          <cell r="AM152">
            <v>0</v>
          </cell>
          <cell r="AN152">
            <v>0</v>
          </cell>
          <cell r="AO152">
            <v>0</v>
          </cell>
          <cell r="AP152">
            <v>716509</v>
          </cell>
          <cell r="AQ152">
            <v>0</v>
          </cell>
          <cell r="AR152">
            <v>14606</v>
          </cell>
          <cell r="AS152">
            <v>-1394508</v>
          </cell>
          <cell r="AT152">
            <v>-1366618</v>
          </cell>
          <cell r="AU152">
            <v>0</v>
          </cell>
          <cell r="AV152">
            <v>-27890</v>
          </cell>
          <cell r="AW152">
            <v>-2789016</v>
          </cell>
          <cell r="AX152">
            <v>-4252755</v>
          </cell>
          <cell r="AY152">
            <v>-4167699</v>
          </cell>
          <cell r="AZ152">
            <v>0</v>
          </cell>
          <cell r="BA152">
            <v>-85055</v>
          </cell>
          <cell r="BB152">
            <v>-8505509</v>
          </cell>
          <cell r="BC152">
            <v>103976129</v>
          </cell>
          <cell r="BD152">
            <v>-13008589</v>
          </cell>
          <cell r="BE152">
            <v>2869870</v>
          </cell>
          <cell r="BF152">
            <v>0</v>
          </cell>
          <cell r="BG152">
            <v>-7810009</v>
          </cell>
          <cell r="BH152">
            <v>-138269</v>
          </cell>
          <cell r="BI152">
            <v>-8556</v>
          </cell>
          <cell r="BJ152">
            <v>-38697</v>
          </cell>
          <cell r="BK152">
            <v>-5444635</v>
          </cell>
          <cell r="BL152">
            <v>-313209</v>
          </cell>
          <cell r="BM152">
            <v>-91525</v>
          </cell>
          <cell r="BN152">
            <v>0</v>
          </cell>
          <cell r="BO152">
            <v>-2967</v>
          </cell>
          <cell r="BP152">
            <v>-115912</v>
          </cell>
          <cell r="BQ152">
            <v>0</v>
          </cell>
          <cell r="BR152">
            <v>0</v>
          </cell>
          <cell r="BS152">
            <v>0</v>
          </cell>
          <cell r="BT152">
            <v>106406539</v>
          </cell>
          <cell r="BU152">
            <v>-1356243</v>
          </cell>
          <cell r="BV152">
            <v>5111685</v>
          </cell>
          <cell r="BW152">
            <v>-886476</v>
          </cell>
          <cell r="BX152">
            <v>-2689173</v>
          </cell>
          <cell r="BY152">
            <v>-3845389</v>
          </cell>
          <cell r="BZ152">
            <v>97232650</v>
          </cell>
          <cell r="CA152">
            <v>-1344587</v>
          </cell>
          <cell r="CB152">
            <v>-1317694</v>
          </cell>
          <cell r="CC152">
            <v>0</v>
          </cell>
          <cell r="CD152">
            <v>-26892</v>
          </cell>
          <cell r="CE152">
            <v>-1922694</v>
          </cell>
          <cell r="CF152">
            <v>-1884241</v>
          </cell>
          <cell r="CG152">
            <v>0</v>
          </cell>
          <cell r="CH152">
            <v>-38454</v>
          </cell>
        </row>
        <row r="153">
          <cell r="A153">
            <v>146</v>
          </cell>
          <cell r="B153" t="str">
            <v>Knowsley</v>
          </cell>
          <cell r="C153" t="str">
            <v>E4301</v>
          </cell>
          <cell r="D153">
            <v>143792</v>
          </cell>
          <cell r="H153">
            <v>1756386</v>
          </cell>
          <cell r="I153">
            <v>0</v>
          </cell>
          <cell r="J153">
            <v>143792</v>
          </cell>
          <cell r="K153">
            <v>0</v>
          </cell>
          <cell r="L153">
            <v>0</v>
          </cell>
          <cell r="M153">
            <v>0</v>
          </cell>
          <cell r="N153">
            <v>0</v>
          </cell>
          <cell r="O153">
            <v>0</v>
          </cell>
          <cell r="P153">
            <v>0</v>
          </cell>
          <cell r="Q153">
            <v>0</v>
          </cell>
          <cell r="R153">
            <v>1400978</v>
          </cell>
          <cell r="S153">
            <v>0</v>
          </cell>
          <cell r="T153">
            <v>14151</v>
          </cell>
          <cell r="U153">
            <v>6965</v>
          </cell>
          <cell r="V153">
            <v>0</v>
          </cell>
          <cell r="W153">
            <v>70</v>
          </cell>
          <cell r="X153">
            <v>2070</v>
          </cell>
          <cell r="Y153">
            <v>0</v>
          </cell>
          <cell r="Z153">
            <v>21</v>
          </cell>
          <cell r="AA153">
            <v>15294</v>
          </cell>
          <cell r="AB153">
            <v>0</v>
          </cell>
          <cell r="AC153">
            <v>154</v>
          </cell>
          <cell r="AD153">
            <v>0</v>
          </cell>
          <cell r="AE153">
            <v>0</v>
          </cell>
          <cell r="AF153">
            <v>0</v>
          </cell>
          <cell r="AG153">
            <v>0</v>
          </cell>
          <cell r="AH153">
            <v>0</v>
          </cell>
          <cell r="AI153">
            <v>0</v>
          </cell>
          <cell r="AM153">
            <v>0</v>
          </cell>
          <cell r="AN153">
            <v>0</v>
          </cell>
          <cell r="AO153">
            <v>0</v>
          </cell>
          <cell r="AP153">
            <v>667689</v>
          </cell>
          <cell r="AQ153">
            <v>0</v>
          </cell>
          <cell r="AR153">
            <v>6744</v>
          </cell>
          <cell r="AS153">
            <v>-882164.26</v>
          </cell>
          <cell r="AT153">
            <v>-864521</v>
          </cell>
          <cell r="AU153">
            <v>0</v>
          </cell>
          <cell r="AV153">
            <v>-17643</v>
          </cell>
          <cell r="AW153">
            <v>-1764328.26</v>
          </cell>
          <cell r="AX153">
            <v>-4764588.5</v>
          </cell>
          <cell r="AY153">
            <v>-4669297</v>
          </cell>
          <cell r="AZ153">
            <v>0</v>
          </cell>
          <cell r="BA153">
            <v>-95291</v>
          </cell>
          <cell r="BB153">
            <v>-9529176</v>
          </cell>
          <cell r="BC153">
            <v>42626814</v>
          </cell>
          <cell r="BD153">
            <v>-1998893</v>
          </cell>
          <cell r="BE153">
            <v>1195449</v>
          </cell>
          <cell r="BF153">
            <v>0</v>
          </cell>
          <cell r="BG153">
            <v>-2299244</v>
          </cell>
          <cell r="BH153">
            <v>-15864</v>
          </cell>
          <cell r="BI153">
            <v>0</v>
          </cell>
          <cell r="BJ153">
            <v>0</v>
          </cell>
          <cell r="BK153">
            <v>-1375729</v>
          </cell>
          <cell r="BL153">
            <v>-199828</v>
          </cell>
          <cell r="BM153">
            <v>-751422</v>
          </cell>
          <cell r="BN153">
            <v>0</v>
          </cell>
          <cell r="BO153">
            <v>0</v>
          </cell>
          <cell r="BP153">
            <v>0</v>
          </cell>
          <cell r="BQ153">
            <v>0</v>
          </cell>
          <cell r="BR153">
            <v>0</v>
          </cell>
          <cell r="BS153">
            <v>0</v>
          </cell>
          <cell r="BT153">
            <v>43560598</v>
          </cell>
          <cell r="BU153">
            <v>-16763</v>
          </cell>
          <cell r="BV153">
            <v>4303577</v>
          </cell>
          <cell r="BW153">
            <v>-1268677</v>
          </cell>
          <cell r="BX153">
            <v>13185449</v>
          </cell>
          <cell r="BY153">
            <v>3404974</v>
          </cell>
          <cell r="BZ153">
            <v>44898000</v>
          </cell>
          <cell r="CA153">
            <v>6592725</v>
          </cell>
          <cell r="CB153">
            <v>6460870</v>
          </cell>
          <cell r="CC153">
            <v>0</v>
          </cell>
          <cell r="CD153">
            <v>131854</v>
          </cell>
          <cell r="CE153">
            <v>1702487</v>
          </cell>
          <cell r="CF153">
            <v>1668437</v>
          </cell>
          <cell r="CG153">
            <v>0</v>
          </cell>
          <cell r="CH153">
            <v>34050</v>
          </cell>
        </row>
        <row r="154">
          <cell r="A154">
            <v>147</v>
          </cell>
          <cell r="B154" t="str">
            <v>Lambeth</v>
          </cell>
          <cell r="C154" t="str">
            <v>E5017</v>
          </cell>
          <cell r="D154">
            <v>507754</v>
          </cell>
          <cell r="H154">
            <v>19584877</v>
          </cell>
          <cell r="I154">
            <v>17913</v>
          </cell>
          <cell r="J154">
            <v>507754</v>
          </cell>
          <cell r="K154">
            <v>0</v>
          </cell>
          <cell r="L154">
            <v>0</v>
          </cell>
          <cell r="M154">
            <v>0</v>
          </cell>
          <cell r="N154">
            <v>0</v>
          </cell>
          <cell r="O154">
            <v>0</v>
          </cell>
          <cell r="P154">
            <v>0</v>
          </cell>
          <cell r="Q154">
            <v>0</v>
          </cell>
          <cell r="R154">
            <v>1002943</v>
          </cell>
          <cell r="S154">
            <v>1236962</v>
          </cell>
          <cell r="T154">
            <v>0</v>
          </cell>
          <cell r="U154">
            <v>0</v>
          </cell>
          <cell r="V154">
            <v>0</v>
          </cell>
          <cell r="W154">
            <v>0</v>
          </cell>
          <cell r="X154">
            <v>0</v>
          </cell>
          <cell r="Y154">
            <v>0</v>
          </cell>
          <cell r="Z154">
            <v>0</v>
          </cell>
          <cell r="AA154">
            <v>249</v>
          </cell>
          <cell r="AB154">
            <v>307</v>
          </cell>
          <cell r="AC154">
            <v>0</v>
          </cell>
          <cell r="AD154">
            <v>0</v>
          </cell>
          <cell r="AE154">
            <v>0</v>
          </cell>
          <cell r="AF154">
            <v>0</v>
          </cell>
          <cell r="AG154">
            <v>0</v>
          </cell>
          <cell r="AH154">
            <v>0</v>
          </cell>
          <cell r="AI154">
            <v>0</v>
          </cell>
          <cell r="AM154">
            <v>0</v>
          </cell>
          <cell r="AN154">
            <v>0</v>
          </cell>
          <cell r="AO154">
            <v>0</v>
          </cell>
          <cell r="AP154">
            <v>745352</v>
          </cell>
          <cell r="AQ154">
            <v>919267</v>
          </cell>
          <cell r="AR154">
            <v>0</v>
          </cell>
          <cell r="AS154">
            <v>-1644588</v>
          </cell>
          <cell r="AT154">
            <v>-986753</v>
          </cell>
          <cell r="AU154">
            <v>-657834</v>
          </cell>
          <cell r="AV154">
            <v>0</v>
          </cell>
          <cell r="AW154">
            <v>-3289175</v>
          </cell>
          <cell r="AX154">
            <v>-10855848</v>
          </cell>
          <cell r="AY154">
            <v>-6513508</v>
          </cell>
          <cell r="AZ154">
            <v>-4342339</v>
          </cell>
          <cell r="BA154">
            <v>0</v>
          </cell>
          <cell r="BB154">
            <v>-21711695</v>
          </cell>
          <cell r="BC154">
            <v>115383944</v>
          </cell>
          <cell r="BD154">
            <v>-5919213</v>
          </cell>
          <cell r="BE154">
            <v>3369740</v>
          </cell>
          <cell r="BF154">
            <v>0</v>
          </cell>
          <cell r="BG154">
            <v>-16691337</v>
          </cell>
          <cell r="BH154">
            <v>-7853</v>
          </cell>
          <cell r="BI154">
            <v>0</v>
          </cell>
          <cell r="BJ154">
            <v>0</v>
          </cell>
          <cell r="BK154">
            <v>-3586003</v>
          </cell>
          <cell r="BL154">
            <v>-221394</v>
          </cell>
          <cell r="BM154">
            <v>-303145</v>
          </cell>
          <cell r="BN154">
            <v>0</v>
          </cell>
          <cell r="BO154">
            <v>0</v>
          </cell>
          <cell r="BP154">
            <v>0</v>
          </cell>
          <cell r="BQ154">
            <v>0</v>
          </cell>
          <cell r="BR154">
            <v>0</v>
          </cell>
          <cell r="BS154">
            <v>0</v>
          </cell>
          <cell r="BT154">
            <v>120240569</v>
          </cell>
          <cell r="BU154">
            <v>-1186248</v>
          </cell>
          <cell r="BV154">
            <v>4300368</v>
          </cell>
          <cell r="BW154">
            <v>-8884592</v>
          </cell>
          <cell r="BX154">
            <v>-2485621</v>
          </cell>
          <cell r="BY154">
            <v>-35186659</v>
          </cell>
          <cell r="BZ154">
            <v>165397153</v>
          </cell>
          <cell r="CA154">
            <v>-1242811</v>
          </cell>
          <cell r="CB154">
            <v>-745687</v>
          </cell>
          <cell r="CC154">
            <v>-497123</v>
          </cell>
          <cell r="CD154">
            <v>0</v>
          </cell>
          <cell r="CE154">
            <v>-17593329</v>
          </cell>
          <cell r="CF154">
            <v>-10555998</v>
          </cell>
          <cell r="CG154">
            <v>-7037332</v>
          </cell>
          <cell r="CH154">
            <v>0</v>
          </cell>
        </row>
        <row r="155">
          <cell r="A155">
            <v>148</v>
          </cell>
          <cell r="B155" t="str">
            <v>Lancaster</v>
          </cell>
          <cell r="C155" t="str">
            <v>E2337</v>
          </cell>
          <cell r="D155">
            <v>217329</v>
          </cell>
          <cell r="H155">
            <v>-958268</v>
          </cell>
          <cell r="I155">
            <v>0</v>
          </cell>
          <cell r="J155">
            <v>217329</v>
          </cell>
          <cell r="K155">
            <v>0</v>
          </cell>
          <cell r="L155">
            <v>938564</v>
          </cell>
          <cell r="M155">
            <v>0</v>
          </cell>
          <cell r="N155">
            <v>0</v>
          </cell>
          <cell r="O155">
            <v>0</v>
          </cell>
          <cell r="P155">
            <v>0</v>
          </cell>
          <cell r="Q155">
            <v>0</v>
          </cell>
          <cell r="R155">
            <v>880686</v>
          </cell>
          <cell r="S155">
            <v>198154</v>
          </cell>
          <cell r="T155">
            <v>22017</v>
          </cell>
          <cell r="U155">
            <v>12050</v>
          </cell>
          <cell r="V155">
            <v>2711</v>
          </cell>
          <cell r="W155">
            <v>301</v>
          </cell>
          <cell r="X155">
            <v>0</v>
          </cell>
          <cell r="Y155">
            <v>0</v>
          </cell>
          <cell r="Z155">
            <v>0</v>
          </cell>
          <cell r="AA155">
            <v>1007</v>
          </cell>
          <cell r="AB155">
            <v>227</v>
          </cell>
          <cell r="AC155">
            <v>25</v>
          </cell>
          <cell r="AD155">
            <v>0</v>
          </cell>
          <cell r="AE155">
            <v>0</v>
          </cell>
          <cell r="AF155">
            <v>0</v>
          </cell>
          <cell r="AG155">
            <v>0</v>
          </cell>
          <cell r="AH155">
            <v>0</v>
          </cell>
          <cell r="AI155">
            <v>0</v>
          </cell>
          <cell r="AM155">
            <v>0</v>
          </cell>
          <cell r="AN155">
            <v>0</v>
          </cell>
          <cell r="AO155">
            <v>0</v>
          </cell>
          <cell r="AP155">
            <v>354292</v>
          </cell>
          <cell r="AQ155">
            <v>76544</v>
          </cell>
          <cell r="AR155">
            <v>8505</v>
          </cell>
          <cell r="AS155">
            <v>-221314</v>
          </cell>
          <cell r="AT155">
            <v>-177052</v>
          </cell>
          <cell r="AU155">
            <v>-39836</v>
          </cell>
          <cell r="AV155">
            <v>-4427</v>
          </cell>
          <cell r="AW155">
            <v>-442629</v>
          </cell>
          <cell r="AX155">
            <v>-2587995</v>
          </cell>
          <cell r="AY155">
            <v>-2070394</v>
          </cell>
          <cell r="AZ155">
            <v>-465839</v>
          </cell>
          <cell r="BA155">
            <v>-51759</v>
          </cell>
          <cell r="BB155">
            <v>-5175987</v>
          </cell>
          <cell r="BC155">
            <v>84101154</v>
          </cell>
          <cell r="BD155">
            <v>-3535938</v>
          </cell>
          <cell r="BE155">
            <v>1769040</v>
          </cell>
          <cell r="BF155">
            <v>0</v>
          </cell>
          <cell r="BG155">
            <v>-3667120</v>
          </cell>
          <cell r="BH155">
            <v>-44322</v>
          </cell>
          <cell r="BI155">
            <v>-24768</v>
          </cell>
          <cell r="BJ155">
            <v>0</v>
          </cell>
          <cell r="BK155">
            <v>-1534416</v>
          </cell>
          <cell r="BL155">
            <v>-98475</v>
          </cell>
          <cell r="BM155">
            <v>-57935</v>
          </cell>
          <cell r="BN155">
            <v>-2410</v>
          </cell>
          <cell r="BO155">
            <v>-6435</v>
          </cell>
          <cell r="BP155">
            <v>0</v>
          </cell>
          <cell r="BQ155">
            <v>0</v>
          </cell>
          <cell r="BR155">
            <v>0</v>
          </cell>
          <cell r="BS155">
            <v>0</v>
          </cell>
          <cell r="BT155">
            <v>59869764</v>
          </cell>
          <cell r="BU155">
            <v>0</v>
          </cell>
          <cell r="BV155">
            <v>877592</v>
          </cell>
          <cell r="BW155">
            <v>-493142</v>
          </cell>
          <cell r="BX155">
            <v>-1785178</v>
          </cell>
          <cell r="BY155">
            <v>-6964438</v>
          </cell>
          <cell r="BZ155">
            <v>56617938</v>
          </cell>
          <cell r="CA155">
            <v>-892591</v>
          </cell>
          <cell r="CB155">
            <v>-714071</v>
          </cell>
          <cell r="CC155">
            <v>-160665</v>
          </cell>
          <cell r="CD155">
            <v>-17851</v>
          </cell>
          <cell r="CE155">
            <v>-3482220</v>
          </cell>
          <cell r="CF155">
            <v>-2785775</v>
          </cell>
          <cell r="CG155">
            <v>-626799</v>
          </cell>
          <cell r="CH155">
            <v>-69644</v>
          </cell>
        </row>
        <row r="156">
          <cell r="A156">
            <v>149</v>
          </cell>
          <cell r="B156" t="str">
            <v>Leeds</v>
          </cell>
          <cell r="C156" t="str">
            <v>E4704</v>
          </cell>
          <cell r="D156">
            <v>1204810</v>
          </cell>
          <cell r="H156">
            <v>-21085094</v>
          </cell>
          <cell r="I156">
            <v>-58280</v>
          </cell>
          <cell r="J156">
            <v>1204810</v>
          </cell>
          <cell r="K156">
            <v>884150</v>
          </cell>
          <cell r="L156">
            <v>151163</v>
          </cell>
          <cell r="M156">
            <v>0</v>
          </cell>
          <cell r="N156">
            <v>440000</v>
          </cell>
          <cell r="O156">
            <v>440000</v>
          </cell>
          <cell r="P156">
            <v>0</v>
          </cell>
          <cell r="Q156">
            <v>0</v>
          </cell>
          <cell r="R156">
            <v>5789928</v>
          </cell>
          <cell r="S156">
            <v>0</v>
          </cell>
          <cell r="T156">
            <v>118162</v>
          </cell>
          <cell r="U156">
            <v>9947</v>
          </cell>
          <cell r="V156">
            <v>0</v>
          </cell>
          <cell r="W156">
            <v>203</v>
          </cell>
          <cell r="X156">
            <v>815</v>
          </cell>
          <cell r="Y156">
            <v>0</v>
          </cell>
          <cell r="Z156">
            <v>17</v>
          </cell>
          <cell r="AA156">
            <v>23448</v>
          </cell>
          <cell r="AB156">
            <v>0</v>
          </cell>
          <cell r="AC156">
            <v>479</v>
          </cell>
          <cell r="AD156">
            <v>0</v>
          </cell>
          <cell r="AE156">
            <v>0</v>
          </cell>
          <cell r="AF156">
            <v>0</v>
          </cell>
          <cell r="AG156">
            <v>0</v>
          </cell>
          <cell r="AH156">
            <v>0</v>
          </cell>
          <cell r="AI156">
            <v>0</v>
          </cell>
          <cell r="AM156">
            <v>0</v>
          </cell>
          <cell r="AN156">
            <v>0</v>
          </cell>
          <cell r="AO156">
            <v>0</v>
          </cell>
          <cell r="AP156">
            <v>2696995</v>
          </cell>
          <cell r="AQ156">
            <v>0</v>
          </cell>
          <cell r="AR156">
            <v>54588</v>
          </cell>
          <cell r="AS156">
            <v>-3288320</v>
          </cell>
          <cell r="AT156">
            <v>-3222552</v>
          </cell>
          <cell r="AU156">
            <v>0</v>
          </cell>
          <cell r="AV156">
            <v>-65766</v>
          </cell>
          <cell r="AW156">
            <v>-6576638</v>
          </cell>
          <cell r="AX156">
            <v>-11479017</v>
          </cell>
          <cell r="AY156">
            <v>-11249437</v>
          </cell>
          <cell r="AZ156">
            <v>0</v>
          </cell>
          <cell r="BA156">
            <v>-229580</v>
          </cell>
          <cell r="BB156">
            <v>-22958034</v>
          </cell>
          <cell r="BC156">
            <v>365960246</v>
          </cell>
          <cell r="BD156">
            <v>-17437674</v>
          </cell>
          <cell r="BE156">
            <v>10615555</v>
          </cell>
          <cell r="BF156">
            <v>0</v>
          </cell>
          <cell r="BG156">
            <v>-25661862</v>
          </cell>
          <cell r="BH156">
            <v>-350316</v>
          </cell>
          <cell r="BI156">
            <v>-12214</v>
          </cell>
          <cell r="BJ156">
            <v>-242785</v>
          </cell>
          <cell r="BK156">
            <v>-20809865</v>
          </cell>
          <cell r="BL156">
            <v>-54759</v>
          </cell>
          <cell r="BM156">
            <v>-462707</v>
          </cell>
          <cell r="BN156">
            <v>-53200</v>
          </cell>
          <cell r="BO156">
            <v>-4150</v>
          </cell>
          <cell r="BP156">
            <v>-5023</v>
          </cell>
          <cell r="BQ156">
            <v>-820098</v>
          </cell>
          <cell r="BR156">
            <v>-576331</v>
          </cell>
          <cell r="BS156">
            <v>0</v>
          </cell>
          <cell r="BT156">
            <v>373635530</v>
          </cell>
          <cell r="BU156">
            <v>-4375991</v>
          </cell>
          <cell r="BV156">
            <v>12934457</v>
          </cell>
          <cell r="BW156">
            <v>-9389378</v>
          </cell>
          <cell r="BX156">
            <v>-53189994</v>
          </cell>
          <cell r="BY156">
            <v>-44415053</v>
          </cell>
          <cell r="BZ156">
            <v>363403039</v>
          </cell>
          <cell r="CA156">
            <v>-26594996</v>
          </cell>
          <cell r="CB156">
            <v>-26063097</v>
          </cell>
          <cell r="CC156">
            <v>0</v>
          </cell>
          <cell r="CD156">
            <v>-531901</v>
          </cell>
          <cell r="CE156">
            <v>-22207526</v>
          </cell>
          <cell r="CF156">
            <v>-21763376</v>
          </cell>
          <cell r="CG156">
            <v>0</v>
          </cell>
          <cell r="CH156">
            <v>-444151</v>
          </cell>
        </row>
        <row r="157">
          <cell r="A157">
            <v>150</v>
          </cell>
          <cell r="B157" t="str">
            <v>Leicester</v>
          </cell>
          <cell r="C157" t="str">
            <v>E2401</v>
          </cell>
          <cell r="D157">
            <v>491838</v>
          </cell>
          <cell r="H157">
            <v>8275266</v>
          </cell>
          <cell r="I157">
            <v>187075</v>
          </cell>
          <cell r="J157">
            <v>491838</v>
          </cell>
          <cell r="K157">
            <v>0</v>
          </cell>
          <cell r="L157">
            <v>0</v>
          </cell>
          <cell r="M157">
            <v>0</v>
          </cell>
          <cell r="N157">
            <v>0</v>
          </cell>
          <cell r="O157">
            <v>0</v>
          </cell>
          <cell r="P157">
            <v>0</v>
          </cell>
          <cell r="Q157">
            <v>0</v>
          </cell>
          <cell r="R157">
            <v>2848315</v>
          </cell>
          <cell r="S157">
            <v>0</v>
          </cell>
          <cell r="T157">
            <v>53864</v>
          </cell>
          <cell r="U157">
            <v>25365</v>
          </cell>
          <cell r="V157">
            <v>0</v>
          </cell>
          <cell r="W157">
            <v>518</v>
          </cell>
          <cell r="X157">
            <v>0</v>
          </cell>
          <cell r="Y157">
            <v>0</v>
          </cell>
          <cell r="Z157">
            <v>0</v>
          </cell>
          <cell r="AA157">
            <v>16403</v>
          </cell>
          <cell r="AB157">
            <v>0</v>
          </cell>
          <cell r="AC157">
            <v>335</v>
          </cell>
          <cell r="AD157">
            <v>0</v>
          </cell>
          <cell r="AE157">
            <v>0</v>
          </cell>
          <cell r="AF157">
            <v>0</v>
          </cell>
          <cell r="AG157">
            <v>0</v>
          </cell>
          <cell r="AH157">
            <v>0</v>
          </cell>
          <cell r="AI157">
            <v>0</v>
          </cell>
          <cell r="AM157">
            <v>0</v>
          </cell>
          <cell r="AN157">
            <v>0</v>
          </cell>
          <cell r="AO157">
            <v>0</v>
          </cell>
          <cell r="AP157">
            <v>799795</v>
          </cell>
          <cell r="AQ157">
            <v>0</v>
          </cell>
          <cell r="AR157">
            <v>16322</v>
          </cell>
          <cell r="AS157">
            <v>-2007034</v>
          </cell>
          <cell r="AT157">
            <v>-1966892</v>
          </cell>
          <cell r="AU157">
            <v>0</v>
          </cell>
          <cell r="AV157">
            <v>-40140</v>
          </cell>
          <cell r="AW157">
            <v>-4014066</v>
          </cell>
          <cell r="AX157">
            <v>-2551774</v>
          </cell>
          <cell r="AY157">
            <v>-2500737</v>
          </cell>
          <cell r="AZ157">
            <v>0</v>
          </cell>
          <cell r="BA157">
            <v>-51035</v>
          </cell>
          <cell r="BB157">
            <v>-5103546</v>
          </cell>
          <cell r="BC157">
            <v>105684926</v>
          </cell>
          <cell r="BD157">
            <v>-9020191</v>
          </cell>
          <cell r="BE157">
            <v>2836593</v>
          </cell>
          <cell r="BF157">
            <v>0</v>
          </cell>
          <cell r="BG157">
            <v>-9015409</v>
          </cell>
          <cell r="BH157">
            <v>-50016</v>
          </cell>
          <cell r="BI157">
            <v>0</v>
          </cell>
          <cell r="BJ157">
            <v>-24094</v>
          </cell>
          <cell r="BK157">
            <v>-4214168</v>
          </cell>
          <cell r="BL157">
            <v>-364114</v>
          </cell>
          <cell r="BM157">
            <v>-163880</v>
          </cell>
          <cell r="BN157">
            <v>0</v>
          </cell>
          <cell r="BO157">
            <v>0</v>
          </cell>
          <cell r="BP157">
            <v>0</v>
          </cell>
          <cell r="BQ157">
            <v>-170281</v>
          </cell>
          <cell r="BR157">
            <v>0</v>
          </cell>
          <cell r="BS157">
            <v>0</v>
          </cell>
          <cell r="BT157">
            <v>105436621</v>
          </cell>
          <cell r="BU157">
            <v>-855691</v>
          </cell>
          <cell r="BV157">
            <v>9655630</v>
          </cell>
          <cell r="BW157">
            <v>-2382978</v>
          </cell>
          <cell r="BX157">
            <v>-391125</v>
          </cell>
          <cell r="BY157">
            <v>-1534035</v>
          </cell>
          <cell r="BZ157">
            <v>108660224</v>
          </cell>
          <cell r="CA157">
            <v>-195562</v>
          </cell>
          <cell r="CB157">
            <v>-191651</v>
          </cell>
          <cell r="CC157">
            <v>0</v>
          </cell>
          <cell r="CD157">
            <v>-3912</v>
          </cell>
          <cell r="CE157">
            <v>-767018</v>
          </cell>
          <cell r="CF157">
            <v>-751677</v>
          </cell>
          <cell r="CG157">
            <v>0</v>
          </cell>
          <cell r="CH157">
            <v>-15340</v>
          </cell>
        </row>
        <row r="158">
          <cell r="A158">
            <v>151</v>
          </cell>
          <cell r="B158" t="str">
            <v>Lewes</v>
          </cell>
          <cell r="C158" t="str">
            <v>E1435</v>
          </cell>
          <cell r="D158">
            <v>130669</v>
          </cell>
          <cell r="H158">
            <v>649166</v>
          </cell>
          <cell r="I158">
            <v>-62027</v>
          </cell>
          <cell r="J158">
            <v>130669</v>
          </cell>
          <cell r="K158">
            <v>80300</v>
          </cell>
          <cell r="L158">
            <v>0</v>
          </cell>
          <cell r="M158">
            <v>0</v>
          </cell>
          <cell r="N158">
            <v>0</v>
          </cell>
          <cell r="O158">
            <v>0</v>
          </cell>
          <cell r="P158">
            <v>0</v>
          </cell>
          <cell r="Q158">
            <v>0</v>
          </cell>
          <cell r="R158">
            <v>770827</v>
          </cell>
          <cell r="S158">
            <v>134782</v>
          </cell>
          <cell r="T158">
            <v>14976</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M158">
            <v>0</v>
          </cell>
          <cell r="AN158">
            <v>0</v>
          </cell>
          <cell r="AO158">
            <v>0</v>
          </cell>
          <cell r="AP158">
            <v>148149</v>
          </cell>
          <cell r="AQ158">
            <v>33062</v>
          </cell>
          <cell r="AR158">
            <v>3674</v>
          </cell>
          <cell r="AS158">
            <v>-152501</v>
          </cell>
          <cell r="AT158">
            <v>-121999</v>
          </cell>
          <cell r="AU158">
            <v>-27450</v>
          </cell>
          <cell r="AV158">
            <v>-3050</v>
          </cell>
          <cell r="AW158">
            <v>-305000</v>
          </cell>
          <cell r="AX158">
            <v>-900000</v>
          </cell>
          <cell r="AY158">
            <v>-720000</v>
          </cell>
          <cell r="AZ158">
            <v>-162000</v>
          </cell>
          <cell r="BA158">
            <v>-18000</v>
          </cell>
          <cell r="BB158">
            <v>-1800000</v>
          </cell>
          <cell r="BC158">
            <v>24646255</v>
          </cell>
          <cell r="BD158">
            <v>-2620589</v>
          </cell>
          <cell r="BE158">
            <v>658197</v>
          </cell>
          <cell r="BF158">
            <v>0</v>
          </cell>
          <cell r="BG158">
            <v>-2536575</v>
          </cell>
          <cell r="BH158">
            <v>-84281</v>
          </cell>
          <cell r="BI158">
            <v>-9985</v>
          </cell>
          <cell r="BJ158">
            <v>-22283</v>
          </cell>
          <cell r="BK158">
            <v>-795524</v>
          </cell>
          <cell r="BL158">
            <v>-161412</v>
          </cell>
          <cell r="BM158">
            <v>-29570</v>
          </cell>
          <cell r="BN158">
            <v>-547</v>
          </cell>
          <cell r="BO158">
            <v>0</v>
          </cell>
          <cell r="BP158">
            <v>0</v>
          </cell>
          <cell r="BQ158">
            <v>-3510</v>
          </cell>
          <cell r="BR158">
            <v>0</v>
          </cell>
          <cell r="BS158">
            <v>0</v>
          </cell>
          <cell r="BT158">
            <v>24851458</v>
          </cell>
          <cell r="BU158">
            <v>-67064</v>
          </cell>
          <cell r="BV158">
            <v>1134690</v>
          </cell>
          <cell r="BW158">
            <v>-670406</v>
          </cell>
          <cell r="BX158">
            <v>-1597622</v>
          </cell>
          <cell r="BY158">
            <v>-1386311</v>
          </cell>
          <cell r="BZ158">
            <v>24455418</v>
          </cell>
          <cell r="CA158">
            <v>-798811</v>
          </cell>
          <cell r="CB158">
            <v>-639048</v>
          </cell>
          <cell r="CC158">
            <v>-143787</v>
          </cell>
          <cell r="CD158">
            <v>-15976</v>
          </cell>
          <cell r="CE158">
            <v>-693156</v>
          </cell>
          <cell r="CF158">
            <v>-554524</v>
          </cell>
          <cell r="CG158">
            <v>-124768</v>
          </cell>
          <cell r="CH158">
            <v>-13863</v>
          </cell>
        </row>
        <row r="159">
          <cell r="A159">
            <v>152</v>
          </cell>
          <cell r="B159" t="str">
            <v>Lewisham</v>
          </cell>
          <cell r="C159" t="str">
            <v>E5018</v>
          </cell>
          <cell r="D159">
            <v>306514</v>
          </cell>
          <cell r="H159">
            <v>14122157</v>
          </cell>
          <cell r="I159">
            <v>0</v>
          </cell>
          <cell r="J159">
            <v>331514</v>
          </cell>
          <cell r="K159">
            <v>0</v>
          </cell>
          <cell r="L159">
            <v>0</v>
          </cell>
          <cell r="M159">
            <v>0</v>
          </cell>
          <cell r="N159">
            <v>0</v>
          </cell>
          <cell r="O159">
            <v>0</v>
          </cell>
          <cell r="P159">
            <v>0</v>
          </cell>
          <cell r="Q159">
            <v>0</v>
          </cell>
          <cell r="R159">
            <v>934971</v>
          </cell>
          <cell r="S159">
            <v>1153131</v>
          </cell>
          <cell r="T159">
            <v>0</v>
          </cell>
          <cell r="U159">
            <v>0</v>
          </cell>
          <cell r="V159">
            <v>0</v>
          </cell>
          <cell r="W159">
            <v>0</v>
          </cell>
          <cell r="X159">
            <v>3982</v>
          </cell>
          <cell r="Y159">
            <v>4910</v>
          </cell>
          <cell r="Z159">
            <v>0</v>
          </cell>
          <cell r="AA159">
            <v>187</v>
          </cell>
          <cell r="AB159">
            <v>231</v>
          </cell>
          <cell r="AC159">
            <v>0</v>
          </cell>
          <cell r="AD159">
            <v>0</v>
          </cell>
          <cell r="AE159">
            <v>0</v>
          </cell>
          <cell r="AF159">
            <v>0</v>
          </cell>
          <cell r="AG159">
            <v>0</v>
          </cell>
          <cell r="AH159">
            <v>0</v>
          </cell>
          <cell r="AI159">
            <v>0</v>
          </cell>
          <cell r="AM159">
            <v>0</v>
          </cell>
          <cell r="AN159">
            <v>0</v>
          </cell>
          <cell r="AO159">
            <v>0</v>
          </cell>
          <cell r="AP159">
            <v>321912</v>
          </cell>
          <cell r="AQ159">
            <v>397025</v>
          </cell>
          <cell r="AR159">
            <v>0</v>
          </cell>
          <cell r="AS159">
            <v>-1169191.5</v>
          </cell>
          <cell r="AT159">
            <v>-701515</v>
          </cell>
          <cell r="AU159">
            <v>-467676</v>
          </cell>
          <cell r="AV159">
            <v>0</v>
          </cell>
          <cell r="AW159">
            <v>-2338382.5</v>
          </cell>
          <cell r="AX159">
            <v>-1536445</v>
          </cell>
          <cell r="AY159">
            <v>-921869</v>
          </cell>
          <cell r="AZ159">
            <v>-614579</v>
          </cell>
          <cell r="BA159">
            <v>0</v>
          </cell>
          <cell r="BB159">
            <v>-3072893</v>
          </cell>
          <cell r="BC159">
            <v>52183872</v>
          </cell>
          <cell r="BD159">
            <v>-5025505</v>
          </cell>
          <cell r="BE159">
            <v>1367665</v>
          </cell>
          <cell r="BF159">
            <v>0</v>
          </cell>
          <cell r="BG159">
            <v>-7016340</v>
          </cell>
          <cell r="BH159">
            <v>0</v>
          </cell>
          <cell r="BI159">
            <v>0</v>
          </cell>
          <cell r="BJ159">
            <v>0</v>
          </cell>
          <cell r="BK159">
            <v>-997982</v>
          </cell>
          <cell r="BL159">
            <v>-364915</v>
          </cell>
          <cell r="BM159">
            <v>0</v>
          </cell>
          <cell r="BN159">
            <v>0</v>
          </cell>
          <cell r="BO159">
            <v>0</v>
          </cell>
          <cell r="BP159">
            <v>0</v>
          </cell>
          <cell r="BQ159">
            <v>-3269</v>
          </cell>
          <cell r="BR159">
            <v>0</v>
          </cell>
          <cell r="BS159">
            <v>0</v>
          </cell>
          <cell r="BT159">
            <v>53723650</v>
          </cell>
          <cell r="BU159">
            <v>-806775</v>
          </cell>
          <cell r="BV159">
            <v>3931027</v>
          </cell>
          <cell r="BW159">
            <v>-7230830</v>
          </cell>
          <cell r="BX159">
            <v>-5819998</v>
          </cell>
          <cell r="BY159">
            <v>-3816010</v>
          </cell>
          <cell r="BZ159">
            <v>71433913</v>
          </cell>
          <cell r="CA159">
            <v>-2909999</v>
          </cell>
          <cell r="CB159">
            <v>-1745999</v>
          </cell>
          <cell r="CC159">
            <v>-1164000</v>
          </cell>
          <cell r="CD159">
            <v>0</v>
          </cell>
          <cell r="CE159">
            <v>-1908005</v>
          </cell>
          <cell r="CF159">
            <v>-1144803</v>
          </cell>
          <cell r="CG159">
            <v>-763202</v>
          </cell>
          <cell r="CH159">
            <v>0</v>
          </cell>
        </row>
        <row r="160">
          <cell r="A160">
            <v>153</v>
          </cell>
          <cell r="B160" t="str">
            <v>Lichfield</v>
          </cell>
          <cell r="C160" t="str">
            <v>E3433</v>
          </cell>
          <cell r="D160">
            <v>121519</v>
          </cell>
          <cell r="H160">
            <v>419786</v>
          </cell>
          <cell r="I160">
            <v>0</v>
          </cell>
          <cell r="J160">
            <v>121519</v>
          </cell>
          <cell r="K160">
            <v>0</v>
          </cell>
          <cell r="L160">
            <v>0</v>
          </cell>
          <cell r="M160">
            <v>0</v>
          </cell>
          <cell r="N160">
            <v>0</v>
          </cell>
          <cell r="O160">
            <v>0</v>
          </cell>
          <cell r="P160">
            <v>0</v>
          </cell>
          <cell r="Q160">
            <v>0</v>
          </cell>
          <cell r="R160">
            <v>481336</v>
          </cell>
          <cell r="S160">
            <v>108300</v>
          </cell>
          <cell r="T160">
            <v>12033</v>
          </cell>
          <cell r="U160">
            <v>1193</v>
          </cell>
          <cell r="V160">
            <v>268</v>
          </cell>
          <cell r="W160">
            <v>30</v>
          </cell>
          <cell r="X160">
            <v>0</v>
          </cell>
          <cell r="Y160">
            <v>0</v>
          </cell>
          <cell r="Z160">
            <v>0</v>
          </cell>
          <cell r="AA160">
            <v>9208</v>
          </cell>
          <cell r="AB160">
            <v>2072</v>
          </cell>
          <cell r="AC160">
            <v>230</v>
          </cell>
          <cell r="AD160">
            <v>0</v>
          </cell>
          <cell r="AE160">
            <v>0</v>
          </cell>
          <cell r="AF160">
            <v>0</v>
          </cell>
          <cell r="AG160">
            <v>0</v>
          </cell>
          <cell r="AH160">
            <v>0</v>
          </cell>
          <cell r="AI160">
            <v>0</v>
          </cell>
          <cell r="AM160">
            <v>0</v>
          </cell>
          <cell r="AN160">
            <v>0</v>
          </cell>
          <cell r="AO160">
            <v>0</v>
          </cell>
          <cell r="AP160">
            <v>200933</v>
          </cell>
          <cell r="AQ160">
            <v>45210</v>
          </cell>
          <cell r="AR160">
            <v>5023</v>
          </cell>
          <cell r="AS160">
            <v>-174407.6</v>
          </cell>
          <cell r="AT160">
            <v>-139523</v>
          </cell>
          <cell r="AU160">
            <v>-31392</v>
          </cell>
          <cell r="AV160">
            <v>-3487</v>
          </cell>
          <cell r="AW160">
            <v>-348809.6</v>
          </cell>
          <cell r="AX160">
            <v>-1949999</v>
          </cell>
          <cell r="AY160">
            <v>-1560000</v>
          </cell>
          <cell r="AZ160">
            <v>-351000</v>
          </cell>
          <cell r="BA160">
            <v>-39001</v>
          </cell>
          <cell r="BB160">
            <v>-3900000</v>
          </cell>
          <cell r="BC160">
            <v>35263697</v>
          </cell>
          <cell r="BD160">
            <v>-1831749</v>
          </cell>
          <cell r="BE160">
            <v>915260</v>
          </cell>
          <cell r="BF160">
            <v>0</v>
          </cell>
          <cell r="BG160">
            <v>-1488747</v>
          </cell>
          <cell r="BH160">
            <v>-57189</v>
          </cell>
          <cell r="BI160">
            <v>-8150</v>
          </cell>
          <cell r="BJ160">
            <v>-42423</v>
          </cell>
          <cell r="BK160">
            <v>-1337939</v>
          </cell>
          <cell r="BL160">
            <v>-35615</v>
          </cell>
          <cell r="BM160">
            <v>-34153</v>
          </cell>
          <cell r="BN160">
            <v>0</v>
          </cell>
          <cell r="BO160">
            <v>-2795</v>
          </cell>
          <cell r="BP160">
            <v>-1764</v>
          </cell>
          <cell r="BQ160">
            <v>0</v>
          </cell>
          <cell r="BR160">
            <v>0</v>
          </cell>
          <cell r="BS160">
            <v>0</v>
          </cell>
          <cell r="BT160">
            <v>35520312</v>
          </cell>
          <cell r="BU160">
            <v>-448052</v>
          </cell>
          <cell r="BV160">
            <v>1208399</v>
          </cell>
          <cell r="BW160">
            <v>-1100382</v>
          </cell>
          <cell r="BX160">
            <v>2701123</v>
          </cell>
          <cell r="BY160">
            <v>1971742</v>
          </cell>
          <cell r="BZ160">
            <v>33441000</v>
          </cell>
          <cell r="CA160">
            <v>1350561</v>
          </cell>
          <cell r="CB160">
            <v>1080449</v>
          </cell>
          <cell r="CC160">
            <v>243102</v>
          </cell>
          <cell r="CD160">
            <v>27011</v>
          </cell>
          <cell r="CE160">
            <v>985871</v>
          </cell>
          <cell r="CF160">
            <v>788697</v>
          </cell>
          <cell r="CG160">
            <v>177457</v>
          </cell>
          <cell r="CH160">
            <v>19717</v>
          </cell>
        </row>
        <row r="161">
          <cell r="A161">
            <v>154</v>
          </cell>
          <cell r="B161" t="str">
            <v>Lincoln</v>
          </cell>
          <cell r="C161" t="str">
            <v>E2533</v>
          </cell>
          <cell r="D161">
            <v>145092</v>
          </cell>
          <cell r="H161">
            <v>-504694</v>
          </cell>
          <cell r="I161">
            <v>0</v>
          </cell>
          <cell r="J161">
            <v>145092</v>
          </cell>
          <cell r="K161">
            <v>0</v>
          </cell>
          <cell r="L161">
            <v>0</v>
          </cell>
          <cell r="M161">
            <v>0</v>
          </cell>
          <cell r="N161">
            <v>0</v>
          </cell>
          <cell r="O161">
            <v>0</v>
          </cell>
          <cell r="P161">
            <v>0</v>
          </cell>
          <cell r="Q161">
            <v>0</v>
          </cell>
          <cell r="R161">
            <v>538882</v>
          </cell>
          <cell r="S161">
            <v>134720</v>
          </cell>
          <cell r="T161">
            <v>0</v>
          </cell>
          <cell r="U161">
            <v>8566</v>
          </cell>
          <cell r="V161">
            <v>2141</v>
          </cell>
          <cell r="W161">
            <v>0</v>
          </cell>
          <cell r="X161">
            <v>3916</v>
          </cell>
          <cell r="Y161">
            <v>979</v>
          </cell>
          <cell r="Z161">
            <v>0</v>
          </cell>
          <cell r="AA161">
            <v>2255</v>
          </cell>
          <cell r="AB161">
            <v>564</v>
          </cell>
          <cell r="AC161">
            <v>0</v>
          </cell>
          <cell r="AD161">
            <v>0</v>
          </cell>
          <cell r="AE161">
            <v>0</v>
          </cell>
          <cell r="AF161">
            <v>0</v>
          </cell>
          <cell r="AG161">
            <v>0</v>
          </cell>
          <cell r="AH161">
            <v>0</v>
          </cell>
          <cell r="AI161">
            <v>0</v>
          </cell>
          <cell r="AM161">
            <v>0</v>
          </cell>
          <cell r="AN161">
            <v>0</v>
          </cell>
          <cell r="AO161">
            <v>0</v>
          </cell>
          <cell r="AP161">
            <v>244772</v>
          </cell>
          <cell r="AQ161">
            <v>61193</v>
          </cell>
          <cell r="AR161">
            <v>0</v>
          </cell>
          <cell r="AS161">
            <v>-232498</v>
          </cell>
          <cell r="AT161">
            <v>-186000</v>
          </cell>
          <cell r="AU161">
            <v>-46501</v>
          </cell>
          <cell r="AV161">
            <v>0</v>
          </cell>
          <cell r="AW161">
            <v>-464999</v>
          </cell>
          <cell r="AX161">
            <v>-4142344</v>
          </cell>
          <cell r="AY161">
            <v>-3313874</v>
          </cell>
          <cell r="AZ161">
            <v>-828469</v>
          </cell>
          <cell r="BA161">
            <v>0</v>
          </cell>
          <cell r="BB161">
            <v>-8284687</v>
          </cell>
          <cell r="BC161">
            <v>41155716</v>
          </cell>
          <cell r="BD161">
            <v>-1999791</v>
          </cell>
          <cell r="BE161">
            <v>1194808</v>
          </cell>
          <cell r="BF161">
            <v>0</v>
          </cell>
          <cell r="BG161">
            <v>-4213393</v>
          </cell>
          <cell r="BH161">
            <v>-65960</v>
          </cell>
          <cell r="BI161">
            <v>0</v>
          </cell>
          <cell r="BJ161">
            <v>-1523</v>
          </cell>
          <cell r="BK161">
            <v>-1608815</v>
          </cell>
          <cell r="BL161">
            <v>-39498</v>
          </cell>
          <cell r="BM161">
            <v>-4413</v>
          </cell>
          <cell r="BN161">
            <v>-4008</v>
          </cell>
          <cell r="BO161">
            <v>0</v>
          </cell>
          <cell r="BP161">
            <v>0</v>
          </cell>
          <cell r="BQ161">
            <v>0</v>
          </cell>
          <cell r="BR161">
            <v>0</v>
          </cell>
          <cell r="BS161">
            <v>0</v>
          </cell>
          <cell r="BT161">
            <v>43135815</v>
          </cell>
          <cell r="BU161">
            <v>-255421</v>
          </cell>
          <cell r="BV161">
            <v>1011684</v>
          </cell>
          <cell r="BW161">
            <v>-2029449</v>
          </cell>
          <cell r="BX161">
            <v>-3272634</v>
          </cell>
          <cell r="BY161">
            <v>-3073560</v>
          </cell>
          <cell r="BZ161">
            <v>40737095</v>
          </cell>
          <cell r="CA161">
            <v>-1636317</v>
          </cell>
          <cell r="CB161">
            <v>-1309054</v>
          </cell>
          <cell r="CC161">
            <v>-327263</v>
          </cell>
          <cell r="CD161">
            <v>0</v>
          </cell>
          <cell r="CE161">
            <v>-1536780</v>
          </cell>
          <cell r="CF161">
            <v>-1229424</v>
          </cell>
          <cell r="CG161">
            <v>-307356</v>
          </cell>
          <cell r="CH161">
            <v>0</v>
          </cell>
        </row>
        <row r="162">
          <cell r="A162">
            <v>155</v>
          </cell>
          <cell r="B162" t="str">
            <v>Liverpool</v>
          </cell>
          <cell r="C162" t="str">
            <v>E4302</v>
          </cell>
          <cell r="D162">
            <v>760155</v>
          </cell>
          <cell r="H162">
            <v>-5002039</v>
          </cell>
          <cell r="I162">
            <v>-2270001</v>
          </cell>
          <cell r="J162">
            <v>760155</v>
          </cell>
          <cell r="K162">
            <v>0</v>
          </cell>
          <cell r="L162">
            <v>0</v>
          </cell>
          <cell r="M162">
            <v>0</v>
          </cell>
          <cell r="N162">
            <v>0</v>
          </cell>
          <cell r="O162">
            <v>0</v>
          </cell>
          <cell r="P162">
            <v>0</v>
          </cell>
          <cell r="Q162">
            <v>0</v>
          </cell>
          <cell r="R162">
            <v>5830744</v>
          </cell>
          <cell r="S162">
            <v>0</v>
          </cell>
          <cell r="T162">
            <v>54549</v>
          </cell>
          <cell r="U162">
            <v>117793</v>
          </cell>
          <cell r="V162">
            <v>0</v>
          </cell>
          <cell r="W162">
            <v>1102</v>
          </cell>
          <cell r="X162">
            <v>0</v>
          </cell>
          <cell r="Y162">
            <v>0</v>
          </cell>
          <cell r="Z162">
            <v>0</v>
          </cell>
          <cell r="AA162">
            <v>50321</v>
          </cell>
          <cell r="AB162">
            <v>0</v>
          </cell>
          <cell r="AC162">
            <v>508</v>
          </cell>
          <cell r="AD162">
            <v>0</v>
          </cell>
          <cell r="AE162">
            <v>0</v>
          </cell>
          <cell r="AF162">
            <v>0</v>
          </cell>
          <cell r="AG162">
            <v>0</v>
          </cell>
          <cell r="AH162">
            <v>0</v>
          </cell>
          <cell r="AI162">
            <v>0</v>
          </cell>
          <cell r="AM162">
            <v>0</v>
          </cell>
          <cell r="AN162">
            <v>0</v>
          </cell>
          <cell r="AO162">
            <v>0</v>
          </cell>
          <cell r="AP162">
            <v>2798228</v>
          </cell>
          <cell r="AQ162">
            <v>0</v>
          </cell>
          <cell r="AR162">
            <v>28265</v>
          </cell>
          <cell r="AS162">
            <v>-20764385</v>
          </cell>
          <cell r="AT162">
            <v>-20318437</v>
          </cell>
          <cell r="AU162">
            <v>0</v>
          </cell>
          <cell r="AV162">
            <v>-383375</v>
          </cell>
          <cell r="AW162">
            <v>-41466197</v>
          </cell>
          <cell r="AX162">
            <v>-11138474</v>
          </cell>
          <cell r="AY162">
            <v>-10915704</v>
          </cell>
          <cell r="AZ162">
            <v>0</v>
          </cell>
          <cell r="BA162">
            <v>-222771</v>
          </cell>
          <cell r="BB162">
            <v>-22276949</v>
          </cell>
          <cell r="BC162">
            <v>177525936</v>
          </cell>
          <cell r="BD162">
            <v>-9656328</v>
          </cell>
          <cell r="BE162">
            <v>5888126</v>
          </cell>
          <cell r="BF162">
            <v>0</v>
          </cell>
          <cell r="BG162">
            <v>-17984758</v>
          </cell>
          <cell r="BH162">
            <v>-4831</v>
          </cell>
          <cell r="BI162">
            <v>0</v>
          </cell>
          <cell r="BJ162">
            <v>0</v>
          </cell>
          <cell r="BK162">
            <v>-16641246</v>
          </cell>
          <cell r="BL162">
            <v>-72986</v>
          </cell>
          <cell r="BM162">
            <v>-13416</v>
          </cell>
          <cell r="BN162">
            <v>0</v>
          </cell>
          <cell r="BO162">
            <v>0</v>
          </cell>
          <cell r="BP162">
            <v>0</v>
          </cell>
          <cell r="BQ162">
            <v>-236253</v>
          </cell>
          <cell r="BR162">
            <v>-253697</v>
          </cell>
          <cell r="BS162">
            <v>0</v>
          </cell>
          <cell r="BT162">
            <v>199920257</v>
          </cell>
          <cell r="BU162">
            <v>-32799151</v>
          </cell>
          <cell r="BV162">
            <v>48445860</v>
          </cell>
          <cell r="BW162">
            <v>-2326672</v>
          </cell>
          <cell r="BX162">
            <v>-21194254</v>
          </cell>
          <cell r="BY162">
            <v>-21495704</v>
          </cell>
          <cell r="BZ162">
            <v>188163677</v>
          </cell>
          <cell r="CA162">
            <v>-10597128</v>
          </cell>
          <cell r="CB162">
            <v>-10385184</v>
          </cell>
          <cell r="CC162">
            <v>0</v>
          </cell>
          <cell r="CD162">
            <v>-211942</v>
          </cell>
          <cell r="CE162">
            <v>-10747852</v>
          </cell>
          <cell r="CF162">
            <v>-10532895</v>
          </cell>
          <cell r="CG162">
            <v>0</v>
          </cell>
          <cell r="CH162">
            <v>-214957</v>
          </cell>
        </row>
        <row r="163">
          <cell r="A163">
            <v>156</v>
          </cell>
          <cell r="B163" t="str">
            <v>Luton</v>
          </cell>
          <cell r="C163" t="str">
            <v>E0201</v>
          </cell>
          <cell r="D163">
            <v>246453</v>
          </cell>
          <cell r="H163">
            <v>170639</v>
          </cell>
          <cell r="I163">
            <v>-192751</v>
          </cell>
          <cell r="J163">
            <v>246453</v>
          </cell>
          <cell r="K163">
            <v>0</v>
          </cell>
          <cell r="L163">
            <v>0</v>
          </cell>
          <cell r="M163">
            <v>0</v>
          </cell>
          <cell r="N163">
            <v>0</v>
          </cell>
          <cell r="O163">
            <v>0</v>
          </cell>
          <cell r="P163">
            <v>0</v>
          </cell>
          <cell r="Q163">
            <v>0</v>
          </cell>
          <cell r="R163">
            <v>1085748</v>
          </cell>
          <cell r="S163">
            <v>0</v>
          </cell>
          <cell r="T163">
            <v>22158</v>
          </cell>
          <cell r="U163">
            <v>0</v>
          </cell>
          <cell r="V163">
            <v>0</v>
          </cell>
          <cell r="W163">
            <v>0</v>
          </cell>
          <cell r="X163">
            <v>0</v>
          </cell>
          <cell r="Y163">
            <v>0</v>
          </cell>
          <cell r="Z163">
            <v>0</v>
          </cell>
          <cell r="AA163">
            <v>45797</v>
          </cell>
          <cell r="AB163">
            <v>0</v>
          </cell>
          <cell r="AC163">
            <v>935</v>
          </cell>
          <cell r="AD163">
            <v>0</v>
          </cell>
          <cell r="AE163">
            <v>0</v>
          </cell>
          <cell r="AF163">
            <v>0</v>
          </cell>
          <cell r="AG163">
            <v>0</v>
          </cell>
          <cell r="AH163">
            <v>0</v>
          </cell>
          <cell r="AI163">
            <v>0</v>
          </cell>
          <cell r="AM163">
            <v>0</v>
          </cell>
          <cell r="AN163">
            <v>0</v>
          </cell>
          <cell r="AO163">
            <v>0</v>
          </cell>
          <cell r="AP163">
            <v>477890</v>
          </cell>
          <cell r="AQ163">
            <v>0</v>
          </cell>
          <cell r="AR163">
            <v>9753</v>
          </cell>
          <cell r="AS163">
            <v>-3768163.5</v>
          </cell>
          <cell r="AT163">
            <v>-3692802.17</v>
          </cell>
          <cell r="AU163">
            <v>0</v>
          </cell>
          <cell r="AV163">
            <v>-75364.33</v>
          </cell>
          <cell r="AW163">
            <v>-7536330</v>
          </cell>
          <cell r="AX163">
            <v>-4748331.8</v>
          </cell>
          <cell r="AY163">
            <v>-4653363</v>
          </cell>
          <cell r="AZ163">
            <v>0</v>
          </cell>
          <cell r="BA163">
            <v>-94966</v>
          </cell>
          <cell r="BB163">
            <v>-9496660</v>
          </cell>
          <cell r="BC163">
            <v>73111120</v>
          </cell>
          <cell r="BD163">
            <v>-3173673</v>
          </cell>
          <cell r="BE163">
            <v>1870949</v>
          </cell>
          <cell r="BF163">
            <v>0</v>
          </cell>
          <cell r="BG163">
            <v>-5242617</v>
          </cell>
          <cell r="BH163">
            <v>-43895</v>
          </cell>
          <cell r="BI163">
            <v>0</v>
          </cell>
          <cell r="BJ163">
            <v>-25371</v>
          </cell>
          <cell r="BK163">
            <v>-2087873</v>
          </cell>
          <cell r="BL163">
            <v>-139288</v>
          </cell>
          <cell r="BM163">
            <v>-55206</v>
          </cell>
          <cell r="BN163">
            <v>-56</v>
          </cell>
          <cell r="BO163">
            <v>0</v>
          </cell>
          <cell r="BP163">
            <v>0</v>
          </cell>
          <cell r="BQ163">
            <v>-9876</v>
          </cell>
          <cell r="BR163">
            <v>0</v>
          </cell>
          <cell r="BS163">
            <v>0</v>
          </cell>
          <cell r="BT163">
            <v>68591062</v>
          </cell>
          <cell r="BU163">
            <v>-380514</v>
          </cell>
          <cell r="BV163">
            <v>12710654</v>
          </cell>
          <cell r="BW163">
            <v>-4305198</v>
          </cell>
          <cell r="BX163">
            <v>-3598805</v>
          </cell>
          <cell r="BY163">
            <v>-5869297</v>
          </cell>
          <cell r="BZ163">
            <v>64926114</v>
          </cell>
          <cell r="CA163">
            <v>-1799402</v>
          </cell>
          <cell r="CB163">
            <v>-1763415</v>
          </cell>
          <cell r="CC163">
            <v>0</v>
          </cell>
          <cell r="CD163">
            <v>-35988</v>
          </cell>
          <cell r="CE163">
            <v>-2934648</v>
          </cell>
          <cell r="CF163">
            <v>-2875956</v>
          </cell>
          <cell r="CG163">
            <v>0</v>
          </cell>
          <cell r="CH163">
            <v>-58693</v>
          </cell>
        </row>
        <row r="164">
          <cell r="A164">
            <v>157</v>
          </cell>
          <cell r="B164" t="str">
            <v>Maidstone</v>
          </cell>
          <cell r="C164" t="str">
            <v>E2237</v>
          </cell>
          <cell r="D164">
            <v>203668</v>
          </cell>
          <cell r="H164">
            <v>-2470839</v>
          </cell>
          <cell r="I164">
            <v>0</v>
          </cell>
          <cell r="J164">
            <v>203668</v>
          </cell>
          <cell r="K164">
            <v>60192</v>
          </cell>
          <cell r="L164">
            <v>0</v>
          </cell>
          <cell r="M164">
            <v>0</v>
          </cell>
          <cell r="N164">
            <v>55000</v>
          </cell>
          <cell r="O164">
            <v>55000</v>
          </cell>
          <cell r="P164">
            <v>0</v>
          </cell>
          <cell r="Q164">
            <v>0</v>
          </cell>
          <cell r="R164">
            <v>635335</v>
          </cell>
          <cell r="S164">
            <v>142950</v>
          </cell>
          <cell r="T164">
            <v>15883</v>
          </cell>
          <cell r="U164">
            <v>1703</v>
          </cell>
          <cell r="V164">
            <v>383</v>
          </cell>
          <cell r="W164">
            <v>43</v>
          </cell>
          <cell r="X164">
            <v>0</v>
          </cell>
          <cell r="Y164">
            <v>0</v>
          </cell>
          <cell r="Z164">
            <v>0</v>
          </cell>
          <cell r="AA164">
            <v>10418</v>
          </cell>
          <cell r="AB164">
            <v>2344</v>
          </cell>
          <cell r="AC164">
            <v>260</v>
          </cell>
          <cell r="AD164">
            <v>0</v>
          </cell>
          <cell r="AE164">
            <v>0</v>
          </cell>
          <cell r="AF164">
            <v>0</v>
          </cell>
          <cell r="AG164">
            <v>0</v>
          </cell>
          <cell r="AH164">
            <v>0</v>
          </cell>
          <cell r="AI164">
            <v>0</v>
          </cell>
          <cell r="AM164">
            <v>0</v>
          </cell>
          <cell r="AN164">
            <v>0</v>
          </cell>
          <cell r="AO164">
            <v>0</v>
          </cell>
          <cell r="AP164">
            <v>342956</v>
          </cell>
          <cell r="AQ164">
            <v>76776</v>
          </cell>
          <cell r="AR164">
            <v>8531</v>
          </cell>
          <cell r="AS164">
            <v>-918247.91</v>
          </cell>
          <cell r="AT164">
            <v>-734596</v>
          </cell>
          <cell r="AU164">
            <v>-165284</v>
          </cell>
          <cell r="AV164">
            <v>-18365</v>
          </cell>
          <cell r="AW164">
            <v>-1836492.9</v>
          </cell>
          <cell r="AX164">
            <v>-3807004</v>
          </cell>
          <cell r="AY164">
            <v>-3045603</v>
          </cell>
          <cell r="AZ164">
            <v>-685260</v>
          </cell>
          <cell r="BA164">
            <v>-76141</v>
          </cell>
          <cell r="BB164">
            <v>-7614008</v>
          </cell>
          <cell r="BC164">
            <v>56922458</v>
          </cell>
          <cell r="BD164">
            <v>-2375158</v>
          </cell>
          <cell r="BE164">
            <v>1606038</v>
          </cell>
          <cell r="BF164">
            <v>0</v>
          </cell>
          <cell r="BG164">
            <v>-4220245</v>
          </cell>
          <cell r="BH164">
            <v>-105324</v>
          </cell>
          <cell r="BI164">
            <v>-3149</v>
          </cell>
          <cell r="BJ164">
            <v>-6798</v>
          </cell>
          <cell r="BK164">
            <v>-2514093</v>
          </cell>
          <cell r="BL164">
            <v>-143082</v>
          </cell>
          <cell r="BM164">
            <v>-7844</v>
          </cell>
          <cell r="BN164">
            <v>-7803</v>
          </cell>
          <cell r="BO164">
            <v>-2683</v>
          </cell>
          <cell r="BP164">
            <v>0</v>
          </cell>
          <cell r="BQ164">
            <v>0</v>
          </cell>
          <cell r="BR164">
            <v>0</v>
          </cell>
          <cell r="BS164">
            <v>0</v>
          </cell>
          <cell r="BT164">
            <v>60507372</v>
          </cell>
          <cell r="BU164">
            <v>-816543</v>
          </cell>
          <cell r="BV164">
            <v>4102122</v>
          </cell>
          <cell r="BW164">
            <v>-1146381</v>
          </cell>
          <cell r="BX164">
            <v>-12756410</v>
          </cell>
          <cell r="BY164">
            <v>-7166927</v>
          </cell>
          <cell r="BZ164">
            <v>56789676</v>
          </cell>
          <cell r="CA164">
            <v>-6378206</v>
          </cell>
          <cell r="CB164">
            <v>-5102564</v>
          </cell>
          <cell r="CC164">
            <v>-1148077</v>
          </cell>
          <cell r="CD164">
            <v>-127563</v>
          </cell>
          <cell r="CE164">
            <v>-3583464</v>
          </cell>
          <cell r="CF164">
            <v>-2866771</v>
          </cell>
          <cell r="CG164">
            <v>-645023</v>
          </cell>
          <cell r="CH164">
            <v>-71669</v>
          </cell>
        </row>
        <row r="165">
          <cell r="A165">
            <v>158</v>
          </cell>
          <cell r="B165" t="str">
            <v>Maldon</v>
          </cell>
          <cell r="C165" t="str">
            <v>E1539</v>
          </cell>
          <cell r="D165">
            <v>92673</v>
          </cell>
          <cell r="H165">
            <v>107637</v>
          </cell>
          <cell r="I165">
            <v>0</v>
          </cell>
          <cell r="J165">
            <v>92673</v>
          </cell>
          <cell r="K165">
            <v>0</v>
          </cell>
          <cell r="L165">
            <v>641000</v>
          </cell>
          <cell r="M165">
            <v>0</v>
          </cell>
          <cell r="N165">
            <v>0</v>
          </cell>
          <cell r="O165">
            <v>0</v>
          </cell>
          <cell r="P165">
            <v>0</v>
          </cell>
          <cell r="Q165">
            <v>0</v>
          </cell>
          <cell r="R165">
            <v>507877</v>
          </cell>
          <cell r="S165">
            <v>114273</v>
          </cell>
          <cell r="T165">
            <v>12697</v>
          </cell>
          <cell r="U165">
            <v>1568</v>
          </cell>
          <cell r="V165">
            <v>353</v>
          </cell>
          <cell r="W165">
            <v>39</v>
          </cell>
          <cell r="X165">
            <v>0</v>
          </cell>
          <cell r="Y165">
            <v>0</v>
          </cell>
          <cell r="Z165">
            <v>0</v>
          </cell>
          <cell r="AA165">
            <v>0</v>
          </cell>
          <cell r="AB165">
            <v>0</v>
          </cell>
          <cell r="AC165">
            <v>0</v>
          </cell>
          <cell r="AD165">
            <v>0</v>
          </cell>
          <cell r="AE165">
            <v>0</v>
          </cell>
          <cell r="AF165">
            <v>0</v>
          </cell>
          <cell r="AG165">
            <v>0</v>
          </cell>
          <cell r="AH165">
            <v>0</v>
          </cell>
          <cell r="AI165">
            <v>0</v>
          </cell>
          <cell r="AM165">
            <v>0</v>
          </cell>
          <cell r="AN165">
            <v>0</v>
          </cell>
          <cell r="AO165">
            <v>0</v>
          </cell>
          <cell r="AP165">
            <v>85972</v>
          </cell>
          <cell r="AQ165">
            <v>17177</v>
          </cell>
          <cell r="AR165">
            <v>1909</v>
          </cell>
          <cell r="AS165">
            <v>-142000</v>
          </cell>
          <cell r="AT165">
            <v>-113600</v>
          </cell>
          <cell r="AU165">
            <v>-25560</v>
          </cell>
          <cell r="AV165">
            <v>-2840</v>
          </cell>
          <cell r="AW165">
            <v>-284000</v>
          </cell>
          <cell r="AX165">
            <v>-560904</v>
          </cell>
          <cell r="AY165">
            <v>-448722</v>
          </cell>
          <cell r="AZ165">
            <v>-100962</v>
          </cell>
          <cell r="BA165">
            <v>-11218</v>
          </cell>
          <cell r="BB165">
            <v>-1121806</v>
          </cell>
          <cell r="BC165">
            <v>14149347</v>
          </cell>
          <cell r="BD165">
            <v>-1924649</v>
          </cell>
          <cell r="BE165">
            <v>343314</v>
          </cell>
          <cell r="BF165">
            <v>0</v>
          </cell>
          <cell r="BG165">
            <v>-785297</v>
          </cell>
          <cell r="BH165">
            <v>-50624</v>
          </cell>
          <cell r="BI165">
            <v>-13891</v>
          </cell>
          <cell r="BJ165">
            <v>-471</v>
          </cell>
          <cell r="BK165">
            <v>-375293</v>
          </cell>
          <cell r="BL165">
            <v>-30312</v>
          </cell>
          <cell r="BM165">
            <v>-5546</v>
          </cell>
          <cell r="BN165">
            <v>-293</v>
          </cell>
          <cell r="BO165">
            <v>0</v>
          </cell>
          <cell r="BP165">
            <v>0</v>
          </cell>
          <cell r="BQ165">
            <v>0</v>
          </cell>
          <cell r="BR165">
            <v>0</v>
          </cell>
          <cell r="BS165">
            <v>0</v>
          </cell>
          <cell r="BT165">
            <v>14850763</v>
          </cell>
          <cell r="BU165">
            <v>-65918</v>
          </cell>
          <cell r="BV165">
            <v>692374</v>
          </cell>
          <cell r="BW165">
            <v>-433164</v>
          </cell>
          <cell r="BX165">
            <v>-1076795</v>
          </cell>
          <cell r="BY165">
            <v>-885807</v>
          </cell>
          <cell r="BZ165">
            <v>12705729</v>
          </cell>
          <cell r="CA165">
            <v>-538397</v>
          </cell>
          <cell r="CB165">
            <v>-430718</v>
          </cell>
          <cell r="CC165">
            <v>-96912</v>
          </cell>
          <cell r="CD165">
            <v>-10768</v>
          </cell>
          <cell r="CE165">
            <v>-442903</v>
          </cell>
          <cell r="CF165">
            <v>-354323</v>
          </cell>
          <cell r="CG165">
            <v>-79723</v>
          </cell>
          <cell r="CH165">
            <v>-8858</v>
          </cell>
        </row>
        <row r="166">
          <cell r="A166">
            <v>159</v>
          </cell>
          <cell r="B166" t="str">
            <v>Malvern Hills</v>
          </cell>
          <cell r="C166" t="str">
            <v>E1851</v>
          </cell>
          <cell r="D166">
            <v>106758</v>
          </cell>
          <cell r="H166">
            <v>118743</v>
          </cell>
          <cell r="I166">
            <v>0</v>
          </cell>
          <cell r="J166">
            <v>106758</v>
          </cell>
          <cell r="K166">
            <v>0</v>
          </cell>
          <cell r="L166">
            <v>0</v>
          </cell>
          <cell r="M166">
            <v>0</v>
          </cell>
          <cell r="N166">
            <v>0</v>
          </cell>
          <cell r="O166">
            <v>0</v>
          </cell>
          <cell r="P166">
            <v>0</v>
          </cell>
          <cell r="Q166">
            <v>0</v>
          </cell>
          <cell r="R166">
            <v>562229</v>
          </cell>
          <cell r="S166">
            <v>126501</v>
          </cell>
          <cell r="T166">
            <v>14056</v>
          </cell>
          <cell r="U166">
            <v>0</v>
          </cell>
          <cell r="V166">
            <v>0</v>
          </cell>
          <cell r="W166">
            <v>0</v>
          </cell>
          <cell r="X166">
            <v>10211</v>
          </cell>
          <cell r="Y166">
            <v>2297</v>
          </cell>
          <cell r="Z166">
            <v>255</v>
          </cell>
          <cell r="AA166">
            <v>0</v>
          </cell>
          <cell r="AB166">
            <v>0</v>
          </cell>
          <cell r="AC166">
            <v>0</v>
          </cell>
          <cell r="AD166">
            <v>0</v>
          </cell>
          <cell r="AE166">
            <v>0</v>
          </cell>
          <cell r="AF166">
            <v>0</v>
          </cell>
          <cell r="AG166">
            <v>0</v>
          </cell>
          <cell r="AH166">
            <v>0</v>
          </cell>
          <cell r="AI166">
            <v>0</v>
          </cell>
          <cell r="AM166">
            <v>0</v>
          </cell>
          <cell r="AN166">
            <v>0</v>
          </cell>
          <cell r="AO166">
            <v>0</v>
          </cell>
          <cell r="AP166">
            <v>91368</v>
          </cell>
          <cell r="AQ166">
            <v>20558</v>
          </cell>
          <cell r="AR166">
            <v>2284</v>
          </cell>
          <cell r="AS166">
            <v>-76242</v>
          </cell>
          <cell r="AT166">
            <v>-60993</v>
          </cell>
          <cell r="AU166">
            <v>-13724</v>
          </cell>
          <cell r="AV166">
            <v>-1525</v>
          </cell>
          <cell r="AW166">
            <v>-152484</v>
          </cell>
          <cell r="AX166">
            <v>-1998841.4</v>
          </cell>
          <cell r="AY166">
            <v>-1599073</v>
          </cell>
          <cell r="AZ166">
            <v>-359792</v>
          </cell>
          <cell r="BA166">
            <v>-39976</v>
          </cell>
          <cell r="BB166">
            <v>-3997682.4000000004</v>
          </cell>
          <cell r="BC166">
            <v>15520423</v>
          </cell>
          <cell r="BD166">
            <v>-2235616</v>
          </cell>
          <cell r="BE166">
            <v>418445</v>
          </cell>
          <cell r="BF166">
            <v>0</v>
          </cell>
          <cell r="BG166">
            <v>-1786657</v>
          </cell>
          <cell r="BH166">
            <v>-149955</v>
          </cell>
          <cell r="BI166">
            <v>-57526</v>
          </cell>
          <cell r="BJ166">
            <v>-1089</v>
          </cell>
          <cell r="BK166">
            <v>-480369</v>
          </cell>
          <cell r="BL166">
            <v>-84253</v>
          </cell>
          <cell r="BM166">
            <v>-58694</v>
          </cell>
          <cell r="BN166">
            <v>-37400</v>
          </cell>
          <cell r="BO166">
            <v>-34110</v>
          </cell>
          <cell r="BP166">
            <v>-33800</v>
          </cell>
          <cell r="BQ166">
            <v>0</v>
          </cell>
          <cell r="BR166">
            <v>0</v>
          </cell>
          <cell r="BS166">
            <v>0</v>
          </cell>
          <cell r="BT166">
            <v>16552665</v>
          </cell>
          <cell r="BU166">
            <v>-17947</v>
          </cell>
          <cell r="BV166">
            <v>419521</v>
          </cell>
          <cell r="BW166">
            <v>-119095</v>
          </cell>
          <cell r="BX166">
            <v>-3816963</v>
          </cell>
          <cell r="BY166">
            <v>-252228</v>
          </cell>
          <cell r="BZ166">
            <v>15206223</v>
          </cell>
          <cell r="CA166">
            <v>-1908481</v>
          </cell>
          <cell r="CB166">
            <v>-1526786</v>
          </cell>
          <cell r="CC166">
            <v>-343526</v>
          </cell>
          <cell r="CD166">
            <v>-38170</v>
          </cell>
          <cell r="CE166">
            <v>-126114</v>
          </cell>
          <cell r="CF166">
            <v>-100891</v>
          </cell>
          <cell r="CG166">
            <v>-22701</v>
          </cell>
          <cell r="CH166">
            <v>-2522</v>
          </cell>
        </row>
        <row r="167">
          <cell r="A167">
            <v>160</v>
          </cell>
          <cell r="B167" t="str">
            <v>Manchester</v>
          </cell>
          <cell r="C167" t="str">
            <v>E4203</v>
          </cell>
          <cell r="D167">
            <v>1123710</v>
          </cell>
          <cell r="H167">
            <v>-4007692</v>
          </cell>
          <cell r="I167">
            <v>-459014</v>
          </cell>
          <cell r="J167">
            <v>1123710</v>
          </cell>
          <cell r="K167">
            <v>0</v>
          </cell>
          <cell r="L167">
            <v>0</v>
          </cell>
          <cell r="M167">
            <v>0</v>
          </cell>
          <cell r="N167">
            <v>0</v>
          </cell>
          <cell r="O167">
            <v>0</v>
          </cell>
          <cell r="P167">
            <v>0</v>
          </cell>
          <cell r="Q167">
            <v>0</v>
          </cell>
          <cell r="R167">
            <v>7327394</v>
          </cell>
          <cell r="S167">
            <v>0</v>
          </cell>
          <cell r="T167">
            <v>73319</v>
          </cell>
          <cell r="U167">
            <v>0</v>
          </cell>
          <cell r="V167">
            <v>0</v>
          </cell>
          <cell r="W167">
            <v>0</v>
          </cell>
          <cell r="X167">
            <v>0</v>
          </cell>
          <cell r="Y167">
            <v>0</v>
          </cell>
          <cell r="Z167">
            <v>0</v>
          </cell>
          <cell r="AA167">
            <v>119960</v>
          </cell>
          <cell r="AB167">
            <v>0</v>
          </cell>
          <cell r="AC167">
            <v>1212</v>
          </cell>
          <cell r="AD167">
            <v>0</v>
          </cell>
          <cell r="AE167">
            <v>0</v>
          </cell>
          <cell r="AF167">
            <v>0</v>
          </cell>
          <cell r="AG167">
            <v>0</v>
          </cell>
          <cell r="AH167">
            <v>0</v>
          </cell>
          <cell r="AI167">
            <v>0</v>
          </cell>
          <cell r="AM167">
            <v>0</v>
          </cell>
          <cell r="AN167">
            <v>0</v>
          </cell>
          <cell r="AO167">
            <v>0</v>
          </cell>
          <cell r="AP167">
            <v>4827923</v>
          </cell>
          <cell r="AQ167">
            <v>0</v>
          </cell>
          <cell r="AR167">
            <v>48767</v>
          </cell>
          <cell r="AS167">
            <v>-7730965</v>
          </cell>
          <cell r="AT167">
            <v>-7576344</v>
          </cell>
          <cell r="AU167">
            <v>0</v>
          </cell>
          <cell r="AV167">
            <v>-154620</v>
          </cell>
          <cell r="AW167">
            <v>-15461929</v>
          </cell>
          <cell r="AX167">
            <v>-47078972</v>
          </cell>
          <cell r="AY167">
            <v>-46137390</v>
          </cell>
          <cell r="AZ167">
            <v>0</v>
          </cell>
          <cell r="BA167">
            <v>-941579</v>
          </cell>
          <cell r="BB167">
            <v>-94157941</v>
          </cell>
          <cell r="BC167">
            <v>340207313</v>
          </cell>
          <cell r="BD167">
            <v>-11631788</v>
          </cell>
          <cell r="BE167">
            <v>9934097</v>
          </cell>
          <cell r="BF167">
            <v>0</v>
          </cell>
          <cell r="BG167">
            <v>-24887357</v>
          </cell>
          <cell r="BH167">
            <v>-82924</v>
          </cell>
          <cell r="BI167">
            <v>0</v>
          </cell>
          <cell r="BJ167">
            <v>0</v>
          </cell>
          <cell r="BK167">
            <v>-24500599</v>
          </cell>
          <cell r="BL167">
            <v>-507615</v>
          </cell>
          <cell r="BM167">
            <v>-3286305</v>
          </cell>
          <cell r="BN167">
            <v>0</v>
          </cell>
          <cell r="BO167">
            <v>0</v>
          </cell>
          <cell r="BP167">
            <v>0</v>
          </cell>
          <cell r="BQ167">
            <v>-952794</v>
          </cell>
          <cell r="BR167">
            <v>-1200141</v>
          </cell>
          <cell r="BS167">
            <v>0</v>
          </cell>
          <cell r="BT167">
            <v>342359126</v>
          </cell>
          <cell r="BU167">
            <v>-1591385</v>
          </cell>
          <cell r="BV167">
            <v>28415087</v>
          </cell>
          <cell r="BW167">
            <v>-15476910</v>
          </cell>
          <cell r="BX167">
            <v>42861342</v>
          </cell>
          <cell r="BY167">
            <v>29867866</v>
          </cell>
          <cell r="BZ167">
            <v>324648233</v>
          </cell>
          <cell r="CA167">
            <v>21430671</v>
          </cell>
          <cell r="CB167">
            <v>21002058</v>
          </cell>
          <cell r="CC167">
            <v>0</v>
          </cell>
          <cell r="CD167">
            <v>428613</v>
          </cell>
          <cell r="CE167">
            <v>14933933</v>
          </cell>
          <cell r="CF167">
            <v>14635254</v>
          </cell>
          <cell r="CG167">
            <v>0</v>
          </cell>
          <cell r="CH167">
            <v>298679</v>
          </cell>
        </row>
        <row r="168">
          <cell r="A168">
            <v>161</v>
          </cell>
          <cell r="B168" t="str">
            <v>Mansfield</v>
          </cell>
          <cell r="C168" t="str">
            <v>E3035</v>
          </cell>
          <cell r="D168">
            <v>126789</v>
          </cell>
          <cell r="H168">
            <v>-422033</v>
          </cell>
          <cell r="I168">
            <v>0</v>
          </cell>
          <cell r="J168">
            <v>126789</v>
          </cell>
          <cell r="K168">
            <v>0</v>
          </cell>
          <cell r="L168">
            <v>20186</v>
          </cell>
          <cell r="M168">
            <v>0</v>
          </cell>
          <cell r="N168">
            <v>0</v>
          </cell>
          <cell r="O168">
            <v>0</v>
          </cell>
          <cell r="P168">
            <v>0</v>
          </cell>
          <cell r="Q168">
            <v>0</v>
          </cell>
          <cell r="R168">
            <v>501784</v>
          </cell>
          <cell r="S168">
            <v>112901</v>
          </cell>
          <cell r="T168">
            <v>12545</v>
          </cell>
          <cell r="U168">
            <v>3557</v>
          </cell>
          <cell r="V168">
            <v>800</v>
          </cell>
          <cell r="W168">
            <v>89</v>
          </cell>
          <cell r="X168">
            <v>8269</v>
          </cell>
          <cell r="Y168">
            <v>1860</v>
          </cell>
          <cell r="Z168">
            <v>207</v>
          </cell>
          <cell r="AA168">
            <v>6413</v>
          </cell>
          <cell r="AB168">
            <v>1443</v>
          </cell>
          <cell r="AC168">
            <v>160</v>
          </cell>
          <cell r="AD168">
            <v>0</v>
          </cell>
          <cell r="AE168">
            <v>0</v>
          </cell>
          <cell r="AF168">
            <v>0</v>
          </cell>
          <cell r="AG168">
            <v>0</v>
          </cell>
          <cell r="AH168">
            <v>0</v>
          </cell>
          <cell r="AI168">
            <v>0</v>
          </cell>
          <cell r="AM168">
            <v>0</v>
          </cell>
          <cell r="AN168">
            <v>0</v>
          </cell>
          <cell r="AO168">
            <v>0</v>
          </cell>
          <cell r="AP168">
            <v>169764</v>
          </cell>
          <cell r="AQ168">
            <v>38129</v>
          </cell>
          <cell r="AR168">
            <v>4237</v>
          </cell>
          <cell r="AS168">
            <v>-318315</v>
          </cell>
          <cell r="AT168">
            <v>-254651</v>
          </cell>
          <cell r="AU168">
            <v>-57297</v>
          </cell>
          <cell r="AV168">
            <v>-6366</v>
          </cell>
          <cell r="AW168">
            <v>-636629</v>
          </cell>
          <cell r="AX168">
            <v>-1127963</v>
          </cell>
          <cell r="AY168">
            <v>-902372</v>
          </cell>
          <cell r="AZ168">
            <v>-203035</v>
          </cell>
          <cell r="BA168">
            <v>-22560</v>
          </cell>
          <cell r="BB168">
            <v>-2255930</v>
          </cell>
          <cell r="BC168">
            <v>31508791</v>
          </cell>
          <cell r="BD168">
            <v>-1981323</v>
          </cell>
          <cell r="BE168">
            <v>787907</v>
          </cell>
          <cell r="BF168">
            <v>0</v>
          </cell>
          <cell r="BG168">
            <v>-2222961</v>
          </cell>
          <cell r="BH168">
            <v>-13817</v>
          </cell>
          <cell r="BI168">
            <v>0</v>
          </cell>
          <cell r="BJ168">
            <v>-1814</v>
          </cell>
          <cell r="BK168">
            <v>-976564</v>
          </cell>
          <cell r="BL168">
            <v>-12430</v>
          </cell>
          <cell r="BM168">
            <v>-117359</v>
          </cell>
          <cell r="BN168">
            <v>0</v>
          </cell>
          <cell r="BO168">
            <v>0</v>
          </cell>
          <cell r="BP168">
            <v>0</v>
          </cell>
          <cell r="BQ168">
            <v>0</v>
          </cell>
          <cell r="BR168">
            <v>0</v>
          </cell>
          <cell r="BS168">
            <v>0</v>
          </cell>
          <cell r="BT168">
            <v>29600669</v>
          </cell>
          <cell r="BU168">
            <v>-285469</v>
          </cell>
          <cell r="BV168">
            <v>631544</v>
          </cell>
          <cell r="BW168">
            <v>-62783</v>
          </cell>
          <cell r="BX168">
            <v>1591612</v>
          </cell>
          <cell r="BY168">
            <v>1287381</v>
          </cell>
          <cell r="BZ168">
            <v>28203166</v>
          </cell>
          <cell r="CA168">
            <v>795806</v>
          </cell>
          <cell r="CB168">
            <v>636645</v>
          </cell>
          <cell r="CC168">
            <v>143245</v>
          </cell>
          <cell r="CD168">
            <v>15916</v>
          </cell>
          <cell r="CE168">
            <v>643691</v>
          </cell>
          <cell r="CF168">
            <v>514952</v>
          </cell>
          <cell r="CG168">
            <v>115864</v>
          </cell>
          <cell r="CH168">
            <v>12874</v>
          </cell>
        </row>
        <row r="169">
          <cell r="A169">
            <v>162</v>
          </cell>
          <cell r="B169" t="str">
            <v>Medway</v>
          </cell>
          <cell r="C169" t="str">
            <v>E2201</v>
          </cell>
          <cell r="D169">
            <v>273476</v>
          </cell>
          <cell r="H169">
            <v>-4794668</v>
          </cell>
          <cell r="I169">
            <v>1069</v>
          </cell>
          <cell r="J169">
            <v>273476</v>
          </cell>
          <cell r="K169">
            <v>1110</v>
          </cell>
          <cell r="L169">
            <v>0</v>
          </cell>
          <cell r="M169">
            <v>0</v>
          </cell>
          <cell r="N169">
            <v>0</v>
          </cell>
          <cell r="O169">
            <v>0</v>
          </cell>
          <cell r="P169">
            <v>0</v>
          </cell>
          <cell r="Q169">
            <v>0</v>
          </cell>
          <cell r="R169">
            <v>1449521</v>
          </cell>
          <cell r="S169">
            <v>0</v>
          </cell>
          <cell r="T169">
            <v>29582</v>
          </cell>
          <cell r="U169">
            <v>6246</v>
          </cell>
          <cell r="V169">
            <v>0</v>
          </cell>
          <cell r="W169">
            <v>127</v>
          </cell>
          <cell r="X169">
            <v>2017</v>
          </cell>
          <cell r="Y169">
            <v>0</v>
          </cell>
          <cell r="Z169">
            <v>41</v>
          </cell>
          <cell r="AA169">
            <v>5832</v>
          </cell>
          <cell r="AB169">
            <v>0</v>
          </cell>
          <cell r="AC169">
            <v>119</v>
          </cell>
          <cell r="AD169">
            <v>0</v>
          </cell>
          <cell r="AE169">
            <v>0</v>
          </cell>
          <cell r="AF169">
            <v>0</v>
          </cell>
          <cell r="AG169">
            <v>0</v>
          </cell>
          <cell r="AH169">
            <v>0</v>
          </cell>
          <cell r="AI169">
            <v>0</v>
          </cell>
          <cell r="AM169">
            <v>0</v>
          </cell>
          <cell r="AN169">
            <v>0</v>
          </cell>
          <cell r="AO169">
            <v>0</v>
          </cell>
          <cell r="AP169">
            <v>616117</v>
          </cell>
          <cell r="AQ169">
            <v>0</v>
          </cell>
          <cell r="AR169">
            <v>12573</v>
          </cell>
          <cell r="AS169">
            <v>-1462351</v>
          </cell>
          <cell r="AT169">
            <v>-1433105</v>
          </cell>
          <cell r="AU169">
            <v>0</v>
          </cell>
          <cell r="AV169">
            <v>-29248</v>
          </cell>
          <cell r="AW169">
            <v>-2924704</v>
          </cell>
          <cell r="AX169">
            <v>-6046092</v>
          </cell>
          <cell r="AY169">
            <v>-5925173</v>
          </cell>
          <cell r="AZ169">
            <v>0</v>
          </cell>
          <cell r="BA169">
            <v>-120923</v>
          </cell>
          <cell r="BB169">
            <v>-12092188</v>
          </cell>
          <cell r="BC169">
            <v>90517370</v>
          </cell>
          <cell r="BD169">
            <v>-4217313</v>
          </cell>
          <cell r="BE169">
            <v>2678604</v>
          </cell>
          <cell r="BF169">
            <v>0</v>
          </cell>
          <cell r="BG169">
            <v>-8030478</v>
          </cell>
          <cell r="BH169">
            <v>-93436</v>
          </cell>
          <cell r="BI169">
            <v>-3926</v>
          </cell>
          <cell r="BJ169">
            <v>0</v>
          </cell>
          <cell r="BK169">
            <v>-3141675</v>
          </cell>
          <cell r="BL169">
            <v>-408430</v>
          </cell>
          <cell r="BM169">
            <v>-198381</v>
          </cell>
          <cell r="BN169">
            <v>-23359</v>
          </cell>
          <cell r="BO169">
            <v>-2420</v>
          </cell>
          <cell r="BP169">
            <v>0</v>
          </cell>
          <cell r="BQ169">
            <v>0</v>
          </cell>
          <cell r="BR169">
            <v>0</v>
          </cell>
          <cell r="BS169">
            <v>0</v>
          </cell>
          <cell r="BT169">
            <v>92659034</v>
          </cell>
          <cell r="BU169">
            <v>-923826</v>
          </cell>
          <cell r="BV169">
            <v>4424648</v>
          </cell>
          <cell r="BW169">
            <v>-1740437</v>
          </cell>
          <cell r="BX169">
            <v>-4154929</v>
          </cell>
          <cell r="BY169">
            <v>-3094545</v>
          </cell>
          <cell r="BZ169">
            <v>83703388</v>
          </cell>
          <cell r="CA169">
            <v>-2077465</v>
          </cell>
          <cell r="CB169">
            <v>-2035915</v>
          </cell>
          <cell r="CC169">
            <v>0</v>
          </cell>
          <cell r="CD169">
            <v>-41549</v>
          </cell>
          <cell r="CE169">
            <v>-1547273</v>
          </cell>
          <cell r="CF169">
            <v>-1516327</v>
          </cell>
          <cell r="CG169">
            <v>0</v>
          </cell>
          <cell r="CH169">
            <v>-30945</v>
          </cell>
        </row>
        <row r="170">
          <cell r="A170">
            <v>163</v>
          </cell>
          <cell r="B170" t="str">
            <v>Melton</v>
          </cell>
          <cell r="C170" t="str">
            <v>E2436</v>
          </cell>
          <cell r="D170">
            <v>62450</v>
          </cell>
          <cell r="H170">
            <v>268237</v>
          </cell>
          <cell r="I170">
            <v>0</v>
          </cell>
          <cell r="J170">
            <v>62450</v>
          </cell>
          <cell r="K170">
            <v>0</v>
          </cell>
          <cell r="L170">
            <v>150000</v>
          </cell>
          <cell r="M170">
            <v>0</v>
          </cell>
          <cell r="N170">
            <v>0</v>
          </cell>
          <cell r="O170">
            <v>0</v>
          </cell>
          <cell r="P170">
            <v>0</v>
          </cell>
          <cell r="Q170">
            <v>0</v>
          </cell>
          <cell r="R170">
            <v>509957</v>
          </cell>
          <cell r="S170">
            <v>114740</v>
          </cell>
          <cell r="T170">
            <v>12749</v>
          </cell>
          <cell r="U170">
            <v>3248</v>
          </cell>
          <cell r="V170">
            <v>731</v>
          </cell>
          <cell r="W170">
            <v>81</v>
          </cell>
          <cell r="X170">
            <v>0</v>
          </cell>
          <cell r="Y170">
            <v>0</v>
          </cell>
          <cell r="Z170">
            <v>0</v>
          </cell>
          <cell r="AA170">
            <v>0</v>
          </cell>
          <cell r="AB170">
            <v>0</v>
          </cell>
          <cell r="AC170">
            <v>0</v>
          </cell>
          <cell r="AD170">
            <v>0</v>
          </cell>
          <cell r="AE170">
            <v>0</v>
          </cell>
          <cell r="AF170">
            <v>0</v>
          </cell>
          <cell r="AG170">
            <v>0</v>
          </cell>
          <cell r="AH170">
            <v>0</v>
          </cell>
          <cell r="AI170">
            <v>0</v>
          </cell>
          <cell r="AM170">
            <v>0</v>
          </cell>
          <cell r="AN170">
            <v>0</v>
          </cell>
          <cell r="AO170">
            <v>0</v>
          </cell>
          <cell r="AP170">
            <v>82759</v>
          </cell>
          <cell r="AQ170">
            <v>18114</v>
          </cell>
          <cell r="AR170">
            <v>2013</v>
          </cell>
          <cell r="AS170">
            <v>-61762.11</v>
          </cell>
          <cell r="AT170">
            <v>-49411</v>
          </cell>
          <cell r="AU170">
            <v>-11119</v>
          </cell>
          <cell r="AV170">
            <v>-1235</v>
          </cell>
          <cell r="AW170">
            <v>-123527.11000000002</v>
          </cell>
          <cell r="AX170">
            <v>-462496.18999999994</v>
          </cell>
          <cell r="AY170">
            <v>-369995</v>
          </cell>
          <cell r="AZ170">
            <v>-83249</v>
          </cell>
          <cell r="BA170">
            <v>-9248</v>
          </cell>
          <cell r="BB170">
            <v>-924988.19</v>
          </cell>
          <cell r="BC170">
            <v>13790504</v>
          </cell>
          <cell r="BD170">
            <v>-1199748</v>
          </cell>
          <cell r="BE170">
            <v>335739</v>
          </cell>
          <cell r="BF170">
            <v>0</v>
          </cell>
          <cell r="BG170">
            <v>-1233288</v>
          </cell>
          <cell r="BH170">
            <v>-35475</v>
          </cell>
          <cell r="BI170">
            <v>-32465</v>
          </cell>
          <cell r="BJ170">
            <v>0</v>
          </cell>
          <cell r="BK170">
            <v>-264032</v>
          </cell>
          <cell r="BL170">
            <v>-40198</v>
          </cell>
          <cell r="BM170">
            <v>-28409</v>
          </cell>
          <cell r="BN170">
            <v>0</v>
          </cell>
          <cell r="BO170">
            <v>-22644</v>
          </cell>
          <cell r="BP170">
            <v>0</v>
          </cell>
          <cell r="BQ170">
            <v>0</v>
          </cell>
          <cell r="BR170">
            <v>0</v>
          </cell>
          <cell r="BS170">
            <v>0</v>
          </cell>
          <cell r="BT170">
            <v>14115350</v>
          </cell>
          <cell r="BU170">
            <v>-122815</v>
          </cell>
          <cell r="BV170">
            <v>520407</v>
          </cell>
          <cell r="BW170">
            <v>-233240</v>
          </cell>
          <cell r="BX170">
            <v>-31484.599999999627</v>
          </cell>
          <cell r="BY170">
            <v>308924</v>
          </cell>
          <cell r="BZ170">
            <v>13398543</v>
          </cell>
          <cell r="CA170">
            <v>-15744.599999999627</v>
          </cell>
          <cell r="CB170">
            <v>-12593</v>
          </cell>
          <cell r="CC170">
            <v>-2833</v>
          </cell>
          <cell r="CD170">
            <v>-314</v>
          </cell>
          <cell r="CE170">
            <v>154462</v>
          </cell>
          <cell r="CF170">
            <v>123570</v>
          </cell>
          <cell r="CG170">
            <v>27803</v>
          </cell>
          <cell r="CH170">
            <v>3089</v>
          </cell>
        </row>
        <row r="171">
          <cell r="A171">
            <v>164</v>
          </cell>
          <cell r="B171" t="str">
            <v>Mendip</v>
          </cell>
          <cell r="C171" t="str">
            <v>E3331</v>
          </cell>
          <cell r="D171">
            <v>165853</v>
          </cell>
          <cell r="H171">
            <v>105905</v>
          </cell>
          <cell r="I171">
            <v>0</v>
          </cell>
          <cell r="J171">
            <v>165853</v>
          </cell>
          <cell r="K171">
            <v>0</v>
          </cell>
          <cell r="L171">
            <v>135318</v>
          </cell>
          <cell r="M171">
            <v>0</v>
          </cell>
          <cell r="N171">
            <v>0</v>
          </cell>
          <cell r="O171">
            <v>0</v>
          </cell>
          <cell r="P171">
            <v>0</v>
          </cell>
          <cell r="Q171">
            <v>0</v>
          </cell>
          <cell r="R171">
            <v>862578</v>
          </cell>
          <cell r="S171">
            <v>194080</v>
          </cell>
          <cell r="T171">
            <v>21564</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M171">
            <v>0</v>
          </cell>
          <cell r="AN171">
            <v>0</v>
          </cell>
          <cell r="AO171">
            <v>0</v>
          </cell>
          <cell r="AP171">
            <v>203668</v>
          </cell>
          <cell r="AQ171">
            <v>45368</v>
          </cell>
          <cell r="AR171">
            <v>5041</v>
          </cell>
          <cell r="AS171">
            <v>-204087</v>
          </cell>
          <cell r="AT171">
            <v>-163272</v>
          </cell>
          <cell r="AU171">
            <v>-36735</v>
          </cell>
          <cell r="AV171">
            <v>-4082</v>
          </cell>
          <cell r="AW171">
            <v>-408176</v>
          </cell>
          <cell r="AX171">
            <v>-1947007</v>
          </cell>
          <cell r="AY171">
            <v>-1557611</v>
          </cell>
          <cell r="AZ171">
            <v>-350464</v>
          </cell>
          <cell r="BA171">
            <v>-38942</v>
          </cell>
          <cell r="BB171">
            <v>-3894024</v>
          </cell>
          <cell r="BC171">
            <v>31463480</v>
          </cell>
          <cell r="BD171">
            <v>-3373961</v>
          </cell>
          <cell r="BE171">
            <v>894762</v>
          </cell>
          <cell r="BF171">
            <v>0</v>
          </cell>
          <cell r="BG171">
            <v>-3071854</v>
          </cell>
          <cell r="BH171">
            <v>-41271</v>
          </cell>
          <cell r="BI171">
            <v>-33371</v>
          </cell>
          <cell r="BJ171">
            <v>-1658</v>
          </cell>
          <cell r="BK171">
            <v>-903342</v>
          </cell>
          <cell r="BL171">
            <v>-43311</v>
          </cell>
          <cell r="BM171">
            <v>-44673</v>
          </cell>
          <cell r="BN171">
            <v>-4699</v>
          </cell>
          <cell r="BO171">
            <v>-21938</v>
          </cell>
          <cell r="BP171">
            <v>-23347</v>
          </cell>
          <cell r="BQ171">
            <v>0</v>
          </cell>
          <cell r="BR171">
            <v>0</v>
          </cell>
          <cell r="BS171">
            <v>0</v>
          </cell>
          <cell r="BT171">
            <v>33497740</v>
          </cell>
          <cell r="BU171">
            <v>-193011</v>
          </cell>
          <cell r="BV171">
            <v>703118</v>
          </cell>
          <cell r="BW171">
            <v>-2381086</v>
          </cell>
          <cell r="BX171">
            <v>-448690</v>
          </cell>
          <cell r="BY171">
            <v>1551675</v>
          </cell>
          <cell r="BZ171">
            <v>33557917</v>
          </cell>
          <cell r="CA171">
            <v>-224345</v>
          </cell>
          <cell r="CB171">
            <v>-179476</v>
          </cell>
          <cell r="CC171">
            <v>-40382</v>
          </cell>
          <cell r="CD171">
            <v>-4487</v>
          </cell>
          <cell r="CE171">
            <v>775837</v>
          </cell>
          <cell r="CF171">
            <v>620670</v>
          </cell>
          <cell r="CG171">
            <v>139651</v>
          </cell>
          <cell r="CH171">
            <v>15517</v>
          </cell>
        </row>
        <row r="172">
          <cell r="A172">
            <v>165</v>
          </cell>
          <cell r="B172" t="str">
            <v>Merton</v>
          </cell>
          <cell r="C172" t="str">
            <v>E5044</v>
          </cell>
          <cell r="D172">
            <v>264360</v>
          </cell>
          <cell r="H172">
            <v>-1664618</v>
          </cell>
          <cell r="I172">
            <v>0</v>
          </cell>
          <cell r="J172">
            <v>264360</v>
          </cell>
          <cell r="K172">
            <v>0</v>
          </cell>
          <cell r="L172">
            <v>0</v>
          </cell>
          <cell r="M172">
            <v>0</v>
          </cell>
          <cell r="N172">
            <v>0</v>
          </cell>
          <cell r="O172">
            <v>0</v>
          </cell>
          <cell r="P172">
            <v>0</v>
          </cell>
          <cell r="Q172">
            <v>0</v>
          </cell>
          <cell r="R172">
            <v>636600</v>
          </cell>
          <cell r="S172">
            <v>785139</v>
          </cell>
          <cell r="T172">
            <v>0</v>
          </cell>
          <cell r="U172">
            <v>0</v>
          </cell>
          <cell r="V172">
            <v>0</v>
          </cell>
          <cell r="W172">
            <v>0</v>
          </cell>
          <cell r="X172">
            <v>347</v>
          </cell>
          <cell r="Y172">
            <v>428</v>
          </cell>
          <cell r="Z172">
            <v>0</v>
          </cell>
          <cell r="AA172">
            <v>1088</v>
          </cell>
          <cell r="AB172">
            <v>1342</v>
          </cell>
          <cell r="AC172">
            <v>0</v>
          </cell>
          <cell r="AD172">
            <v>0</v>
          </cell>
          <cell r="AE172">
            <v>0</v>
          </cell>
          <cell r="AF172">
            <v>0</v>
          </cell>
          <cell r="AG172">
            <v>0</v>
          </cell>
          <cell r="AH172">
            <v>0</v>
          </cell>
          <cell r="AI172">
            <v>0</v>
          </cell>
          <cell r="AM172">
            <v>0</v>
          </cell>
          <cell r="AN172">
            <v>0</v>
          </cell>
          <cell r="AO172">
            <v>0</v>
          </cell>
          <cell r="AP172">
            <v>396577</v>
          </cell>
          <cell r="AQ172">
            <v>489111</v>
          </cell>
          <cell r="AR172">
            <v>0</v>
          </cell>
          <cell r="AS172">
            <v>-1205070</v>
          </cell>
          <cell r="AT172">
            <v>-723041</v>
          </cell>
          <cell r="AU172">
            <v>-482028</v>
          </cell>
          <cell r="AV172">
            <v>0</v>
          </cell>
          <cell r="AW172">
            <v>-2410139</v>
          </cell>
          <cell r="AX172">
            <v>-3500000</v>
          </cell>
          <cell r="AY172">
            <v>-2100000</v>
          </cell>
          <cell r="AZ172">
            <v>-1400000</v>
          </cell>
          <cell r="BA172">
            <v>0</v>
          </cell>
          <cell r="BB172">
            <v>-7000000</v>
          </cell>
          <cell r="BC172">
            <v>85690295</v>
          </cell>
          <cell r="BD172">
            <v>-2853593</v>
          </cell>
          <cell r="BE172">
            <v>2234816</v>
          </cell>
          <cell r="BF172">
            <v>0</v>
          </cell>
          <cell r="BG172">
            <v>-5197144</v>
          </cell>
          <cell r="BH172">
            <v>-130671</v>
          </cell>
          <cell r="BI172">
            <v>0</v>
          </cell>
          <cell r="BJ172">
            <v>-22513</v>
          </cell>
          <cell r="BK172">
            <v>-1376496</v>
          </cell>
          <cell r="BL172">
            <v>-403154</v>
          </cell>
          <cell r="BM172">
            <v>-103639</v>
          </cell>
          <cell r="BN172">
            <v>-5015</v>
          </cell>
          <cell r="BO172">
            <v>0</v>
          </cell>
          <cell r="BP172">
            <v>0</v>
          </cell>
          <cell r="BQ172">
            <v>-18000</v>
          </cell>
          <cell r="BR172">
            <v>0</v>
          </cell>
          <cell r="BS172">
            <v>0</v>
          </cell>
          <cell r="BT172">
            <v>86431051</v>
          </cell>
          <cell r="BU172">
            <v>-556239</v>
          </cell>
          <cell r="BV172">
            <v>3483846</v>
          </cell>
          <cell r="BW172">
            <v>-2865079</v>
          </cell>
          <cell r="BX172">
            <v>-897837</v>
          </cell>
          <cell r="BY172">
            <v>1268292</v>
          </cell>
          <cell r="BZ172">
            <v>88002277</v>
          </cell>
          <cell r="CA172">
            <v>-448919</v>
          </cell>
          <cell r="CB172">
            <v>-269350</v>
          </cell>
          <cell r="CC172">
            <v>-179568</v>
          </cell>
          <cell r="CD172">
            <v>0</v>
          </cell>
          <cell r="CE172">
            <v>634146</v>
          </cell>
          <cell r="CF172">
            <v>380488</v>
          </cell>
          <cell r="CG172">
            <v>253658</v>
          </cell>
          <cell r="CH172">
            <v>0</v>
          </cell>
        </row>
        <row r="173">
          <cell r="A173">
            <v>166</v>
          </cell>
          <cell r="B173" t="str">
            <v>Mid Devon</v>
          </cell>
          <cell r="C173" t="str">
            <v>E1133</v>
          </cell>
          <cell r="D173">
            <v>107103</v>
          </cell>
          <cell r="H173">
            <v>18145</v>
          </cell>
          <cell r="I173">
            <v>0</v>
          </cell>
          <cell r="J173">
            <v>107103</v>
          </cell>
          <cell r="K173">
            <v>0</v>
          </cell>
          <cell r="L173">
            <v>125331</v>
          </cell>
          <cell r="M173">
            <v>0</v>
          </cell>
          <cell r="N173">
            <v>0</v>
          </cell>
          <cell r="O173">
            <v>0</v>
          </cell>
          <cell r="P173">
            <v>0</v>
          </cell>
          <cell r="Q173">
            <v>0</v>
          </cell>
          <cell r="R173">
            <v>588560</v>
          </cell>
          <cell r="S173">
            <v>132426</v>
          </cell>
          <cell r="T173">
            <v>14714</v>
          </cell>
          <cell r="U173">
            <v>2030</v>
          </cell>
          <cell r="V173">
            <v>457</v>
          </cell>
          <cell r="W173">
            <v>51</v>
          </cell>
          <cell r="X173">
            <v>2030</v>
          </cell>
          <cell r="Y173">
            <v>457</v>
          </cell>
          <cell r="Z173">
            <v>51</v>
          </cell>
          <cell r="AA173">
            <v>0</v>
          </cell>
          <cell r="AB173">
            <v>0</v>
          </cell>
          <cell r="AC173">
            <v>0</v>
          </cell>
          <cell r="AD173">
            <v>0</v>
          </cell>
          <cell r="AE173">
            <v>0</v>
          </cell>
          <cell r="AF173">
            <v>0</v>
          </cell>
          <cell r="AG173">
            <v>0</v>
          </cell>
          <cell r="AH173">
            <v>0</v>
          </cell>
          <cell r="AI173">
            <v>0</v>
          </cell>
          <cell r="AM173">
            <v>0</v>
          </cell>
          <cell r="AN173">
            <v>0</v>
          </cell>
          <cell r="AO173">
            <v>0</v>
          </cell>
          <cell r="AP173">
            <v>90924</v>
          </cell>
          <cell r="AQ173">
            <v>20034</v>
          </cell>
          <cell r="AR173">
            <v>2226</v>
          </cell>
          <cell r="AS173">
            <v>-79387</v>
          </cell>
          <cell r="AT173">
            <v>-63509</v>
          </cell>
          <cell r="AU173">
            <v>-14291</v>
          </cell>
          <cell r="AV173">
            <v>-1588</v>
          </cell>
          <cell r="AW173">
            <v>-158775</v>
          </cell>
          <cell r="AX173">
            <v>-204735</v>
          </cell>
          <cell r="AY173">
            <v>-163789</v>
          </cell>
          <cell r="AZ173">
            <v>-36852</v>
          </cell>
          <cell r="BA173">
            <v>-4095</v>
          </cell>
          <cell r="BB173">
            <v>-409471</v>
          </cell>
          <cell r="BC173">
            <v>15421114</v>
          </cell>
          <cell r="BD173">
            <v>-2250456</v>
          </cell>
          <cell r="BE173">
            <v>361706</v>
          </cell>
          <cell r="BF173">
            <v>0</v>
          </cell>
          <cell r="BG173">
            <v>-1319439</v>
          </cell>
          <cell r="BH173">
            <v>-34571</v>
          </cell>
          <cell r="BI173">
            <v>-26093</v>
          </cell>
          <cell r="BJ173">
            <v>-11964</v>
          </cell>
          <cell r="BK173">
            <v>-424522</v>
          </cell>
          <cell r="BL173">
            <v>-59875</v>
          </cell>
          <cell r="BM173">
            <v>-4498</v>
          </cell>
          <cell r="BN173">
            <v>-3312</v>
          </cell>
          <cell r="BO173">
            <v>-2241</v>
          </cell>
          <cell r="BP173">
            <v>0</v>
          </cell>
          <cell r="BQ173">
            <v>0</v>
          </cell>
          <cell r="BR173">
            <v>0</v>
          </cell>
          <cell r="BS173">
            <v>0</v>
          </cell>
          <cell r="BT173">
            <v>14260439</v>
          </cell>
          <cell r="BU173">
            <v>0</v>
          </cell>
          <cell r="BV173">
            <v>377028</v>
          </cell>
          <cell r="BW173">
            <v>-1043367</v>
          </cell>
          <cell r="BX173">
            <v>-356391</v>
          </cell>
          <cell r="BY173">
            <v>-295660</v>
          </cell>
          <cell r="BZ173">
            <v>14818978</v>
          </cell>
          <cell r="CA173">
            <v>-178195</v>
          </cell>
          <cell r="CB173">
            <v>-142556</v>
          </cell>
          <cell r="CC173">
            <v>-32076</v>
          </cell>
          <cell r="CD173">
            <v>-3564</v>
          </cell>
          <cell r="CE173">
            <v>-147830</v>
          </cell>
          <cell r="CF173">
            <v>-118264</v>
          </cell>
          <cell r="CG173">
            <v>-26609</v>
          </cell>
          <cell r="CH173">
            <v>-2957</v>
          </cell>
        </row>
        <row r="174">
          <cell r="A174">
            <v>167</v>
          </cell>
          <cell r="B174" t="str">
            <v>Mid Suffolk</v>
          </cell>
          <cell r="C174" t="str">
            <v>E3534</v>
          </cell>
          <cell r="D174">
            <v>127118</v>
          </cell>
          <cell r="H174">
            <v>466977</v>
          </cell>
          <cell r="I174">
            <v>0</v>
          </cell>
          <cell r="J174">
            <v>127118</v>
          </cell>
          <cell r="K174">
            <v>0</v>
          </cell>
          <cell r="L174">
            <v>136544</v>
          </cell>
          <cell r="M174">
            <v>160256</v>
          </cell>
          <cell r="N174">
            <v>0</v>
          </cell>
          <cell r="O174">
            <v>0</v>
          </cell>
          <cell r="P174">
            <v>0</v>
          </cell>
          <cell r="Q174">
            <v>0</v>
          </cell>
          <cell r="R174">
            <v>536294</v>
          </cell>
          <cell r="S174">
            <v>134074</v>
          </cell>
          <cell r="T174">
            <v>0</v>
          </cell>
          <cell r="U174">
            <v>7369</v>
          </cell>
          <cell r="V174">
            <v>1842</v>
          </cell>
          <cell r="W174">
            <v>0</v>
          </cell>
          <cell r="X174">
            <v>0</v>
          </cell>
          <cell r="Y174">
            <v>0</v>
          </cell>
          <cell r="Z174">
            <v>0</v>
          </cell>
          <cell r="AA174">
            <v>2602</v>
          </cell>
          <cell r="AB174">
            <v>650</v>
          </cell>
          <cell r="AC174">
            <v>0</v>
          </cell>
          <cell r="AD174">
            <v>0</v>
          </cell>
          <cell r="AE174">
            <v>0</v>
          </cell>
          <cell r="AF174">
            <v>0</v>
          </cell>
          <cell r="AG174">
            <v>0</v>
          </cell>
          <cell r="AH174">
            <v>0</v>
          </cell>
          <cell r="AI174">
            <v>0</v>
          </cell>
          <cell r="AM174">
            <v>0</v>
          </cell>
          <cell r="AN174">
            <v>0</v>
          </cell>
          <cell r="AO174">
            <v>0</v>
          </cell>
          <cell r="AP174">
            <v>140127</v>
          </cell>
          <cell r="AQ174">
            <v>36926</v>
          </cell>
          <cell r="AR174">
            <v>0</v>
          </cell>
          <cell r="AS174">
            <v>-67501</v>
          </cell>
          <cell r="AT174">
            <v>-53999</v>
          </cell>
          <cell r="AU174">
            <v>-13500</v>
          </cell>
          <cell r="AV174">
            <v>0</v>
          </cell>
          <cell r="AW174">
            <v>-135000</v>
          </cell>
          <cell r="AX174">
            <v>-880851</v>
          </cell>
          <cell r="AY174">
            <v>-704681</v>
          </cell>
          <cell r="AZ174">
            <v>-176171</v>
          </cell>
          <cell r="BA174">
            <v>0</v>
          </cell>
          <cell r="BB174">
            <v>-1761703</v>
          </cell>
          <cell r="BC174">
            <v>22390300</v>
          </cell>
          <cell r="BD174">
            <v>-2167019</v>
          </cell>
          <cell r="BE174">
            <v>580149</v>
          </cell>
          <cell r="BF174">
            <v>0</v>
          </cell>
          <cell r="BG174">
            <v>-1095330</v>
          </cell>
          <cell r="BH174">
            <v>-39603</v>
          </cell>
          <cell r="BI174">
            <v>-78031</v>
          </cell>
          <cell r="BJ174">
            <v>-85025</v>
          </cell>
          <cell r="BK174">
            <v>-581342</v>
          </cell>
          <cell r="BL174">
            <v>-173084</v>
          </cell>
          <cell r="BM174">
            <v>-94099</v>
          </cell>
          <cell r="BN174">
            <v>-7311</v>
          </cell>
          <cell r="BO174">
            <v>-78030</v>
          </cell>
          <cell r="BP174">
            <v>-66526</v>
          </cell>
          <cell r="BQ174">
            <v>0</v>
          </cell>
          <cell r="BR174">
            <v>0</v>
          </cell>
          <cell r="BS174">
            <v>0</v>
          </cell>
          <cell r="BT174">
            <v>22567796</v>
          </cell>
          <cell r="BU174">
            <v>-100625</v>
          </cell>
          <cell r="BV174">
            <v>519981</v>
          </cell>
          <cell r="BW174">
            <v>-414847</v>
          </cell>
          <cell r="BX174">
            <v>-227223</v>
          </cell>
          <cell r="BY174">
            <v>-342730</v>
          </cell>
          <cell r="BZ174">
            <v>22979750</v>
          </cell>
          <cell r="CA174">
            <v>-113612</v>
          </cell>
          <cell r="CB174">
            <v>-90889</v>
          </cell>
          <cell r="CC174">
            <v>-22722</v>
          </cell>
          <cell r="CD174">
            <v>0</v>
          </cell>
          <cell r="CE174">
            <v>-171365</v>
          </cell>
          <cell r="CF174">
            <v>-137092</v>
          </cell>
          <cell r="CG174">
            <v>-34273</v>
          </cell>
          <cell r="CH174">
            <v>0</v>
          </cell>
        </row>
        <row r="175">
          <cell r="A175">
            <v>168</v>
          </cell>
          <cell r="B175" t="str">
            <v>Mid Sussex</v>
          </cell>
          <cell r="C175" t="str">
            <v>E3836</v>
          </cell>
          <cell r="D175">
            <v>172939</v>
          </cell>
          <cell r="H175">
            <v>578813</v>
          </cell>
          <cell r="I175">
            <v>0</v>
          </cell>
          <cell r="J175">
            <v>172939</v>
          </cell>
          <cell r="K175">
            <v>0</v>
          </cell>
          <cell r="L175">
            <v>0</v>
          </cell>
          <cell r="M175">
            <v>0</v>
          </cell>
          <cell r="N175">
            <v>0</v>
          </cell>
          <cell r="O175">
            <v>0</v>
          </cell>
          <cell r="P175">
            <v>0</v>
          </cell>
          <cell r="Q175">
            <v>0</v>
          </cell>
          <cell r="R175">
            <v>719859</v>
          </cell>
          <cell r="S175">
            <v>179965</v>
          </cell>
          <cell r="T175">
            <v>0</v>
          </cell>
          <cell r="U175">
            <v>0</v>
          </cell>
          <cell r="V175">
            <v>0</v>
          </cell>
          <cell r="W175">
            <v>0</v>
          </cell>
          <cell r="X175">
            <v>15072</v>
          </cell>
          <cell r="Y175">
            <v>3768</v>
          </cell>
          <cell r="Z175">
            <v>0</v>
          </cell>
          <cell r="AA175">
            <v>4831</v>
          </cell>
          <cell r="AB175">
            <v>1208</v>
          </cell>
          <cell r="AC175">
            <v>0</v>
          </cell>
          <cell r="AD175">
            <v>0</v>
          </cell>
          <cell r="AE175">
            <v>0</v>
          </cell>
          <cell r="AF175">
            <v>0</v>
          </cell>
          <cell r="AG175">
            <v>0</v>
          </cell>
          <cell r="AH175">
            <v>0</v>
          </cell>
          <cell r="AI175">
            <v>0</v>
          </cell>
          <cell r="AM175">
            <v>0</v>
          </cell>
          <cell r="AN175">
            <v>0</v>
          </cell>
          <cell r="AO175">
            <v>0</v>
          </cell>
          <cell r="AP175">
            <v>266525</v>
          </cell>
          <cell r="AQ175">
            <v>66631</v>
          </cell>
          <cell r="AR175">
            <v>0</v>
          </cell>
          <cell r="AS175">
            <v>-667898</v>
          </cell>
          <cell r="AT175">
            <v>-534318</v>
          </cell>
          <cell r="AU175">
            <v>-133579</v>
          </cell>
          <cell r="AV175">
            <v>0</v>
          </cell>
          <cell r="AW175">
            <v>-1335795</v>
          </cell>
          <cell r="AX175">
            <v>-3255560</v>
          </cell>
          <cell r="AY175">
            <v>-2604449</v>
          </cell>
          <cell r="AZ175">
            <v>-651113</v>
          </cell>
          <cell r="BA175">
            <v>0</v>
          </cell>
          <cell r="BB175">
            <v>-6511122</v>
          </cell>
          <cell r="BC175">
            <v>41792981</v>
          </cell>
          <cell r="BD175">
            <v>-2691545</v>
          </cell>
          <cell r="BE175">
            <v>1173524</v>
          </cell>
          <cell r="BF175">
            <v>0</v>
          </cell>
          <cell r="BG175">
            <v>-3750003</v>
          </cell>
          <cell r="BH175">
            <v>-55644</v>
          </cell>
          <cell r="BI175">
            <v>-5194</v>
          </cell>
          <cell r="BJ175">
            <v>-8961</v>
          </cell>
          <cell r="BK175">
            <v>-990185</v>
          </cell>
          <cell r="BL175">
            <v>-65827</v>
          </cell>
          <cell r="BM175">
            <v>-717232</v>
          </cell>
          <cell r="BN175">
            <v>-4393</v>
          </cell>
          <cell r="BO175">
            <v>-5194</v>
          </cell>
          <cell r="BP175">
            <v>0</v>
          </cell>
          <cell r="BQ175">
            <v>0</v>
          </cell>
          <cell r="BR175">
            <v>0</v>
          </cell>
          <cell r="BS175">
            <v>0</v>
          </cell>
          <cell r="BT175">
            <v>43996168</v>
          </cell>
          <cell r="BU175">
            <v>-614085</v>
          </cell>
          <cell r="BV175">
            <v>2200894</v>
          </cell>
          <cell r="BW175">
            <v>-1670512</v>
          </cell>
          <cell r="BX175">
            <v>-3642873</v>
          </cell>
          <cell r="BY175">
            <v>-3802285</v>
          </cell>
          <cell r="BZ175">
            <v>44357380</v>
          </cell>
          <cell r="CA175">
            <v>-1821436</v>
          </cell>
          <cell r="CB175">
            <v>-1457150</v>
          </cell>
          <cell r="CC175">
            <v>-364287</v>
          </cell>
          <cell r="CD175">
            <v>0</v>
          </cell>
          <cell r="CE175">
            <v>-1901142</v>
          </cell>
          <cell r="CF175">
            <v>-1520914</v>
          </cell>
          <cell r="CG175">
            <v>-380229</v>
          </cell>
          <cell r="CH175">
            <v>0</v>
          </cell>
        </row>
        <row r="176">
          <cell r="A176">
            <v>169</v>
          </cell>
          <cell r="B176" t="str">
            <v>Middlesbrough</v>
          </cell>
          <cell r="C176" t="str">
            <v>E0702</v>
          </cell>
          <cell r="D176">
            <v>172412</v>
          </cell>
          <cell r="H176">
            <v>-5023849</v>
          </cell>
          <cell r="I176">
            <v>-591685</v>
          </cell>
          <cell r="J176">
            <v>172412</v>
          </cell>
          <cell r="K176">
            <v>0</v>
          </cell>
          <cell r="L176">
            <v>0</v>
          </cell>
          <cell r="M176">
            <v>0</v>
          </cell>
          <cell r="N176">
            <v>0</v>
          </cell>
          <cell r="O176">
            <v>0</v>
          </cell>
          <cell r="P176">
            <v>0</v>
          </cell>
          <cell r="Q176">
            <v>0</v>
          </cell>
          <cell r="R176">
            <v>695871</v>
          </cell>
          <cell r="S176">
            <v>0</v>
          </cell>
          <cell r="T176">
            <v>12687</v>
          </cell>
          <cell r="U176">
            <v>0</v>
          </cell>
          <cell r="V176">
            <v>0</v>
          </cell>
          <cell r="W176">
            <v>0</v>
          </cell>
          <cell r="X176">
            <v>0</v>
          </cell>
          <cell r="Y176">
            <v>0</v>
          </cell>
          <cell r="Z176">
            <v>0</v>
          </cell>
          <cell r="AA176">
            <v>18922</v>
          </cell>
          <cell r="AB176">
            <v>0</v>
          </cell>
          <cell r="AC176">
            <v>64</v>
          </cell>
          <cell r="AD176">
            <v>0</v>
          </cell>
          <cell r="AE176">
            <v>0</v>
          </cell>
          <cell r="AF176">
            <v>0</v>
          </cell>
          <cell r="AG176">
            <v>0</v>
          </cell>
          <cell r="AH176">
            <v>0</v>
          </cell>
          <cell r="AI176">
            <v>0</v>
          </cell>
          <cell r="AM176">
            <v>0</v>
          </cell>
          <cell r="AN176">
            <v>0</v>
          </cell>
          <cell r="AO176">
            <v>0</v>
          </cell>
          <cell r="AP176">
            <v>253119</v>
          </cell>
          <cell r="AQ176">
            <v>0</v>
          </cell>
          <cell r="AR176">
            <v>5166</v>
          </cell>
          <cell r="AS176">
            <v>-2835789</v>
          </cell>
          <cell r="AT176">
            <v>-2779075</v>
          </cell>
          <cell r="AU176">
            <v>0</v>
          </cell>
          <cell r="AV176">
            <v>-56717</v>
          </cell>
          <cell r="AW176">
            <v>-5671581</v>
          </cell>
          <cell r="AX176">
            <v>-750000</v>
          </cell>
          <cell r="AY176">
            <v>-735000</v>
          </cell>
          <cell r="AZ176">
            <v>0</v>
          </cell>
          <cell r="BA176">
            <v>-15000</v>
          </cell>
          <cell r="BB176">
            <v>-1500000</v>
          </cell>
          <cell r="BC176">
            <v>39596270</v>
          </cell>
          <cell r="BD176">
            <v>-2306619</v>
          </cell>
          <cell r="BE176">
            <v>1236299</v>
          </cell>
          <cell r="BF176">
            <v>0</v>
          </cell>
          <cell r="BG176">
            <v>-5905288</v>
          </cell>
          <cell r="BH176">
            <v>-24921</v>
          </cell>
          <cell r="BI176">
            <v>0</v>
          </cell>
          <cell r="BJ176">
            <v>-88824</v>
          </cell>
          <cell r="BK176">
            <v>-2064752</v>
          </cell>
          <cell r="BL176">
            <v>-8946</v>
          </cell>
          <cell r="BM176">
            <v>-45010</v>
          </cell>
          <cell r="BN176">
            <v>0</v>
          </cell>
          <cell r="BO176">
            <v>0</v>
          </cell>
          <cell r="BP176">
            <v>0</v>
          </cell>
          <cell r="BQ176">
            <v>0</v>
          </cell>
          <cell r="BR176">
            <v>0</v>
          </cell>
          <cell r="BS176">
            <v>0</v>
          </cell>
          <cell r="BT176">
            <v>42476413</v>
          </cell>
          <cell r="BU176">
            <v>-2027323</v>
          </cell>
          <cell r="BV176">
            <v>7610339</v>
          </cell>
          <cell r="BW176">
            <v>-2458663</v>
          </cell>
          <cell r="BX176">
            <v>-1712826</v>
          </cell>
          <cell r="BY176">
            <v>-1609410</v>
          </cell>
          <cell r="BZ176">
            <v>34388786</v>
          </cell>
          <cell r="CA176">
            <v>-856414</v>
          </cell>
          <cell r="CB176">
            <v>-839284</v>
          </cell>
          <cell r="CC176">
            <v>0</v>
          </cell>
          <cell r="CD176">
            <v>-17128</v>
          </cell>
          <cell r="CE176">
            <v>-804705</v>
          </cell>
          <cell r="CF176">
            <v>-788611</v>
          </cell>
          <cell r="CG176">
            <v>0</v>
          </cell>
          <cell r="CH176">
            <v>-16094</v>
          </cell>
        </row>
        <row r="177">
          <cell r="A177">
            <v>170</v>
          </cell>
          <cell r="B177" t="str">
            <v>Milton Keynes</v>
          </cell>
          <cell r="C177" t="str">
            <v>E0401</v>
          </cell>
          <cell r="D177">
            <v>389838</v>
          </cell>
          <cell r="H177">
            <v>-911000</v>
          </cell>
          <cell r="I177">
            <v>0</v>
          </cell>
          <cell r="J177">
            <v>389838</v>
          </cell>
          <cell r="K177">
            <v>0</v>
          </cell>
          <cell r="L177">
            <v>158400</v>
          </cell>
          <cell r="M177">
            <v>0</v>
          </cell>
          <cell r="N177">
            <v>0</v>
          </cell>
          <cell r="O177">
            <v>0</v>
          </cell>
          <cell r="P177">
            <v>0</v>
          </cell>
          <cell r="Q177">
            <v>0</v>
          </cell>
          <cell r="R177">
            <v>1027211</v>
          </cell>
          <cell r="S177">
            <v>0</v>
          </cell>
          <cell r="T177">
            <v>20963</v>
          </cell>
          <cell r="U177">
            <v>0</v>
          </cell>
          <cell r="V177">
            <v>0</v>
          </cell>
          <cell r="W177">
            <v>0</v>
          </cell>
          <cell r="X177">
            <v>0</v>
          </cell>
          <cell r="Y177">
            <v>0</v>
          </cell>
          <cell r="Z177">
            <v>0</v>
          </cell>
          <cell r="AA177">
            <v>15593</v>
          </cell>
          <cell r="AB177">
            <v>0</v>
          </cell>
          <cell r="AC177">
            <v>318</v>
          </cell>
          <cell r="AD177">
            <v>0</v>
          </cell>
          <cell r="AE177">
            <v>0</v>
          </cell>
          <cell r="AF177">
            <v>0</v>
          </cell>
          <cell r="AG177">
            <v>0</v>
          </cell>
          <cell r="AH177">
            <v>0</v>
          </cell>
          <cell r="AI177">
            <v>0</v>
          </cell>
          <cell r="AM177">
            <v>0</v>
          </cell>
          <cell r="AN177">
            <v>0</v>
          </cell>
          <cell r="AO177">
            <v>0</v>
          </cell>
          <cell r="AP177">
            <v>1154645</v>
          </cell>
          <cell r="AQ177">
            <v>0</v>
          </cell>
          <cell r="AR177">
            <v>23516</v>
          </cell>
          <cell r="AS177">
            <v>-850000</v>
          </cell>
          <cell r="AT177">
            <v>-833000</v>
          </cell>
          <cell r="AU177">
            <v>0</v>
          </cell>
          <cell r="AV177">
            <v>-17000</v>
          </cell>
          <cell r="AW177">
            <v>-1700000</v>
          </cell>
          <cell r="AX177">
            <v>-18532237</v>
          </cell>
          <cell r="AY177">
            <v>-18161592</v>
          </cell>
          <cell r="AZ177">
            <v>0</v>
          </cell>
          <cell r="BA177">
            <v>-370644</v>
          </cell>
          <cell r="BB177">
            <v>-37064473</v>
          </cell>
          <cell r="BC177">
            <v>159722301</v>
          </cell>
          <cell r="BD177">
            <v>-3900330</v>
          </cell>
          <cell r="BE177">
            <v>4523344</v>
          </cell>
          <cell r="BF177">
            <v>0</v>
          </cell>
          <cell r="BG177">
            <v>-8849998</v>
          </cell>
          <cell r="BH177">
            <v>-55912</v>
          </cell>
          <cell r="BI177">
            <v>-13287</v>
          </cell>
          <cell r="BJ177">
            <v>-639</v>
          </cell>
          <cell r="BK177">
            <v>-6031822</v>
          </cell>
          <cell r="BL177">
            <v>-499045</v>
          </cell>
          <cell r="BM177">
            <v>0</v>
          </cell>
          <cell r="BN177">
            <v>-11183</v>
          </cell>
          <cell r="BO177">
            <v>0</v>
          </cell>
          <cell r="BP177">
            <v>0</v>
          </cell>
          <cell r="BQ177">
            <v>-38145</v>
          </cell>
          <cell r="BR177">
            <v>0</v>
          </cell>
          <cell r="BS177">
            <v>0</v>
          </cell>
          <cell r="BT177">
            <v>162417726</v>
          </cell>
          <cell r="BU177">
            <v>-692010</v>
          </cell>
          <cell r="BV177">
            <v>3803113</v>
          </cell>
          <cell r="BW177">
            <v>-3555232</v>
          </cell>
          <cell r="BX177">
            <v>-2038710</v>
          </cell>
          <cell r="BY177">
            <v>-2758629</v>
          </cell>
          <cell r="BZ177">
            <v>156546839</v>
          </cell>
          <cell r="CA177">
            <v>-1019355</v>
          </cell>
          <cell r="CB177">
            <v>-998968</v>
          </cell>
          <cell r="CC177">
            <v>0</v>
          </cell>
          <cell r="CD177">
            <v>-20387</v>
          </cell>
          <cell r="CE177">
            <v>-1379315</v>
          </cell>
          <cell r="CF177">
            <v>-1351728</v>
          </cell>
          <cell r="CG177">
            <v>0</v>
          </cell>
          <cell r="CH177">
            <v>-27586</v>
          </cell>
        </row>
        <row r="178">
          <cell r="A178">
            <v>171</v>
          </cell>
          <cell r="B178" t="str">
            <v>Mole Valley</v>
          </cell>
          <cell r="C178" t="str">
            <v>E3634</v>
          </cell>
          <cell r="D178">
            <v>154884</v>
          </cell>
          <cell r="H178">
            <v>2715069</v>
          </cell>
          <cell r="I178">
            <v>0</v>
          </cell>
          <cell r="J178">
            <v>154884</v>
          </cell>
          <cell r="K178">
            <v>0</v>
          </cell>
          <cell r="L178">
            <v>0</v>
          </cell>
          <cell r="M178">
            <v>0</v>
          </cell>
          <cell r="N178">
            <v>0</v>
          </cell>
          <cell r="O178">
            <v>0</v>
          </cell>
          <cell r="P178">
            <v>0</v>
          </cell>
          <cell r="Q178">
            <v>0</v>
          </cell>
          <cell r="R178">
            <v>539127</v>
          </cell>
          <cell r="S178">
            <v>134782</v>
          </cell>
          <cell r="T178">
            <v>0</v>
          </cell>
          <cell r="U178">
            <v>9478</v>
          </cell>
          <cell r="V178">
            <v>2369</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M178">
            <v>0</v>
          </cell>
          <cell r="AN178">
            <v>0</v>
          </cell>
          <cell r="AO178">
            <v>0</v>
          </cell>
          <cell r="AP178">
            <v>273677</v>
          </cell>
          <cell r="AQ178">
            <v>68419</v>
          </cell>
          <cell r="AR178">
            <v>0</v>
          </cell>
          <cell r="AS178">
            <v>-295000</v>
          </cell>
          <cell r="AT178">
            <v>-236000</v>
          </cell>
          <cell r="AU178">
            <v>-59000</v>
          </cell>
          <cell r="AV178">
            <v>0</v>
          </cell>
          <cell r="AW178">
            <v>-590000</v>
          </cell>
          <cell r="AX178">
            <v>-1934182</v>
          </cell>
          <cell r="AY178">
            <v>-1547345</v>
          </cell>
          <cell r="AZ178">
            <v>-386835</v>
          </cell>
          <cell r="BA178">
            <v>0</v>
          </cell>
          <cell r="BB178">
            <v>-3868362</v>
          </cell>
          <cell r="BC178">
            <v>35000384</v>
          </cell>
          <cell r="BD178">
            <v>-1987755</v>
          </cell>
          <cell r="BE178">
            <v>991038</v>
          </cell>
          <cell r="BF178">
            <v>0</v>
          </cell>
          <cell r="BG178">
            <v>-2260755</v>
          </cell>
          <cell r="BH178">
            <v>-43148</v>
          </cell>
          <cell r="BI178">
            <v>-7778</v>
          </cell>
          <cell r="BJ178">
            <v>-67673</v>
          </cell>
          <cell r="BK178">
            <v>-930488</v>
          </cell>
          <cell r="BL178">
            <v>-23904</v>
          </cell>
          <cell r="BM178">
            <v>-10479</v>
          </cell>
          <cell r="BN178">
            <v>-2405</v>
          </cell>
          <cell r="BO178">
            <v>-7778</v>
          </cell>
          <cell r="BP178">
            <v>-28200</v>
          </cell>
          <cell r="BQ178">
            <v>0</v>
          </cell>
          <cell r="BR178">
            <v>0</v>
          </cell>
          <cell r="BS178">
            <v>0</v>
          </cell>
          <cell r="BT178">
            <v>38034734</v>
          </cell>
          <cell r="BU178">
            <v>-81850</v>
          </cell>
          <cell r="BV178">
            <v>1342633</v>
          </cell>
          <cell r="BW178">
            <v>-881488</v>
          </cell>
          <cell r="BX178">
            <v>-2207340</v>
          </cell>
          <cell r="BY178">
            <v>-388801</v>
          </cell>
          <cell r="BZ178">
            <v>45547662</v>
          </cell>
          <cell r="CA178">
            <v>-1103669</v>
          </cell>
          <cell r="CB178">
            <v>-882936</v>
          </cell>
          <cell r="CC178">
            <v>-220735</v>
          </cell>
          <cell r="CD178">
            <v>0</v>
          </cell>
          <cell r="CE178">
            <v>-194401</v>
          </cell>
          <cell r="CF178">
            <v>-155520</v>
          </cell>
          <cell r="CG178">
            <v>-38880</v>
          </cell>
          <cell r="CH178">
            <v>0</v>
          </cell>
        </row>
        <row r="179">
          <cell r="A179">
            <v>172</v>
          </cell>
          <cell r="B179" t="str">
            <v>New Forest</v>
          </cell>
          <cell r="C179" t="str">
            <v>E1738</v>
          </cell>
          <cell r="D179">
            <v>278159</v>
          </cell>
          <cell r="H179">
            <v>929963</v>
          </cell>
          <cell r="I179">
            <v>0</v>
          </cell>
          <cell r="J179">
            <v>278159</v>
          </cell>
          <cell r="K179">
            <v>0</v>
          </cell>
          <cell r="L179">
            <v>19990</v>
          </cell>
          <cell r="M179">
            <v>0</v>
          </cell>
          <cell r="N179">
            <v>0</v>
          </cell>
          <cell r="O179">
            <v>0</v>
          </cell>
          <cell r="P179">
            <v>0</v>
          </cell>
          <cell r="Q179">
            <v>0</v>
          </cell>
          <cell r="R179">
            <v>1272559</v>
          </cell>
          <cell r="S179">
            <v>286326</v>
          </cell>
          <cell r="T179">
            <v>31814</v>
          </cell>
          <cell r="U179">
            <v>4059</v>
          </cell>
          <cell r="V179">
            <v>914</v>
          </cell>
          <cell r="W179">
            <v>102</v>
          </cell>
          <cell r="X179">
            <v>3998</v>
          </cell>
          <cell r="Y179">
            <v>900</v>
          </cell>
          <cell r="Z179">
            <v>100</v>
          </cell>
          <cell r="AA179">
            <v>2030</v>
          </cell>
          <cell r="AB179">
            <v>457</v>
          </cell>
          <cell r="AC179">
            <v>51</v>
          </cell>
          <cell r="AD179">
            <v>0</v>
          </cell>
          <cell r="AE179">
            <v>0</v>
          </cell>
          <cell r="AF179">
            <v>0</v>
          </cell>
          <cell r="AG179">
            <v>0</v>
          </cell>
          <cell r="AH179">
            <v>0</v>
          </cell>
          <cell r="AI179">
            <v>0</v>
          </cell>
          <cell r="AM179">
            <v>0</v>
          </cell>
          <cell r="AN179">
            <v>0</v>
          </cell>
          <cell r="AO179">
            <v>0</v>
          </cell>
          <cell r="AP179">
            <v>384834</v>
          </cell>
          <cell r="AQ179">
            <v>86520</v>
          </cell>
          <cell r="AR179">
            <v>9613</v>
          </cell>
          <cell r="AS179">
            <v>-223378</v>
          </cell>
          <cell r="AT179">
            <v>-178704</v>
          </cell>
          <cell r="AU179">
            <v>-40209</v>
          </cell>
          <cell r="AV179">
            <v>-4469</v>
          </cell>
          <cell r="AW179">
            <v>-446760</v>
          </cell>
          <cell r="AX179">
            <v>-2982499</v>
          </cell>
          <cell r="AY179">
            <v>-2386000</v>
          </cell>
          <cell r="AZ179">
            <v>-536850</v>
          </cell>
          <cell r="BA179">
            <v>-59651</v>
          </cell>
          <cell r="BB179">
            <v>-5965000</v>
          </cell>
          <cell r="BC179">
            <v>66990813</v>
          </cell>
          <cell r="BD179">
            <v>-4573916</v>
          </cell>
          <cell r="BE179">
            <v>1680177</v>
          </cell>
          <cell r="BF179">
            <v>0</v>
          </cell>
          <cell r="BG179">
            <v>-3304864</v>
          </cell>
          <cell r="BH179">
            <v>-82744</v>
          </cell>
          <cell r="BI179">
            <v>-16802</v>
          </cell>
          <cell r="BJ179">
            <v>-4569</v>
          </cell>
          <cell r="BK179">
            <v>-1261429</v>
          </cell>
          <cell r="BL179">
            <v>-102223</v>
          </cell>
          <cell r="BM179">
            <v>-36579</v>
          </cell>
          <cell r="BN179">
            <v>0</v>
          </cell>
          <cell r="BO179">
            <v>-9679</v>
          </cell>
          <cell r="BP179">
            <v>-5445</v>
          </cell>
          <cell r="BQ179">
            <v>0</v>
          </cell>
          <cell r="BR179">
            <v>0</v>
          </cell>
          <cell r="BS179">
            <v>0</v>
          </cell>
          <cell r="BT179">
            <v>61606063</v>
          </cell>
          <cell r="BU179">
            <v>-227881</v>
          </cell>
          <cell r="BV179">
            <v>1220382</v>
          </cell>
          <cell r="BW179">
            <v>-2633975</v>
          </cell>
          <cell r="BX179">
            <v>932865</v>
          </cell>
          <cell r="BY179">
            <v>-864131</v>
          </cell>
          <cell r="BZ179">
            <v>63997386</v>
          </cell>
          <cell r="CA179">
            <v>466432</v>
          </cell>
          <cell r="CB179">
            <v>373146</v>
          </cell>
          <cell r="CC179">
            <v>83958</v>
          </cell>
          <cell r="CD179">
            <v>9329</v>
          </cell>
          <cell r="CE179">
            <v>-432066</v>
          </cell>
          <cell r="CF179">
            <v>-345652</v>
          </cell>
          <cell r="CG179">
            <v>-77772</v>
          </cell>
          <cell r="CH179">
            <v>-8641</v>
          </cell>
        </row>
        <row r="180">
          <cell r="A180">
            <v>173</v>
          </cell>
          <cell r="B180" t="str">
            <v>Newark and Sherwood</v>
          </cell>
          <cell r="C180" t="str">
            <v>E3036</v>
          </cell>
          <cell r="D180">
            <v>164307</v>
          </cell>
          <cell r="H180">
            <v>1241756</v>
          </cell>
          <cell r="I180">
            <v>0</v>
          </cell>
          <cell r="J180">
            <v>164307</v>
          </cell>
          <cell r="K180">
            <v>0</v>
          </cell>
          <cell r="L180">
            <v>170000</v>
          </cell>
          <cell r="M180">
            <v>0</v>
          </cell>
          <cell r="N180">
            <v>0</v>
          </cell>
          <cell r="O180">
            <v>0</v>
          </cell>
          <cell r="P180">
            <v>0</v>
          </cell>
          <cell r="Q180">
            <v>0</v>
          </cell>
          <cell r="R180">
            <v>678455</v>
          </cell>
          <cell r="S180">
            <v>152653</v>
          </cell>
          <cell r="T180">
            <v>16961</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M180">
            <v>0</v>
          </cell>
          <cell r="AN180">
            <v>0</v>
          </cell>
          <cell r="AO180">
            <v>0</v>
          </cell>
          <cell r="AP180">
            <v>255082</v>
          </cell>
          <cell r="AQ180">
            <v>56819</v>
          </cell>
          <cell r="AR180">
            <v>6313</v>
          </cell>
          <cell r="AS180">
            <v>-188313</v>
          </cell>
          <cell r="AT180">
            <v>-150651</v>
          </cell>
          <cell r="AU180">
            <v>-33896</v>
          </cell>
          <cell r="AV180">
            <v>-3767</v>
          </cell>
          <cell r="AW180">
            <v>-376627</v>
          </cell>
          <cell r="AX180">
            <v>-4481292</v>
          </cell>
          <cell r="AY180">
            <v>-3585033</v>
          </cell>
          <cell r="AZ180">
            <v>-806632</v>
          </cell>
          <cell r="BA180">
            <v>-89626</v>
          </cell>
          <cell r="BB180">
            <v>-8962583</v>
          </cell>
          <cell r="BC180">
            <v>33616152</v>
          </cell>
          <cell r="BD180">
            <v>-2837654</v>
          </cell>
          <cell r="BE180">
            <v>1011467</v>
          </cell>
          <cell r="BF180">
            <v>0</v>
          </cell>
          <cell r="BG180">
            <v>-1651205</v>
          </cell>
          <cell r="BH180">
            <v>-80892</v>
          </cell>
          <cell r="BI180">
            <v>-28977</v>
          </cell>
          <cell r="BJ180">
            <v>0</v>
          </cell>
          <cell r="BK180">
            <v>-991175</v>
          </cell>
          <cell r="BL180">
            <v>-24940</v>
          </cell>
          <cell r="BM180">
            <v>-164476</v>
          </cell>
          <cell r="BN180">
            <v>0</v>
          </cell>
          <cell r="BO180">
            <v>-4358</v>
          </cell>
          <cell r="BP180">
            <v>0</v>
          </cell>
          <cell r="BQ180">
            <v>0</v>
          </cell>
          <cell r="BR180">
            <v>0</v>
          </cell>
          <cell r="BS180">
            <v>0</v>
          </cell>
          <cell r="BT180">
            <v>39575421</v>
          </cell>
          <cell r="BU180">
            <v>-128648</v>
          </cell>
          <cell r="BV180">
            <v>1131160</v>
          </cell>
          <cell r="BW180">
            <v>-241093</v>
          </cell>
          <cell r="BX180">
            <v>-4403505</v>
          </cell>
          <cell r="BY180">
            <v>-4392469</v>
          </cell>
          <cell r="BZ180">
            <v>42027947</v>
          </cell>
          <cell r="CA180">
            <v>-2201753</v>
          </cell>
          <cell r="CB180">
            <v>-1761401</v>
          </cell>
          <cell r="CC180">
            <v>-396316</v>
          </cell>
          <cell r="CD180">
            <v>-44035</v>
          </cell>
          <cell r="CE180">
            <v>-2196234</v>
          </cell>
          <cell r="CF180">
            <v>-1756988</v>
          </cell>
          <cell r="CG180">
            <v>-395322</v>
          </cell>
          <cell r="CH180">
            <v>-43925</v>
          </cell>
        </row>
        <row r="181">
          <cell r="A181">
            <v>174</v>
          </cell>
          <cell r="B181" t="str">
            <v>Newcastle-upon-Tyne</v>
          </cell>
          <cell r="C181" t="str">
            <v>E4502</v>
          </cell>
          <cell r="D181">
            <v>463069</v>
          </cell>
          <cell r="H181">
            <v>-10833651</v>
          </cell>
          <cell r="I181">
            <v>-1040725</v>
          </cell>
          <cell r="J181">
            <v>463069</v>
          </cell>
          <cell r="K181">
            <v>603613</v>
          </cell>
          <cell r="L181">
            <v>0</v>
          </cell>
          <cell r="M181">
            <v>0</v>
          </cell>
          <cell r="N181">
            <v>0</v>
          </cell>
          <cell r="O181">
            <v>0</v>
          </cell>
          <cell r="P181">
            <v>0</v>
          </cell>
          <cell r="Q181">
            <v>0</v>
          </cell>
          <cell r="R181">
            <v>2006611</v>
          </cell>
          <cell r="S181">
            <v>0</v>
          </cell>
          <cell r="T181">
            <v>40564</v>
          </cell>
          <cell r="U181">
            <v>12452</v>
          </cell>
          <cell r="V181">
            <v>0</v>
          </cell>
          <cell r="W181">
            <v>254</v>
          </cell>
          <cell r="X181">
            <v>0</v>
          </cell>
          <cell r="Y181">
            <v>0</v>
          </cell>
          <cell r="Z181">
            <v>0</v>
          </cell>
          <cell r="AA181">
            <v>47250</v>
          </cell>
          <cell r="AB181">
            <v>0</v>
          </cell>
          <cell r="AC181">
            <v>964</v>
          </cell>
          <cell r="AD181">
            <v>0</v>
          </cell>
          <cell r="AE181">
            <v>0</v>
          </cell>
          <cell r="AF181">
            <v>0</v>
          </cell>
          <cell r="AG181">
            <v>0</v>
          </cell>
          <cell r="AH181">
            <v>0</v>
          </cell>
          <cell r="AI181">
            <v>0</v>
          </cell>
          <cell r="AM181">
            <v>0</v>
          </cell>
          <cell r="AN181">
            <v>0</v>
          </cell>
          <cell r="AO181">
            <v>0</v>
          </cell>
          <cell r="AP181">
            <v>1014118</v>
          </cell>
          <cell r="AQ181">
            <v>0</v>
          </cell>
          <cell r="AR181">
            <v>20511</v>
          </cell>
          <cell r="AS181">
            <v>-1651394.23</v>
          </cell>
          <cell r="AT181">
            <v>-1618368</v>
          </cell>
          <cell r="AU181">
            <v>0</v>
          </cell>
          <cell r="AV181">
            <v>-33028</v>
          </cell>
          <cell r="AW181">
            <v>-3302790.23</v>
          </cell>
          <cell r="AX181">
            <v>-9031372</v>
          </cell>
          <cell r="AY181">
            <v>-8850744</v>
          </cell>
          <cell r="AZ181">
            <v>0</v>
          </cell>
          <cell r="BA181">
            <v>-180627</v>
          </cell>
          <cell r="BB181">
            <v>-18062743</v>
          </cell>
          <cell r="BC181">
            <v>144566419</v>
          </cell>
          <cell r="BD181">
            <v>-5432047</v>
          </cell>
          <cell r="BE181">
            <v>4526371</v>
          </cell>
          <cell r="BF181">
            <v>0</v>
          </cell>
          <cell r="BG181">
            <v>-15552560</v>
          </cell>
          <cell r="BH181">
            <v>-133057</v>
          </cell>
          <cell r="BI181">
            <v>-1566</v>
          </cell>
          <cell r="BJ181">
            <v>-203454</v>
          </cell>
          <cell r="BK181">
            <v>-8991146</v>
          </cell>
          <cell r="BL181">
            <v>-203479</v>
          </cell>
          <cell r="BM181">
            <v>-394630</v>
          </cell>
          <cell r="BN181">
            <v>-21560</v>
          </cell>
          <cell r="BO181">
            <v>0</v>
          </cell>
          <cell r="BP181">
            <v>0</v>
          </cell>
          <cell r="BQ181">
            <v>0</v>
          </cell>
          <cell r="BR181">
            <v>0</v>
          </cell>
          <cell r="BS181">
            <v>0</v>
          </cell>
          <cell r="BT181">
            <v>148573132</v>
          </cell>
          <cell r="BU181">
            <v>-2902559</v>
          </cell>
          <cell r="BV181">
            <v>8248622</v>
          </cell>
          <cell r="BW181">
            <v>-6632442</v>
          </cell>
          <cell r="BX181">
            <v>-17795000</v>
          </cell>
          <cell r="BY181">
            <v>-15976233</v>
          </cell>
          <cell r="BZ181">
            <v>136546237</v>
          </cell>
          <cell r="CA181">
            <v>-8897500</v>
          </cell>
          <cell r="CB181">
            <v>-8719550</v>
          </cell>
          <cell r="CC181">
            <v>0</v>
          </cell>
          <cell r="CD181">
            <v>-177950</v>
          </cell>
          <cell r="CE181">
            <v>-7988117</v>
          </cell>
          <cell r="CF181">
            <v>-7828354</v>
          </cell>
          <cell r="CG181">
            <v>0</v>
          </cell>
          <cell r="CH181">
            <v>-159762</v>
          </cell>
        </row>
        <row r="182">
          <cell r="A182">
            <v>175</v>
          </cell>
          <cell r="B182" t="str">
            <v>Newcastle-under-Lyme</v>
          </cell>
          <cell r="C182" t="str">
            <v>E3434</v>
          </cell>
          <cell r="D182">
            <v>137513</v>
          </cell>
          <cell r="H182">
            <v>-561947</v>
          </cell>
          <cell r="I182">
            <v>0</v>
          </cell>
          <cell r="J182">
            <v>137513</v>
          </cell>
          <cell r="K182">
            <v>0</v>
          </cell>
          <cell r="L182">
            <v>0</v>
          </cell>
          <cell r="M182">
            <v>0</v>
          </cell>
          <cell r="N182">
            <v>0</v>
          </cell>
          <cell r="O182">
            <v>0</v>
          </cell>
          <cell r="P182">
            <v>0</v>
          </cell>
          <cell r="Q182">
            <v>0</v>
          </cell>
          <cell r="R182">
            <v>595923</v>
          </cell>
          <cell r="S182">
            <v>134083</v>
          </cell>
          <cell r="T182">
            <v>14898</v>
          </cell>
          <cell r="U182">
            <v>0</v>
          </cell>
          <cell r="V182">
            <v>0</v>
          </cell>
          <cell r="W182">
            <v>0</v>
          </cell>
          <cell r="X182">
            <v>0</v>
          </cell>
          <cell r="Y182">
            <v>0</v>
          </cell>
          <cell r="Z182">
            <v>0</v>
          </cell>
          <cell r="AA182">
            <v>28569</v>
          </cell>
          <cell r="AB182">
            <v>6428</v>
          </cell>
          <cell r="AC182">
            <v>714</v>
          </cell>
          <cell r="AD182">
            <v>0</v>
          </cell>
          <cell r="AE182">
            <v>0</v>
          </cell>
          <cell r="AF182">
            <v>0</v>
          </cell>
          <cell r="AG182">
            <v>0</v>
          </cell>
          <cell r="AH182">
            <v>0</v>
          </cell>
          <cell r="AI182">
            <v>0</v>
          </cell>
          <cell r="AM182">
            <v>0</v>
          </cell>
          <cell r="AN182">
            <v>0</v>
          </cell>
          <cell r="AO182">
            <v>0</v>
          </cell>
          <cell r="AP182">
            <v>194467</v>
          </cell>
          <cell r="AQ182">
            <v>43755</v>
          </cell>
          <cell r="AR182">
            <v>4862</v>
          </cell>
          <cell r="AS182">
            <v>-383544.5</v>
          </cell>
          <cell r="AT182">
            <v>-306835.59999999998</v>
          </cell>
          <cell r="AU182">
            <v>-69038.210000000006</v>
          </cell>
          <cell r="AV182">
            <v>-7671.6900000000005</v>
          </cell>
          <cell r="AW182">
            <v>-767090</v>
          </cell>
          <cell r="AX182">
            <v>-906069</v>
          </cell>
          <cell r="AY182">
            <v>-724855</v>
          </cell>
          <cell r="AZ182">
            <v>-163092</v>
          </cell>
          <cell r="BA182">
            <v>-18121</v>
          </cell>
          <cell r="BB182">
            <v>-1812137</v>
          </cell>
          <cell r="BC182">
            <v>33837009</v>
          </cell>
          <cell r="BD182">
            <v>-2362271</v>
          </cell>
          <cell r="BE182">
            <v>939001</v>
          </cell>
          <cell r="BF182">
            <v>0</v>
          </cell>
          <cell r="BG182">
            <v>-2962832</v>
          </cell>
          <cell r="BH182">
            <v>-15188</v>
          </cell>
          <cell r="BI182">
            <v>-13015</v>
          </cell>
          <cell r="BJ182">
            <v>-387117</v>
          </cell>
          <cell r="BK182">
            <v>-1154392</v>
          </cell>
          <cell r="BL182">
            <v>-14928</v>
          </cell>
          <cell r="BM182">
            <v>-85264</v>
          </cell>
          <cell r="BN182">
            <v>0</v>
          </cell>
          <cell r="BO182">
            <v>0</v>
          </cell>
          <cell r="BP182">
            <v>0</v>
          </cell>
          <cell r="BQ182">
            <v>0</v>
          </cell>
          <cell r="BR182">
            <v>0</v>
          </cell>
          <cell r="BS182">
            <v>0</v>
          </cell>
          <cell r="BT182">
            <v>34678369</v>
          </cell>
          <cell r="BU182">
            <v>-555223</v>
          </cell>
          <cell r="BV182">
            <v>1931465</v>
          </cell>
          <cell r="BW182">
            <v>-431133</v>
          </cell>
          <cell r="BX182">
            <v>-131455</v>
          </cell>
          <cell r="BY182">
            <v>48635</v>
          </cell>
          <cell r="BZ182">
            <v>32364871</v>
          </cell>
          <cell r="CA182">
            <v>-65729</v>
          </cell>
          <cell r="CB182">
            <v>-52581</v>
          </cell>
          <cell r="CC182">
            <v>-11831</v>
          </cell>
          <cell r="CD182">
            <v>-1314</v>
          </cell>
          <cell r="CE182">
            <v>24318</v>
          </cell>
          <cell r="CF182">
            <v>19454</v>
          </cell>
          <cell r="CG182">
            <v>4377</v>
          </cell>
          <cell r="CH182">
            <v>486</v>
          </cell>
        </row>
        <row r="183">
          <cell r="A183">
            <v>176</v>
          </cell>
          <cell r="B183" t="str">
            <v>Newham</v>
          </cell>
          <cell r="C183" t="str">
            <v>E5045</v>
          </cell>
          <cell r="D183">
            <v>381427</v>
          </cell>
          <cell r="H183">
            <v>6073151</v>
          </cell>
          <cell r="I183">
            <v>-27646</v>
          </cell>
          <cell r="J183">
            <v>381427</v>
          </cell>
          <cell r="K183">
            <v>367341</v>
          </cell>
          <cell r="L183">
            <v>0</v>
          </cell>
          <cell r="M183">
            <v>0</v>
          </cell>
          <cell r="N183">
            <v>76405</v>
          </cell>
          <cell r="O183">
            <v>76405</v>
          </cell>
          <cell r="P183">
            <v>0</v>
          </cell>
          <cell r="Q183">
            <v>0</v>
          </cell>
          <cell r="R183">
            <v>1102332</v>
          </cell>
          <cell r="S183">
            <v>1354914</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M183">
            <v>0</v>
          </cell>
          <cell r="AN183">
            <v>0</v>
          </cell>
          <cell r="AO183">
            <v>0</v>
          </cell>
          <cell r="AP183">
            <v>670839</v>
          </cell>
          <cell r="AQ183">
            <v>819147</v>
          </cell>
          <cell r="AR183">
            <v>0</v>
          </cell>
          <cell r="AS183">
            <v>-1375495.5599999998</v>
          </cell>
          <cell r="AT183">
            <v>-825297</v>
          </cell>
          <cell r="AU183">
            <v>-550197</v>
          </cell>
          <cell r="AV183">
            <v>0</v>
          </cell>
          <cell r="AW183">
            <v>-2750989.5599999996</v>
          </cell>
          <cell r="AX183">
            <v>-2544319</v>
          </cell>
          <cell r="AY183">
            <v>-1526589</v>
          </cell>
          <cell r="AZ183">
            <v>-1017726</v>
          </cell>
          <cell r="BA183">
            <v>0</v>
          </cell>
          <cell r="BB183">
            <v>-5088634</v>
          </cell>
          <cell r="BC183">
            <v>129914032</v>
          </cell>
          <cell r="BD183">
            <v>-5203257</v>
          </cell>
          <cell r="BE183">
            <v>3558837</v>
          </cell>
          <cell r="BF183">
            <v>0</v>
          </cell>
          <cell r="BG183">
            <v>-10926113</v>
          </cell>
          <cell r="BH183">
            <v>0</v>
          </cell>
          <cell r="BI183">
            <v>0</v>
          </cell>
          <cell r="BJ183">
            <v>-178995</v>
          </cell>
          <cell r="BK183">
            <v>-5130468</v>
          </cell>
          <cell r="BL183">
            <v>0</v>
          </cell>
          <cell r="BM183">
            <v>0</v>
          </cell>
          <cell r="BN183">
            <v>0</v>
          </cell>
          <cell r="BO183">
            <v>0</v>
          </cell>
          <cell r="BP183">
            <v>0</v>
          </cell>
          <cell r="BQ183">
            <v>-280015</v>
          </cell>
          <cell r="BR183">
            <v>-775141</v>
          </cell>
          <cell r="BS183">
            <v>0</v>
          </cell>
          <cell r="BT183">
            <v>126352679</v>
          </cell>
          <cell r="BU183">
            <v>-32500</v>
          </cell>
          <cell r="BV183">
            <v>4414837</v>
          </cell>
          <cell r="BW183">
            <v>-13362145</v>
          </cell>
          <cell r="BX183">
            <v>-5467514</v>
          </cell>
          <cell r="BY183">
            <v>-8563125</v>
          </cell>
          <cell r="BZ183">
            <v>147383130</v>
          </cell>
          <cell r="CA183">
            <v>-2733757</v>
          </cell>
          <cell r="CB183">
            <v>-1640254</v>
          </cell>
          <cell r="CC183">
            <v>-1093503</v>
          </cell>
          <cell r="CD183">
            <v>0</v>
          </cell>
          <cell r="CE183">
            <v>-4281562</v>
          </cell>
          <cell r="CF183">
            <v>-2568938</v>
          </cell>
          <cell r="CG183">
            <v>-1712625</v>
          </cell>
          <cell r="CH183">
            <v>0</v>
          </cell>
        </row>
        <row r="184">
          <cell r="A184">
            <v>177</v>
          </cell>
          <cell r="B184" t="str">
            <v>North Devon</v>
          </cell>
          <cell r="C184" t="str">
            <v>E1134</v>
          </cell>
          <cell r="D184">
            <v>201008</v>
          </cell>
          <cell r="H184">
            <v>-1118949</v>
          </cell>
          <cell r="I184">
            <v>0</v>
          </cell>
          <cell r="J184">
            <v>201008</v>
          </cell>
          <cell r="K184">
            <v>0</v>
          </cell>
          <cell r="L184">
            <v>311000</v>
          </cell>
          <cell r="M184">
            <v>0</v>
          </cell>
          <cell r="N184">
            <v>0</v>
          </cell>
          <cell r="O184">
            <v>0</v>
          </cell>
          <cell r="P184">
            <v>0</v>
          </cell>
          <cell r="Q184">
            <v>0</v>
          </cell>
          <cell r="R184">
            <v>1175221</v>
          </cell>
          <cell r="S184">
            <v>264425</v>
          </cell>
          <cell r="T184">
            <v>29381</v>
          </cell>
          <cell r="U184">
            <v>2075</v>
          </cell>
          <cell r="V184">
            <v>467</v>
          </cell>
          <cell r="W184">
            <v>52</v>
          </cell>
          <cell r="X184">
            <v>0</v>
          </cell>
          <cell r="Y184">
            <v>0</v>
          </cell>
          <cell r="Z184">
            <v>0</v>
          </cell>
          <cell r="AA184">
            <v>670</v>
          </cell>
          <cell r="AB184">
            <v>151</v>
          </cell>
          <cell r="AC184">
            <v>17</v>
          </cell>
          <cell r="AD184">
            <v>0</v>
          </cell>
          <cell r="AE184">
            <v>0</v>
          </cell>
          <cell r="AF184">
            <v>0</v>
          </cell>
          <cell r="AG184">
            <v>0</v>
          </cell>
          <cell r="AH184">
            <v>0</v>
          </cell>
          <cell r="AI184">
            <v>0</v>
          </cell>
          <cell r="AM184">
            <v>0</v>
          </cell>
          <cell r="AN184">
            <v>0</v>
          </cell>
          <cell r="AO184">
            <v>0</v>
          </cell>
          <cell r="AP184">
            <v>191025</v>
          </cell>
          <cell r="AQ184">
            <v>41930</v>
          </cell>
          <cell r="AR184">
            <v>4659</v>
          </cell>
          <cell r="AS184">
            <v>-423186</v>
          </cell>
          <cell r="AT184">
            <v>-338550</v>
          </cell>
          <cell r="AU184">
            <v>-76173</v>
          </cell>
          <cell r="AV184">
            <v>-8464</v>
          </cell>
          <cell r="AW184">
            <v>-846373</v>
          </cell>
          <cell r="AX184">
            <v>-504527</v>
          </cell>
          <cell r="AY184">
            <v>-403623</v>
          </cell>
          <cell r="AZ184">
            <v>-90816</v>
          </cell>
          <cell r="BA184">
            <v>-10090</v>
          </cell>
          <cell r="BB184">
            <v>-1009056</v>
          </cell>
          <cell r="BC184">
            <v>31732787</v>
          </cell>
          <cell r="BD184">
            <v>-4876855</v>
          </cell>
          <cell r="BE184">
            <v>836168</v>
          </cell>
          <cell r="BF184">
            <v>0</v>
          </cell>
          <cell r="BG184">
            <v>-2428544</v>
          </cell>
          <cell r="BH184">
            <v>-119560</v>
          </cell>
          <cell r="BI184">
            <v>-38723</v>
          </cell>
          <cell r="BJ184">
            <v>-946</v>
          </cell>
          <cell r="BK184">
            <v>-819007</v>
          </cell>
          <cell r="BL184">
            <v>-117809</v>
          </cell>
          <cell r="BM184">
            <v>-171643</v>
          </cell>
          <cell r="BN184">
            <v>-8541</v>
          </cell>
          <cell r="BO184">
            <v>-13525</v>
          </cell>
          <cell r="BP184">
            <v>-13177</v>
          </cell>
          <cell r="BQ184">
            <v>0</v>
          </cell>
          <cell r="BR184">
            <v>0</v>
          </cell>
          <cell r="BS184">
            <v>0</v>
          </cell>
          <cell r="BT184">
            <v>32186783</v>
          </cell>
          <cell r="BU184">
            <v>-297743</v>
          </cell>
          <cell r="BV184">
            <v>1848626</v>
          </cell>
          <cell r="BW184">
            <v>-1005395</v>
          </cell>
          <cell r="BX184">
            <v>-2802331</v>
          </cell>
          <cell r="BY184">
            <v>-2598951</v>
          </cell>
          <cell r="BZ184">
            <v>31014582</v>
          </cell>
          <cell r="CA184">
            <v>-1401166</v>
          </cell>
          <cell r="CB184">
            <v>-1120932</v>
          </cell>
          <cell r="CC184">
            <v>-252210</v>
          </cell>
          <cell r="CD184">
            <v>-28023</v>
          </cell>
          <cell r="CE184">
            <v>-1299475</v>
          </cell>
          <cell r="CF184">
            <v>-1039580</v>
          </cell>
          <cell r="CG184">
            <v>-233906</v>
          </cell>
          <cell r="CH184">
            <v>-25990</v>
          </cell>
        </row>
        <row r="185">
          <cell r="A185">
            <v>178</v>
          </cell>
          <cell r="B185" t="str">
            <v>North Dorset</v>
          </cell>
          <cell r="C185" t="str">
            <v>E1234</v>
          </cell>
          <cell r="D185">
            <v>92680</v>
          </cell>
          <cell r="H185">
            <v>87854</v>
          </cell>
          <cell r="I185">
            <v>0</v>
          </cell>
          <cell r="J185">
            <v>92680</v>
          </cell>
          <cell r="K185">
            <v>0</v>
          </cell>
          <cell r="L185">
            <v>124121</v>
          </cell>
          <cell r="M185">
            <v>0</v>
          </cell>
          <cell r="N185">
            <v>0</v>
          </cell>
          <cell r="O185">
            <v>0</v>
          </cell>
          <cell r="P185">
            <v>0</v>
          </cell>
          <cell r="Q185">
            <v>0</v>
          </cell>
          <cell r="R185">
            <v>497071</v>
          </cell>
          <cell r="S185">
            <v>111841</v>
          </cell>
          <cell r="T185">
            <v>12427</v>
          </cell>
          <cell r="U185">
            <v>4545</v>
          </cell>
          <cell r="V185">
            <v>1023</v>
          </cell>
          <cell r="W185">
            <v>114</v>
          </cell>
          <cell r="X185">
            <v>0</v>
          </cell>
          <cell r="Y185">
            <v>0</v>
          </cell>
          <cell r="Z185">
            <v>0</v>
          </cell>
          <cell r="AA185">
            <v>6064</v>
          </cell>
          <cell r="AB185">
            <v>1365</v>
          </cell>
          <cell r="AC185">
            <v>152</v>
          </cell>
          <cell r="AD185">
            <v>0</v>
          </cell>
          <cell r="AE185">
            <v>0</v>
          </cell>
          <cell r="AF185">
            <v>0</v>
          </cell>
          <cell r="AG185">
            <v>0</v>
          </cell>
          <cell r="AH185">
            <v>0</v>
          </cell>
          <cell r="AI185">
            <v>0</v>
          </cell>
          <cell r="AM185">
            <v>0</v>
          </cell>
          <cell r="AN185">
            <v>0</v>
          </cell>
          <cell r="AO185">
            <v>0</v>
          </cell>
          <cell r="AP185">
            <v>75461</v>
          </cell>
          <cell r="AQ185">
            <v>16559</v>
          </cell>
          <cell r="AR185">
            <v>1840</v>
          </cell>
          <cell r="AS185">
            <v>-245998</v>
          </cell>
          <cell r="AT185">
            <v>-196800</v>
          </cell>
          <cell r="AU185">
            <v>-44281</v>
          </cell>
          <cell r="AV185">
            <v>-4921</v>
          </cell>
          <cell r="AW185">
            <v>-492000</v>
          </cell>
          <cell r="AX185">
            <v>-821816</v>
          </cell>
          <cell r="AY185">
            <v>-657453</v>
          </cell>
          <cell r="AZ185">
            <v>-147926</v>
          </cell>
          <cell r="BA185">
            <v>-16436</v>
          </cell>
          <cell r="BB185">
            <v>-1643631</v>
          </cell>
          <cell r="BC185">
            <v>12405492</v>
          </cell>
          <cell r="BD185">
            <v>-1971676</v>
          </cell>
          <cell r="BE185">
            <v>383547</v>
          </cell>
          <cell r="BF185">
            <v>0</v>
          </cell>
          <cell r="BG185">
            <v>-2618311</v>
          </cell>
          <cell r="BH185">
            <v>-91388</v>
          </cell>
          <cell r="BI185">
            <v>-40866</v>
          </cell>
          <cell r="BJ185">
            <v>-25315</v>
          </cell>
          <cell r="BK185">
            <v>-382564</v>
          </cell>
          <cell r="BL185">
            <v>-30557</v>
          </cell>
          <cell r="BM185">
            <v>-3377</v>
          </cell>
          <cell r="BN185">
            <v>-22564</v>
          </cell>
          <cell r="BO185">
            <v>0</v>
          </cell>
          <cell r="BP185">
            <v>0</v>
          </cell>
          <cell r="BQ185">
            <v>0</v>
          </cell>
          <cell r="BR185">
            <v>0</v>
          </cell>
          <cell r="BS185">
            <v>0</v>
          </cell>
          <cell r="BT185">
            <v>13951032</v>
          </cell>
          <cell r="BU185">
            <v>-154815</v>
          </cell>
          <cell r="BV185">
            <v>516530</v>
          </cell>
          <cell r="BW185">
            <v>-170510</v>
          </cell>
          <cell r="BX185">
            <v>-996193</v>
          </cell>
          <cell r="BY185">
            <v>-435504</v>
          </cell>
          <cell r="BZ185">
            <v>12248507</v>
          </cell>
          <cell r="CA185">
            <v>-498097</v>
          </cell>
          <cell r="CB185">
            <v>-398477</v>
          </cell>
          <cell r="CC185">
            <v>-89658</v>
          </cell>
          <cell r="CD185">
            <v>-9961</v>
          </cell>
          <cell r="CE185">
            <v>-217752</v>
          </cell>
          <cell r="CF185">
            <v>-174202</v>
          </cell>
          <cell r="CG185">
            <v>-39195</v>
          </cell>
          <cell r="CH185">
            <v>-4355</v>
          </cell>
        </row>
        <row r="186">
          <cell r="A186">
            <v>179</v>
          </cell>
          <cell r="B186" t="str">
            <v>North East Derbyshire</v>
          </cell>
          <cell r="C186" t="str">
            <v>E1038</v>
          </cell>
          <cell r="D186">
            <v>98640</v>
          </cell>
          <cell r="H186">
            <v>751948</v>
          </cell>
          <cell r="I186">
            <v>0</v>
          </cell>
          <cell r="J186">
            <v>98640</v>
          </cell>
          <cell r="K186">
            <v>0</v>
          </cell>
          <cell r="L186">
            <v>0</v>
          </cell>
          <cell r="M186">
            <v>0</v>
          </cell>
          <cell r="N186">
            <v>0</v>
          </cell>
          <cell r="O186">
            <v>0</v>
          </cell>
          <cell r="P186">
            <v>0</v>
          </cell>
          <cell r="Q186">
            <v>0</v>
          </cell>
          <cell r="R186">
            <v>483906</v>
          </cell>
          <cell r="S186">
            <v>108879</v>
          </cell>
          <cell r="T186">
            <v>12098</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M186">
            <v>0</v>
          </cell>
          <cell r="AN186">
            <v>0</v>
          </cell>
          <cell r="AO186">
            <v>0</v>
          </cell>
          <cell r="AP186">
            <v>100595</v>
          </cell>
          <cell r="AQ186">
            <v>22634</v>
          </cell>
          <cell r="AR186">
            <v>2515</v>
          </cell>
          <cell r="AS186">
            <v>-139903</v>
          </cell>
          <cell r="AT186">
            <v>-111923</v>
          </cell>
          <cell r="AU186">
            <v>-25182</v>
          </cell>
          <cell r="AV186">
            <v>-2798</v>
          </cell>
          <cell r="AW186">
            <v>-279806</v>
          </cell>
          <cell r="AX186">
            <v>-1288046.24</v>
          </cell>
          <cell r="AY186">
            <v>-1030435</v>
          </cell>
          <cell r="AZ186">
            <v>-231848</v>
          </cell>
          <cell r="BA186">
            <v>-25761</v>
          </cell>
          <cell r="BB186">
            <v>-2576090.2000000002</v>
          </cell>
          <cell r="BC186">
            <v>16468368</v>
          </cell>
          <cell r="BD186">
            <v>-1985410</v>
          </cell>
          <cell r="BE186">
            <v>392107</v>
          </cell>
          <cell r="BF186">
            <v>0</v>
          </cell>
          <cell r="BG186">
            <v>-552501</v>
          </cell>
          <cell r="BH186">
            <v>-19739</v>
          </cell>
          <cell r="BI186">
            <v>-6604</v>
          </cell>
          <cell r="BJ186">
            <v>-31874</v>
          </cell>
          <cell r="BK186">
            <v>-422226</v>
          </cell>
          <cell r="BL186">
            <v>-30417</v>
          </cell>
          <cell r="BM186">
            <v>-15975</v>
          </cell>
          <cell r="BN186">
            <v>-229</v>
          </cell>
          <cell r="BO186">
            <v>-1274</v>
          </cell>
          <cell r="BP186">
            <v>0</v>
          </cell>
          <cell r="BQ186">
            <v>0</v>
          </cell>
          <cell r="BR186">
            <v>0</v>
          </cell>
          <cell r="BS186">
            <v>0</v>
          </cell>
          <cell r="BT186">
            <v>16022889</v>
          </cell>
          <cell r="BU186">
            <v>-125206</v>
          </cell>
          <cell r="BV186">
            <v>798661</v>
          </cell>
          <cell r="BW186">
            <v>-198241</v>
          </cell>
          <cell r="BX186">
            <v>-1905725</v>
          </cell>
          <cell r="BY186">
            <v>-1598514</v>
          </cell>
          <cell r="BZ186">
            <v>16741940</v>
          </cell>
          <cell r="CA186">
            <v>-952863</v>
          </cell>
          <cell r="CB186">
            <v>-762290</v>
          </cell>
          <cell r="CC186">
            <v>-171515</v>
          </cell>
          <cell r="CD186">
            <v>-19057</v>
          </cell>
          <cell r="CE186">
            <v>-799257</v>
          </cell>
          <cell r="CF186">
            <v>-639406</v>
          </cell>
          <cell r="CG186">
            <v>-143866</v>
          </cell>
          <cell r="CH186">
            <v>-15985</v>
          </cell>
        </row>
        <row r="187">
          <cell r="A187">
            <v>180</v>
          </cell>
          <cell r="B187" t="str">
            <v>North East Lincolnshire</v>
          </cell>
          <cell r="C187" t="str">
            <v>E2003</v>
          </cell>
          <cell r="D187">
            <v>226742</v>
          </cell>
          <cell r="H187">
            <v>-6647850</v>
          </cell>
          <cell r="I187">
            <v>0</v>
          </cell>
          <cell r="J187">
            <v>226742</v>
          </cell>
          <cell r="K187">
            <v>0</v>
          </cell>
          <cell r="L187">
            <v>122241</v>
          </cell>
          <cell r="M187">
            <v>0</v>
          </cell>
          <cell r="N187">
            <v>65115</v>
          </cell>
          <cell r="O187">
            <v>65115</v>
          </cell>
          <cell r="P187">
            <v>0</v>
          </cell>
          <cell r="Q187">
            <v>0</v>
          </cell>
          <cell r="R187">
            <v>1025339</v>
          </cell>
          <cell r="S187">
            <v>0</v>
          </cell>
          <cell r="T187">
            <v>20925</v>
          </cell>
          <cell r="U187">
            <v>28409</v>
          </cell>
          <cell r="V187">
            <v>0</v>
          </cell>
          <cell r="W187">
            <v>580</v>
          </cell>
          <cell r="X187">
            <v>17033</v>
          </cell>
          <cell r="Y187">
            <v>0</v>
          </cell>
          <cell r="Z187">
            <v>348</v>
          </cell>
          <cell r="AA187">
            <v>16976</v>
          </cell>
          <cell r="AB187">
            <v>0</v>
          </cell>
          <cell r="AC187">
            <v>346</v>
          </cell>
          <cell r="AD187">
            <v>0</v>
          </cell>
          <cell r="AE187">
            <v>0</v>
          </cell>
          <cell r="AF187">
            <v>0</v>
          </cell>
          <cell r="AG187">
            <v>0</v>
          </cell>
          <cell r="AH187">
            <v>0</v>
          </cell>
          <cell r="AI187">
            <v>0</v>
          </cell>
          <cell r="AM187">
            <v>0</v>
          </cell>
          <cell r="AN187">
            <v>0</v>
          </cell>
          <cell r="AO187">
            <v>0</v>
          </cell>
          <cell r="AP187">
            <v>421680</v>
          </cell>
          <cell r="AQ187">
            <v>0</v>
          </cell>
          <cell r="AR187">
            <v>8548</v>
          </cell>
          <cell r="AS187">
            <v>-1171553</v>
          </cell>
          <cell r="AT187">
            <v>-1148121</v>
          </cell>
          <cell r="AU187">
            <v>0</v>
          </cell>
          <cell r="AV187">
            <v>-23432</v>
          </cell>
          <cell r="AW187">
            <v>-2343106</v>
          </cell>
          <cell r="AX187">
            <v>-7553905.9000000004</v>
          </cell>
          <cell r="AY187">
            <v>-7402828</v>
          </cell>
          <cell r="AZ187">
            <v>0</v>
          </cell>
          <cell r="BA187">
            <v>-151079</v>
          </cell>
          <cell r="BB187">
            <v>-15107812</v>
          </cell>
          <cell r="BC187">
            <v>66525095</v>
          </cell>
          <cell r="BD187">
            <v>-3505304</v>
          </cell>
          <cell r="BE187">
            <v>1854525</v>
          </cell>
          <cell r="BF187">
            <v>0</v>
          </cell>
          <cell r="BG187">
            <v>-3829659</v>
          </cell>
          <cell r="BH187">
            <v>-92283</v>
          </cell>
          <cell r="BI187">
            <v>-596</v>
          </cell>
          <cell r="BJ187">
            <v>0</v>
          </cell>
          <cell r="BK187">
            <v>-2205792</v>
          </cell>
          <cell r="BL187">
            <v>-87453</v>
          </cell>
          <cell r="BM187">
            <v>-473310</v>
          </cell>
          <cell r="BN187">
            <v>-2864</v>
          </cell>
          <cell r="BO187">
            <v>-574</v>
          </cell>
          <cell r="BP187">
            <v>0</v>
          </cell>
          <cell r="BQ187">
            <v>-86628</v>
          </cell>
          <cell r="BR187">
            <v>-65728</v>
          </cell>
          <cell r="BS187">
            <v>0</v>
          </cell>
          <cell r="BT187">
            <v>65562626</v>
          </cell>
          <cell r="BU187">
            <v>-224333</v>
          </cell>
          <cell r="BV187">
            <v>5854322</v>
          </cell>
          <cell r="BW187">
            <v>-3032696</v>
          </cell>
          <cell r="BX187">
            <v>-866209</v>
          </cell>
          <cell r="BY187">
            <v>-2394026</v>
          </cell>
          <cell r="BZ187">
            <v>56907097</v>
          </cell>
          <cell r="CA187">
            <v>-433105</v>
          </cell>
          <cell r="CB187">
            <v>-424442</v>
          </cell>
          <cell r="CC187">
            <v>0</v>
          </cell>
          <cell r="CD187">
            <v>-8662</v>
          </cell>
          <cell r="CE187">
            <v>-1197013</v>
          </cell>
          <cell r="CF187">
            <v>-1173073</v>
          </cell>
          <cell r="CG187">
            <v>0</v>
          </cell>
          <cell r="CH187">
            <v>-23940</v>
          </cell>
        </row>
        <row r="188">
          <cell r="A188">
            <v>181</v>
          </cell>
          <cell r="B188" t="str">
            <v>North Hertfordshire</v>
          </cell>
          <cell r="C188" t="str">
            <v>E1935</v>
          </cell>
          <cell r="D188">
            <v>179886</v>
          </cell>
          <cell r="H188">
            <v>-171960</v>
          </cell>
          <cell r="I188">
            <v>0</v>
          </cell>
          <cell r="J188">
            <v>179886</v>
          </cell>
          <cell r="K188">
            <v>0</v>
          </cell>
          <cell r="L188">
            <v>30587</v>
          </cell>
          <cell r="M188">
            <v>0</v>
          </cell>
          <cell r="N188">
            <v>0</v>
          </cell>
          <cell r="O188">
            <v>0</v>
          </cell>
          <cell r="P188">
            <v>0</v>
          </cell>
          <cell r="Q188">
            <v>0</v>
          </cell>
          <cell r="R188">
            <v>759795</v>
          </cell>
          <cell r="S188">
            <v>189949</v>
          </cell>
          <cell r="T188">
            <v>0</v>
          </cell>
          <cell r="U188">
            <v>0</v>
          </cell>
          <cell r="V188">
            <v>0</v>
          </cell>
          <cell r="W188">
            <v>0</v>
          </cell>
          <cell r="X188">
            <v>0</v>
          </cell>
          <cell r="Y188">
            <v>0</v>
          </cell>
          <cell r="Z188">
            <v>0</v>
          </cell>
          <cell r="AA188">
            <v>4466</v>
          </cell>
          <cell r="AB188">
            <v>1117</v>
          </cell>
          <cell r="AC188">
            <v>0</v>
          </cell>
          <cell r="AD188">
            <v>0</v>
          </cell>
          <cell r="AE188">
            <v>0</v>
          </cell>
          <cell r="AF188">
            <v>0</v>
          </cell>
          <cell r="AG188">
            <v>0</v>
          </cell>
          <cell r="AH188">
            <v>0</v>
          </cell>
          <cell r="AI188">
            <v>0</v>
          </cell>
          <cell r="AM188">
            <v>0</v>
          </cell>
          <cell r="AN188">
            <v>0</v>
          </cell>
          <cell r="AO188">
            <v>0</v>
          </cell>
          <cell r="AP188">
            <v>225925</v>
          </cell>
          <cell r="AQ188">
            <v>56366</v>
          </cell>
          <cell r="AR188">
            <v>0</v>
          </cell>
          <cell r="AS188">
            <v>-488025</v>
          </cell>
          <cell r="AT188">
            <v>-390418</v>
          </cell>
          <cell r="AU188">
            <v>-97604</v>
          </cell>
          <cell r="AV188">
            <v>0</v>
          </cell>
          <cell r="AW188">
            <v>-976047</v>
          </cell>
          <cell r="AX188">
            <v>-1160435</v>
          </cell>
          <cell r="AY188">
            <v>-928349</v>
          </cell>
          <cell r="AZ188">
            <v>-232088</v>
          </cell>
          <cell r="BA188">
            <v>0</v>
          </cell>
          <cell r="BB188">
            <v>-2320872</v>
          </cell>
          <cell r="BC188">
            <v>38170329</v>
          </cell>
          <cell r="BD188">
            <v>-2709015</v>
          </cell>
          <cell r="BE188">
            <v>999754</v>
          </cell>
          <cell r="BF188">
            <v>0</v>
          </cell>
          <cell r="BG188">
            <v>-2980202</v>
          </cell>
          <cell r="BH188">
            <v>-35681</v>
          </cell>
          <cell r="BI188">
            <v>-15198</v>
          </cell>
          <cell r="BJ188">
            <v>-33384</v>
          </cell>
          <cell r="BK188">
            <v>-1551248</v>
          </cell>
          <cell r="BL188">
            <v>-177637</v>
          </cell>
          <cell r="BM188">
            <v>-86060</v>
          </cell>
          <cell r="BN188">
            <v>-7633</v>
          </cell>
          <cell r="BO188">
            <v>-11751</v>
          </cell>
          <cell r="BP188">
            <v>-3424</v>
          </cell>
          <cell r="BQ188">
            <v>0</v>
          </cell>
          <cell r="BR188">
            <v>0</v>
          </cell>
          <cell r="BS188">
            <v>0</v>
          </cell>
          <cell r="BT188">
            <v>38888308</v>
          </cell>
          <cell r="BU188">
            <v>456786</v>
          </cell>
          <cell r="BV188">
            <v>1434265</v>
          </cell>
          <cell r="BW188">
            <v>-747387</v>
          </cell>
          <cell r="BX188">
            <v>-2050170</v>
          </cell>
          <cell r="BY188">
            <v>-1852573</v>
          </cell>
          <cell r="BZ188">
            <v>37523925</v>
          </cell>
          <cell r="CA188">
            <v>-1025085</v>
          </cell>
          <cell r="CB188">
            <v>-820067</v>
          </cell>
          <cell r="CC188">
            <v>-205018</v>
          </cell>
          <cell r="CD188">
            <v>0</v>
          </cell>
          <cell r="CE188">
            <v>-926287</v>
          </cell>
          <cell r="CF188">
            <v>-741029</v>
          </cell>
          <cell r="CG188">
            <v>-185257</v>
          </cell>
          <cell r="CH188">
            <v>0</v>
          </cell>
        </row>
        <row r="189">
          <cell r="A189">
            <v>182</v>
          </cell>
          <cell r="B189" t="str">
            <v>North Kesteven</v>
          </cell>
          <cell r="C189" t="str">
            <v>E2534</v>
          </cell>
          <cell r="D189">
            <v>124359</v>
          </cell>
          <cell r="H189">
            <v>980617</v>
          </cell>
          <cell r="I189">
            <v>0</v>
          </cell>
          <cell r="J189">
            <v>124359</v>
          </cell>
          <cell r="K189">
            <v>0</v>
          </cell>
          <cell r="L189">
            <v>1343536</v>
          </cell>
          <cell r="M189">
            <v>123490</v>
          </cell>
          <cell r="N189">
            <v>0</v>
          </cell>
          <cell r="O189">
            <v>0</v>
          </cell>
          <cell r="P189">
            <v>0</v>
          </cell>
          <cell r="Q189">
            <v>0</v>
          </cell>
          <cell r="R189">
            <v>601182</v>
          </cell>
          <cell r="S189">
            <v>150296</v>
          </cell>
          <cell r="T189">
            <v>0</v>
          </cell>
          <cell r="U189">
            <v>2957</v>
          </cell>
          <cell r="V189">
            <v>739</v>
          </cell>
          <cell r="W189">
            <v>0</v>
          </cell>
          <cell r="X189">
            <v>31218</v>
          </cell>
          <cell r="Y189">
            <v>7805</v>
          </cell>
          <cell r="Z189">
            <v>0</v>
          </cell>
          <cell r="AA189">
            <v>493</v>
          </cell>
          <cell r="AB189">
            <v>123</v>
          </cell>
          <cell r="AC189">
            <v>0</v>
          </cell>
          <cell r="AD189">
            <v>0</v>
          </cell>
          <cell r="AE189">
            <v>0</v>
          </cell>
          <cell r="AF189">
            <v>0</v>
          </cell>
          <cell r="AG189">
            <v>0</v>
          </cell>
          <cell r="AH189">
            <v>0</v>
          </cell>
          <cell r="AI189">
            <v>0</v>
          </cell>
          <cell r="AM189">
            <v>0</v>
          </cell>
          <cell r="AN189">
            <v>0</v>
          </cell>
          <cell r="AO189">
            <v>0</v>
          </cell>
          <cell r="AP189">
            <v>166896</v>
          </cell>
          <cell r="AQ189">
            <v>38533</v>
          </cell>
          <cell r="AR189">
            <v>0</v>
          </cell>
          <cell r="AS189">
            <v>-85097</v>
          </cell>
          <cell r="AT189">
            <v>-68077</v>
          </cell>
          <cell r="AU189">
            <v>-17018</v>
          </cell>
          <cell r="AV189">
            <v>0</v>
          </cell>
          <cell r="AW189">
            <v>-170192</v>
          </cell>
          <cell r="AX189">
            <v>-1864361</v>
          </cell>
          <cell r="AY189">
            <v>-1491487</v>
          </cell>
          <cell r="AZ189">
            <v>-372872</v>
          </cell>
          <cell r="BA189">
            <v>0</v>
          </cell>
          <cell r="BB189">
            <v>-3728720</v>
          </cell>
          <cell r="BC189">
            <v>24365260</v>
          </cell>
          <cell r="BD189">
            <v>-2467269</v>
          </cell>
          <cell r="BE189">
            <v>666053</v>
          </cell>
          <cell r="BF189">
            <v>0</v>
          </cell>
          <cell r="BG189">
            <v>-1729686</v>
          </cell>
          <cell r="BH189">
            <v>-28905</v>
          </cell>
          <cell r="BI189">
            <v>-45676</v>
          </cell>
          <cell r="BJ189">
            <v>0</v>
          </cell>
          <cell r="BK189">
            <v>-861993</v>
          </cell>
          <cell r="BL189">
            <v>-66247</v>
          </cell>
          <cell r="BM189">
            <v>-16795</v>
          </cell>
          <cell r="BN189">
            <v>0</v>
          </cell>
          <cell r="BO189">
            <v>-6803</v>
          </cell>
          <cell r="BP189">
            <v>0</v>
          </cell>
          <cell r="BQ189">
            <v>-63757</v>
          </cell>
          <cell r="BR189">
            <v>0</v>
          </cell>
          <cell r="BS189">
            <v>0</v>
          </cell>
          <cell r="BT189">
            <v>26262384</v>
          </cell>
          <cell r="BU189">
            <v>-170675</v>
          </cell>
          <cell r="BV189">
            <v>643302</v>
          </cell>
          <cell r="BW189">
            <v>-732484</v>
          </cell>
          <cell r="BX189">
            <v>-1934338</v>
          </cell>
          <cell r="BY189">
            <v>-2047932</v>
          </cell>
          <cell r="BZ189">
            <v>24417379</v>
          </cell>
          <cell r="CA189">
            <v>-967169</v>
          </cell>
          <cell r="CB189">
            <v>-773735</v>
          </cell>
          <cell r="CC189">
            <v>-193434</v>
          </cell>
          <cell r="CD189">
            <v>0</v>
          </cell>
          <cell r="CE189">
            <v>-1023966</v>
          </cell>
          <cell r="CF189">
            <v>-819173</v>
          </cell>
          <cell r="CG189">
            <v>-204793</v>
          </cell>
          <cell r="CH189">
            <v>0</v>
          </cell>
        </row>
        <row r="190">
          <cell r="A190">
            <v>183</v>
          </cell>
          <cell r="B190" t="str">
            <v>North Lincolnshire</v>
          </cell>
          <cell r="C190" t="str">
            <v>E2004</v>
          </cell>
          <cell r="D190">
            <v>238111</v>
          </cell>
          <cell r="H190">
            <v>-9453163</v>
          </cell>
          <cell r="I190">
            <v>-56618</v>
          </cell>
          <cell r="J190">
            <v>238111</v>
          </cell>
          <cell r="K190">
            <v>192429</v>
          </cell>
          <cell r="L190">
            <v>2477234</v>
          </cell>
          <cell r="M190">
            <v>0</v>
          </cell>
          <cell r="N190">
            <v>0</v>
          </cell>
          <cell r="O190">
            <v>0</v>
          </cell>
          <cell r="P190">
            <v>0</v>
          </cell>
          <cell r="Q190">
            <v>0</v>
          </cell>
          <cell r="R190">
            <v>1135210</v>
          </cell>
          <cell r="S190">
            <v>0</v>
          </cell>
          <cell r="T190">
            <v>22872</v>
          </cell>
          <cell r="U190">
            <v>14168</v>
          </cell>
          <cell r="V190">
            <v>0</v>
          </cell>
          <cell r="W190">
            <v>289</v>
          </cell>
          <cell r="X190">
            <v>8710</v>
          </cell>
          <cell r="Y190">
            <v>0</v>
          </cell>
          <cell r="Z190">
            <v>178</v>
          </cell>
          <cell r="AA190">
            <v>43787</v>
          </cell>
          <cell r="AB190">
            <v>0</v>
          </cell>
          <cell r="AC190">
            <v>894</v>
          </cell>
          <cell r="AD190">
            <v>0</v>
          </cell>
          <cell r="AE190">
            <v>0</v>
          </cell>
          <cell r="AF190">
            <v>0</v>
          </cell>
          <cell r="AG190">
            <v>0</v>
          </cell>
          <cell r="AH190">
            <v>0</v>
          </cell>
          <cell r="AI190">
            <v>0</v>
          </cell>
          <cell r="AM190">
            <v>0</v>
          </cell>
          <cell r="AN190">
            <v>0</v>
          </cell>
          <cell r="AO190">
            <v>0</v>
          </cell>
          <cell r="AP190">
            <v>602851</v>
          </cell>
          <cell r="AQ190">
            <v>0</v>
          </cell>
          <cell r="AR190">
            <v>11485</v>
          </cell>
          <cell r="AS190">
            <v>-872000</v>
          </cell>
          <cell r="AT190">
            <v>-854560</v>
          </cell>
          <cell r="AU190">
            <v>0</v>
          </cell>
          <cell r="AV190">
            <v>-17440</v>
          </cell>
          <cell r="AW190">
            <v>-1744000</v>
          </cell>
          <cell r="AX190">
            <v>-4928501</v>
          </cell>
          <cell r="AY190">
            <v>-4829930</v>
          </cell>
          <cell r="AZ190">
            <v>0</v>
          </cell>
          <cell r="BA190">
            <v>-98569</v>
          </cell>
          <cell r="BB190">
            <v>-9857000</v>
          </cell>
          <cell r="BC190">
            <v>82764253</v>
          </cell>
          <cell r="BD190">
            <v>-3731414</v>
          </cell>
          <cell r="BE190">
            <v>2461850</v>
          </cell>
          <cell r="BF190">
            <v>0</v>
          </cell>
          <cell r="BG190">
            <v>-2423743</v>
          </cell>
          <cell r="BH190">
            <v>-38836</v>
          </cell>
          <cell r="BI190">
            <v>-23585</v>
          </cell>
          <cell r="BJ190">
            <v>-97355</v>
          </cell>
          <cell r="BK190">
            <v>-4544424</v>
          </cell>
          <cell r="BL190">
            <v>-80812</v>
          </cell>
          <cell r="BM190">
            <v>-136434</v>
          </cell>
          <cell r="BN190">
            <v>-3254</v>
          </cell>
          <cell r="BO190">
            <v>-23475</v>
          </cell>
          <cell r="BP190">
            <v>-5144</v>
          </cell>
          <cell r="BQ190">
            <v>0</v>
          </cell>
          <cell r="BR190">
            <v>0</v>
          </cell>
          <cell r="BS190">
            <v>0</v>
          </cell>
          <cell r="BT190">
            <v>90839152</v>
          </cell>
          <cell r="BU190">
            <v>-831341</v>
          </cell>
          <cell r="BV190">
            <v>4093686</v>
          </cell>
          <cell r="BW190">
            <v>-258032</v>
          </cell>
          <cell r="BX190">
            <v>-9184108</v>
          </cell>
          <cell r="BY190">
            <v>-2644087</v>
          </cell>
          <cell r="BZ190">
            <v>76455045</v>
          </cell>
          <cell r="CA190">
            <v>-4592054</v>
          </cell>
          <cell r="CB190">
            <v>-4500213</v>
          </cell>
          <cell r="CC190">
            <v>0</v>
          </cell>
          <cell r="CD190">
            <v>-91841</v>
          </cell>
          <cell r="CE190">
            <v>-1322043</v>
          </cell>
          <cell r="CF190">
            <v>-1295603</v>
          </cell>
          <cell r="CG190">
            <v>0</v>
          </cell>
          <cell r="CH190">
            <v>-26441</v>
          </cell>
        </row>
        <row r="191">
          <cell r="A191">
            <v>184</v>
          </cell>
          <cell r="B191" t="str">
            <v>North Norfolk</v>
          </cell>
          <cell r="C191" t="str">
            <v>E2635</v>
          </cell>
          <cell r="D191">
            <v>247838</v>
          </cell>
          <cell r="H191">
            <v>2489097</v>
          </cell>
          <cell r="I191">
            <v>17091</v>
          </cell>
          <cell r="J191">
            <v>247838</v>
          </cell>
          <cell r="K191">
            <v>17091</v>
          </cell>
          <cell r="L191">
            <v>592645</v>
          </cell>
          <cell r="M191">
            <v>0</v>
          </cell>
          <cell r="N191">
            <v>26737</v>
          </cell>
          <cell r="O191">
            <v>26737</v>
          </cell>
          <cell r="P191">
            <v>0</v>
          </cell>
          <cell r="Q191">
            <v>0</v>
          </cell>
          <cell r="R191">
            <v>1133906</v>
          </cell>
          <cell r="S191">
            <v>283477</v>
          </cell>
          <cell r="T191">
            <v>0</v>
          </cell>
          <cell r="U191">
            <v>317</v>
          </cell>
          <cell r="V191">
            <v>79</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M191">
            <v>0</v>
          </cell>
          <cell r="AN191">
            <v>0</v>
          </cell>
          <cell r="AO191">
            <v>0</v>
          </cell>
          <cell r="AP191">
            <v>161173</v>
          </cell>
          <cell r="AQ191">
            <v>37903</v>
          </cell>
          <cell r="AR191">
            <v>0</v>
          </cell>
          <cell r="AS191">
            <v>-95084</v>
          </cell>
          <cell r="AT191">
            <v>-76067</v>
          </cell>
          <cell r="AU191">
            <v>-19016</v>
          </cell>
          <cell r="AV191">
            <v>0</v>
          </cell>
          <cell r="AW191">
            <v>-190167</v>
          </cell>
          <cell r="AX191">
            <v>-953698</v>
          </cell>
          <cell r="AY191">
            <v>-762957</v>
          </cell>
          <cell r="AZ191">
            <v>-190738</v>
          </cell>
          <cell r="BA191">
            <v>0</v>
          </cell>
          <cell r="BB191">
            <v>-1907393</v>
          </cell>
          <cell r="BC191">
            <v>24769334</v>
          </cell>
          <cell r="BD191">
            <v>-4749464</v>
          </cell>
          <cell r="BE191">
            <v>599061</v>
          </cell>
          <cell r="BF191">
            <v>0</v>
          </cell>
          <cell r="BG191">
            <v>-1771567</v>
          </cell>
          <cell r="BH191">
            <v>-39044</v>
          </cell>
          <cell r="BI191">
            <v>-101438</v>
          </cell>
          <cell r="BJ191">
            <v>-31191</v>
          </cell>
          <cell r="BK191">
            <v>-403938</v>
          </cell>
          <cell r="BL191">
            <v>-5491</v>
          </cell>
          <cell r="BM191">
            <v>0</v>
          </cell>
          <cell r="BN191">
            <v>0</v>
          </cell>
          <cell r="BO191">
            <v>-8403</v>
          </cell>
          <cell r="BP191">
            <v>0</v>
          </cell>
          <cell r="BQ191">
            <v>-76138</v>
          </cell>
          <cell r="BR191">
            <v>-76138</v>
          </cell>
          <cell r="BS191">
            <v>0</v>
          </cell>
          <cell r="BT191">
            <v>25455364</v>
          </cell>
          <cell r="BU191">
            <v>-48275</v>
          </cell>
          <cell r="BV191">
            <v>331919</v>
          </cell>
          <cell r="BW191">
            <v>-284576</v>
          </cell>
          <cell r="BX191">
            <v>-623940</v>
          </cell>
          <cell r="BY191">
            <v>-483061</v>
          </cell>
          <cell r="BZ191">
            <v>25232572</v>
          </cell>
          <cell r="CA191">
            <v>-311971</v>
          </cell>
          <cell r="CB191">
            <v>-249575</v>
          </cell>
          <cell r="CC191">
            <v>-62394</v>
          </cell>
          <cell r="CD191">
            <v>0</v>
          </cell>
          <cell r="CE191">
            <v>-241531</v>
          </cell>
          <cell r="CF191">
            <v>-193224</v>
          </cell>
          <cell r="CG191">
            <v>-48306</v>
          </cell>
          <cell r="CH191">
            <v>0</v>
          </cell>
        </row>
        <row r="192">
          <cell r="A192">
            <v>185</v>
          </cell>
          <cell r="B192" t="str">
            <v>North Somerset</v>
          </cell>
          <cell r="C192" t="str">
            <v>E0104</v>
          </cell>
          <cell r="D192">
            <v>261366</v>
          </cell>
          <cell r="H192">
            <v>-1597119</v>
          </cell>
          <cell r="I192">
            <v>-95317</v>
          </cell>
          <cell r="J192">
            <v>261366</v>
          </cell>
          <cell r="K192">
            <v>490850</v>
          </cell>
          <cell r="L192">
            <v>91443</v>
          </cell>
          <cell r="M192">
            <v>0</v>
          </cell>
          <cell r="N192">
            <v>0</v>
          </cell>
          <cell r="O192">
            <v>0</v>
          </cell>
          <cell r="P192">
            <v>0</v>
          </cell>
          <cell r="Q192">
            <v>0</v>
          </cell>
          <cell r="R192">
            <v>1594711</v>
          </cell>
          <cell r="S192">
            <v>0</v>
          </cell>
          <cell r="T192">
            <v>31620</v>
          </cell>
          <cell r="U192">
            <v>9929</v>
          </cell>
          <cell r="V192">
            <v>0</v>
          </cell>
          <cell r="W192">
            <v>203</v>
          </cell>
          <cell r="X192">
            <v>0</v>
          </cell>
          <cell r="Y192">
            <v>0</v>
          </cell>
          <cell r="Z192">
            <v>0</v>
          </cell>
          <cell r="AA192">
            <v>0</v>
          </cell>
          <cell r="AB192">
            <v>0</v>
          </cell>
          <cell r="AC192">
            <v>0</v>
          </cell>
          <cell r="AD192">
            <v>0</v>
          </cell>
          <cell r="AE192">
            <v>0</v>
          </cell>
          <cell r="AF192">
            <v>0</v>
          </cell>
          <cell r="AG192">
            <v>0</v>
          </cell>
          <cell r="AH192">
            <v>0</v>
          </cell>
          <cell r="AI192">
            <v>0</v>
          </cell>
          <cell r="AM192">
            <v>0</v>
          </cell>
          <cell r="AN192">
            <v>0</v>
          </cell>
          <cell r="AO192">
            <v>0</v>
          </cell>
          <cell r="AP192">
            <v>444562</v>
          </cell>
          <cell r="AQ192">
            <v>0</v>
          </cell>
          <cell r="AR192">
            <v>8644</v>
          </cell>
          <cell r="AS192">
            <v>-1047065.3</v>
          </cell>
          <cell r="AT192">
            <v>-1026127</v>
          </cell>
          <cell r="AU192">
            <v>0</v>
          </cell>
          <cell r="AV192">
            <v>-20943</v>
          </cell>
          <cell r="AW192">
            <v>-2094135.2999999998</v>
          </cell>
          <cell r="AX192">
            <v>-1542149.4</v>
          </cell>
          <cell r="AY192">
            <v>-1511305</v>
          </cell>
          <cell r="AZ192">
            <v>0</v>
          </cell>
          <cell r="BA192">
            <v>-30842</v>
          </cell>
          <cell r="BB192">
            <v>-3084296.4</v>
          </cell>
          <cell r="BC192">
            <v>62033798</v>
          </cell>
          <cell r="BD192">
            <v>-4238007</v>
          </cell>
          <cell r="BE192">
            <v>1659191</v>
          </cell>
          <cell r="BF192">
            <v>0</v>
          </cell>
          <cell r="BG192">
            <v>-4902324</v>
          </cell>
          <cell r="BH192">
            <v>-112559</v>
          </cell>
          <cell r="BI192">
            <v>-11816</v>
          </cell>
          <cell r="BJ192">
            <v>-1116</v>
          </cell>
          <cell r="BK192">
            <v>-2415298</v>
          </cell>
          <cell r="BL192">
            <v>-73164</v>
          </cell>
          <cell r="BM192">
            <v>-457859</v>
          </cell>
          <cell r="BN192">
            <v>0</v>
          </cell>
          <cell r="BO192">
            <v>-3176</v>
          </cell>
          <cell r="BP192">
            <v>-1502</v>
          </cell>
          <cell r="BQ192">
            <v>0</v>
          </cell>
          <cell r="BR192">
            <v>0</v>
          </cell>
          <cell r="BS192">
            <v>0</v>
          </cell>
          <cell r="BT192">
            <v>62374252</v>
          </cell>
          <cell r="BU192">
            <v>-385719</v>
          </cell>
          <cell r="BV192">
            <v>4181107</v>
          </cell>
          <cell r="BW192">
            <v>-1809571</v>
          </cell>
          <cell r="BX192">
            <v>990010</v>
          </cell>
          <cell r="BY192">
            <v>971579</v>
          </cell>
          <cell r="BZ192">
            <v>57543172</v>
          </cell>
          <cell r="CA192">
            <v>495005</v>
          </cell>
          <cell r="CB192">
            <v>485105</v>
          </cell>
          <cell r="CC192">
            <v>0</v>
          </cell>
          <cell r="CD192">
            <v>9900</v>
          </cell>
          <cell r="CE192">
            <v>485789</v>
          </cell>
          <cell r="CF192">
            <v>476074</v>
          </cell>
          <cell r="CG192">
            <v>0</v>
          </cell>
          <cell r="CH192">
            <v>9716</v>
          </cell>
        </row>
        <row r="193">
          <cell r="A193">
            <v>186</v>
          </cell>
          <cell r="B193" t="str">
            <v>North Tyneside</v>
          </cell>
          <cell r="C193" t="str">
            <v>E4503</v>
          </cell>
          <cell r="D193">
            <v>226812</v>
          </cell>
          <cell r="H193">
            <v>-2568893</v>
          </cell>
          <cell r="I193">
            <v>13872</v>
          </cell>
          <cell r="J193">
            <v>226812</v>
          </cell>
          <cell r="K193">
            <v>163744</v>
          </cell>
          <cell r="L193">
            <v>0</v>
          </cell>
          <cell r="M193">
            <v>0</v>
          </cell>
          <cell r="N193">
            <v>10109</v>
          </cell>
          <cell r="O193">
            <v>10109</v>
          </cell>
          <cell r="P193">
            <v>0</v>
          </cell>
          <cell r="Q193">
            <v>0</v>
          </cell>
          <cell r="R193">
            <v>1263368</v>
          </cell>
          <cell r="S193">
            <v>0</v>
          </cell>
          <cell r="T193">
            <v>25654</v>
          </cell>
          <cell r="U193">
            <v>3441</v>
          </cell>
          <cell r="V193">
            <v>0</v>
          </cell>
          <cell r="W193">
            <v>70</v>
          </cell>
          <cell r="X193">
            <v>0</v>
          </cell>
          <cell r="Y193">
            <v>0</v>
          </cell>
          <cell r="Z193">
            <v>0</v>
          </cell>
          <cell r="AA193">
            <v>1017</v>
          </cell>
          <cell r="AB193">
            <v>0</v>
          </cell>
          <cell r="AC193">
            <v>21</v>
          </cell>
          <cell r="AD193">
            <v>0</v>
          </cell>
          <cell r="AE193">
            <v>0</v>
          </cell>
          <cell r="AF193">
            <v>0</v>
          </cell>
          <cell r="AG193">
            <v>0</v>
          </cell>
          <cell r="AH193">
            <v>0</v>
          </cell>
          <cell r="AI193">
            <v>0</v>
          </cell>
          <cell r="AM193">
            <v>0</v>
          </cell>
          <cell r="AN193">
            <v>0</v>
          </cell>
          <cell r="AO193">
            <v>0</v>
          </cell>
          <cell r="AP193">
            <v>397920</v>
          </cell>
          <cell r="AQ193">
            <v>0</v>
          </cell>
          <cell r="AR193">
            <v>8068</v>
          </cell>
          <cell r="AS193">
            <v>-1175040</v>
          </cell>
          <cell r="AT193">
            <v>-1151540</v>
          </cell>
          <cell r="AU193">
            <v>0</v>
          </cell>
          <cell r="AV193">
            <v>-23500</v>
          </cell>
          <cell r="AW193">
            <v>-2350080</v>
          </cell>
          <cell r="AX193">
            <v>-1453189</v>
          </cell>
          <cell r="AY193">
            <v>-1424126</v>
          </cell>
          <cell r="AZ193">
            <v>0</v>
          </cell>
          <cell r="BA193">
            <v>-29064</v>
          </cell>
          <cell r="BB193">
            <v>-2906379</v>
          </cell>
          <cell r="BC193">
            <v>59598106</v>
          </cell>
          <cell r="BD193">
            <v>-3845169</v>
          </cell>
          <cell r="BE193">
            <v>1654957</v>
          </cell>
          <cell r="BF193">
            <v>0</v>
          </cell>
          <cell r="BG193">
            <v>-4334251</v>
          </cell>
          <cell r="BH193">
            <v>-59616</v>
          </cell>
          <cell r="BI193">
            <v>0</v>
          </cell>
          <cell r="BJ193">
            <v>-19808</v>
          </cell>
          <cell r="BK193">
            <v>-2578809</v>
          </cell>
          <cell r="BL193">
            <v>-299895</v>
          </cell>
          <cell r="BM193">
            <v>-32013</v>
          </cell>
          <cell r="BN193">
            <v>-14904</v>
          </cell>
          <cell r="BO193">
            <v>0</v>
          </cell>
          <cell r="BP193">
            <v>0</v>
          </cell>
          <cell r="BQ193">
            <v>-62934</v>
          </cell>
          <cell r="BR193">
            <v>-63845</v>
          </cell>
          <cell r="BS193">
            <v>0</v>
          </cell>
          <cell r="BT193">
            <v>60228296</v>
          </cell>
          <cell r="BU193">
            <v>-1489113</v>
          </cell>
          <cell r="BV193">
            <v>5331335</v>
          </cell>
          <cell r="BW193">
            <v>-1669681</v>
          </cell>
          <cell r="BX193">
            <v>-1685417</v>
          </cell>
          <cell r="BY193">
            <v>-1049719</v>
          </cell>
          <cell r="BZ193">
            <v>53706683</v>
          </cell>
          <cell r="CA193">
            <v>-842708</v>
          </cell>
          <cell r="CB193">
            <v>-825854</v>
          </cell>
          <cell r="CC193">
            <v>0</v>
          </cell>
          <cell r="CD193">
            <v>-16855</v>
          </cell>
          <cell r="CE193">
            <v>-524860</v>
          </cell>
          <cell r="CF193">
            <v>-514362</v>
          </cell>
          <cell r="CG193">
            <v>0</v>
          </cell>
          <cell r="CH193">
            <v>-10497</v>
          </cell>
        </row>
        <row r="194">
          <cell r="A194">
            <v>187</v>
          </cell>
          <cell r="B194" t="str">
            <v>North Warwickshire</v>
          </cell>
          <cell r="C194" t="str">
            <v>E3731</v>
          </cell>
          <cell r="D194">
            <v>107553</v>
          </cell>
          <cell r="H194">
            <v>-201874</v>
          </cell>
          <cell r="I194">
            <v>0</v>
          </cell>
          <cell r="J194">
            <v>107553</v>
          </cell>
          <cell r="K194">
            <v>0</v>
          </cell>
          <cell r="L194">
            <v>0</v>
          </cell>
          <cell r="M194">
            <v>0</v>
          </cell>
          <cell r="N194">
            <v>0</v>
          </cell>
          <cell r="O194">
            <v>0</v>
          </cell>
          <cell r="P194">
            <v>0</v>
          </cell>
          <cell r="Q194">
            <v>0</v>
          </cell>
          <cell r="R194">
            <v>383330</v>
          </cell>
          <cell r="S194">
            <v>95833</v>
          </cell>
          <cell r="T194">
            <v>0</v>
          </cell>
          <cell r="U194">
            <v>5059</v>
          </cell>
          <cell r="V194">
            <v>1265</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M194">
            <v>0</v>
          </cell>
          <cell r="AN194">
            <v>0</v>
          </cell>
          <cell r="AO194">
            <v>0</v>
          </cell>
          <cell r="AP194">
            <v>258967</v>
          </cell>
          <cell r="AQ194">
            <v>64742</v>
          </cell>
          <cell r="AR194">
            <v>0</v>
          </cell>
          <cell r="AS194">
            <v>-36064</v>
          </cell>
          <cell r="AT194">
            <v>-28852</v>
          </cell>
          <cell r="AU194">
            <v>-7214</v>
          </cell>
          <cell r="AV194">
            <v>0</v>
          </cell>
          <cell r="AW194">
            <v>-72130</v>
          </cell>
          <cell r="AX194">
            <v>-2508662</v>
          </cell>
          <cell r="AY194">
            <v>-2006930</v>
          </cell>
          <cell r="AZ194">
            <v>-501731</v>
          </cell>
          <cell r="BA194">
            <v>0</v>
          </cell>
          <cell r="BB194">
            <v>-5017323</v>
          </cell>
          <cell r="BC194">
            <v>44032087</v>
          </cell>
          <cell r="BD194">
            <v>-1460706</v>
          </cell>
          <cell r="BE194">
            <v>1170090</v>
          </cell>
          <cell r="BF194">
            <v>0</v>
          </cell>
          <cell r="BG194">
            <v>-850182</v>
          </cell>
          <cell r="BH194">
            <v>-27325</v>
          </cell>
          <cell r="BI194">
            <v>-15763</v>
          </cell>
          <cell r="BJ194">
            <v>0</v>
          </cell>
          <cell r="BK194">
            <v>-1171618</v>
          </cell>
          <cell r="BL194">
            <v>-29371</v>
          </cell>
          <cell r="BM194">
            <v>-4440</v>
          </cell>
          <cell r="BN194">
            <v>-2097</v>
          </cell>
          <cell r="BO194">
            <v>0</v>
          </cell>
          <cell r="BP194">
            <v>-4820</v>
          </cell>
          <cell r="BQ194">
            <v>0</v>
          </cell>
          <cell r="BR194">
            <v>0</v>
          </cell>
          <cell r="BS194">
            <v>0</v>
          </cell>
          <cell r="BT194">
            <v>43695012</v>
          </cell>
          <cell r="BU194">
            <v>-170692</v>
          </cell>
          <cell r="BV194">
            <v>298890</v>
          </cell>
          <cell r="BW194">
            <v>-42748</v>
          </cell>
          <cell r="BX194">
            <v>-52571</v>
          </cell>
          <cell r="BY194">
            <v>-1463754</v>
          </cell>
          <cell r="BZ194">
            <v>43099527</v>
          </cell>
          <cell r="CA194">
            <v>-26287</v>
          </cell>
          <cell r="CB194">
            <v>-21028</v>
          </cell>
          <cell r="CC194">
            <v>-5256</v>
          </cell>
          <cell r="CD194">
            <v>0</v>
          </cell>
          <cell r="CE194">
            <v>-731877</v>
          </cell>
          <cell r="CF194">
            <v>-585502</v>
          </cell>
          <cell r="CG194">
            <v>-146375</v>
          </cell>
          <cell r="CH194">
            <v>0</v>
          </cell>
        </row>
        <row r="195">
          <cell r="A195">
            <v>188</v>
          </cell>
          <cell r="B195" t="str">
            <v>North West Leicestershire</v>
          </cell>
          <cell r="C195" t="str">
            <v>E2437</v>
          </cell>
          <cell r="D195">
            <v>145430</v>
          </cell>
          <cell r="H195">
            <v>569088</v>
          </cell>
          <cell r="I195">
            <v>0</v>
          </cell>
          <cell r="J195">
            <v>145430</v>
          </cell>
          <cell r="K195">
            <v>0</v>
          </cell>
          <cell r="L195">
            <v>172754</v>
          </cell>
          <cell r="M195">
            <v>0</v>
          </cell>
          <cell r="N195">
            <v>0</v>
          </cell>
          <cell r="O195">
            <v>0</v>
          </cell>
          <cell r="P195">
            <v>0</v>
          </cell>
          <cell r="Q195">
            <v>0</v>
          </cell>
          <cell r="R195">
            <v>502073</v>
          </cell>
          <cell r="S195">
            <v>112966</v>
          </cell>
          <cell r="T195">
            <v>12552</v>
          </cell>
          <cell r="U195">
            <v>4007</v>
          </cell>
          <cell r="V195">
            <v>901</v>
          </cell>
          <cell r="W195">
            <v>100</v>
          </cell>
          <cell r="X195">
            <v>30451</v>
          </cell>
          <cell r="Y195">
            <v>6851</v>
          </cell>
          <cell r="Z195">
            <v>761</v>
          </cell>
          <cell r="AA195">
            <v>0</v>
          </cell>
          <cell r="AB195">
            <v>0</v>
          </cell>
          <cell r="AC195">
            <v>0</v>
          </cell>
          <cell r="AD195">
            <v>0</v>
          </cell>
          <cell r="AE195">
            <v>0</v>
          </cell>
          <cell r="AF195">
            <v>0</v>
          </cell>
          <cell r="AG195">
            <v>0</v>
          </cell>
          <cell r="AH195">
            <v>0</v>
          </cell>
          <cell r="AI195">
            <v>0</v>
          </cell>
          <cell r="AM195">
            <v>0</v>
          </cell>
          <cell r="AN195">
            <v>0</v>
          </cell>
          <cell r="AO195">
            <v>0</v>
          </cell>
          <cell r="AP195">
            <v>348113</v>
          </cell>
          <cell r="AQ195">
            <v>77742</v>
          </cell>
          <cell r="AR195">
            <v>8638</v>
          </cell>
          <cell r="AS195">
            <v>-129861.91999999998</v>
          </cell>
          <cell r="AT195">
            <v>-103887</v>
          </cell>
          <cell r="AU195">
            <v>-23374</v>
          </cell>
          <cell r="AV195">
            <v>-2597</v>
          </cell>
          <cell r="AW195">
            <v>-259719.92000000004</v>
          </cell>
          <cell r="AX195">
            <v>-4275695</v>
          </cell>
          <cell r="AY195">
            <v>-3420558</v>
          </cell>
          <cell r="AZ195">
            <v>-769625</v>
          </cell>
          <cell r="BA195">
            <v>-85514</v>
          </cell>
          <cell r="BB195">
            <v>-8551392</v>
          </cell>
          <cell r="BC195">
            <v>52006617</v>
          </cell>
          <cell r="BD195">
            <v>-2050166</v>
          </cell>
          <cell r="BE195">
            <v>1415391</v>
          </cell>
          <cell r="BF195">
            <v>0</v>
          </cell>
          <cell r="BG195">
            <v>-1449412</v>
          </cell>
          <cell r="BH195">
            <v>-22305</v>
          </cell>
          <cell r="BI195">
            <v>-12424</v>
          </cell>
          <cell r="BJ195">
            <v>-282958</v>
          </cell>
          <cell r="BK195">
            <v>-1091743</v>
          </cell>
          <cell r="BL195">
            <v>-58504</v>
          </cell>
          <cell r="BM195">
            <v>-84312</v>
          </cell>
          <cell r="BN195">
            <v>-1311</v>
          </cell>
          <cell r="BO195">
            <v>-12424</v>
          </cell>
          <cell r="BP195">
            <v>-240</v>
          </cell>
          <cell r="BQ195">
            <v>0</v>
          </cell>
          <cell r="BR195">
            <v>0</v>
          </cell>
          <cell r="BS195">
            <v>0</v>
          </cell>
          <cell r="BT195">
            <v>54288547</v>
          </cell>
          <cell r="BU195">
            <v>-368895</v>
          </cell>
          <cell r="BV195">
            <v>464780</v>
          </cell>
          <cell r="BW195">
            <v>-1495957</v>
          </cell>
          <cell r="BX195">
            <v>-181752</v>
          </cell>
          <cell r="BY195">
            <v>1482297</v>
          </cell>
          <cell r="BZ195">
            <v>57504060</v>
          </cell>
          <cell r="CA195">
            <v>-90877</v>
          </cell>
          <cell r="CB195">
            <v>-72700</v>
          </cell>
          <cell r="CC195">
            <v>-16358</v>
          </cell>
          <cell r="CD195">
            <v>-1817</v>
          </cell>
          <cell r="CE195">
            <v>741148</v>
          </cell>
          <cell r="CF195">
            <v>592919</v>
          </cell>
          <cell r="CG195">
            <v>133407</v>
          </cell>
          <cell r="CH195">
            <v>14823</v>
          </cell>
        </row>
        <row r="196">
          <cell r="A196">
            <v>189</v>
          </cell>
          <cell r="B196" t="str">
            <v>Northampton</v>
          </cell>
          <cell r="C196" t="str">
            <v>E2835</v>
          </cell>
          <cell r="D196">
            <v>282973</v>
          </cell>
          <cell r="H196">
            <v>-4345399</v>
          </cell>
          <cell r="I196">
            <v>-340892</v>
          </cell>
          <cell r="J196">
            <v>282973</v>
          </cell>
          <cell r="K196">
            <v>0</v>
          </cell>
          <cell r="L196">
            <v>0</v>
          </cell>
          <cell r="M196">
            <v>0</v>
          </cell>
          <cell r="N196">
            <v>1197743</v>
          </cell>
          <cell r="O196">
            <v>1197743</v>
          </cell>
          <cell r="P196">
            <v>0</v>
          </cell>
          <cell r="Q196">
            <v>0</v>
          </cell>
          <cell r="R196">
            <v>1023779</v>
          </cell>
          <cell r="S196">
            <v>243112</v>
          </cell>
          <cell r="T196">
            <v>0</v>
          </cell>
          <cell r="U196">
            <v>0</v>
          </cell>
          <cell r="V196">
            <v>0</v>
          </cell>
          <cell r="W196">
            <v>0</v>
          </cell>
          <cell r="X196">
            <v>0</v>
          </cell>
          <cell r="Y196">
            <v>0</v>
          </cell>
          <cell r="Z196">
            <v>0</v>
          </cell>
          <cell r="AA196">
            <v>18670</v>
          </cell>
          <cell r="AB196">
            <v>4667</v>
          </cell>
          <cell r="AC196">
            <v>0</v>
          </cell>
          <cell r="AD196">
            <v>0</v>
          </cell>
          <cell r="AE196">
            <v>0</v>
          </cell>
          <cell r="AF196">
            <v>0</v>
          </cell>
          <cell r="AG196">
            <v>0</v>
          </cell>
          <cell r="AH196">
            <v>0</v>
          </cell>
          <cell r="AI196">
            <v>0</v>
          </cell>
          <cell r="AM196">
            <v>0</v>
          </cell>
          <cell r="AN196">
            <v>0</v>
          </cell>
          <cell r="AO196">
            <v>0</v>
          </cell>
          <cell r="AP196">
            <v>571959</v>
          </cell>
          <cell r="AQ196">
            <v>138492</v>
          </cell>
          <cell r="AR196">
            <v>0</v>
          </cell>
          <cell r="AS196">
            <v>-309998.73</v>
          </cell>
          <cell r="AT196">
            <v>-248000</v>
          </cell>
          <cell r="AU196">
            <v>-61999</v>
          </cell>
          <cell r="AV196">
            <v>0</v>
          </cell>
          <cell r="AW196">
            <v>-619997.73</v>
          </cell>
          <cell r="AX196">
            <v>-5933485.4000000004</v>
          </cell>
          <cell r="AY196">
            <v>-4746789</v>
          </cell>
          <cell r="AZ196">
            <v>-1186696</v>
          </cell>
          <cell r="BA196">
            <v>0</v>
          </cell>
          <cell r="BB196">
            <v>-11866970.4</v>
          </cell>
          <cell r="BC196">
            <v>99208551</v>
          </cell>
          <cell r="BD196">
            <v>-3757024</v>
          </cell>
          <cell r="BE196">
            <v>2859367</v>
          </cell>
          <cell r="BF196">
            <v>0</v>
          </cell>
          <cell r="BG196">
            <v>-7125437</v>
          </cell>
          <cell r="BH196">
            <v>-15904</v>
          </cell>
          <cell r="BI196">
            <v>0</v>
          </cell>
          <cell r="BJ196">
            <v>-213324</v>
          </cell>
          <cell r="BK196">
            <v>-3280481</v>
          </cell>
          <cell r="BL196">
            <v>-237158</v>
          </cell>
          <cell r="BM196">
            <v>-241592</v>
          </cell>
          <cell r="BN196">
            <v>-2982</v>
          </cell>
          <cell r="BO196">
            <v>0</v>
          </cell>
          <cell r="BP196">
            <v>0</v>
          </cell>
          <cell r="BQ196">
            <v>-2036907</v>
          </cell>
          <cell r="BR196">
            <v>-1977530</v>
          </cell>
          <cell r="BS196">
            <v>0</v>
          </cell>
          <cell r="BT196">
            <v>103585253</v>
          </cell>
          <cell r="BU196">
            <v>-580143</v>
          </cell>
          <cell r="BV196">
            <v>4992120</v>
          </cell>
          <cell r="BW196">
            <v>-1867038</v>
          </cell>
          <cell r="BX196">
            <v>-4104556</v>
          </cell>
          <cell r="BY196">
            <v>-2798792</v>
          </cell>
          <cell r="BZ196">
            <v>92195950</v>
          </cell>
          <cell r="CA196">
            <v>-2052278</v>
          </cell>
          <cell r="CB196">
            <v>-1641822</v>
          </cell>
          <cell r="CC196">
            <v>-410456</v>
          </cell>
          <cell r="CD196">
            <v>0</v>
          </cell>
          <cell r="CE196">
            <v>-1399396</v>
          </cell>
          <cell r="CF196">
            <v>-1119517</v>
          </cell>
          <cell r="CG196">
            <v>-279879</v>
          </cell>
          <cell r="CH196">
            <v>0</v>
          </cell>
        </row>
        <row r="197">
          <cell r="A197">
            <v>190</v>
          </cell>
          <cell r="B197" t="str">
            <v>Northumberland UA</v>
          </cell>
          <cell r="C197" t="str">
            <v>E2901</v>
          </cell>
          <cell r="D197">
            <v>479269</v>
          </cell>
          <cell r="H197">
            <v>1883856</v>
          </cell>
          <cell r="I197">
            <v>29189</v>
          </cell>
          <cell r="J197">
            <v>479269</v>
          </cell>
          <cell r="K197">
            <v>184394</v>
          </cell>
          <cell r="L197">
            <v>1860077</v>
          </cell>
          <cell r="M197">
            <v>0</v>
          </cell>
          <cell r="N197">
            <v>127854</v>
          </cell>
          <cell r="O197">
            <v>127854</v>
          </cell>
          <cell r="P197">
            <v>0</v>
          </cell>
          <cell r="Q197">
            <v>0</v>
          </cell>
          <cell r="R197">
            <v>2639541</v>
          </cell>
          <cell r="S197">
            <v>0</v>
          </cell>
          <cell r="T197">
            <v>0</v>
          </cell>
          <cell r="U197">
            <v>21825</v>
          </cell>
          <cell r="V197">
            <v>0</v>
          </cell>
          <cell r="W197">
            <v>0</v>
          </cell>
          <cell r="X197">
            <v>2538</v>
          </cell>
          <cell r="Y197">
            <v>0</v>
          </cell>
          <cell r="Z197">
            <v>0</v>
          </cell>
          <cell r="AA197">
            <v>10959</v>
          </cell>
          <cell r="AB197">
            <v>0</v>
          </cell>
          <cell r="AC197">
            <v>0</v>
          </cell>
          <cell r="AD197">
            <v>0</v>
          </cell>
          <cell r="AE197">
            <v>0</v>
          </cell>
          <cell r="AF197">
            <v>0</v>
          </cell>
          <cell r="AG197">
            <v>0</v>
          </cell>
          <cell r="AH197">
            <v>0</v>
          </cell>
          <cell r="AI197">
            <v>0</v>
          </cell>
          <cell r="AM197">
            <v>0</v>
          </cell>
          <cell r="AN197">
            <v>0</v>
          </cell>
          <cell r="AO197">
            <v>0</v>
          </cell>
          <cell r="AP197">
            <v>599065</v>
          </cell>
          <cell r="AQ197">
            <v>0</v>
          </cell>
          <cell r="AR197">
            <v>0</v>
          </cell>
          <cell r="AS197">
            <v>-785224.37</v>
          </cell>
          <cell r="AT197">
            <v>-785226</v>
          </cell>
          <cell r="AU197">
            <v>0</v>
          </cell>
          <cell r="AV197">
            <v>0</v>
          </cell>
          <cell r="AW197">
            <v>-1570450.3</v>
          </cell>
          <cell r="AX197">
            <v>-4229296</v>
          </cell>
          <cell r="AY197">
            <v>-4229296</v>
          </cell>
          <cell r="AZ197">
            <v>0</v>
          </cell>
          <cell r="BA197">
            <v>0</v>
          </cell>
          <cell r="BB197">
            <v>-8458592</v>
          </cell>
          <cell r="BC197">
            <v>75700312</v>
          </cell>
          <cell r="BD197">
            <v>-8492487</v>
          </cell>
          <cell r="BE197">
            <v>2079348</v>
          </cell>
          <cell r="BF197">
            <v>0</v>
          </cell>
          <cell r="BG197">
            <v>-6545461</v>
          </cell>
          <cell r="BH197">
            <v>-167873</v>
          </cell>
          <cell r="BI197">
            <v>-89473</v>
          </cell>
          <cell r="BJ197">
            <v>0</v>
          </cell>
          <cell r="BK197">
            <v>-2492563</v>
          </cell>
          <cell r="BL197">
            <v>-697370</v>
          </cell>
          <cell r="BM197">
            <v>-451075</v>
          </cell>
          <cell r="BN197">
            <v>-17351</v>
          </cell>
          <cell r="BO197">
            <v>-18714</v>
          </cell>
          <cell r="BP197">
            <v>-28991</v>
          </cell>
          <cell r="BQ197">
            <v>-141297</v>
          </cell>
          <cell r="BR197">
            <v>-140844</v>
          </cell>
          <cell r="BS197">
            <v>0</v>
          </cell>
          <cell r="BT197">
            <v>79156505</v>
          </cell>
          <cell r="BU197">
            <v>-656608</v>
          </cell>
          <cell r="BV197">
            <v>2874345</v>
          </cell>
          <cell r="BW197">
            <v>-276137</v>
          </cell>
          <cell r="BX197">
            <v>-2338876</v>
          </cell>
          <cell r="BY197">
            <v>-1385811</v>
          </cell>
          <cell r="BZ197">
            <v>75416571</v>
          </cell>
          <cell r="CA197">
            <v>-1169438</v>
          </cell>
          <cell r="CB197">
            <v>-1169438</v>
          </cell>
          <cell r="CC197">
            <v>0</v>
          </cell>
          <cell r="CD197">
            <v>0</v>
          </cell>
          <cell r="CE197">
            <v>-692905</v>
          </cell>
          <cell r="CF197">
            <v>-692906</v>
          </cell>
          <cell r="CG197">
            <v>0</v>
          </cell>
          <cell r="CH197">
            <v>0</v>
          </cell>
        </row>
        <row r="198">
          <cell r="A198">
            <v>191</v>
          </cell>
          <cell r="B198" t="str">
            <v>Norwich</v>
          </cell>
          <cell r="C198" t="str">
            <v>E2636</v>
          </cell>
          <cell r="D198">
            <v>270765</v>
          </cell>
          <cell r="H198">
            <v>-1056118</v>
          </cell>
          <cell r="I198">
            <v>0</v>
          </cell>
          <cell r="J198">
            <v>270765</v>
          </cell>
          <cell r="K198">
            <v>0</v>
          </cell>
          <cell r="L198">
            <v>0</v>
          </cell>
          <cell r="M198">
            <v>0</v>
          </cell>
          <cell r="N198">
            <v>0</v>
          </cell>
          <cell r="O198">
            <v>0</v>
          </cell>
          <cell r="P198">
            <v>0</v>
          </cell>
          <cell r="Q198">
            <v>0</v>
          </cell>
          <cell r="R198">
            <v>973122</v>
          </cell>
          <cell r="S198">
            <v>243280</v>
          </cell>
          <cell r="T198">
            <v>0</v>
          </cell>
          <cell r="U198">
            <v>2839</v>
          </cell>
          <cell r="V198">
            <v>710</v>
          </cell>
          <cell r="W198">
            <v>0</v>
          </cell>
          <cell r="X198">
            <v>0</v>
          </cell>
          <cell r="Y198">
            <v>0</v>
          </cell>
          <cell r="Z198">
            <v>0</v>
          </cell>
          <cell r="AA198">
            <v>24256</v>
          </cell>
          <cell r="AB198">
            <v>6064</v>
          </cell>
          <cell r="AC198">
            <v>0</v>
          </cell>
          <cell r="AD198">
            <v>0</v>
          </cell>
          <cell r="AE198">
            <v>0</v>
          </cell>
          <cell r="AF198">
            <v>0</v>
          </cell>
          <cell r="AG198">
            <v>0</v>
          </cell>
          <cell r="AH198">
            <v>0</v>
          </cell>
          <cell r="AI198">
            <v>0</v>
          </cell>
          <cell r="AM198">
            <v>0</v>
          </cell>
          <cell r="AN198">
            <v>0</v>
          </cell>
          <cell r="AO198">
            <v>0</v>
          </cell>
          <cell r="AP198">
            <v>453196</v>
          </cell>
          <cell r="AQ198">
            <v>113299</v>
          </cell>
          <cell r="AR198">
            <v>0</v>
          </cell>
          <cell r="AS198">
            <v>-1019259</v>
          </cell>
          <cell r="AT198">
            <v>-815406.2</v>
          </cell>
          <cell r="AU198">
            <v>-203851.8</v>
          </cell>
          <cell r="AV198">
            <v>0</v>
          </cell>
          <cell r="AW198">
            <v>-2038517</v>
          </cell>
          <cell r="AX198">
            <v>-2702822</v>
          </cell>
          <cell r="AY198">
            <v>-2162259</v>
          </cell>
          <cell r="AZ198">
            <v>-540565</v>
          </cell>
          <cell r="BA198">
            <v>0</v>
          </cell>
          <cell r="BB198">
            <v>-5405646</v>
          </cell>
          <cell r="BC198">
            <v>77669940</v>
          </cell>
          <cell r="BD198">
            <v>-3573189</v>
          </cell>
          <cell r="BE198">
            <v>2220459</v>
          </cell>
          <cell r="BF198">
            <v>0</v>
          </cell>
          <cell r="BG198">
            <v>-5847834</v>
          </cell>
          <cell r="BH198">
            <v>-24830</v>
          </cell>
          <cell r="BI198">
            <v>0</v>
          </cell>
          <cell r="BJ198">
            <v>-30854</v>
          </cell>
          <cell r="BK198">
            <v>-3861010</v>
          </cell>
          <cell r="BL198">
            <v>-102371</v>
          </cell>
          <cell r="BM198">
            <v>-93123</v>
          </cell>
          <cell r="BN198">
            <v>0</v>
          </cell>
          <cell r="BO198">
            <v>0</v>
          </cell>
          <cell r="BP198">
            <v>0</v>
          </cell>
          <cell r="BQ198">
            <v>0</v>
          </cell>
          <cell r="BR198">
            <v>0</v>
          </cell>
          <cell r="BS198">
            <v>0</v>
          </cell>
          <cell r="BT198">
            <v>80867435</v>
          </cell>
          <cell r="BU198">
            <v>-447552</v>
          </cell>
          <cell r="BV198">
            <v>3514145</v>
          </cell>
          <cell r="BW198">
            <v>-1066217</v>
          </cell>
          <cell r="BX198">
            <v>-122672</v>
          </cell>
          <cell r="BY198">
            <v>-329576</v>
          </cell>
          <cell r="BZ198">
            <v>75424790</v>
          </cell>
          <cell r="CA198">
            <v>-61335</v>
          </cell>
          <cell r="CB198">
            <v>-49069</v>
          </cell>
          <cell r="CC198">
            <v>-12268</v>
          </cell>
          <cell r="CD198">
            <v>0</v>
          </cell>
          <cell r="CE198">
            <v>-164788</v>
          </cell>
          <cell r="CF198">
            <v>-131830</v>
          </cell>
          <cell r="CG198">
            <v>-32958</v>
          </cell>
          <cell r="CH198">
            <v>0</v>
          </cell>
        </row>
        <row r="199">
          <cell r="A199">
            <v>192</v>
          </cell>
          <cell r="B199" t="str">
            <v>Nottingham</v>
          </cell>
          <cell r="C199" t="str">
            <v>E3001</v>
          </cell>
          <cell r="D199">
            <v>493121</v>
          </cell>
          <cell r="H199">
            <v>7340042</v>
          </cell>
          <cell r="I199">
            <v>472695</v>
          </cell>
          <cell r="J199">
            <v>498121</v>
          </cell>
          <cell r="K199">
            <v>0</v>
          </cell>
          <cell r="L199">
            <v>0</v>
          </cell>
          <cell r="M199">
            <v>0</v>
          </cell>
          <cell r="N199">
            <v>0</v>
          </cell>
          <cell r="O199">
            <v>0</v>
          </cell>
          <cell r="P199">
            <v>0</v>
          </cell>
          <cell r="Q199">
            <v>0</v>
          </cell>
          <cell r="R199">
            <v>1960933</v>
          </cell>
          <cell r="S199">
            <v>0</v>
          </cell>
          <cell r="T199">
            <v>35419</v>
          </cell>
          <cell r="U199">
            <v>16433</v>
          </cell>
          <cell r="V199">
            <v>0</v>
          </cell>
          <cell r="W199">
            <v>273</v>
          </cell>
          <cell r="X199">
            <v>0</v>
          </cell>
          <cell r="Y199">
            <v>0</v>
          </cell>
          <cell r="Z199">
            <v>0</v>
          </cell>
          <cell r="AA199">
            <v>6527</v>
          </cell>
          <cell r="AB199">
            <v>0</v>
          </cell>
          <cell r="AC199">
            <v>71</v>
          </cell>
          <cell r="AD199">
            <v>0</v>
          </cell>
          <cell r="AE199">
            <v>0</v>
          </cell>
          <cell r="AF199">
            <v>0</v>
          </cell>
          <cell r="AG199">
            <v>0</v>
          </cell>
          <cell r="AH199">
            <v>0</v>
          </cell>
          <cell r="AI199">
            <v>0</v>
          </cell>
          <cell r="AM199">
            <v>0</v>
          </cell>
          <cell r="AN199">
            <v>0</v>
          </cell>
          <cell r="AO199">
            <v>0</v>
          </cell>
          <cell r="AP199">
            <v>1013783</v>
          </cell>
          <cell r="AQ199">
            <v>0</v>
          </cell>
          <cell r="AR199">
            <v>20689</v>
          </cell>
          <cell r="AS199">
            <v>-3309724</v>
          </cell>
          <cell r="AT199">
            <v>-3243531</v>
          </cell>
          <cell r="AU199">
            <v>0</v>
          </cell>
          <cell r="AV199">
            <v>-66195</v>
          </cell>
          <cell r="AW199">
            <v>-6619450</v>
          </cell>
          <cell r="AX199">
            <v>-9494433</v>
          </cell>
          <cell r="AY199">
            <v>-9304545</v>
          </cell>
          <cell r="AZ199">
            <v>0</v>
          </cell>
          <cell r="BA199">
            <v>-189889</v>
          </cell>
          <cell r="BB199">
            <v>-18988867</v>
          </cell>
          <cell r="BC199">
            <v>132103516</v>
          </cell>
          <cell r="BD199">
            <v>-5909812</v>
          </cell>
          <cell r="BE199">
            <v>3782081</v>
          </cell>
          <cell r="BF199">
            <v>0</v>
          </cell>
          <cell r="BG199">
            <v>-13290357</v>
          </cell>
          <cell r="BH199">
            <v>-66291</v>
          </cell>
          <cell r="BI199">
            <v>0</v>
          </cell>
          <cell r="BJ199">
            <v>-422536</v>
          </cell>
          <cell r="BK199">
            <v>-6186070</v>
          </cell>
          <cell r="BL199">
            <v>-189435</v>
          </cell>
          <cell r="BM199">
            <v>-574528</v>
          </cell>
          <cell r="BN199">
            <v>-845</v>
          </cell>
          <cell r="BO199">
            <v>0</v>
          </cell>
          <cell r="BP199">
            <v>0</v>
          </cell>
          <cell r="BQ199">
            <v>-71608</v>
          </cell>
          <cell r="BR199">
            <v>0</v>
          </cell>
          <cell r="BS199">
            <v>0</v>
          </cell>
          <cell r="BT199">
            <v>131248233</v>
          </cell>
          <cell r="BU199">
            <v>-997600</v>
          </cell>
          <cell r="BV199">
            <v>10735128</v>
          </cell>
          <cell r="BW199">
            <v>-2212665</v>
          </cell>
          <cell r="BX199">
            <v>-6126742</v>
          </cell>
          <cell r="BY199">
            <v>-8587596</v>
          </cell>
          <cell r="BZ199">
            <v>137732616</v>
          </cell>
          <cell r="CA199">
            <v>-3063372</v>
          </cell>
          <cell r="CB199">
            <v>-3002103</v>
          </cell>
          <cell r="CC199">
            <v>0</v>
          </cell>
          <cell r="CD199">
            <v>-61267</v>
          </cell>
          <cell r="CE199">
            <v>-4293798</v>
          </cell>
          <cell r="CF199">
            <v>-4207922</v>
          </cell>
          <cell r="CG199">
            <v>0</v>
          </cell>
          <cell r="CH199">
            <v>-85876</v>
          </cell>
        </row>
        <row r="200">
          <cell r="A200">
            <v>193</v>
          </cell>
          <cell r="B200" t="str">
            <v>Nuneaton and Bedworth</v>
          </cell>
          <cell r="C200" t="str">
            <v>E3732</v>
          </cell>
          <cell r="D200">
            <v>130142</v>
          </cell>
          <cell r="H200">
            <v>-1150933.27</v>
          </cell>
          <cell r="I200">
            <v>0</v>
          </cell>
          <cell r="J200">
            <v>130142</v>
          </cell>
          <cell r="K200">
            <v>0</v>
          </cell>
          <cell r="L200">
            <v>0</v>
          </cell>
          <cell r="M200">
            <v>0</v>
          </cell>
          <cell r="N200">
            <v>0</v>
          </cell>
          <cell r="O200">
            <v>0</v>
          </cell>
          <cell r="P200">
            <v>0</v>
          </cell>
          <cell r="Q200">
            <v>0</v>
          </cell>
          <cell r="R200">
            <v>592779</v>
          </cell>
          <cell r="S200">
            <v>148195</v>
          </cell>
          <cell r="T200">
            <v>0</v>
          </cell>
          <cell r="U200">
            <v>0</v>
          </cell>
          <cell r="V200">
            <v>0</v>
          </cell>
          <cell r="W200">
            <v>0</v>
          </cell>
          <cell r="X200">
            <v>75</v>
          </cell>
          <cell r="Y200">
            <v>19</v>
          </cell>
          <cell r="Z200">
            <v>0</v>
          </cell>
          <cell r="AA200">
            <v>2187</v>
          </cell>
          <cell r="AB200">
            <v>547</v>
          </cell>
          <cell r="AC200">
            <v>0</v>
          </cell>
          <cell r="AD200">
            <v>0</v>
          </cell>
          <cell r="AE200">
            <v>0</v>
          </cell>
          <cell r="AF200">
            <v>0</v>
          </cell>
          <cell r="AG200">
            <v>0</v>
          </cell>
          <cell r="AH200">
            <v>0</v>
          </cell>
          <cell r="AI200">
            <v>0</v>
          </cell>
          <cell r="AM200">
            <v>0</v>
          </cell>
          <cell r="AN200">
            <v>0</v>
          </cell>
          <cell r="AO200">
            <v>0</v>
          </cell>
          <cell r="AP200">
            <v>200937</v>
          </cell>
          <cell r="AQ200">
            <v>50234</v>
          </cell>
          <cell r="AR200">
            <v>0</v>
          </cell>
          <cell r="AS200">
            <v>-151550</v>
          </cell>
          <cell r="AT200">
            <v>-121240</v>
          </cell>
          <cell r="AU200">
            <v>-30310</v>
          </cell>
          <cell r="AV200">
            <v>0</v>
          </cell>
          <cell r="AW200">
            <v>-303100</v>
          </cell>
          <cell r="AX200">
            <v>-1753217.5</v>
          </cell>
          <cell r="AY200">
            <v>-1402575</v>
          </cell>
          <cell r="AZ200">
            <v>-350644</v>
          </cell>
          <cell r="BA200">
            <v>0</v>
          </cell>
          <cell r="BB200">
            <v>-3506436.5</v>
          </cell>
          <cell r="BC200">
            <v>36214084</v>
          </cell>
          <cell r="BD200">
            <v>-2099144</v>
          </cell>
          <cell r="BE200">
            <v>930804</v>
          </cell>
          <cell r="BF200">
            <v>0</v>
          </cell>
          <cell r="BG200">
            <v>-2020479</v>
          </cell>
          <cell r="BH200">
            <v>-23757</v>
          </cell>
          <cell r="BI200">
            <v>0</v>
          </cell>
          <cell r="BJ200">
            <v>0</v>
          </cell>
          <cell r="BK200">
            <v>-1098491</v>
          </cell>
          <cell r="BL200">
            <v>-13027</v>
          </cell>
          <cell r="BM200">
            <v>-23976</v>
          </cell>
          <cell r="BN200">
            <v>0</v>
          </cell>
          <cell r="BO200">
            <v>0</v>
          </cell>
          <cell r="BP200">
            <v>0</v>
          </cell>
          <cell r="BQ200">
            <v>-50244</v>
          </cell>
          <cell r="BR200">
            <v>0</v>
          </cell>
          <cell r="BS200">
            <v>0</v>
          </cell>
          <cell r="BT200">
            <v>35731104</v>
          </cell>
          <cell r="BU200">
            <v>-275856</v>
          </cell>
          <cell r="BV200">
            <v>1358265</v>
          </cell>
          <cell r="BW200">
            <v>-153368</v>
          </cell>
          <cell r="BX200">
            <v>1126497</v>
          </cell>
          <cell r="BY200">
            <v>591698</v>
          </cell>
          <cell r="BZ200">
            <v>33441651</v>
          </cell>
          <cell r="CA200">
            <v>563249</v>
          </cell>
          <cell r="CB200">
            <v>450599</v>
          </cell>
          <cell r="CC200">
            <v>112649</v>
          </cell>
          <cell r="CD200">
            <v>0</v>
          </cell>
          <cell r="CE200">
            <v>295849</v>
          </cell>
          <cell r="CF200">
            <v>236679</v>
          </cell>
          <cell r="CG200">
            <v>59170</v>
          </cell>
          <cell r="CH200">
            <v>0</v>
          </cell>
        </row>
        <row r="201">
          <cell r="A201">
            <v>194</v>
          </cell>
          <cell r="B201" t="str">
            <v>Oadby and Wigston</v>
          </cell>
          <cell r="C201" t="str">
            <v>E2438</v>
          </cell>
          <cell r="D201">
            <v>55691</v>
          </cell>
          <cell r="H201">
            <v>426264</v>
          </cell>
          <cell r="I201">
            <v>0</v>
          </cell>
          <cell r="J201">
            <v>55691</v>
          </cell>
          <cell r="K201">
            <v>0</v>
          </cell>
          <cell r="L201">
            <v>0</v>
          </cell>
          <cell r="M201">
            <v>0</v>
          </cell>
          <cell r="N201">
            <v>0</v>
          </cell>
          <cell r="O201">
            <v>0</v>
          </cell>
          <cell r="P201">
            <v>0</v>
          </cell>
          <cell r="Q201">
            <v>0</v>
          </cell>
          <cell r="R201">
            <v>316324</v>
          </cell>
          <cell r="S201">
            <v>71173</v>
          </cell>
          <cell r="T201">
            <v>7908</v>
          </cell>
          <cell r="U201">
            <v>4059</v>
          </cell>
          <cell r="V201">
            <v>914</v>
          </cell>
          <cell r="W201">
            <v>102</v>
          </cell>
          <cell r="X201">
            <v>0</v>
          </cell>
          <cell r="Y201">
            <v>0</v>
          </cell>
          <cell r="Z201">
            <v>0</v>
          </cell>
          <cell r="AA201">
            <v>0</v>
          </cell>
          <cell r="AB201">
            <v>0</v>
          </cell>
          <cell r="AC201">
            <v>0</v>
          </cell>
          <cell r="AD201">
            <v>0</v>
          </cell>
          <cell r="AE201">
            <v>0</v>
          </cell>
          <cell r="AF201">
            <v>0</v>
          </cell>
          <cell r="AG201">
            <v>0</v>
          </cell>
          <cell r="AH201">
            <v>0</v>
          </cell>
          <cell r="AI201">
            <v>0</v>
          </cell>
          <cell r="AM201">
            <v>0</v>
          </cell>
          <cell r="AN201">
            <v>0</v>
          </cell>
          <cell r="AO201">
            <v>0</v>
          </cell>
          <cell r="AP201">
            <v>72339</v>
          </cell>
          <cell r="AQ201">
            <v>16276</v>
          </cell>
          <cell r="AR201">
            <v>1808</v>
          </cell>
          <cell r="AS201">
            <v>-148199.20000000001</v>
          </cell>
          <cell r="AT201">
            <v>-118562</v>
          </cell>
          <cell r="AU201">
            <v>-26676</v>
          </cell>
          <cell r="AV201">
            <v>-2965</v>
          </cell>
          <cell r="AW201">
            <v>-296402.2</v>
          </cell>
          <cell r="AX201">
            <v>-719415</v>
          </cell>
          <cell r="AY201">
            <v>-575531</v>
          </cell>
          <cell r="AZ201">
            <v>-129495</v>
          </cell>
          <cell r="BA201">
            <v>-14388</v>
          </cell>
          <cell r="BB201">
            <v>-1438829</v>
          </cell>
          <cell r="BC201">
            <v>12091292</v>
          </cell>
          <cell r="BD201">
            <v>-1031933</v>
          </cell>
          <cell r="BE201">
            <v>327326</v>
          </cell>
          <cell r="BF201">
            <v>0</v>
          </cell>
          <cell r="BG201">
            <v>-1526742</v>
          </cell>
          <cell r="BH201">
            <v>0</v>
          </cell>
          <cell r="BI201">
            <v>0</v>
          </cell>
          <cell r="BJ201">
            <v>0</v>
          </cell>
          <cell r="BK201">
            <v>-418443</v>
          </cell>
          <cell r="BL201">
            <v>-73802</v>
          </cell>
          <cell r="BM201">
            <v>-13518</v>
          </cell>
          <cell r="BN201">
            <v>0</v>
          </cell>
          <cell r="BO201">
            <v>0</v>
          </cell>
          <cell r="BP201">
            <v>0</v>
          </cell>
          <cell r="BQ201">
            <v>0</v>
          </cell>
          <cell r="BR201">
            <v>0</v>
          </cell>
          <cell r="BS201">
            <v>0</v>
          </cell>
          <cell r="BT201">
            <v>12219154</v>
          </cell>
          <cell r="BU201">
            <v>-69179</v>
          </cell>
          <cell r="BV201">
            <v>986312</v>
          </cell>
          <cell r="BW201">
            <v>-380690</v>
          </cell>
          <cell r="BX201">
            <v>-138289</v>
          </cell>
          <cell r="BY201">
            <v>99585</v>
          </cell>
          <cell r="BZ201">
            <v>12039270</v>
          </cell>
          <cell r="CA201">
            <v>-69145</v>
          </cell>
          <cell r="CB201">
            <v>-55315</v>
          </cell>
          <cell r="CC201">
            <v>-12446</v>
          </cell>
          <cell r="CD201">
            <v>-1383</v>
          </cell>
          <cell r="CE201">
            <v>49792</v>
          </cell>
          <cell r="CF201">
            <v>39834</v>
          </cell>
          <cell r="CG201">
            <v>8963</v>
          </cell>
          <cell r="CH201">
            <v>996</v>
          </cell>
        </row>
        <row r="202">
          <cell r="A202">
            <v>195</v>
          </cell>
          <cell r="B202" t="str">
            <v>Oldham</v>
          </cell>
          <cell r="C202" t="str">
            <v>E4204</v>
          </cell>
          <cell r="D202">
            <v>307642</v>
          </cell>
          <cell r="H202">
            <v>-3113266</v>
          </cell>
          <cell r="I202">
            <v>0</v>
          </cell>
          <cell r="J202">
            <v>307642</v>
          </cell>
          <cell r="K202">
            <v>0</v>
          </cell>
          <cell r="L202">
            <v>2048</v>
          </cell>
          <cell r="M202">
            <v>0</v>
          </cell>
          <cell r="N202">
            <v>0</v>
          </cell>
          <cell r="O202">
            <v>0</v>
          </cell>
          <cell r="P202">
            <v>0</v>
          </cell>
          <cell r="Q202">
            <v>0</v>
          </cell>
          <cell r="R202">
            <v>3919181</v>
          </cell>
          <cell r="S202">
            <v>0</v>
          </cell>
          <cell r="T202">
            <v>39588</v>
          </cell>
          <cell r="U202">
            <v>201</v>
          </cell>
          <cell r="V202">
            <v>0</v>
          </cell>
          <cell r="W202">
            <v>2</v>
          </cell>
          <cell r="X202">
            <v>93238</v>
          </cell>
          <cell r="Y202">
            <v>0</v>
          </cell>
          <cell r="Z202">
            <v>942</v>
          </cell>
          <cell r="AA202">
            <v>10557</v>
          </cell>
          <cell r="AB202">
            <v>0</v>
          </cell>
          <cell r="AC202">
            <v>107</v>
          </cell>
          <cell r="AD202">
            <v>0</v>
          </cell>
          <cell r="AE202">
            <v>0</v>
          </cell>
          <cell r="AF202">
            <v>0</v>
          </cell>
          <cell r="AG202">
            <v>0</v>
          </cell>
          <cell r="AH202">
            <v>0</v>
          </cell>
          <cell r="AI202">
            <v>0</v>
          </cell>
          <cell r="AM202">
            <v>0</v>
          </cell>
          <cell r="AN202">
            <v>0</v>
          </cell>
          <cell r="AO202">
            <v>0</v>
          </cell>
          <cell r="AP202">
            <v>804066</v>
          </cell>
          <cell r="AQ202">
            <v>0</v>
          </cell>
          <cell r="AR202">
            <v>8122</v>
          </cell>
          <cell r="AS202">
            <v>-1824006</v>
          </cell>
          <cell r="AT202">
            <v>-1787527</v>
          </cell>
          <cell r="AU202">
            <v>0</v>
          </cell>
          <cell r="AV202">
            <v>-36482</v>
          </cell>
          <cell r="AW202">
            <v>-3648015</v>
          </cell>
          <cell r="AX202">
            <v>-3839804</v>
          </cell>
          <cell r="AY202">
            <v>-3763009</v>
          </cell>
          <cell r="AZ202">
            <v>0</v>
          </cell>
          <cell r="BA202">
            <v>-76798</v>
          </cell>
          <cell r="BB202">
            <v>-7679611</v>
          </cell>
          <cell r="BC202">
            <v>56059207</v>
          </cell>
          <cell r="BD202">
            <v>-6297076</v>
          </cell>
          <cell r="BE202">
            <v>1676966</v>
          </cell>
          <cell r="BF202">
            <v>0</v>
          </cell>
          <cell r="BG202">
            <v>-5937055</v>
          </cell>
          <cell r="BH202">
            <v>-84937</v>
          </cell>
          <cell r="BI202">
            <v>-7964</v>
          </cell>
          <cell r="BJ202">
            <v>-2336</v>
          </cell>
          <cell r="BK202">
            <v>-3490971</v>
          </cell>
          <cell r="BL202">
            <v>-220162</v>
          </cell>
          <cell r="BM202">
            <v>-115383</v>
          </cell>
          <cell r="BN202">
            <v>-152</v>
          </cell>
          <cell r="BO202">
            <v>-746</v>
          </cell>
          <cell r="BP202">
            <v>0</v>
          </cell>
          <cell r="BQ202">
            <v>0</v>
          </cell>
          <cell r="BR202">
            <v>0</v>
          </cell>
          <cell r="BS202">
            <v>0</v>
          </cell>
          <cell r="BT202">
            <v>58810160</v>
          </cell>
          <cell r="BU202">
            <v>-1649992</v>
          </cell>
          <cell r="BV202">
            <v>5849630</v>
          </cell>
          <cell r="BW202">
            <v>-2227735</v>
          </cell>
          <cell r="BX202">
            <v>-2647271</v>
          </cell>
          <cell r="BY202">
            <v>0</v>
          </cell>
          <cell r="BZ202">
            <v>54066419</v>
          </cell>
          <cell r="CA202">
            <v>-1323636</v>
          </cell>
          <cell r="CB202">
            <v>-1297163</v>
          </cell>
          <cell r="CC202">
            <v>0</v>
          </cell>
          <cell r="CD202">
            <v>-26472</v>
          </cell>
          <cell r="CE202">
            <v>0</v>
          </cell>
          <cell r="CF202">
            <v>0</v>
          </cell>
          <cell r="CG202">
            <v>0</v>
          </cell>
          <cell r="CH202">
            <v>0</v>
          </cell>
        </row>
        <row r="203">
          <cell r="A203">
            <v>196</v>
          </cell>
          <cell r="B203" t="str">
            <v>Oxford</v>
          </cell>
          <cell r="C203" t="str">
            <v>E3132</v>
          </cell>
          <cell r="D203">
            <v>218144</v>
          </cell>
          <cell r="H203">
            <v>613046</v>
          </cell>
          <cell r="I203">
            <v>0</v>
          </cell>
          <cell r="J203">
            <v>218144</v>
          </cell>
          <cell r="K203">
            <v>0</v>
          </cell>
          <cell r="L203">
            <v>7456</v>
          </cell>
          <cell r="M203">
            <v>0</v>
          </cell>
          <cell r="N203">
            <v>0</v>
          </cell>
          <cell r="O203">
            <v>0</v>
          </cell>
          <cell r="P203">
            <v>0</v>
          </cell>
          <cell r="Q203">
            <v>0</v>
          </cell>
          <cell r="R203">
            <v>362574</v>
          </cell>
          <cell r="S203">
            <v>90644</v>
          </cell>
          <cell r="T203">
            <v>0</v>
          </cell>
          <cell r="U203">
            <v>1665</v>
          </cell>
          <cell r="V203">
            <v>416</v>
          </cell>
          <cell r="W203">
            <v>0</v>
          </cell>
          <cell r="X203">
            <v>8120</v>
          </cell>
          <cell r="Y203">
            <v>2030</v>
          </cell>
          <cell r="Z203">
            <v>0</v>
          </cell>
          <cell r="AA203">
            <v>8120</v>
          </cell>
          <cell r="AB203">
            <v>2030</v>
          </cell>
          <cell r="AC203">
            <v>0</v>
          </cell>
          <cell r="AD203">
            <v>0</v>
          </cell>
          <cell r="AE203">
            <v>0</v>
          </cell>
          <cell r="AF203">
            <v>0</v>
          </cell>
          <cell r="AG203">
            <v>0</v>
          </cell>
          <cell r="AH203">
            <v>0</v>
          </cell>
          <cell r="AI203">
            <v>0</v>
          </cell>
          <cell r="AM203">
            <v>0</v>
          </cell>
          <cell r="AN203">
            <v>0</v>
          </cell>
          <cell r="AO203">
            <v>0</v>
          </cell>
          <cell r="AP203">
            <v>545863</v>
          </cell>
          <cell r="AQ203">
            <v>136438</v>
          </cell>
          <cell r="AR203">
            <v>0</v>
          </cell>
          <cell r="AS203">
            <v>-565791</v>
          </cell>
          <cell r="AT203">
            <v>-452634</v>
          </cell>
          <cell r="AU203">
            <v>-113159</v>
          </cell>
          <cell r="AV203">
            <v>0</v>
          </cell>
          <cell r="AW203">
            <v>-1131584</v>
          </cell>
          <cell r="AX203">
            <v>-6452042</v>
          </cell>
          <cell r="AY203">
            <v>-5161634</v>
          </cell>
          <cell r="AZ203">
            <v>-1290409</v>
          </cell>
          <cell r="BA203">
            <v>0</v>
          </cell>
          <cell r="BB203">
            <v>-12904085</v>
          </cell>
          <cell r="BC203">
            <v>86290997</v>
          </cell>
          <cell r="BD203">
            <v>-1233277</v>
          </cell>
          <cell r="BE203">
            <v>2774738</v>
          </cell>
          <cell r="BF203">
            <v>0</v>
          </cell>
          <cell r="BG203">
            <v>-20766110</v>
          </cell>
          <cell r="BH203">
            <v>-35009</v>
          </cell>
          <cell r="BI203">
            <v>0</v>
          </cell>
          <cell r="BJ203">
            <v>-23037</v>
          </cell>
          <cell r="BK203">
            <v>-1022129</v>
          </cell>
          <cell r="BL203">
            <v>0</v>
          </cell>
          <cell r="BM203">
            <v>-40140</v>
          </cell>
          <cell r="BN203">
            <v>0</v>
          </cell>
          <cell r="BO203">
            <v>0</v>
          </cell>
          <cell r="BP203">
            <v>0</v>
          </cell>
          <cell r="BQ203">
            <v>0</v>
          </cell>
          <cell r="BR203">
            <v>0</v>
          </cell>
          <cell r="BS203">
            <v>0</v>
          </cell>
          <cell r="BT203">
            <v>86126365</v>
          </cell>
          <cell r="BU203">
            <v>0</v>
          </cell>
          <cell r="BV203">
            <v>2045407</v>
          </cell>
          <cell r="BW203">
            <v>-2980815</v>
          </cell>
          <cell r="BX203">
            <v>1360025</v>
          </cell>
          <cell r="BY203">
            <v>513833</v>
          </cell>
          <cell r="BZ203">
            <v>90828491</v>
          </cell>
          <cell r="CA203">
            <v>680012</v>
          </cell>
          <cell r="CB203">
            <v>544010</v>
          </cell>
          <cell r="CC203">
            <v>136003</v>
          </cell>
          <cell r="CD203">
            <v>0</v>
          </cell>
          <cell r="CE203">
            <v>256917</v>
          </cell>
          <cell r="CF203">
            <v>205533</v>
          </cell>
          <cell r="CG203">
            <v>51383</v>
          </cell>
          <cell r="CH203">
            <v>0</v>
          </cell>
        </row>
        <row r="204">
          <cell r="A204">
            <v>197</v>
          </cell>
          <cell r="B204" t="str">
            <v>Pendle</v>
          </cell>
          <cell r="C204" t="str">
            <v>E2338</v>
          </cell>
          <cell r="D204">
            <v>133965</v>
          </cell>
          <cell r="H204">
            <v>-946778</v>
          </cell>
          <cell r="I204">
            <v>0</v>
          </cell>
          <cell r="J204">
            <v>133965</v>
          </cell>
          <cell r="K204">
            <v>0</v>
          </cell>
          <cell r="L204">
            <v>0</v>
          </cell>
          <cell r="M204">
            <v>0</v>
          </cell>
          <cell r="N204">
            <v>0</v>
          </cell>
          <cell r="O204">
            <v>0</v>
          </cell>
          <cell r="P204">
            <v>0</v>
          </cell>
          <cell r="Q204">
            <v>0</v>
          </cell>
          <cell r="R204">
            <v>674259</v>
          </cell>
          <cell r="S204">
            <v>151709</v>
          </cell>
          <cell r="T204">
            <v>16857</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M204">
            <v>0</v>
          </cell>
          <cell r="AN204">
            <v>0</v>
          </cell>
          <cell r="AO204">
            <v>0</v>
          </cell>
          <cell r="AP204">
            <v>102147</v>
          </cell>
          <cell r="AQ204">
            <v>22983</v>
          </cell>
          <cell r="AR204">
            <v>2554</v>
          </cell>
          <cell r="AS204">
            <v>-340000</v>
          </cell>
          <cell r="AT204">
            <v>-272000</v>
          </cell>
          <cell r="AU204">
            <v>-61200</v>
          </cell>
          <cell r="AV204">
            <v>-6800</v>
          </cell>
          <cell r="AW204">
            <v>-680000</v>
          </cell>
          <cell r="AX204">
            <v>-1593499</v>
          </cell>
          <cell r="AY204">
            <v>-1274801</v>
          </cell>
          <cell r="AZ204">
            <v>-286831</v>
          </cell>
          <cell r="BA204">
            <v>-31869</v>
          </cell>
          <cell r="BB204">
            <v>-3187000</v>
          </cell>
          <cell r="BC204">
            <v>20695442</v>
          </cell>
          <cell r="BD204">
            <v>-2928812</v>
          </cell>
          <cell r="BE204">
            <v>536370</v>
          </cell>
          <cell r="BF204">
            <v>0</v>
          </cell>
          <cell r="BG204">
            <v>-1198020</v>
          </cell>
          <cell r="BH204">
            <v>0</v>
          </cell>
          <cell r="BI204">
            <v>-951</v>
          </cell>
          <cell r="BJ204">
            <v>0</v>
          </cell>
          <cell r="BK204">
            <v>-1002015</v>
          </cell>
          <cell r="BL204">
            <v>-128007</v>
          </cell>
          <cell r="BM204">
            <v>-116105</v>
          </cell>
          <cell r="BN204">
            <v>0</v>
          </cell>
          <cell r="BO204">
            <v>-951</v>
          </cell>
          <cell r="BP204">
            <v>0</v>
          </cell>
          <cell r="BQ204">
            <v>0</v>
          </cell>
          <cell r="BR204">
            <v>0</v>
          </cell>
          <cell r="BS204">
            <v>0</v>
          </cell>
          <cell r="BT204">
            <v>20304085</v>
          </cell>
          <cell r="BU204">
            <v>0</v>
          </cell>
          <cell r="BV204">
            <v>631116</v>
          </cell>
          <cell r="BW204">
            <v>-243780</v>
          </cell>
          <cell r="BX204">
            <v>-56672</v>
          </cell>
          <cell r="BY204">
            <v>-1047864</v>
          </cell>
          <cell r="BZ204">
            <v>17000188</v>
          </cell>
          <cell r="CA204">
            <v>-28337</v>
          </cell>
          <cell r="CB204">
            <v>-22668</v>
          </cell>
          <cell r="CC204">
            <v>-5100</v>
          </cell>
          <cell r="CD204">
            <v>-567</v>
          </cell>
          <cell r="CE204">
            <v>-523931</v>
          </cell>
          <cell r="CF204">
            <v>-419146</v>
          </cell>
          <cell r="CG204">
            <v>-94308</v>
          </cell>
          <cell r="CH204">
            <v>-10479</v>
          </cell>
        </row>
        <row r="205">
          <cell r="A205">
            <v>198</v>
          </cell>
          <cell r="B205" t="str">
            <v>Peterborough</v>
          </cell>
          <cell r="C205" t="str">
            <v>E0501</v>
          </cell>
          <cell r="D205">
            <v>268347</v>
          </cell>
          <cell r="H205">
            <v>-4544544</v>
          </cell>
          <cell r="I205">
            <v>0</v>
          </cell>
          <cell r="J205">
            <v>268347</v>
          </cell>
          <cell r="K205">
            <v>0</v>
          </cell>
          <cell r="L205">
            <v>279000</v>
          </cell>
          <cell r="M205">
            <v>0</v>
          </cell>
          <cell r="N205">
            <v>0</v>
          </cell>
          <cell r="O205">
            <v>0</v>
          </cell>
          <cell r="P205">
            <v>0</v>
          </cell>
          <cell r="Q205">
            <v>0</v>
          </cell>
          <cell r="R205">
            <v>1336112</v>
          </cell>
          <cell r="S205">
            <v>0</v>
          </cell>
          <cell r="T205">
            <v>27268</v>
          </cell>
          <cell r="U205">
            <v>10951</v>
          </cell>
          <cell r="V205">
            <v>0</v>
          </cell>
          <cell r="W205">
            <v>223</v>
          </cell>
          <cell r="X205">
            <v>0</v>
          </cell>
          <cell r="Y205">
            <v>0</v>
          </cell>
          <cell r="Z205">
            <v>0</v>
          </cell>
          <cell r="AA205">
            <v>5063</v>
          </cell>
          <cell r="AB205">
            <v>0</v>
          </cell>
          <cell r="AC205">
            <v>103</v>
          </cell>
          <cell r="AD205">
            <v>0</v>
          </cell>
          <cell r="AE205">
            <v>0</v>
          </cell>
          <cell r="AF205">
            <v>0</v>
          </cell>
          <cell r="AG205">
            <v>0</v>
          </cell>
          <cell r="AH205">
            <v>0</v>
          </cell>
          <cell r="AI205">
            <v>0</v>
          </cell>
          <cell r="AM205">
            <v>0</v>
          </cell>
          <cell r="AN205">
            <v>0</v>
          </cell>
          <cell r="AO205">
            <v>0</v>
          </cell>
          <cell r="AP205">
            <v>656929</v>
          </cell>
          <cell r="AQ205">
            <v>0</v>
          </cell>
          <cell r="AR205">
            <v>13321</v>
          </cell>
          <cell r="AS205">
            <v>-4230382</v>
          </cell>
          <cell r="AT205">
            <v>-4145776</v>
          </cell>
          <cell r="AU205">
            <v>0</v>
          </cell>
          <cell r="AV205">
            <v>-84608</v>
          </cell>
          <cell r="AW205">
            <v>-8460766</v>
          </cell>
          <cell r="AX205">
            <v>-4680429</v>
          </cell>
          <cell r="AY205">
            <v>-4586819</v>
          </cell>
          <cell r="AZ205">
            <v>0</v>
          </cell>
          <cell r="BA205">
            <v>-93608</v>
          </cell>
          <cell r="BB205">
            <v>-9360856</v>
          </cell>
          <cell r="BC205">
            <v>97386434</v>
          </cell>
          <cell r="BD205">
            <v>-3362317</v>
          </cell>
          <cell r="BE205">
            <v>2694012</v>
          </cell>
          <cell r="BF205">
            <v>0</v>
          </cell>
          <cell r="BG205">
            <v>-6224139</v>
          </cell>
          <cell r="BH205">
            <v>-60584</v>
          </cell>
          <cell r="BI205">
            <v>-16153</v>
          </cell>
          <cell r="BJ205">
            <v>-5379</v>
          </cell>
          <cell r="BK205">
            <v>-2333672</v>
          </cell>
          <cell r="BL205">
            <v>-306575</v>
          </cell>
          <cell r="BM205">
            <v>-51961</v>
          </cell>
          <cell r="BN205">
            <v>-3216</v>
          </cell>
          <cell r="BO205">
            <v>-3032</v>
          </cell>
          <cell r="BP205">
            <v>-445</v>
          </cell>
          <cell r="BQ205">
            <v>0</v>
          </cell>
          <cell r="BR205">
            <v>0</v>
          </cell>
          <cell r="BS205">
            <v>0</v>
          </cell>
          <cell r="BT205">
            <v>99085061</v>
          </cell>
          <cell r="BU205">
            <v>-281762</v>
          </cell>
          <cell r="BV205">
            <v>10591316</v>
          </cell>
          <cell r="BW205">
            <v>-2619982</v>
          </cell>
          <cell r="BX205">
            <v>-2311152</v>
          </cell>
          <cell r="BY205">
            <v>-2364000</v>
          </cell>
          <cell r="BZ205">
            <v>88681000</v>
          </cell>
          <cell r="CA205">
            <v>-1155576</v>
          </cell>
          <cell r="CB205">
            <v>-1132464</v>
          </cell>
          <cell r="CC205">
            <v>0</v>
          </cell>
          <cell r="CD205">
            <v>-23112</v>
          </cell>
          <cell r="CE205">
            <v>-1182000</v>
          </cell>
          <cell r="CF205">
            <v>-1158360</v>
          </cell>
          <cell r="CG205">
            <v>0</v>
          </cell>
          <cell r="CH205">
            <v>-23640</v>
          </cell>
        </row>
        <row r="206">
          <cell r="A206">
            <v>199</v>
          </cell>
          <cell r="B206" t="str">
            <v>Plymouth</v>
          </cell>
          <cell r="C206" t="str">
            <v>E1101</v>
          </cell>
          <cell r="D206">
            <v>310944</v>
          </cell>
          <cell r="H206">
            <v>-4890736</v>
          </cell>
          <cell r="I206">
            <v>0</v>
          </cell>
          <cell r="J206">
            <v>310944</v>
          </cell>
          <cell r="K206">
            <v>0</v>
          </cell>
          <cell r="L206">
            <v>213987</v>
          </cell>
          <cell r="M206">
            <v>0</v>
          </cell>
          <cell r="N206">
            <v>0</v>
          </cell>
          <cell r="O206">
            <v>0</v>
          </cell>
          <cell r="P206">
            <v>0</v>
          </cell>
          <cell r="Q206">
            <v>0</v>
          </cell>
          <cell r="R206">
            <v>1596249</v>
          </cell>
          <cell r="S206">
            <v>0</v>
          </cell>
          <cell r="T206">
            <v>32576</v>
          </cell>
          <cell r="U206">
            <v>6963</v>
          </cell>
          <cell r="V206">
            <v>0</v>
          </cell>
          <cell r="W206">
            <v>142</v>
          </cell>
          <cell r="X206">
            <v>19845</v>
          </cell>
          <cell r="Y206">
            <v>0</v>
          </cell>
          <cell r="Z206">
            <v>405</v>
          </cell>
          <cell r="AA206">
            <v>45951</v>
          </cell>
          <cell r="AB206">
            <v>0</v>
          </cell>
          <cell r="AC206">
            <v>938</v>
          </cell>
          <cell r="AD206">
            <v>0</v>
          </cell>
          <cell r="AE206">
            <v>0</v>
          </cell>
          <cell r="AF206">
            <v>0</v>
          </cell>
          <cell r="AG206">
            <v>0</v>
          </cell>
          <cell r="AH206">
            <v>0</v>
          </cell>
          <cell r="AI206">
            <v>0</v>
          </cell>
          <cell r="AM206">
            <v>0</v>
          </cell>
          <cell r="AN206">
            <v>0</v>
          </cell>
          <cell r="AO206">
            <v>0</v>
          </cell>
          <cell r="AP206">
            <v>648363</v>
          </cell>
          <cell r="AQ206">
            <v>0</v>
          </cell>
          <cell r="AR206">
            <v>13166</v>
          </cell>
          <cell r="AS206">
            <v>-315442.59000000003</v>
          </cell>
          <cell r="AT206">
            <v>-309135</v>
          </cell>
          <cell r="AU206">
            <v>0</v>
          </cell>
          <cell r="AV206">
            <v>-6309</v>
          </cell>
          <cell r="AW206">
            <v>-630886.59</v>
          </cell>
          <cell r="AX206">
            <v>-1080869</v>
          </cell>
          <cell r="AY206">
            <v>-1059251</v>
          </cell>
          <cell r="AZ206">
            <v>0</v>
          </cell>
          <cell r="BA206">
            <v>-21616</v>
          </cell>
          <cell r="BB206">
            <v>-2161736</v>
          </cell>
          <cell r="BC206">
            <v>89693953</v>
          </cell>
          <cell r="BD206">
            <v>-4849878</v>
          </cell>
          <cell r="BE206">
            <v>2595239</v>
          </cell>
          <cell r="BF206">
            <v>0</v>
          </cell>
          <cell r="BG206">
            <v>-10383450</v>
          </cell>
          <cell r="BH206">
            <v>-11479</v>
          </cell>
          <cell r="BI206">
            <v>0</v>
          </cell>
          <cell r="BJ206">
            <v>-28576</v>
          </cell>
          <cell r="BK206">
            <v>-2936964</v>
          </cell>
          <cell r="BL206">
            <v>0</v>
          </cell>
          <cell r="BM206">
            <v>-63275</v>
          </cell>
          <cell r="BN206">
            <v>0</v>
          </cell>
          <cell r="BO206">
            <v>0</v>
          </cell>
          <cell r="BP206">
            <v>0</v>
          </cell>
          <cell r="BQ206">
            <v>-65347</v>
          </cell>
          <cell r="BR206">
            <v>0</v>
          </cell>
          <cell r="BS206">
            <v>0</v>
          </cell>
          <cell r="BT206">
            <v>91614773</v>
          </cell>
          <cell r="BU206">
            <v>-655447</v>
          </cell>
          <cell r="BV206">
            <v>2337891</v>
          </cell>
          <cell r="BW206">
            <v>-1897902</v>
          </cell>
          <cell r="BX206">
            <v>-6573785</v>
          </cell>
          <cell r="BY206">
            <v>-746565</v>
          </cell>
          <cell r="BZ206">
            <v>87649972</v>
          </cell>
          <cell r="CA206">
            <v>-3286892</v>
          </cell>
          <cell r="CB206">
            <v>-3221155</v>
          </cell>
          <cell r="CC206">
            <v>0</v>
          </cell>
          <cell r="CD206">
            <v>-65738</v>
          </cell>
          <cell r="CE206">
            <v>-373282</v>
          </cell>
          <cell r="CF206">
            <v>-365817</v>
          </cell>
          <cell r="CG206">
            <v>0</v>
          </cell>
          <cell r="CH206">
            <v>-7466</v>
          </cell>
        </row>
        <row r="207">
          <cell r="A207">
            <v>200</v>
          </cell>
          <cell r="B207" t="str">
            <v>Poole</v>
          </cell>
          <cell r="C207" t="str">
            <v>E1201</v>
          </cell>
          <cell r="D207">
            <v>230423</v>
          </cell>
          <cell r="H207">
            <v>-1069200</v>
          </cell>
          <cell r="I207">
            <v>0</v>
          </cell>
          <cell r="J207">
            <v>230423</v>
          </cell>
          <cell r="K207">
            <v>0</v>
          </cell>
          <cell r="L207">
            <v>395</v>
          </cell>
          <cell r="M207">
            <v>0</v>
          </cell>
          <cell r="N207">
            <v>0</v>
          </cell>
          <cell r="O207">
            <v>0</v>
          </cell>
          <cell r="P207">
            <v>0</v>
          </cell>
          <cell r="Q207">
            <v>0</v>
          </cell>
          <cell r="R207">
            <v>1094157</v>
          </cell>
          <cell r="S207">
            <v>0</v>
          </cell>
          <cell r="T207">
            <v>22330</v>
          </cell>
          <cell r="U207">
            <v>5192</v>
          </cell>
          <cell r="V207">
            <v>0</v>
          </cell>
          <cell r="W207">
            <v>106</v>
          </cell>
          <cell r="X207">
            <v>0</v>
          </cell>
          <cell r="Y207">
            <v>0</v>
          </cell>
          <cell r="Z207">
            <v>0</v>
          </cell>
          <cell r="AA207">
            <v>9485</v>
          </cell>
          <cell r="AB207">
            <v>0</v>
          </cell>
          <cell r="AC207">
            <v>194</v>
          </cell>
          <cell r="AD207">
            <v>0</v>
          </cell>
          <cell r="AE207">
            <v>0</v>
          </cell>
          <cell r="AF207">
            <v>0</v>
          </cell>
          <cell r="AG207">
            <v>0</v>
          </cell>
          <cell r="AH207">
            <v>0</v>
          </cell>
          <cell r="AI207">
            <v>0</v>
          </cell>
          <cell r="AM207">
            <v>0</v>
          </cell>
          <cell r="AN207">
            <v>0</v>
          </cell>
          <cell r="AO207">
            <v>0</v>
          </cell>
          <cell r="AP207">
            <v>420001</v>
          </cell>
          <cell r="AQ207">
            <v>0</v>
          </cell>
          <cell r="AR207">
            <v>8571</v>
          </cell>
          <cell r="AS207">
            <v>-220365</v>
          </cell>
          <cell r="AT207">
            <v>-215956</v>
          </cell>
          <cell r="AU207">
            <v>0</v>
          </cell>
          <cell r="AV207">
            <v>-4408</v>
          </cell>
          <cell r="AW207">
            <v>-440728</v>
          </cell>
          <cell r="AX207">
            <v>-2794013</v>
          </cell>
          <cell r="AY207">
            <v>-2738130</v>
          </cell>
          <cell r="AZ207">
            <v>0</v>
          </cell>
          <cell r="BA207">
            <v>-55879</v>
          </cell>
          <cell r="BB207">
            <v>-5588023</v>
          </cell>
          <cell r="BC207">
            <v>62324464</v>
          </cell>
          <cell r="BD207">
            <v>-3212743</v>
          </cell>
          <cell r="BE207">
            <v>1731333</v>
          </cell>
          <cell r="BF207">
            <v>0</v>
          </cell>
          <cell r="BG207">
            <v>-5686660</v>
          </cell>
          <cell r="BH207">
            <v>-50989</v>
          </cell>
          <cell r="BI207">
            <v>0</v>
          </cell>
          <cell r="BJ207">
            <v>-40519</v>
          </cell>
          <cell r="BK207">
            <v>-1665502</v>
          </cell>
          <cell r="BL207">
            <v>-182216</v>
          </cell>
          <cell r="BM207">
            <v>-39718</v>
          </cell>
          <cell r="BN207">
            <v>-4557</v>
          </cell>
          <cell r="BO207">
            <v>0</v>
          </cell>
          <cell r="BP207">
            <v>0</v>
          </cell>
          <cell r="BQ207">
            <v>0</v>
          </cell>
          <cell r="BR207">
            <v>0</v>
          </cell>
          <cell r="BS207">
            <v>0</v>
          </cell>
          <cell r="BT207">
            <v>62764720</v>
          </cell>
          <cell r="BU207">
            <v>-301351</v>
          </cell>
          <cell r="BV207">
            <v>1208671</v>
          </cell>
          <cell r="BW207">
            <v>-1200806</v>
          </cell>
          <cell r="BX207">
            <v>2401994</v>
          </cell>
          <cell r="BY207">
            <v>2364959</v>
          </cell>
          <cell r="BZ207">
            <v>57060586</v>
          </cell>
          <cell r="CA207">
            <v>1200996</v>
          </cell>
          <cell r="CB207">
            <v>1176977</v>
          </cell>
          <cell r="CC207">
            <v>0</v>
          </cell>
          <cell r="CD207">
            <v>24021</v>
          </cell>
          <cell r="CE207">
            <v>1182479</v>
          </cell>
          <cell r="CF207">
            <v>1158830</v>
          </cell>
          <cell r="CG207">
            <v>0</v>
          </cell>
          <cell r="CH207">
            <v>23650</v>
          </cell>
        </row>
        <row r="208">
          <cell r="A208">
            <v>201</v>
          </cell>
          <cell r="B208" t="str">
            <v>Portsmouth</v>
          </cell>
          <cell r="C208" t="str">
            <v>E1701</v>
          </cell>
          <cell r="D208">
            <v>274758</v>
          </cell>
          <cell r="H208">
            <v>0</v>
          </cell>
          <cell r="I208">
            <v>0</v>
          </cell>
          <cell r="J208">
            <v>274758</v>
          </cell>
          <cell r="K208">
            <v>0</v>
          </cell>
          <cell r="L208">
            <v>0</v>
          </cell>
          <cell r="M208">
            <v>0</v>
          </cell>
          <cell r="N208">
            <v>0</v>
          </cell>
          <cell r="O208">
            <v>0</v>
          </cell>
          <cell r="P208">
            <v>0</v>
          </cell>
          <cell r="Q208">
            <v>0</v>
          </cell>
          <cell r="R208">
            <v>1591553</v>
          </cell>
          <cell r="S208">
            <v>0</v>
          </cell>
          <cell r="T208">
            <v>32481</v>
          </cell>
          <cell r="U208">
            <v>0</v>
          </cell>
          <cell r="V208">
            <v>0</v>
          </cell>
          <cell r="W208">
            <v>0</v>
          </cell>
          <cell r="X208">
            <v>0</v>
          </cell>
          <cell r="Y208">
            <v>0</v>
          </cell>
          <cell r="Z208">
            <v>0</v>
          </cell>
          <cell r="AA208">
            <v>24868</v>
          </cell>
          <cell r="AB208">
            <v>0</v>
          </cell>
          <cell r="AC208">
            <v>508</v>
          </cell>
          <cell r="AD208">
            <v>0</v>
          </cell>
          <cell r="AE208">
            <v>0</v>
          </cell>
          <cell r="AF208">
            <v>0</v>
          </cell>
          <cell r="AG208">
            <v>0</v>
          </cell>
          <cell r="AH208">
            <v>0</v>
          </cell>
          <cell r="AI208">
            <v>0</v>
          </cell>
          <cell r="AM208">
            <v>0</v>
          </cell>
          <cell r="AN208">
            <v>0</v>
          </cell>
          <cell r="AO208">
            <v>0</v>
          </cell>
          <cell r="AP208">
            <v>600155</v>
          </cell>
          <cell r="AQ208">
            <v>0</v>
          </cell>
          <cell r="AR208">
            <v>12248</v>
          </cell>
          <cell r="AS208">
            <v>-1456500</v>
          </cell>
          <cell r="AT208">
            <v>-1427370</v>
          </cell>
          <cell r="AU208">
            <v>0</v>
          </cell>
          <cell r="AV208">
            <v>-29130</v>
          </cell>
          <cell r="AW208">
            <v>-2913000</v>
          </cell>
          <cell r="AX208">
            <v>-7204427</v>
          </cell>
          <cell r="AY208">
            <v>-7060338</v>
          </cell>
          <cell r="AZ208">
            <v>0</v>
          </cell>
          <cell r="BA208">
            <v>-144090</v>
          </cell>
          <cell r="BB208">
            <v>-14408855</v>
          </cell>
          <cell r="BC208">
            <v>84065031</v>
          </cell>
          <cell r="BD208">
            <v>-3766813</v>
          </cell>
          <cell r="BE208">
            <v>2331710</v>
          </cell>
          <cell r="BF208">
            <v>0</v>
          </cell>
          <cell r="BG208">
            <v>-6956859</v>
          </cell>
          <cell r="BH208">
            <v>-34842</v>
          </cell>
          <cell r="BI208">
            <v>0</v>
          </cell>
          <cell r="BJ208">
            <v>-10927</v>
          </cell>
          <cell r="BK208">
            <v>-2237985</v>
          </cell>
          <cell r="BL208">
            <v>-204932</v>
          </cell>
          <cell r="BM208">
            <v>0</v>
          </cell>
          <cell r="BN208">
            <v>-924</v>
          </cell>
          <cell r="BO208">
            <v>0</v>
          </cell>
          <cell r="BP208">
            <v>0</v>
          </cell>
          <cell r="BQ208">
            <v>0</v>
          </cell>
          <cell r="BR208">
            <v>0</v>
          </cell>
          <cell r="BS208">
            <v>0</v>
          </cell>
          <cell r="BT208">
            <v>86550295</v>
          </cell>
          <cell r="BU208">
            <v>-740631</v>
          </cell>
          <cell r="BV208">
            <v>3407220</v>
          </cell>
          <cell r="BW208">
            <v>-2621411</v>
          </cell>
          <cell r="BX208">
            <v>3221406</v>
          </cell>
          <cell r="BY208">
            <v>3017262</v>
          </cell>
          <cell r="BZ208">
            <v>81537055</v>
          </cell>
          <cell r="CA208">
            <v>1610703</v>
          </cell>
          <cell r="CB208">
            <v>1578489</v>
          </cell>
          <cell r="CC208">
            <v>0</v>
          </cell>
          <cell r="CD208">
            <v>32214</v>
          </cell>
          <cell r="CE208">
            <v>1508631</v>
          </cell>
          <cell r="CF208">
            <v>1478458</v>
          </cell>
          <cell r="CG208">
            <v>0</v>
          </cell>
          <cell r="CH208">
            <v>30173</v>
          </cell>
        </row>
        <row r="209">
          <cell r="A209">
            <v>202</v>
          </cell>
          <cell r="B209" t="str">
            <v>Preston</v>
          </cell>
          <cell r="C209" t="str">
            <v>E2339</v>
          </cell>
          <cell r="D209">
            <v>224997</v>
          </cell>
          <cell r="H209">
            <v>-8711463</v>
          </cell>
          <cell r="I209">
            <v>0</v>
          </cell>
          <cell r="J209">
            <v>224997</v>
          </cell>
          <cell r="K209">
            <v>0</v>
          </cell>
          <cell r="L209">
            <v>15543</v>
          </cell>
          <cell r="M209">
            <v>0</v>
          </cell>
          <cell r="N209">
            <v>0</v>
          </cell>
          <cell r="O209">
            <v>0</v>
          </cell>
          <cell r="P209">
            <v>0</v>
          </cell>
          <cell r="Q209">
            <v>0</v>
          </cell>
          <cell r="R209">
            <v>876396</v>
          </cell>
          <cell r="S209">
            <v>197189</v>
          </cell>
          <cell r="T209">
            <v>21910</v>
          </cell>
          <cell r="U209">
            <v>8158</v>
          </cell>
          <cell r="V209">
            <v>1835</v>
          </cell>
          <cell r="W209">
            <v>204</v>
          </cell>
          <cell r="X209">
            <v>0</v>
          </cell>
          <cell r="Y209">
            <v>0</v>
          </cell>
          <cell r="Z209">
            <v>0</v>
          </cell>
          <cell r="AA209">
            <v>17846</v>
          </cell>
          <cell r="AB209">
            <v>4015</v>
          </cell>
          <cell r="AC209">
            <v>446</v>
          </cell>
          <cell r="AD209">
            <v>0</v>
          </cell>
          <cell r="AE209">
            <v>0</v>
          </cell>
          <cell r="AF209">
            <v>0</v>
          </cell>
          <cell r="AG209">
            <v>0</v>
          </cell>
          <cell r="AH209">
            <v>0</v>
          </cell>
          <cell r="AI209">
            <v>0</v>
          </cell>
          <cell r="AM209">
            <v>0</v>
          </cell>
          <cell r="AN209">
            <v>0</v>
          </cell>
          <cell r="AO209">
            <v>0</v>
          </cell>
          <cell r="AP209">
            <v>320883</v>
          </cell>
          <cell r="AQ209">
            <v>72146</v>
          </cell>
          <cell r="AR209">
            <v>8016</v>
          </cell>
          <cell r="AS209">
            <v>-1934669.8</v>
          </cell>
          <cell r="AT209">
            <v>-1547734</v>
          </cell>
          <cell r="AU209">
            <v>-348239</v>
          </cell>
          <cell r="AV209">
            <v>-38693</v>
          </cell>
          <cell r="AW209">
            <v>-3869335.8</v>
          </cell>
          <cell r="AX209">
            <v>-3972585.2</v>
          </cell>
          <cell r="AY209">
            <v>-3178068</v>
          </cell>
          <cell r="AZ209">
            <v>-715064</v>
          </cell>
          <cell r="BA209">
            <v>-79452</v>
          </cell>
          <cell r="BB209">
            <v>-7945169.1999999993</v>
          </cell>
          <cell r="BC209">
            <v>69782996</v>
          </cell>
          <cell r="BD209">
            <v>-3550373</v>
          </cell>
          <cell r="BE209">
            <v>1949726</v>
          </cell>
          <cell r="BF209">
            <v>0</v>
          </cell>
          <cell r="BG209">
            <v>-5056227</v>
          </cell>
          <cell r="BH209">
            <v>-95873</v>
          </cell>
          <cell r="BI209">
            <v>-1839</v>
          </cell>
          <cell r="BJ209">
            <v>-975</v>
          </cell>
          <cell r="BK209">
            <v>-3069777</v>
          </cell>
          <cell r="BL209">
            <v>-88289</v>
          </cell>
          <cell r="BM209">
            <v>-27362</v>
          </cell>
          <cell r="BN209">
            <v>-5477</v>
          </cell>
          <cell r="BO209">
            <v>-1218</v>
          </cell>
          <cell r="BP209">
            <v>0</v>
          </cell>
          <cell r="BQ209">
            <v>0</v>
          </cell>
          <cell r="BR209">
            <v>0</v>
          </cell>
          <cell r="BS209">
            <v>0</v>
          </cell>
          <cell r="BT209">
            <v>69491624</v>
          </cell>
          <cell r="BU209">
            <v>-235990</v>
          </cell>
          <cell r="BV209">
            <v>5662820</v>
          </cell>
          <cell r="BW209">
            <v>-1754885</v>
          </cell>
          <cell r="BX209">
            <v>-838984</v>
          </cell>
          <cell r="BY209">
            <v>-4463891</v>
          </cell>
          <cell r="BZ209">
            <v>53365287</v>
          </cell>
          <cell r="CA209">
            <v>-419492</v>
          </cell>
          <cell r="CB209">
            <v>-335594</v>
          </cell>
          <cell r="CC209">
            <v>-75508</v>
          </cell>
          <cell r="CD209">
            <v>-8390</v>
          </cell>
          <cell r="CE209">
            <v>-2231946</v>
          </cell>
          <cell r="CF209">
            <v>-1785556</v>
          </cell>
          <cell r="CG209">
            <v>-401750</v>
          </cell>
          <cell r="CH209">
            <v>-44639</v>
          </cell>
        </row>
        <row r="210">
          <cell r="A210">
            <v>203</v>
          </cell>
          <cell r="B210" t="str">
            <v>Purbeck</v>
          </cell>
          <cell r="C210" t="str">
            <v>E1236</v>
          </cell>
          <cell r="D210">
            <v>98958</v>
          </cell>
          <cell r="H210">
            <v>367229</v>
          </cell>
          <cell r="I210">
            <v>0</v>
          </cell>
          <cell r="J210">
            <v>98958</v>
          </cell>
          <cell r="K210">
            <v>0</v>
          </cell>
          <cell r="L210">
            <v>105380</v>
          </cell>
          <cell r="M210">
            <v>0</v>
          </cell>
          <cell r="N210">
            <v>0</v>
          </cell>
          <cell r="O210">
            <v>0</v>
          </cell>
          <cell r="P210">
            <v>0</v>
          </cell>
          <cell r="Q210">
            <v>0</v>
          </cell>
          <cell r="R210">
            <v>472535</v>
          </cell>
          <cell r="S210">
            <v>106320</v>
          </cell>
          <cell r="T210">
            <v>11813</v>
          </cell>
          <cell r="U210">
            <v>0</v>
          </cell>
          <cell r="V210">
            <v>0</v>
          </cell>
          <cell r="W210">
            <v>0</v>
          </cell>
          <cell r="X210">
            <v>6138</v>
          </cell>
          <cell r="Y210">
            <v>1381</v>
          </cell>
          <cell r="Z210">
            <v>153</v>
          </cell>
          <cell r="AA210">
            <v>0</v>
          </cell>
          <cell r="AB210">
            <v>0</v>
          </cell>
          <cell r="AC210">
            <v>0</v>
          </cell>
          <cell r="AD210">
            <v>0</v>
          </cell>
          <cell r="AE210">
            <v>0</v>
          </cell>
          <cell r="AF210">
            <v>0</v>
          </cell>
          <cell r="AG210">
            <v>0</v>
          </cell>
          <cell r="AH210">
            <v>0</v>
          </cell>
          <cell r="AI210">
            <v>0</v>
          </cell>
          <cell r="AM210">
            <v>0</v>
          </cell>
          <cell r="AN210">
            <v>0</v>
          </cell>
          <cell r="AO210">
            <v>0</v>
          </cell>
          <cell r="AP210">
            <v>96289</v>
          </cell>
          <cell r="AQ210">
            <v>21309</v>
          </cell>
          <cell r="AR210">
            <v>2368</v>
          </cell>
          <cell r="AS210">
            <v>-85302</v>
          </cell>
          <cell r="AT210">
            <v>-68242</v>
          </cell>
          <cell r="AU210">
            <v>-15355</v>
          </cell>
          <cell r="AV210">
            <v>-1706</v>
          </cell>
          <cell r="AW210">
            <v>-170605</v>
          </cell>
          <cell r="AX210">
            <v>-1948544</v>
          </cell>
          <cell r="AY210">
            <v>-1558834</v>
          </cell>
          <cell r="AZ210">
            <v>-350738</v>
          </cell>
          <cell r="BA210">
            <v>-38971</v>
          </cell>
          <cell r="BB210">
            <v>-3897087</v>
          </cell>
          <cell r="BC210">
            <v>9983731</v>
          </cell>
          <cell r="BD210">
            <v>-1955000</v>
          </cell>
          <cell r="BE210">
            <v>402696</v>
          </cell>
          <cell r="BF210">
            <v>0</v>
          </cell>
          <cell r="BG210">
            <v>-1044139</v>
          </cell>
          <cell r="BH210">
            <v>-46221</v>
          </cell>
          <cell r="BI210">
            <v>-7381</v>
          </cell>
          <cell r="BJ210">
            <v>0</v>
          </cell>
          <cell r="BK210">
            <v>-194731</v>
          </cell>
          <cell r="BL210">
            <v>-16616</v>
          </cell>
          <cell r="BM210">
            <v>-5168</v>
          </cell>
          <cell r="BN210">
            <v>-1700</v>
          </cell>
          <cell r="BO210">
            <v>-4064</v>
          </cell>
          <cell r="BP210">
            <v>0</v>
          </cell>
          <cell r="BQ210">
            <v>0</v>
          </cell>
          <cell r="BR210">
            <v>0</v>
          </cell>
          <cell r="BS210">
            <v>0</v>
          </cell>
          <cell r="BT210">
            <v>11138239</v>
          </cell>
          <cell r="BU210">
            <v>-96783</v>
          </cell>
          <cell r="BV210">
            <v>539107</v>
          </cell>
          <cell r="BW210">
            <v>-368021</v>
          </cell>
          <cell r="BX210">
            <v>-7901121</v>
          </cell>
          <cell r="BY210">
            <v>-7896242</v>
          </cell>
          <cell r="BZ210">
            <v>15761836</v>
          </cell>
          <cell r="CA210">
            <v>-3950560</v>
          </cell>
          <cell r="CB210">
            <v>-3160449</v>
          </cell>
          <cell r="CC210">
            <v>-711100</v>
          </cell>
          <cell r="CD210">
            <v>-79012</v>
          </cell>
          <cell r="CE210">
            <v>-3948121</v>
          </cell>
          <cell r="CF210">
            <v>-3158497</v>
          </cell>
          <cell r="CG210">
            <v>-710662</v>
          </cell>
          <cell r="CH210">
            <v>-78962</v>
          </cell>
        </row>
        <row r="211">
          <cell r="A211">
            <v>204</v>
          </cell>
          <cell r="B211" t="str">
            <v>Reading</v>
          </cell>
          <cell r="C211" t="str">
            <v>E0303</v>
          </cell>
          <cell r="D211">
            <v>282531</v>
          </cell>
          <cell r="H211">
            <v>5808733</v>
          </cell>
          <cell r="I211">
            <v>0</v>
          </cell>
          <cell r="J211">
            <v>282531</v>
          </cell>
          <cell r="K211">
            <v>0</v>
          </cell>
          <cell r="L211">
            <v>0</v>
          </cell>
          <cell r="M211">
            <v>0</v>
          </cell>
          <cell r="N211">
            <v>0</v>
          </cell>
          <cell r="O211">
            <v>0</v>
          </cell>
          <cell r="P211">
            <v>0</v>
          </cell>
          <cell r="Q211">
            <v>0</v>
          </cell>
          <cell r="R211">
            <v>676662</v>
          </cell>
          <cell r="S211">
            <v>0</v>
          </cell>
          <cell r="T211">
            <v>13809</v>
          </cell>
          <cell r="U211">
            <v>0</v>
          </cell>
          <cell r="V211">
            <v>0</v>
          </cell>
          <cell r="W211">
            <v>0</v>
          </cell>
          <cell r="X211">
            <v>49498</v>
          </cell>
          <cell r="Y211">
            <v>0</v>
          </cell>
          <cell r="Z211">
            <v>1010</v>
          </cell>
          <cell r="AA211">
            <v>2806</v>
          </cell>
          <cell r="AB211">
            <v>0</v>
          </cell>
          <cell r="AC211">
            <v>57</v>
          </cell>
          <cell r="AD211">
            <v>0</v>
          </cell>
          <cell r="AE211">
            <v>0</v>
          </cell>
          <cell r="AF211">
            <v>0</v>
          </cell>
          <cell r="AG211">
            <v>0</v>
          </cell>
          <cell r="AH211">
            <v>0</v>
          </cell>
          <cell r="AI211">
            <v>0</v>
          </cell>
          <cell r="AM211">
            <v>0</v>
          </cell>
          <cell r="AN211">
            <v>0</v>
          </cell>
          <cell r="AO211">
            <v>0</v>
          </cell>
          <cell r="AP211">
            <v>912704</v>
          </cell>
          <cell r="AQ211">
            <v>0</v>
          </cell>
          <cell r="AR211">
            <v>18627</v>
          </cell>
          <cell r="AS211">
            <v>-1454749.1</v>
          </cell>
          <cell r="AT211">
            <v>-1425654</v>
          </cell>
          <cell r="AU211">
            <v>0</v>
          </cell>
          <cell r="AV211">
            <v>-29096</v>
          </cell>
          <cell r="AW211">
            <v>-2909499.1</v>
          </cell>
          <cell r="AX211">
            <v>-5275000.2899999991</v>
          </cell>
          <cell r="AY211">
            <v>-5169500</v>
          </cell>
          <cell r="AZ211">
            <v>0</v>
          </cell>
          <cell r="BA211">
            <v>-105500</v>
          </cell>
          <cell r="BB211">
            <v>-10550000.289999999</v>
          </cell>
          <cell r="BC211">
            <v>118500000</v>
          </cell>
          <cell r="BD211">
            <v>-1947087</v>
          </cell>
          <cell r="BE211">
            <v>3053780</v>
          </cell>
          <cell r="BF211">
            <v>0</v>
          </cell>
          <cell r="BG211">
            <v>-4314048</v>
          </cell>
          <cell r="BH211">
            <v>-6839</v>
          </cell>
          <cell r="BI211">
            <v>0</v>
          </cell>
          <cell r="BJ211">
            <v>-31630</v>
          </cell>
          <cell r="BK211">
            <v>-3712261</v>
          </cell>
          <cell r="BL211">
            <v>-748</v>
          </cell>
          <cell r="BM211">
            <v>0</v>
          </cell>
          <cell r="BN211">
            <v>0</v>
          </cell>
          <cell r="BO211">
            <v>0</v>
          </cell>
          <cell r="BP211">
            <v>0</v>
          </cell>
          <cell r="BQ211">
            <v>0</v>
          </cell>
          <cell r="BR211">
            <v>0</v>
          </cell>
          <cell r="BS211">
            <v>0</v>
          </cell>
          <cell r="BT211">
            <v>113422254</v>
          </cell>
          <cell r="BU211">
            <v>-265739</v>
          </cell>
          <cell r="BV211">
            <v>6075322</v>
          </cell>
          <cell r="BW211">
            <v>-2625725</v>
          </cell>
          <cell r="BX211">
            <v>11199999.710000008</v>
          </cell>
          <cell r="BY211">
            <v>1800000</v>
          </cell>
          <cell r="BZ211">
            <v>124000000</v>
          </cell>
          <cell r="CA211">
            <v>5599999.7100000083</v>
          </cell>
          <cell r="CB211">
            <v>5488000</v>
          </cell>
          <cell r="CC211">
            <v>0</v>
          </cell>
          <cell r="CD211">
            <v>112000</v>
          </cell>
          <cell r="CE211">
            <v>900000</v>
          </cell>
          <cell r="CF211">
            <v>882000</v>
          </cell>
          <cell r="CG211">
            <v>0</v>
          </cell>
          <cell r="CH211">
            <v>18000</v>
          </cell>
        </row>
        <row r="212">
          <cell r="A212">
            <v>205</v>
          </cell>
          <cell r="B212" t="str">
            <v>Redbridge</v>
          </cell>
          <cell r="C212" t="str">
            <v>E5046</v>
          </cell>
          <cell r="D212">
            <v>281336</v>
          </cell>
          <cell r="H212">
            <v>3967979</v>
          </cell>
          <cell r="I212">
            <v>0</v>
          </cell>
          <cell r="J212">
            <v>281336</v>
          </cell>
          <cell r="K212">
            <v>0</v>
          </cell>
          <cell r="L212">
            <v>0</v>
          </cell>
          <cell r="M212">
            <v>0</v>
          </cell>
          <cell r="N212">
            <v>0</v>
          </cell>
          <cell r="O212">
            <v>0</v>
          </cell>
          <cell r="P212">
            <v>0</v>
          </cell>
          <cell r="Q212">
            <v>0</v>
          </cell>
          <cell r="R212">
            <v>806099</v>
          </cell>
          <cell r="S212">
            <v>994190</v>
          </cell>
          <cell r="T212">
            <v>0</v>
          </cell>
          <cell r="U212">
            <v>3328</v>
          </cell>
          <cell r="V212">
            <v>4104</v>
          </cell>
          <cell r="W212">
            <v>0</v>
          </cell>
          <cell r="X212">
            <v>423</v>
          </cell>
          <cell r="Y212">
            <v>522</v>
          </cell>
          <cell r="Z212">
            <v>0</v>
          </cell>
          <cell r="AA212">
            <v>8855</v>
          </cell>
          <cell r="AB212">
            <v>10920</v>
          </cell>
          <cell r="AC212">
            <v>0</v>
          </cell>
          <cell r="AD212">
            <v>0</v>
          </cell>
          <cell r="AE212">
            <v>0</v>
          </cell>
          <cell r="AF212">
            <v>0</v>
          </cell>
          <cell r="AG212">
            <v>0</v>
          </cell>
          <cell r="AH212">
            <v>0</v>
          </cell>
          <cell r="AI212">
            <v>0</v>
          </cell>
          <cell r="AM212">
            <v>0</v>
          </cell>
          <cell r="AN212">
            <v>0</v>
          </cell>
          <cell r="AO212">
            <v>0</v>
          </cell>
          <cell r="AP212">
            <v>265380</v>
          </cell>
          <cell r="AQ212">
            <v>327302</v>
          </cell>
          <cell r="AR212">
            <v>0</v>
          </cell>
          <cell r="AS212">
            <v>-4173175</v>
          </cell>
          <cell r="AT212">
            <v>-2503905</v>
          </cell>
          <cell r="AU212">
            <v>-1669269</v>
          </cell>
          <cell r="AV212">
            <v>0</v>
          </cell>
          <cell r="AW212">
            <v>-8346349</v>
          </cell>
          <cell r="AX212">
            <v>-275000</v>
          </cell>
          <cell r="AY212">
            <v>-165000</v>
          </cell>
          <cell r="AZ212">
            <v>-110000</v>
          </cell>
          <cell r="BA212">
            <v>0</v>
          </cell>
          <cell r="BB212">
            <v>-550000</v>
          </cell>
          <cell r="BC212">
            <v>54239720</v>
          </cell>
          <cell r="BD212">
            <v>-4111130</v>
          </cell>
          <cell r="BE212">
            <v>1261944</v>
          </cell>
          <cell r="BF212">
            <v>0</v>
          </cell>
          <cell r="BG212">
            <v>-4796768</v>
          </cell>
          <cell r="BH212">
            <v>-130681</v>
          </cell>
          <cell r="BI212">
            <v>0</v>
          </cell>
          <cell r="BJ212">
            <v>-7920</v>
          </cell>
          <cell r="BK212">
            <v>-1904646</v>
          </cell>
          <cell r="BL212">
            <v>-134203</v>
          </cell>
          <cell r="BM212">
            <v>-17569</v>
          </cell>
          <cell r="BN212">
            <v>0</v>
          </cell>
          <cell r="BO212">
            <v>0</v>
          </cell>
          <cell r="BP212">
            <v>0</v>
          </cell>
          <cell r="BQ212">
            <v>0</v>
          </cell>
          <cell r="BR212">
            <v>0</v>
          </cell>
          <cell r="BS212">
            <v>0</v>
          </cell>
          <cell r="BT212">
            <v>55206733</v>
          </cell>
          <cell r="BU212">
            <v>-1391164</v>
          </cell>
          <cell r="BV212">
            <v>9379417</v>
          </cell>
          <cell r="BW212">
            <v>-3306138</v>
          </cell>
          <cell r="BX212">
            <v>-236131</v>
          </cell>
          <cell r="BY212">
            <v>-207056</v>
          </cell>
          <cell r="BZ212">
            <v>58889106</v>
          </cell>
          <cell r="CA212">
            <v>-118065</v>
          </cell>
          <cell r="CB212">
            <v>-70840</v>
          </cell>
          <cell r="CC212">
            <v>-47226</v>
          </cell>
          <cell r="CD212">
            <v>0</v>
          </cell>
          <cell r="CE212">
            <v>-103528</v>
          </cell>
          <cell r="CF212">
            <v>-62117</v>
          </cell>
          <cell r="CG212">
            <v>-41411</v>
          </cell>
          <cell r="CH212">
            <v>0</v>
          </cell>
        </row>
        <row r="213">
          <cell r="A213">
            <v>206</v>
          </cell>
          <cell r="B213" t="str">
            <v>Redcar and Cleveland</v>
          </cell>
          <cell r="C213" t="str">
            <v>E0703</v>
          </cell>
          <cell r="D213">
            <v>157055</v>
          </cell>
          <cell r="H213">
            <v>-790999</v>
          </cell>
          <cell r="I213">
            <v>0</v>
          </cell>
          <cell r="J213">
            <v>157055</v>
          </cell>
          <cell r="K213">
            <v>356805</v>
          </cell>
          <cell r="L213">
            <v>0</v>
          </cell>
          <cell r="M213">
            <v>0</v>
          </cell>
          <cell r="N213">
            <v>0</v>
          </cell>
          <cell r="O213">
            <v>0</v>
          </cell>
          <cell r="P213">
            <v>0</v>
          </cell>
          <cell r="Q213">
            <v>0</v>
          </cell>
          <cell r="R213">
            <v>788027</v>
          </cell>
          <cell r="S213">
            <v>0</v>
          </cell>
          <cell r="T213">
            <v>16082</v>
          </cell>
          <cell r="U213">
            <v>0</v>
          </cell>
          <cell r="V213">
            <v>0</v>
          </cell>
          <cell r="W213">
            <v>0</v>
          </cell>
          <cell r="X213">
            <v>0</v>
          </cell>
          <cell r="Y213">
            <v>0</v>
          </cell>
          <cell r="Z213">
            <v>0</v>
          </cell>
          <cell r="AA213">
            <v>99472</v>
          </cell>
          <cell r="AB213">
            <v>0</v>
          </cell>
          <cell r="AC213">
            <v>2030</v>
          </cell>
          <cell r="AD213">
            <v>0</v>
          </cell>
          <cell r="AE213">
            <v>0</v>
          </cell>
          <cell r="AF213">
            <v>0</v>
          </cell>
          <cell r="AG213">
            <v>0</v>
          </cell>
          <cell r="AH213">
            <v>0</v>
          </cell>
          <cell r="AI213">
            <v>0</v>
          </cell>
          <cell r="AM213">
            <v>0</v>
          </cell>
          <cell r="AN213">
            <v>0</v>
          </cell>
          <cell r="AO213">
            <v>0</v>
          </cell>
          <cell r="AP213">
            <v>259372</v>
          </cell>
          <cell r="AQ213">
            <v>0</v>
          </cell>
          <cell r="AR213">
            <v>5184</v>
          </cell>
          <cell r="AS213">
            <v>-5894772</v>
          </cell>
          <cell r="AT213">
            <v>-5776877</v>
          </cell>
          <cell r="AU213">
            <v>0</v>
          </cell>
          <cell r="AV213">
            <v>-117896</v>
          </cell>
          <cell r="AW213">
            <v>-11789545</v>
          </cell>
          <cell r="AX213">
            <v>-2262882.2999999998</v>
          </cell>
          <cell r="AY213">
            <v>-2217627</v>
          </cell>
          <cell r="AZ213">
            <v>0</v>
          </cell>
          <cell r="BA213">
            <v>-45257</v>
          </cell>
          <cell r="BB213">
            <v>-4525766.3</v>
          </cell>
          <cell r="BC213">
            <v>36185584</v>
          </cell>
          <cell r="BD213">
            <v>-2674008</v>
          </cell>
          <cell r="BE213">
            <v>1330748</v>
          </cell>
          <cell r="BF213">
            <v>0</v>
          </cell>
          <cell r="BG213">
            <v>-2969312</v>
          </cell>
          <cell r="BH213">
            <v>-53101</v>
          </cell>
          <cell r="BI213">
            <v>-609</v>
          </cell>
          <cell r="BJ213">
            <v>0</v>
          </cell>
          <cell r="BK213">
            <v>-10819405</v>
          </cell>
          <cell r="BL213">
            <v>-34658</v>
          </cell>
          <cell r="BM213">
            <v>-313457</v>
          </cell>
          <cell r="BN213">
            <v>0</v>
          </cell>
          <cell r="BO213">
            <v>0</v>
          </cell>
          <cell r="BP213">
            <v>-7334</v>
          </cell>
          <cell r="BQ213">
            <v>0</v>
          </cell>
          <cell r="BR213">
            <v>0</v>
          </cell>
          <cell r="BS213">
            <v>0</v>
          </cell>
          <cell r="BT213">
            <v>37056401</v>
          </cell>
          <cell r="BU213">
            <v>-226224</v>
          </cell>
          <cell r="BV213">
            <v>14060645</v>
          </cell>
          <cell r="BW213">
            <v>-1247291</v>
          </cell>
          <cell r="BX213">
            <v>919533</v>
          </cell>
          <cell r="BY213">
            <v>1019093</v>
          </cell>
          <cell r="BZ213">
            <v>34510165</v>
          </cell>
          <cell r="CA213">
            <v>459766</v>
          </cell>
          <cell r="CB213">
            <v>450571</v>
          </cell>
          <cell r="CC213">
            <v>0</v>
          </cell>
          <cell r="CD213">
            <v>9196</v>
          </cell>
          <cell r="CE213">
            <v>509546</v>
          </cell>
          <cell r="CF213">
            <v>499356</v>
          </cell>
          <cell r="CG213">
            <v>0</v>
          </cell>
          <cell r="CH213">
            <v>10191</v>
          </cell>
        </row>
        <row r="214">
          <cell r="A214">
            <v>207</v>
          </cell>
          <cell r="B214" t="str">
            <v>Redditch</v>
          </cell>
          <cell r="C214" t="str">
            <v>E1835</v>
          </cell>
          <cell r="D214">
            <v>106549</v>
          </cell>
          <cell r="H214">
            <v>-2980302.81</v>
          </cell>
          <cell r="I214">
            <v>0</v>
          </cell>
          <cell r="J214">
            <v>106549</v>
          </cell>
          <cell r="K214">
            <v>0</v>
          </cell>
          <cell r="L214">
            <v>0</v>
          </cell>
          <cell r="M214">
            <v>0</v>
          </cell>
          <cell r="N214">
            <v>0</v>
          </cell>
          <cell r="O214">
            <v>0</v>
          </cell>
          <cell r="P214">
            <v>0</v>
          </cell>
          <cell r="Q214">
            <v>0</v>
          </cell>
          <cell r="R214">
            <v>402467</v>
          </cell>
          <cell r="S214">
            <v>90555</v>
          </cell>
          <cell r="T214">
            <v>10062</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M214">
            <v>0</v>
          </cell>
          <cell r="AN214">
            <v>0</v>
          </cell>
          <cell r="AO214">
            <v>0</v>
          </cell>
          <cell r="AP214">
            <v>190156</v>
          </cell>
          <cell r="AQ214">
            <v>42785</v>
          </cell>
          <cell r="AR214">
            <v>4754</v>
          </cell>
          <cell r="AS214">
            <v>-832572</v>
          </cell>
          <cell r="AT214">
            <v>-666057</v>
          </cell>
          <cell r="AU214">
            <v>-149863</v>
          </cell>
          <cell r="AV214">
            <v>-16651</v>
          </cell>
          <cell r="AW214">
            <v>-1665143</v>
          </cell>
          <cell r="AX214">
            <v>-1420970</v>
          </cell>
          <cell r="AY214">
            <v>-1136775</v>
          </cell>
          <cell r="AZ214">
            <v>-255773</v>
          </cell>
          <cell r="BA214">
            <v>-28420</v>
          </cell>
          <cell r="BB214">
            <v>-2841938</v>
          </cell>
          <cell r="BC214">
            <v>36632693</v>
          </cell>
          <cell r="BD214">
            <v>-1502660</v>
          </cell>
          <cell r="BE214">
            <v>968276</v>
          </cell>
          <cell r="BF214">
            <v>0</v>
          </cell>
          <cell r="BG214">
            <v>-1177093</v>
          </cell>
          <cell r="BH214">
            <v>-13777</v>
          </cell>
          <cell r="BI214">
            <v>-1416</v>
          </cell>
          <cell r="BJ214">
            <v>-50474</v>
          </cell>
          <cell r="BK214">
            <v>-1157448</v>
          </cell>
          <cell r="BL214">
            <v>-28993</v>
          </cell>
          <cell r="BM214">
            <v>-51303</v>
          </cell>
          <cell r="BN214">
            <v>0</v>
          </cell>
          <cell r="BO214">
            <v>-1416</v>
          </cell>
          <cell r="BP214">
            <v>0</v>
          </cell>
          <cell r="BQ214">
            <v>0</v>
          </cell>
          <cell r="BR214">
            <v>0</v>
          </cell>
          <cell r="BS214">
            <v>0</v>
          </cell>
          <cell r="BT214">
            <v>37073228</v>
          </cell>
          <cell r="BU214">
            <v>-175575</v>
          </cell>
          <cell r="BV214">
            <v>2774253</v>
          </cell>
          <cell r="BW214">
            <v>-309513</v>
          </cell>
          <cell r="BX214">
            <v>-239083.89999999991</v>
          </cell>
          <cell r="BY214">
            <v>-1217929</v>
          </cell>
          <cell r="BZ214">
            <v>31647374</v>
          </cell>
          <cell r="CA214">
            <v>-119541.89999999991</v>
          </cell>
          <cell r="CB214">
            <v>-95634</v>
          </cell>
          <cell r="CC214">
            <v>-21518</v>
          </cell>
          <cell r="CD214">
            <v>-2390</v>
          </cell>
          <cell r="CE214">
            <v>-608964</v>
          </cell>
          <cell r="CF214">
            <v>-487172</v>
          </cell>
          <cell r="CG214">
            <v>-109614</v>
          </cell>
          <cell r="CH214">
            <v>-12179</v>
          </cell>
        </row>
        <row r="215">
          <cell r="A215">
            <v>208</v>
          </cell>
          <cell r="B215" t="str">
            <v>Reigate and Banstead</v>
          </cell>
          <cell r="C215" t="str">
            <v>E3635</v>
          </cell>
          <cell r="D215">
            <v>174020</v>
          </cell>
          <cell r="H215">
            <v>769898</v>
          </cell>
          <cell r="I215">
            <v>0</v>
          </cell>
          <cell r="J215">
            <v>174020</v>
          </cell>
          <cell r="K215">
            <v>0</v>
          </cell>
          <cell r="L215">
            <v>0</v>
          </cell>
          <cell r="M215">
            <v>0</v>
          </cell>
          <cell r="N215">
            <v>0</v>
          </cell>
          <cell r="O215">
            <v>0</v>
          </cell>
          <cell r="P215">
            <v>0</v>
          </cell>
          <cell r="Q215">
            <v>0</v>
          </cell>
          <cell r="R215">
            <v>552818</v>
          </cell>
          <cell r="S215">
            <v>138205</v>
          </cell>
          <cell r="T215">
            <v>0</v>
          </cell>
          <cell r="U215">
            <v>1967</v>
          </cell>
          <cell r="V215">
            <v>492</v>
          </cell>
          <cell r="W215">
            <v>0</v>
          </cell>
          <cell r="X215">
            <v>16428</v>
          </cell>
          <cell r="Y215">
            <v>4107</v>
          </cell>
          <cell r="Z215">
            <v>0</v>
          </cell>
          <cell r="AA215">
            <v>0</v>
          </cell>
          <cell r="AB215">
            <v>0</v>
          </cell>
          <cell r="AC215">
            <v>0</v>
          </cell>
          <cell r="AD215">
            <v>0</v>
          </cell>
          <cell r="AE215">
            <v>0</v>
          </cell>
          <cell r="AF215">
            <v>0</v>
          </cell>
          <cell r="AG215">
            <v>0</v>
          </cell>
          <cell r="AH215">
            <v>0</v>
          </cell>
          <cell r="AI215">
            <v>0</v>
          </cell>
          <cell r="AM215">
            <v>0</v>
          </cell>
          <cell r="AN215">
            <v>0</v>
          </cell>
          <cell r="AO215">
            <v>0</v>
          </cell>
          <cell r="AP215">
            <v>338129</v>
          </cell>
          <cell r="AQ215">
            <v>84532</v>
          </cell>
          <cell r="AR215">
            <v>0</v>
          </cell>
          <cell r="AS215">
            <v>-47577.100000000006</v>
          </cell>
          <cell r="AT215">
            <v>-38060</v>
          </cell>
          <cell r="AU215">
            <v>-9515</v>
          </cell>
          <cell r="AV215">
            <v>0</v>
          </cell>
          <cell r="AW215">
            <v>-95152.1</v>
          </cell>
          <cell r="AX215">
            <v>-2087873</v>
          </cell>
          <cell r="AY215">
            <v>-1670301</v>
          </cell>
          <cell r="AZ215">
            <v>-417576</v>
          </cell>
          <cell r="BA215">
            <v>0</v>
          </cell>
          <cell r="BB215">
            <v>-4175750</v>
          </cell>
          <cell r="BC215">
            <v>49719722</v>
          </cell>
          <cell r="BD215">
            <v>-2057689</v>
          </cell>
          <cell r="BE215">
            <v>1361521</v>
          </cell>
          <cell r="BF215">
            <v>0</v>
          </cell>
          <cell r="BG215">
            <v>-3433121</v>
          </cell>
          <cell r="BH215">
            <v>-68635</v>
          </cell>
          <cell r="BI215">
            <v>0</v>
          </cell>
          <cell r="BJ215">
            <v>-73542</v>
          </cell>
          <cell r="BK215">
            <v>-1941313</v>
          </cell>
          <cell r="BL215">
            <v>-48720</v>
          </cell>
          <cell r="BM215">
            <v>-61153</v>
          </cell>
          <cell r="BN215">
            <v>-2032</v>
          </cell>
          <cell r="BO215">
            <v>-2635</v>
          </cell>
          <cell r="BP215">
            <v>0</v>
          </cell>
          <cell r="BQ215">
            <v>0</v>
          </cell>
          <cell r="BR215">
            <v>0</v>
          </cell>
          <cell r="BS215">
            <v>0</v>
          </cell>
          <cell r="BT215">
            <v>50551701</v>
          </cell>
          <cell r="BU215">
            <v>-157407</v>
          </cell>
          <cell r="BV215">
            <v>571552</v>
          </cell>
          <cell r="BW215">
            <v>-1747481</v>
          </cell>
          <cell r="BX215">
            <v>3561165</v>
          </cell>
          <cell r="BY215">
            <v>4641668</v>
          </cell>
          <cell r="BZ215">
            <v>56274311</v>
          </cell>
          <cell r="CA215">
            <v>1780583</v>
          </cell>
          <cell r="CB215">
            <v>1424466</v>
          </cell>
          <cell r="CC215">
            <v>356116</v>
          </cell>
          <cell r="CD215">
            <v>0</v>
          </cell>
          <cell r="CE215">
            <v>2320834</v>
          </cell>
          <cell r="CF215">
            <v>1856667</v>
          </cell>
          <cell r="CG215">
            <v>464167</v>
          </cell>
          <cell r="CH215">
            <v>0</v>
          </cell>
        </row>
        <row r="216">
          <cell r="A216">
            <v>209</v>
          </cell>
          <cell r="B216" t="str">
            <v>Ribble Valley</v>
          </cell>
          <cell r="C216" t="str">
            <v>E2340</v>
          </cell>
          <cell r="D216">
            <v>88997</v>
          </cell>
          <cell r="H216">
            <v>-23552</v>
          </cell>
          <cell r="I216">
            <v>0</v>
          </cell>
          <cell r="J216">
            <v>88997</v>
          </cell>
          <cell r="K216">
            <v>21152</v>
          </cell>
          <cell r="L216">
            <v>29091</v>
          </cell>
          <cell r="M216">
            <v>0</v>
          </cell>
          <cell r="N216">
            <v>0</v>
          </cell>
          <cell r="O216">
            <v>0</v>
          </cell>
          <cell r="P216">
            <v>0</v>
          </cell>
          <cell r="Q216">
            <v>0</v>
          </cell>
          <cell r="R216">
            <v>549639</v>
          </cell>
          <cell r="S216">
            <v>123669</v>
          </cell>
          <cell r="T216">
            <v>13741</v>
          </cell>
          <cell r="U216">
            <v>1851</v>
          </cell>
          <cell r="V216">
            <v>416</v>
          </cell>
          <cell r="W216">
            <v>46</v>
          </cell>
          <cell r="X216">
            <v>0</v>
          </cell>
          <cell r="Y216">
            <v>0</v>
          </cell>
          <cell r="Z216">
            <v>0</v>
          </cell>
          <cell r="AA216">
            <v>0</v>
          </cell>
          <cell r="AB216">
            <v>0</v>
          </cell>
          <cell r="AC216">
            <v>0</v>
          </cell>
          <cell r="AD216">
            <v>0</v>
          </cell>
          <cell r="AE216">
            <v>0</v>
          </cell>
          <cell r="AF216">
            <v>0</v>
          </cell>
          <cell r="AG216">
            <v>0</v>
          </cell>
          <cell r="AH216">
            <v>0</v>
          </cell>
          <cell r="AI216">
            <v>0</v>
          </cell>
          <cell r="AM216">
            <v>0</v>
          </cell>
          <cell r="AN216">
            <v>0</v>
          </cell>
          <cell r="AO216">
            <v>0</v>
          </cell>
          <cell r="AP216">
            <v>86529</v>
          </cell>
          <cell r="AQ216">
            <v>19299</v>
          </cell>
          <cell r="AR216">
            <v>2144</v>
          </cell>
          <cell r="AS216">
            <v>-165000</v>
          </cell>
          <cell r="AT216">
            <v>-132000</v>
          </cell>
          <cell r="AU216">
            <v>-29700</v>
          </cell>
          <cell r="AV216">
            <v>-3300</v>
          </cell>
          <cell r="AW216">
            <v>-330000</v>
          </cell>
          <cell r="AX216">
            <v>-634450</v>
          </cell>
          <cell r="AY216">
            <v>-507560</v>
          </cell>
          <cell r="AZ216">
            <v>-114201</v>
          </cell>
          <cell r="BA216">
            <v>-12689</v>
          </cell>
          <cell r="BB216">
            <v>-1268900</v>
          </cell>
          <cell r="BC216">
            <v>14805649</v>
          </cell>
          <cell r="BD216">
            <v>-2028878</v>
          </cell>
          <cell r="BE216">
            <v>380045</v>
          </cell>
          <cell r="BF216">
            <v>0</v>
          </cell>
          <cell r="BG216">
            <v>-954433</v>
          </cell>
          <cell r="BH216">
            <v>-42235</v>
          </cell>
          <cell r="BI216">
            <v>-26858</v>
          </cell>
          <cell r="BJ216">
            <v>0</v>
          </cell>
          <cell r="BK216">
            <v>-417266</v>
          </cell>
          <cell r="BL216">
            <v>-30857</v>
          </cell>
          <cell r="BM216">
            <v>-10422</v>
          </cell>
          <cell r="BN216">
            <v>0</v>
          </cell>
          <cell r="BO216">
            <v>-11883</v>
          </cell>
          <cell r="BP216">
            <v>-1634</v>
          </cell>
          <cell r="BQ216">
            <v>0</v>
          </cell>
          <cell r="BR216">
            <v>0</v>
          </cell>
          <cell r="BS216">
            <v>0</v>
          </cell>
          <cell r="BT216">
            <v>15227605</v>
          </cell>
          <cell r="BU216">
            <v>-130947</v>
          </cell>
          <cell r="BV216">
            <v>495809</v>
          </cell>
          <cell r="BW216">
            <v>-139946</v>
          </cell>
          <cell r="BX216">
            <v>87265</v>
          </cell>
          <cell r="BY216">
            <v>113422</v>
          </cell>
          <cell r="BZ216">
            <v>14275299</v>
          </cell>
          <cell r="CA216">
            <v>43633</v>
          </cell>
          <cell r="CB216">
            <v>34906</v>
          </cell>
          <cell r="CC216">
            <v>7854</v>
          </cell>
          <cell r="CD216">
            <v>872</v>
          </cell>
          <cell r="CE216">
            <v>56711</v>
          </cell>
          <cell r="CF216">
            <v>45369</v>
          </cell>
          <cell r="CG216">
            <v>10208</v>
          </cell>
          <cell r="CH216">
            <v>1134</v>
          </cell>
        </row>
        <row r="217">
          <cell r="A217">
            <v>210</v>
          </cell>
          <cell r="B217" t="str">
            <v>Richmond upon Thames</v>
          </cell>
          <cell r="C217" t="str">
            <v>E5047</v>
          </cell>
          <cell r="D217">
            <v>287918</v>
          </cell>
          <cell r="H217">
            <v>2512534</v>
          </cell>
          <cell r="I217">
            <v>0</v>
          </cell>
          <cell r="J217">
            <v>287918</v>
          </cell>
          <cell r="K217">
            <v>0</v>
          </cell>
          <cell r="L217">
            <v>0</v>
          </cell>
          <cell r="M217">
            <v>0</v>
          </cell>
          <cell r="N217">
            <v>0</v>
          </cell>
          <cell r="O217">
            <v>0</v>
          </cell>
          <cell r="P217">
            <v>0</v>
          </cell>
          <cell r="Q217">
            <v>0</v>
          </cell>
          <cell r="R217">
            <v>626809</v>
          </cell>
          <cell r="S217">
            <v>773065</v>
          </cell>
          <cell r="T217">
            <v>0</v>
          </cell>
          <cell r="U217">
            <v>0</v>
          </cell>
          <cell r="V217">
            <v>0</v>
          </cell>
          <cell r="W217">
            <v>0</v>
          </cell>
          <cell r="X217">
            <v>11289</v>
          </cell>
          <cell r="Y217">
            <v>13924</v>
          </cell>
          <cell r="Z217">
            <v>0</v>
          </cell>
          <cell r="AA217">
            <v>15162</v>
          </cell>
          <cell r="AB217">
            <v>18700</v>
          </cell>
          <cell r="AC217">
            <v>0</v>
          </cell>
          <cell r="AD217">
            <v>0</v>
          </cell>
          <cell r="AE217">
            <v>0</v>
          </cell>
          <cell r="AF217">
            <v>0</v>
          </cell>
          <cell r="AG217">
            <v>0</v>
          </cell>
          <cell r="AH217">
            <v>0</v>
          </cell>
          <cell r="AI217">
            <v>0</v>
          </cell>
          <cell r="AM217">
            <v>0</v>
          </cell>
          <cell r="AN217">
            <v>0</v>
          </cell>
          <cell r="AO217">
            <v>0</v>
          </cell>
          <cell r="AP217">
            <v>384746</v>
          </cell>
          <cell r="AQ217">
            <v>474521</v>
          </cell>
          <cell r="AR217">
            <v>0</v>
          </cell>
          <cell r="AS217">
            <v>-54066</v>
          </cell>
          <cell r="AT217">
            <v>-32440</v>
          </cell>
          <cell r="AU217">
            <v>-21626</v>
          </cell>
          <cell r="AV217">
            <v>0</v>
          </cell>
          <cell r="AW217">
            <v>-108132</v>
          </cell>
          <cell r="AX217">
            <v>-4543862</v>
          </cell>
          <cell r="AY217">
            <v>-2726319</v>
          </cell>
          <cell r="AZ217">
            <v>-1817546</v>
          </cell>
          <cell r="BA217">
            <v>0</v>
          </cell>
          <cell r="BB217">
            <v>-9087727</v>
          </cell>
          <cell r="BC217">
            <v>82994148</v>
          </cell>
          <cell r="BD217">
            <v>-2367727</v>
          </cell>
          <cell r="BE217">
            <v>2113382</v>
          </cell>
          <cell r="BF217">
            <v>0</v>
          </cell>
          <cell r="BG217">
            <v>-9143209</v>
          </cell>
          <cell r="BH217">
            <v>-67139</v>
          </cell>
          <cell r="BI217">
            <v>0</v>
          </cell>
          <cell r="BJ217">
            <v>0</v>
          </cell>
          <cell r="BK217">
            <v>-2369741</v>
          </cell>
          <cell r="BL217">
            <v>-156159</v>
          </cell>
          <cell r="BM217">
            <v>-164577</v>
          </cell>
          <cell r="BN217">
            <v>-6709</v>
          </cell>
          <cell r="BO217">
            <v>0</v>
          </cell>
          <cell r="BP217">
            <v>0</v>
          </cell>
          <cell r="BQ217">
            <v>0</v>
          </cell>
          <cell r="BR217">
            <v>0</v>
          </cell>
          <cell r="BS217">
            <v>0</v>
          </cell>
          <cell r="BT217">
            <v>83156720</v>
          </cell>
          <cell r="BU217">
            <v>0</v>
          </cell>
          <cell r="BV217">
            <v>3563756</v>
          </cell>
          <cell r="BW217">
            <v>-2833259</v>
          </cell>
          <cell r="BX217">
            <v>-6562157</v>
          </cell>
          <cell r="BY217">
            <v>-5000000</v>
          </cell>
          <cell r="BZ217">
            <v>85377064</v>
          </cell>
          <cell r="CA217">
            <v>-3281078</v>
          </cell>
          <cell r="CB217">
            <v>-1968648</v>
          </cell>
          <cell r="CC217">
            <v>-1312431</v>
          </cell>
          <cell r="CD217">
            <v>0</v>
          </cell>
          <cell r="CE217">
            <v>-2500000</v>
          </cell>
          <cell r="CF217">
            <v>-1500000</v>
          </cell>
          <cell r="CG217">
            <v>-1000000</v>
          </cell>
          <cell r="CH217">
            <v>0</v>
          </cell>
        </row>
        <row r="218">
          <cell r="A218">
            <v>211</v>
          </cell>
          <cell r="B218" t="str">
            <v>Richmondshire</v>
          </cell>
          <cell r="C218" t="str">
            <v>E2734</v>
          </cell>
          <cell r="D218">
            <v>98663</v>
          </cell>
          <cell r="H218">
            <v>373392</v>
          </cell>
          <cell r="I218">
            <v>0</v>
          </cell>
          <cell r="J218">
            <v>98663</v>
          </cell>
          <cell r="K218">
            <v>0</v>
          </cell>
          <cell r="L218">
            <v>0</v>
          </cell>
          <cell r="M218">
            <v>0</v>
          </cell>
          <cell r="N218">
            <v>0</v>
          </cell>
          <cell r="O218">
            <v>0</v>
          </cell>
          <cell r="P218">
            <v>0</v>
          </cell>
          <cell r="Q218">
            <v>0</v>
          </cell>
          <cell r="R218">
            <v>490447</v>
          </cell>
          <cell r="S218">
            <v>110351</v>
          </cell>
          <cell r="T218">
            <v>12261</v>
          </cell>
          <cell r="U218">
            <v>39957</v>
          </cell>
          <cell r="V218">
            <v>8990</v>
          </cell>
          <cell r="W218">
            <v>999</v>
          </cell>
          <cell r="X218">
            <v>25166</v>
          </cell>
          <cell r="Y218">
            <v>5662</v>
          </cell>
          <cell r="Z218">
            <v>629</v>
          </cell>
          <cell r="AA218">
            <v>0</v>
          </cell>
          <cell r="AB218">
            <v>0</v>
          </cell>
          <cell r="AC218">
            <v>0</v>
          </cell>
          <cell r="AD218">
            <v>0</v>
          </cell>
          <cell r="AE218">
            <v>0</v>
          </cell>
          <cell r="AF218">
            <v>0</v>
          </cell>
          <cell r="AG218">
            <v>0</v>
          </cell>
          <cell r="AH218">
            <v>0</v>
          </cell>
          <cell r="AI218">
            <v>0</v>
          </cell>
          <cell r="AM218">
            <v>0</v>
          </cell>
          <cell r="AN218">
            <v>0</v>
          </cell>
          <cell r="AO218">
            <v>0</v>
          </cell>
          <cell r="AP218">
            <v>77890</v>
          </cell>
          <cell r="AQ218">
            <v>17525</v>
          </cell>
          <cell r="AR218">
            <v>1947</v>
          </cell>
          <cell r="AS218">
            <v>-80496</v>
          </cell>
          <cell r="AT218">
            <v>-64396</v>
          </cell>
          <cell r="AU218">
            <v>-14489</v>
          </cell>
          <cell r="AV218">
            <v>-1610</v>
          </cell>
          <cell r="AW218">
            <v>-160991</v>
          </cell>
          <cell r="AX218">
            <v>-583941</v>
          </cell>
          <cell r="AY218">
            <v>-467154</v>
          </cell>
          <cell r="AZ218">
            <v>-105110</v>
          </cell>
          <cell r="BA218">
            <v>-11679</v>
          </cell>
          <cell r="BB218">
            <v>-1167884</v>
          </cell>
          <cell r="BC218">
            <v>12535386</v>
          </cell>
          <cell r="BD218">
            <v>-2092252</v>
          </cell>
          <cell r="BE218">
            <v>328793</v>
          </cell>
          <cell r="BF218">
            <v>0</v>
          </cell>
          <cell r="BG218">
            <v>-571807</v>
          </cell>
          <cell r="BH218">
            <v>-50428</v>
          </cell>
          <cell r="BI218">
            <v>-45841</v>
          </cell>
          <cell r="BJ218">
            <v>-810</v>
          </cell>
          <cell r="BK218">
            <v>-332701</v>
          </cell>
          <cell r="BL218">
            <v>-32463</v>
          </cell>
          <cell r="BM218">
            <v>-4208</v>
          </cell>
          <cell r="BN218">
            <v>-3065</v>
          </cell>
          <cell r="BO218">
            <v>-23373</v>
          </cell>
          <cell r="BP218">
            <v>0</v>
          </cell>
          <cell r="BQ218">
            <v>0</v>
          </cell>
          <cell r="BR218">
            <v>0</v>
          </cell>
          <cell r="BS218">
            <v>0</v>
          </cell>
          <cell r="BT218">
            <v>13233303</v>
          </cell>
          <cell r="BU218">
            <v>-130041</v>
          </cell>
          <cell r="BV218">
            <v>330523</v>
          </cell>
          <cell r="BW218">
            <v>-201454</v>
          </cell>
          <cell r="BX218">
            <v>-300051</v>
          </cell>
          <cell r="BY218">
            <v>-1014177</v>
          </cell>
          <cell r="BZ218">
            <v>12963132</v>
          </cell>
          <cell r="CA218">
            <v>-150025</v>
          </cell>
          <cell r="CB218">
            <v>-120021</v>
          </cell>
          <cell r="CC218">
            <v>-27004</v>
          </cell>
          <cell r="CD218">
            <v>-3001</v>
          </cell>
          <cell r="CE218">
            <v>-507088</v>
          </cell>
          <cell r="CF218">
            <v>-405671</v>
          </cell>
          <cell r="CG218">
            <v>-91276</v>
          </cell>
          <cell r="CH218">
            <v>-10142</v>
          </cell>
        </row>
        <row r="219">
          <cell r="A219">
            <v>212</v>
          </cell>
          <cell r="B219" t="str">
            <v>Rochdale</v>
          </cell>
          <cell r="C219" t="str">
            <v>E4205</v>
          </cell>
          <cell r="D219">
            <v>281477</v>
          </cell>
          <cell r="H219">
            <v>-3093178</v>
          </cell>
          <cell r="I219">
            <v>0</v>
          </cell>
          <cell r="J219">
            <v>281477</v>
          </cell>
          <cell r="K219">
            <v>0</v>
          </cell>
          <cell r="L219">
            <v>495837</v>
          </cell>
          <cell r="M219">
            <v>0</v>
          </cell>
          <cell r="N219">
            <v>0</v>
          </cell>
          <cell r="O219">
            <v>0</v>
          </cell>
          <cell r="P219">
            <v>0</v>
          </cell>
          <cell r="Q219">
            <v>0</v>
          </cell>
          <cell r="R219">
            <v>3768267</v>
          </cell>
          <cell r="S219">
            <v>0</v>
          </cell>
          <cell r="T219">
            <v>38063</v>
          </cell>
          <cell r="U219">
            <v>0</v>
          </cell>
          <cell r="V219">
            <v>0</v>
          </cell>
          <cell r="W219">
            <v>0</v>
          </cell>
          <cell r="X219">
            <v>120585</v>
          </cell>
          <cell r="Y219">
            <v>0</v>
          </cell>
          <cell r="Z219">
            <v>1218</v>
          </cell>
          <cell r="AA219">
            <v>2010</v>
          </cell>
          <cell r="AB219">
            <v>0</v>
          </cell>
          <cell r="AC219">
            <v>20</v>
          </cell>
          <cell r="AD219">
            <v>0</v>
          </cell>
          <cell r="AE219">
            <v>0</v>
          </cell>
          <cell r="AF219">
            <v>0</v>
          </cell>
          <cell r="AG219">
            <v>0</v>
          </cell>
          <cell r="AH219">
            <v>0</v>
          </cell>
          <cell r="AI219">
            <v>0</v>
          </cell>
          <cell r="AM219">
            <v>0</v>
          </cell>
          <cell r="AN219">
            <v>0</v>
          </cell>
          <cell r="AO219">
            <v>0</v>
          </cell>
          <cell r="AP219">
            <v>839943</v>
          </cell>
          <cell r="AQ219">
            <v>0</v>
          </cell>
          <cell r="AR219">
            <v>8409</v>
          </cell>
          <cell r="AS219">
            <v>-349329</v>
          </cell>
          <cell r="AT219">
            <v>-342340</v>
          </cell>
          <cell r="AU219">
            <v>0</v>
          </cell>
          <cell r="AV219">
            <v>-6986</v>
          </cell>
          <cell r="AW219">
            <v>-698655</v>
          </cell>
          <cell r="AX219">
            <v>-4947853</v>
          </cell>
          <cell r="AY219">
            <v>-4848896</v>
          </cell>
          <cell r="AZ219">
            <v>0</v>
          </cell>
          <cell r="BA219">
            <v>-98955</v>
          </cell>
          <cell r="BB219">
            <v>-9895704</v>
          </cell>
          <cell r="BC219">
            <v>62363354</v>
          </cell>
          <cell r="BD219">
            <v>-5622636</v>
          </cell>
          <cell r="BE219">
            <v>1845937</v>
          </cell>
          <cell r="BF219">
            <v>0</v>
          </cell>
          <cell r="BG219">
            <v>-3636211</v>
          </cell>
          <cell r="BH219">
            <v>-83148</v>
          </cell>
          <cell r="BI219">
            <v>0</v>
          </cell>
          <cell r="BJ219">
            <v>-156482</v>
          </cell>
          <cell r="BK219">
            <v>-4955513</v>
          </cell>
          <cell r="BL219">
            <v>-289284</v>
          </cell>
          <cell r="BM219">
            <v>-124547</v>
          </cell>
          <cell r="BN219">
            <v>-9259</v>
          </cell>
          <cell r="BO219">
            <v>0</v>
          </cell>
          <cell r="BP219">
            <v>0</v>
          </cell>
          <cell r="BQ219">
            <v>-404963</v>
          </cell>
          <cell r="BR219">
            <v>0</v>
          </cell>
          <cell r="BS219">
            <v>0</v>
          </cell>
          <cell r="BT219">
            <v>65305007</v>
          </cell>
          <cell r="BU219">
            <v>-890350</v>
          </cell>
          <cell r="BV219">
            <v>1808362</v>
          </cell>
          <cell r="BW219">
            <v>-1167553</v>
          </cell>
          <cell r="BX219">
            <v>-101263</v>
          </cell>
          <cell r="BY219">
            <v>-57446</v>
          </cell>
          <cell r="BZ219">
            <v>55980163</v>
          </cell>
          <cell r="CA219">
            <v>-50631</v>
          </cell>
          <cell r="CB219">
            <v>-49619</v>
          </cell>
          <cell r="CC219">
            <v>0</v>
          </cell>
          <cell r="CD219">
            <v>-1013</v>
          </cell>
          <cell r="CE219">
            <v>-28723</v>
          </cell>
          <cell r="CF219">
            <v>-28149</v>
          </cell>
          <cell r="CG219">
            <v>0</v>
          </cell>
          <cell r="CH219">
            <v>-574</v>
          </cell>
        </row>
        <row r="220">
          <cell r="A220">
            <v>213</v>
          </cell>
          <cell r="B220" t="str">
            <v>Rochford</v>
          </cell>
          <cell r="C220" t="str">
            <v>E1540</v>
          </cell>
          <cell r="D220">
            <v>84456</v>
          </cell>
          <cell r="H220">
            <v>305269</v>
          </cell>
          <cell r="I220">
            <v>0</v>
          </cell>
          <cell r="J220">
            <v>84456</v>
          </cell>
          <cell r="K220">
            <v>0</v>
          </cell>
          <cell r="L220">
            <v>11855</v>
          </cell>
          <cell r="M220">
            <v>0</v>
          </cell>
          <cell r="N220">
            <v>0</v>
          </cell>
          <cell r="O220">
            <v>0</v>
          </cell>
          <cell r="P220">
            <v>0</v>
          </cell>
          <cell r="Q220">
            <v>0</v>
          </cell>
          <cell r="R220">
            <v>485462</v>
          </cell>
          <cell r="S220">
            <v>109229</v>
          </cell>
          <cell r="T220">
            <v>12137</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M220">
            <v>0</v>
          </cell>
          <cell r="AN220">
            <v>0</v>
          </cell>
          <cell r="AO220">
            <v>0</v>
          </cell>
          <cell r="AP220">
            <v>98596</v>
          </cell>
          <cell r="AQ220">
            <v>22144</v>
          </cell>
          <cell r="AR220">
            <v>2460</v>
          </cell>
          <cell r="AS220">
            <v>-78976</v>
          </cell>
          <cell r="AT220">
            <v>-63182</v>
          </cell>
          <cell r="AU220">
            <v>-14217</v>
          </cell>
          <cell r="AV220">
            <v>-1579</v>
          </cell>
          <cell r="AW220">
            <v>-157954</v>
          </cell>
          <cell r="AX220">
            <v>-278684</v>
          </cell>
          <cell r="AY220">
            <v>-222947</v>
          </cell>
          <cell r="AZ220">
            <v>-50163</v>
          </cell>
          <cell r="BA220">
            <v>-5574</v>
          </cell>
          <cell r="BB220">
            <v>-557368</v>
          </cell>
          <cell r="BC220">
            <v>15306375</v>
          </cell>
          <cell r="BD220">
            <v>-1886743</v>
          </cell>
          <cell r="BE220">
            <v>385836</v>
          </cell>
          <cell r="BF220">
            <v>0</v>
          </cell>
          <cell r="BG220">
            <v>-1279620</v>
          </cell>
          <cell r="BH220">
            <v>-13627</v>
          </cell>
          <cell r="BI220">
            <v>-87</v>
          </cell>
          <cell r="BJ220">
            <v>0</v>
          </cell>
          <cell r="BK220">
            <v>-325890</v>
          </cell>
          <cell r="BL220">
            <v>-6920</v>
          </cell>
          <cell r="BM220">
            <v>0</v>
          </cell>
          <cell r="BN220">
            <v>-86</v>
          </cell>
          <cell r="BO220">
            <v>0</v>
          </cell>
          <cell r="BP220">
            <v>0</v>
          </cell>
          <cell r="BQ220">
            <v>0</v>
          </cell>
          <cell r="BR220">
            <v>0</v>
          </cell>
          <cell r="BS220">
            <v>0</v>
          </cell>
          <cell r="BT220">
            <v>15760115</v>
          </cell>
          <cell r="BU220">
            <v>0</v>
          </cell>
          <cell r="BV220">
            <v>296558</v>
          </cell>
          <cell r="BW220">
            <v>-179029</v>
          </cell>
          <cell r="BX220">
            <v>-850857</v>
          </cell>
          <cell r="BY220">
            <v>-19313</v>
          </cell>
          <cell r="BZ220">
            <v>16379551</v>
          </cell>
          <cell r="CA220">
            <v>-425428</v>
          </cell>
          <cell r="CB220">
            <v>-340344</v>
          </cell>
          <cell r="CC220">
            <v>-76577</v>
          </cell>
          <cell r="CD220">
            <v>-8508</v>
          </cell>
          <cell r="CE220">
            <v>-9657</v>
          </cell>
          <cell r="CF220">
            <v>-7725</v>
          </cell>
          <cell r="CG220">
            <v>-1738</v>
          </cell>
          <cell r="CH220">
            <v>-193</v>
          </cell>
        </row>
        <row r="221">
          <cell r="A221">
            <v>214</v>
          </cell>
          <cell r="B221" t="str">
            <v>Rossendale</v>
          </cell>
          <cell r="C221" t="str">
            <v>E2341</v>
          </cell>
          <cell r="D221">
            <v>98815</v>
          </cell>
          <cell r="H221">
            <v>-759702</v>
          </cell>
          <cell r="I221">
            <v>0</v>
          </cell>
          <cell r="J221">
            <v>98815</v>
          </cell>
          <cell r="K221">
            <v>0</v>
          </cell>
          <cell r="L221">
            <v>152836</v>
          </cell>
          <cell r="M221">
            <v>0</v>
          </cell>
          <cell r="N221">
            <v>0</v>
          </cell>
          <cell r="O221">
            <v>0</v>
          </cell>
          <cell r="P221">
            <v>0</v>
          </cell>
          <cell r="Q221">
            <v>0</v>
          </cell>
          <cell r="R221">
            <v>534325</v>
          </cell>
          <cell r="S221">
            <v>120223</v>
          </cell>
          <cell r="T221">
            <v>13358</v>
          </cell>
          <cell r="U221">
            <v>6121</v>
          </cell>
          <cell r="V221">
            <v>1377</v>
          </cell>
          <cell r="W221">
            <v>153</v>
          </cell>
          <cell r="X221">
            <v>0</v>
          </cell>
          <cell r="Y221">
            <v>0</v>
          </cell>
          <cell r="Z221">
            <v>0</v>
          </cell>
          <cell r="AA221">
            <v>0</v>
          </cell>
          <cell r="AB221">
            <v>0</v>
          </cell>
          <cell r="AC221">
            <v>0</v>
          </cell>
          <cell r="AD221">
            <v>0</v>
          </cell>
          <cell r="AE221">
            <v>0</v>
          </cell>
          <cell r="AF221">
            <v>0</v>
          </cell>
          <cell r="AG221">
            <v>0</v>
          </cell>
          <cell r="AH221">
            <v>0</v>
          </cell>
          <cell r="AI221">
            <v>0</v>
          </cell>
          <cell r="AM221">
            <v>0</v>
          </cell>
          <cell r="AN221">
            <v>0</v>
          </cell>
          <cell r="AO221">
            <v>0</v>
          </cell>
          <cell r="AP221">
            <v>71465</v>
          </cell>
          <cell r="AQ221">
            <v>15563</v>
          </cell>
          <cell r="AR221">
            <v>1729</v>
          </cell>
          <cell r="AS221">
            <v>-570896</v>
          </cell>
          <cell r="AT221">
            <v>-456720</v>
          </cell>
          <cell r="AU221">
            <v>-102762</v>
          </cell>
          <cell r="AV221">
            <v>-11418</v>
          </cell>
          <cell r="AW221">
            <v>-1141796</v>
          </cell>
          <cell r="AX221">
            <v>-1251496</v>
          </cell>
          <cell r="AY221">
            <v>-1001196</v>
          </cell>
          <cell r="AZ221">
            <v>-225268</v>
          </cell>
          <cell r="BA221">
            <v>-25029</v>
          </cell>
          <cell r="BB221">
            <v>-2502989</v>
          </cell>
          <cell r="BC221">
            <v>14031570</v>
          </cell>
          <cell r="BD221">
            <v>-2193505</v>
          </cell>
          <cell r="BE221">
            <v>358455</v>
          </cell>
          <cell r="BF221">
            <v>0</v>
          </cell>
          <cell r="BG221">
            <v>-505506</v>
          </cell>
          <cell r="BH221">
            <v>-49766</v>
          </cell>
          <cell r="BI221">
            <v>0</v>
          </cell>
          <cell r="BJ221">
            <v>0</v>
          </cell>
          <cell r="BK221">
            <v>-741510</v>
          </cell>
          <cell r="BL221">
            <v>-56777</v>
          </cell>
          <cell r="BM221">
            <v>-25542</v>
          </cell>
          <cell r="BN221">
            <v>-3084</v>
          </cell>
          <cell r="BO221">
            <v>0</v>
          </cell>
          <cell r="BP221">
            <v>0</v>
          </cell>
          <cell r="BQ221">
            <v>0</v>
          </cell>
          <cell r="BR221">
            <v>0</v>
          </cell>
          <cell r="BS221">
            <v>0</v>
          </cell>
          <cell r="BT221">
            <v>14739591</v>
          </cell>
          <cell r="BU221">
            <v>-92766</v>
          </cell>
          <cell r="BV221">
            <v>1511030</v>
          </cell>
          <cell r="BW221">
            <v>-157746</v>
          </cell>
          <cell r="BX221">
            <v>-1085661</v>
          </cell>
          <cell r="BY221">
            <v>-621860</v>
          </cell>
          <cell r="BZ221">
            <v>11511667</v>
          </cell>
          <cell r="CA221">
            <v>-542832</v>
          </cell>
          <cell r="CB221">
            <v>-434264</v>
          </cell>
          <cell r="CC221">
            <v>-97709</v>
          </cell>
          <cell r="CD221">
            <v>-10856</v>
          </cell>
          <cell r="CE221">
            <v>-310930</v>
          </cell>
          <cell r="CF221">
            <v>-248744</v>
          </cell>
          <cell r="CG221">
            <v>-55967</v>
          </cell>
          <cell r="CH221">
            <v>-6219</v>
          </cell>
        </row>
        <row r="222">
          <cell r="A222">
            <v>215</v>
          </cell>
          <cell r="B222" t="str">
            <v>Rother</v>
          </cell>
          <cell r="C222" t="str">
            <v>E1436</v>
          </cell>
          <cell r="D222">
            <v>146049</v>
          </cell>
          <cell r="H222">
            <v>893929</v>
          </cell>
          <cell r="I222">
            <v>0</v>
          </cell>
          <cell r="J222">
            <v>146049</v>
          </cell>
          <cell r="K222">
            <v>0</v>
          </cell>
          <cell r="L222">
            <v>0</v>
          </cell>
          <cell r="M222">
            <v>0</v>
          </cell>
          <cell r="N222">
            <v>0</v>
          </cell>
          <cell r="O222">
            <v>0</v>
          </cell>
          <cell r="P222">
            <v>0</v>
          </cell>
          <cell r="Q222">
            <v>0</v>
          </cell>
          <cell r="R222">
            <v>781586</v>
          </cell>
          <cell r="S222">
            <v>175857</v>
          </cell>
          <cell r="T222">
            <v>19540</v>
          </cell>
          <cell r="U222">
            <v>1262</v>
          </cell>
          <cell r="V222">
            <v>284</v>
          </cell>
          <cell r="W222">
            <v>32</v>
          </cell>
          <cell r="X222">
            <v>0</v>
          </cell>
          <cell r="Y222">
            <v>0</v>
          </cell>
          <cell r="Z222">
            <v>0</v>
          </cell>
          <cell r="AA222">
            <v>6126</v>
          </cell>
          <cell r="AB222">
            <v>1378</v>
          </cell>
          <cell r="AC222">
            <v>153</v>
          </cell>
          <cell r="AD222">
            <v>0</v>
          </cell>
          <cell r="AE222">
            <v>0</v>
          </cell>
          <cell r="AF222">
            <v>0</v>
          </cell>
          <cell r="AG222">
            <v>0</v>
          </cell>
          <cell r="AH222">
            <v>0</v>
          </cell>
          <cell r="AI222">
            <v>0</v>
          </cell>
          <cell r="AM222">
            <v>0</v>
          </cell>
          <cell r="AN222">
            <v>0</v>
          </cell>
          <cell r="AO222">
            <v>0</v>
          </cell>
          <cell r="AP222">
            <v>105169</v>
          </cell>
          <cell r="AQ222">
            <v>23663</v>
          </cell>
          <cell r="AR222">
            <v>2629</v>
          </cell>
          <cell r="AS222">
            <v>-249224.39</v>
          </cell>
          <cell r="AT222">
            <v>-199381</v>
          </cell>
          <cell r="AU222">
            <v>-44862</v>
          </cell>
          <cell r="AV222">
            <v>-4985</v>
          </cell>
          <cell r="AW222">
            <v>-498452.39</v>
          </cell>
          <cell r="AX222">
            <v>-858285</v>
          </cell>
          <cell r="AY222">
            <v>-686628</v>
          </cell>
          <cell r="AZ222">
            <v>-154492</v>
          </cell>
          <cell r="BA222">
            <v>-17166</v>
          </cell>
          <cell r="BB222">
            <v>-1716571</v>
          </cell>
          <cell r="BC222">
            <v>17399592</v>
          </cell>
          <cell r="BD222">
            <v>-3119269</v>
          </cell>
          <cell r="BE222">
            <v>438062</v>
          </cell>
          <cell r="BF222">
            <v>0</v>
          </cell>
          <cell r="BG222">
            <v>-2246303</v>
          </cell>
          <cell r="BH222">
            <v>-71558</v>
          </cell>
          <cell r="BI222">
            <v>-35332</v>
          </cell>
          <cell r="BJ222">
            <v>-1642</v>
          </cell>
          <cell r="BK222">
            <v>-389735</v>
          </cell>
          <cell r="BL222">
            <v>-51662</v>
          </cell>
          <cell r="BM222">
            <v>0</v>
          </cell>
          <cell r="BN222">
            <v>-6759</v>
          </cell>
          <cell r="BO222">
            <v>-17056</v>
          </cell>
          <cell r="BP222">
            <v>0</v>
          </cell>
          <cell r="BQ222">
            <v>0</v>
          </cell>
          <cell r="BR222">
            <v>0</v>
          </cell>
          <cell r="BS222">
            <v>0</v>
          </cell>
          <cell r="BT222">
            <v>17711215</v>
          </cell>
          <cell r="BU222">
            <v>0</v>
          </cell>
          <cell r="BV222">
            <v>738356</v>
          </cell>
          <cell r="BW222">
            <v>-206025</v>
          </cell>
          <cell r="BX222">
            <v>-54066</v>
          </cell>
          <cell r="BY222">
            <v>-80872</v>
          </cell>
          <cell r="BZ222">
            <v>17503191</v>
          </cell>
          <cell r="CA222">
            <v>-27033</v>
          </cell>
          <cell r="CB222">
            <v>-21626</v>
          </cell>
          <cell r="CC222">
            <v>-4866</v>
          </cell>
          <cell r="CD222">
            <v>-541</v>
          </cell>
          <cell r="CE222">
            <v>-40436</v>
          </cell>
          <cell r="CF222">
            <v>-32349</v>
          </cell>
          <cell r="CG222">
            <v>-7278</v>
          </cell>
          <cell r="CH222">
            <v>-809</v>
          </cell>
        </row>
        <row r="223">
          <cell r="A223">
            <v>216</v>
          </cell>
          <cell r="B223" t="str">
            <v>Rotherham</v>
          </cell>
          <cell r="C223" t="str">
            <v>E4403</v>
          </cell>
          <cell r="D223">
            <v>302614</v>
          </cell>
          <cell r="H223">
            <v>-4676228</v>
          </cell>
          <cell r="I223">
            <v>-1477</v>
          </cell>
          <cell r="J223">
            <v>302614</v>
          </cell>
          <cell r="K223">
            <v>0</v>
          </cell>
          <cell r="L223">
            <v>189477</v>
          </cell>
          <cell r="M223">
            <v>0</v>
          </cell>
          <cell r="N223">
            <v>203404</v>
          </cell>
          <cell r="O223">
            <v>203404</v>
          </cell>
          <cell r="P223">
            <v>0</v>
          </cell>
          <cell r="Q223">
            <v>0</v>
          </cell>
          <cell r="R223">
            <v>1651044</v>
          </cell>
          <cell r="S223">
            <v>0</v>
          </cell>
          <cell r="T223">
            <v>33695</v>
          </cell>
          <cell r="U223">
            <v>6301</v>
          </cell>
          <cell r="V223">
            <v>0</v>
          </cell>
          <cell r="W223">
            <v>129</v>
          </cell>
          <cell r="X223">
            <v>0</v>
          </cell>
          <cell r="Y223">
            <v>0</v>
          </cell>
          <cell r="Z223">
            <v>0</v>
          </cell>
          <cell r="AA223">
            <v>0</v>
          </cell>
          <cell r="AB223">
            <v>0</v>
          </cell>
          <cell r="AC223">
            <v>0</v>
          </cell>
          <cell r="AD223">
            <v>0</v>
          </cell>
          <cell r="AE223">
            <v>0</v>
          </cell>
          <cell r="AF223">
            <v>0</v>
          </cell>
          <cell r="AG223">
            <v>0</v>
          </cell>
          <cell r="AH223">
            <v>0</v>
          </cell>
          <cell r="AI223">
            <v>0</v>
          </cell>
          <cell r="AM223">
            <v>0</v>
          </cell>
          <cell r="AN223">
            <v>0</v>
          </cell>
          <cell r="AO223">
            <v>0</v>
          </cell>
          <cell r="AP223">
            <v>501970</v>
          </cell>
          <cell r="AQ223">
            <v>0</v>
          </cell>
          <cell r="AR223">
            <v>10124</v>
          </cell>
          <cell r="AS223">
            <v>-564624</v>
          </cell>
          <cell r="AT223">
            <v>-553331</v>
          </cell>
          <cell r="AU223">
            <v>0</v>
          </cell>
          <cell r="AV223">
            <v>-11293</v>
          </cell>
          <cell r="AW223">
            <v>-1129248</v>
          </cell>
          <cell r="AX223">
            <v>-3292250</v>
          </cell>
          <cell r="AY223">
            <v>-3226405</v>
          </cell>
          <cell r="AZ223">
            <v>0</v>
          </cell>
          <cell r="BA223">
            <v>-65847</v>
          </cell>
          <cell r="BB223">
            <v>-6584502</v>
          </cell>
          <cell r="BC223">
            <v>77103829</v>
          </cell>
          <cell r="BD223">
            <v>-5432355</v>
          </cell>
          <cell r="BE223">
            <v>2083869</v>
          </cell>
          <cell r="BF223">
            <v>0</v>
          </cell>
          <cell r="BG223">
            <v>-4824512</v>
          </cell>
          <cell r="BH223">
            <v>-14552</v>
          </cell>
          <cell r="BI223">
            <v>-11542</v>
          </cell>
          <cell r="BJ223">
            <v>0</v>
          </cell>
          <cell r="BK223">
            <v>-2473473</v>
          </cell>
          <cell r="BL223">
            <v>-120574</v>
          </cell>
          <cell r="BM223">
            <v>-643325</v>
          </cell>
          <cell r="BN223">
            <v>-3638</v>
          </cell>
          <cell r="BO223">
            <v>-2743</v>
          </cell>
          <cell r="BP223">
            <v>0</v>
          </cell>
          <cell r="BQ223">
            <v>-389638</v>
          </cell>
          <cell r="BR223">
            <v>-398113</v>
          </cell>
          <cell r="BS223">
            <v>0</v>
          </cell>
          <cell r="BT223">
            <v>75400000</v>
          </cell>
          <cell r="BU223">
            <v>-551595</v>
          </cell>
          <cell r="BV223">
            <v>2817004</v>
          </cell>
          <cell r="BW223">
            <v>-851449</v>
          </cell>
          <cell r="BX223">
            <v>2998102</v>
          </cell>
          <cell r="BY223">
            <v>3735921</v>
          </cell>
          <cell r="BZ223">
            <v>67395884</v>
          </cell>
          <cell r="CA223">
            <v>1499052</v>
          </cell>
          <cell r="CB223">
            <v>1469070</v>
          </cell>
          <cell r="CC223">
            <v>0</v>
          </cell>
          <cell r="CD223">
            <v>29980</v>
          </cell>
          <cell r="CE223">
            <v>1867961</v>
          </cell>
          <cell r="CF223">
            <v>1830601</v>
          </cell>
          <cell r="CG223">
            <v>0</v>
          </cell>
          <cell r="CH223">
            <v>37359</v>
          </cell>
        </row>
        <row r="224">
          <cell r="A224">
            <v>217</v>
          </cell>
          <cell r="B224" t="str">
            <v>Rugby</v>
          </cell>
          <cell r="C224" t="str">
            <v>E3733</v>
          </cell>
          <cell r="D224">
            <v>135863</v>
          </cell>
          <cell r="H224">
            <v>-2272397</v>
          </cell>
          <cell r="I224">
            <v>0</v>
          </cell>
          <cell r="J224">
            <v>135863</v>
          </cell>
          <cell r="K224">
            <v>0</v>
          </cell>
          <cell r="L224">
            <v>0</v>
          </cell>
          <cell r="M224">
            <v>0</v>
          </cell>
          <cell r="N224">
            <v>0</v>
          </cell>
          <cell r="O224">
            <v>0</v>
          </cell>
          <cell r="P224">
            <v>0</v>
          </cell>
          <cell r="Q224">
            <v>0</v>
          </cell>
          <cell r="R224">
            <v>561233</v>
          </cell>
          <cell r="S224">
            <v>140308</v>
          </cell>
          <cell r="T224">
            <v>0</v>
          </cell>
          <cell r="U224">
            <v>0</v>
          </cell>
          <cell r="V224">
            <v>0</v>
          </cell>
          <cell r="W224">
            <v>0</v>
          </cell>
          <cell r="X224">
            <v>0</v>
          </cell>
          <cell r="Y224">
            <v>0</v>
          </cell>
          <cell r="Z224">
            <v>0</v>
          </cell>
          <cell r="AA224">
            <v>2620</v>
          </cell>
          <cell r="AB224">
            <v>655</v>
          </cell>
          <cell r="AC224">
            <v>0</v>
          </cell>
          <cell r="AD224">
            <v>0</v>
          </cell>
          <cell r="AE224">
            <v>0</v>
          </cell>
          <cell r="AF224">
            <v>0</v>
          </cell>
          <cell r="AG224">
            <v>0</v>
          </cell>
          <cell r="AH224">
            <v>0</v>
          </cell>
          <cell r="AI224">
            <v>0</v>
          </cell>
          <cell r="AM224">
            <v>0</v>
          </cell>
          <cell r="AN224">
            <v>0</v>
          </cell>
          <cell r="AO224">
            <v>0</v>
          </cell>
          <cell r="AP224">
            <v>271515</v>
          </cell>
          <cell r="AQ224">
            <v>67879</v>
          </cell>
          <cell r="AR224">
            <v>0</v>
          </cell>
          <cell r="AS224">
            <v>-110716</v>
          </cell>
          <cell r="AT224">
            <v>-88574</v>
          </cell>
          <cell r="AU224">
            <v>-22143</v>
          </cell>
          <cell r="AV224">
            <v>0</v>
          </cell>
          <cell r="AW224">
            <v>-221433</v>
          </cell>
          <cell r="AX224">
            <v>-2471282</v>
          </cell>
          <cell r="AY224">
            <v>-1977026</v>
          </cell>
          <cell r="AZ224">
            <v>-494257</v>
          </cell>
          <cell r="BA224">
            <v>0</v>
          </cell>
          <cell r="BB224">
            <v>-4942565</v>
          </cell>
          <cell r="BC224">
            <v>47805339</v>
          </cell>
          <cell r="BD224">
            <v>-1962193</v>
          </cell>
          <cell r="BE224">
            <v>1327024</v>
          </cell>
          <cell r="BF224">
            <v>0</v>
          </cell>
          <cell r="BG224">
            <v>-3062339</v>
          </cell>
          <cell r="BH224">
            <v>-75966</v>
          </cell>
          <cell r="BI224">
            <v>-11233</v>
          </cell>
          <cell r="BJ224">
            <v>-205582</v>
          </cell>
          <cell r="BK224">
            <v>-1094407</v>
          </cell>
          <cell r="BL224">
            <v>-99687</v>
          </cell>
          <cell r="BM224">
            <v>-28261</v>
          </cell>
          <cell r="BN224">
            <v>0</v>
          </cell>
          <cell r="BO224">
            <v>0</v>
          </cell>
          <cell r="BP224">
            <v>0</v>
          </cell>
          <cell r="BQ224">
            <v>0</v>
          </cell>
          <cell r="BR224">
            <v>0</v>
          </cell>
          <cell r="BS224">
            <v>0</v>
          </cell>
          <cell r="BT224">
            <v>49350973</v>
          </cell>
          <cell r="BU224">
            <v>-55112</v>
          </cell>
          <cell r="BV224">
            <v>1152502</v>
          </cell>
          <cell r="BW224">
            <v>-418678</v>
          </cell>
          <cell r="BX224">
            <v>208883</v>
          </cell>
          <cell r="BY224">
            <v>601570</v>
          </cell>
          <cell r="BZ224">
            <v>45187874</v>
          </cell>
          <cell r="CA224">
            <v>104440</v>
          </cell>
          <cell r="CB224">
            <v>83554</v>
          </cell>
          <cell r="CC224">
            <v>20889</v>
          </cell>
          <cell r="CD224">
            <v>0</v>
          </cell>
          <cell r="CE224">
            <v>300785</v>
          </cell>
          <cell r="CF224">
            <v>240628</v>
          </cell>
          <cell r="CG224">
            <v>60157</v>
          </cell>
          <cell r="CH224">
            <v>0</v>
          </cell>
        </row>
        <row r="225">
          <cell r="A225">
            <v>218</v>
          </cell>
          <cell r="B225" t="str">
            <v>Runnymede</v>
          </cell>
          <cell r="C225" t="str">
            <v>E3636</v>
          </cell>
          <cell r="D225">
            <v>131332</v>
          </cell>
          <cell r="H225">
            <v>2264469</v>
          </cell>
          <cell r="I225">
            <v>1518</v>
          </cell>
          <cell r="J225">
            <v>131332</v>
          </cell>
          <cell r="K225">
            <v>0</v>
          </cell>
          <cell r="L225">
            <v>0</v>
          </cell>
          <cell r="M225">
            <v>0</v>
          </cell>
          <cell r="N225">
            <v>0</v>
          </cell>
          <cell r="O225">
            <v>0</v>
          </cell>
          <cell r="P225">
            <v>0</v>
          </cell>
          <cell r="Q225">
            <v>0</v>
          </cell>
          <cell r="R225">
            <v>368879</v>
          </cell>
          <cell r="S225">
            <v>92220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M225">
            <v>0</v>
          </cell>
          <cell r="AN225">
            <v>0</v>
          </cell>
          <cell r="AO225">
            <v>0</v>
          </cell>
          <cell r="AP225">
            <v>342951</v>
          </cell>
          <cell r="AQ225">
            <v>85738</v>
          </cell>
          <cell r="AR225">
            <v>0</v>
          </cell>
          <cell r="AS225">
            <v>-313950</v>
          </cell>
          <cell r="AT225">
            <v>-251160</v>
          </cell>
          <cell r="AU225">
            <v>-62790</v>
          </cell>
          <cell r="AV225">
            <v>0</v>
          </cell>
          <cell r="AW225">
            <v>-627900</v>
          </cell>
          <cell r="AX225">
            <v>-3911149.06</v>
          </cell>
          <cell r="AY225">
            <v>-3128921</v>
          </cell>
          <cell r="AZ225">
            <v>-782230</v>
          </cell>
          <cell r="BA225">
            <v>0</v>
          </cell>
          <cell r="BB225">
            <v>-7822300.0600000005</v>
          </cell>
          <cell r="BC225">
            <v>44697379</v>
          </cell>
          <cell r="BD225">
            <v>-1341245</v>
          </cell>
          <cell r="BE225">
            <v>1269871</v>
          </cell>
          <cell r="BF225">
            <v>0</v>
          </cell>
          <cell r="BG225">
            <v>-3236541</v>
          </cell>
          <cell r="BH225">
            <v>-37943</v>
          </cell>
          <cell r="BI225">
            <v>-1694</v>
          </cell>
          <cell r="BJ225">
            <v>0</v>
          </cell>
          <cell r="BK225">
            <v>-1524003</v>
          </cell>
          <cell r="BL225">
            <v>-21853</v>
          </cell>
          <cell r="BM225">
            <v>-282</v>
          </cell>
          <cell r="BN225">
            <v>0</v>
          </cell>
          <cell r="BO225">
            <v>0</v>
          </cell>
          <cell r="BP225">
            <v>-2551</v>
          </cell>
          <cell r="BQ225">
            <v>0</v>
          </cell>
          <cell r="BR225">
            <v>0</v>
          </cell>
          <cell r="BS225">
            <v>0</v>
          </cell>
          <cell r="BT225">
            <v>46805719</v>
          </cell>
          <cell r="BU225">
            <v>0</v>
          </cell>
          <cell r="BV225">
            <v>983900</v>
          </cell>
          <cell r="BW225">
            <v>-1103300</v>
          </cell>
          <cell r="BX225">
            <v>1062434.2199999988</v>
          </cell>
          <cell r="BY225">
            <v>-5961367</v>
          </cell>
          <cell r="BZ225">
            <v>57076913</v>
          </cell>
          <cell r="CA225">
            <v>531217.21999999881</v>
          </cell>
          <cell r="CB225">
            <v>424973</v>
          </cell>
          <cell r="CC225">
            <v>106244</v>
          </cell>
          <cell r="CD225">
            <v>0</v>
          </cell>
          <cell r="CE225">
            <v>-2980683</v>
          </cell>
          <cell r="CF225">
            <v>-2384547</v>
          </cell>
          <cell r="CG225">
            <v>-596137</v>
          </cell>
          <cell r="CH225">
            <v>0</v>
          </cell>
        </row>
        <row r="226">
          <cell r="A226">
            <v>219</v>
          </cell>
          <cell r="B226" t="str">
            <v>Rushcliffe</v>
          </cell>
          <cell r="C226" t="str">
            <v>E3038</v>
          </cell>
          <cell r="D226">
            <v>111888</v>
          </cell>
          <cell r="H226">
            <v>-2977258</v>
          </cell>
          <cell r="I226">
            <v>0</v>
          </cell>
          <cell r="J226">
            <v>111888</v>
          </cell>
          <cell r="K226">
            <v>0</v>
          </cell>
          <cell r="L226">
            <v>117335</v>
          </cell>
          <cell r="M226">
            <v>0</v>
          </cell>
          <cell r="N226">
            <v>0</v>
          </cell>
          <cell r="O226">
            <v>0</v>
          </cell>
          <cell r="P226">
            <v>0</v>
          </cell>
          <cell r="Q226">
            <v>0</v>
          </cell>
          <cell r="R226">
            <v>500165</v>
          </cell>
          <cell r="S226">
            <v>112537</v>
          </cell>
          <cell r="T226">
            <v>12504</v>
          </cell>
          <cell r="U226">
            <v>4294</v>
          </cell>
          <cell r="V226">
            <v>966</v>
          </cell>
          <cell r="W226">
            <v>107</v>
          </cell>
          <cell r="X226">
            <v>1335</v>
          </cell>
          <cell r="Y226">
            <v>300</v>
          </cell>
          <cell r="Z226">
            <v>33</v>
          </cell>
          <cell r="AA226">
            <v>0</v>
          </cell>
          <cell r="AB226">
            <v>0</v>
          </cell>
          <cell r="AC226">
            <v>0</v>
          </cell>
          <cell r="AD226">
            <v>0</v>
          </cell>
          <cell r="AE226">
            <v>0</v>
          </cell>
          <cell r="AF226">
            <v>0</v>
          </cell>
          <cell r="AG226">
            <v>0</v>
          </cell>
          <cell r="AH226">
            <v>0</v>
          </cell>
          <cell r="AI226">
            <v>0</v>
          </cell>
          <cell r="AM226">
            <v>0</v>
          </cell>
          <cell r="AN226">
            <v>0</v>
          </cell>
          <cell r="AO226">
            <v>0</v>
          </cell>
          <cell r="AP226">
            <v>144904</v>
          </cell>
          <cell r="AQ226">
            <v>32207</v>
          </cell>
          <cell r="AR226">
            <v>3579</v>
          </cell>
          <cell r="AS226">
            <v>-190149</v>
          </cell>
          <cell r="AT226">
            <v>-152119</v>
          </cell>
          <cell r="AU226">
            <v>-34227</v>
          </cell>
          <cell r="AV226">
            <v>-3803</v>
          </cell>
          <cell r="AW226">
            <v>-380298</v>
          </cell>
          <cell r="AX226">
            <v>-1852733</v>
          </cell>
          <cell r="AY226">
            <v>-1482187</v>
          </cell>
          <cell r="AZ226">
            <v>-333493</v>
          </cell>
          <cell r="BA226">
            <v>-37054</v>
          </cell>
          <cell r="BB226">
            <v>-3705467</v>
          </cell>
          <cell r="BC226">
            <v>27251585</v>
          </cell>
          <cell r="BD226">
            <v>-2042029</v>
          </cell>
          <cell r="BE226">
            <v>769073</v>
          </cell>
          <cell r="BF226">
            <v>0</v>
          </cell>
          <cell r="BG226">
            <v>-2769094</v>
          </cell>
          <cell r="BH226">
            <v>-69588</v>
          </cell>
          <cell r="BI226">
            <v>-7789</v>
          </cell>
          <cell r="BJ226">
            <v>0</v>
          </cell>
          <cell r="BK226">
            <v>-374497</v>
          </cell>
          <cell r="BL226">
            <v>-15146</v>
          </cell>
          <cell r="BM226">
            <v>-270891</v>
          </cell>
          <cell r="BN226">
            <v>0</v>
          </cell>
          <cell r="BO226">
            <v>-635</v>
          </cell>
          <cell r="BP226">
            <v>-8198</v>
          </cell>
          <cell r="BQ226">
            <v>0</v>
          </cell>
          <cell r="BR226">
            <v>0</v>
          </cell>
          <cell r="BS226">
            <v>0</v>
          </cell>
          <cell r="BT226">
            <v>28876335</v>
          </cell>
          <cell r="BU226">
            <v>-249593</v>
          </cell>
          <cell r="BV226">
            <v>521724</v>
          </cell>
          <cell r="BW226">
            <v>-723016</v>
          </cell>
          <cell r="BX226">
            <v>520090</v>
          </cell>
          <cell r="BY226">
            <v>277814</v>
          </cell>
          <cell r="BZ226">
            <v>23822848</v>
          </cell>
          <cell r="CA226">
            <v>260046</v>
          </cell>
          <cell r="CB226">
            <v>208036</v>
          </cell>
          <cell r="CC226">
            <v>46808</v>
          </cell>
          <cell r="CD226">
            <v>5200</v>
          </cell>
          <cell r="CE226">
            <v>138907</v>
          </cell>
          <cell r="CF226">
            <v>111126</v>
          </cell>
          <cell r="CG226">
            <v>25003</v>
          </cell>
          <cell r="CH226">
            <v>2778</v>
          </cell>
        </row>
        <row r="227">
          <cell r="A227">
            <v>220</v>
          </cell>
          <cell r="B227" t="str">
            <v>Rushmoor</v>
          </cell>
          <cell r="C227" t="str">
            <v>E1740</v>
          </cell>
          <cell r="D227">
            <v>120627</v>
          </cell>
          <cell r="H227">
            <v>341199</v>
          </cell>
          <cell r="I227">
            <v>0</v>
          </cell>
          <cell r="J227">
            <v>120627</v>
          </cell>
          <cell r="K227">
            <v>0</v>
          </cell>
          <cell r="L227">
            <v>0</v>
          </cell>
          <cell r="M227">
            <v>0</v>
          </cell>
          <cell r="N227">
            <v>0</v>
          </cell>
          <cell r="O227">
            <v>0</v>
          </cell>
          <cell r="P227">
            <v>0</v>
          </cell>
          <cell r="Q227">
            <v>0</v>
          </cell>
          <cell r="R227">
            <v>336595</v>
          </cell>
          <cell r="S227">
            <v>75734</v>
          </cell>
          <cell r="T227">
            <v>8415</v>
          </cell>
          <cell r="U227">
            <v>4259</v>
          </cell>
          <cell r="V227">
            <v>958</v>
          </cell>
          <cell r="W227">
            <v>106</v>
          </cell>
          <cell r="X227">
            <v>0</v>
          </cell>
          <cell r="Y227">
            <v>0</v>
          </cell>
          <cell r="Z227">
            <v>0</v>
          </cell>
          <cell r="AA227">
            <v>0</v>
          </cell>
          <cell r="AB227">
            <v>0</v>
          </cell>
          <cell r="AC227">
            <v>0</v>
          </cell>
          <cell r="AD227">
            <v>0</v>
          </cell>
          <cell r="AE227">
            <v>0</v>
          </cell>
          <cell r="AF227">
            <v>0</v>
          </cell>
          <cell r="AG227">
            <v>0</v>
          </cell>
          <cell r="AH227">
            <v>0</v>
          </cell>
          <cell r="AI227">
            <v>0</v>
          </cell>
          <cell r="AM227">
            <v>0</v>
          </cell>
          <cell r="AN227">
            <v>0</v>
          </cell>
          <cell r="AO227">
            <v>0</v>
          </cell>
          <cell r="AP227">
            <v>285251</v>
          </cell>
          <cell r="AQ227">
            <v>64181</v>
          </cell>
          <cell r="AR227">
            <v>7131</v>
          </cell>
          <cell r="AS227">
            <v>-387866.73</v>
          </cell>
          <cell r="AT227">
            <v>-310294</v>
          </cell>
          <cell r="AU227">
            <v>-69817</v>
          </cell>
          <cell r="AV227">
            <v>-7759</v>
          </cell>
          <cell r="AW227">
            <v>-775736.73</v>
          </cell>
          <cell r="AX227">
            <v>-3422551</v>
          </cell>
          <cell r="AY227">
            <v>-2738043</v>
          </cell>
          <cell r="AZ227">
            <v>-616060</v>
          </cell>
          <cell r="BA227">
            <v>-68452</v>
          </cell>
          <cell r="BB227">
            <v>-6845106</v>
          </cell>
          <cell r="BC227">
            <v>46602819</v>
          </cell>
          <cell r="BD227">
            <v>-1278433</v>
          </cell>
          <cell r="BE227">
            <v>1294618</v>
          </cell>
          <cell r="BF227">
            <v>0</v>
          </cell>
          <cell r="BG227">
            <v>-1705336</v>
          </cell>
          <cell r="BH227">
            <v>-15785</v>
          </cell>
          <cell r="BI227">
            <v>0</v>
          </cell>
          <cell r="BJ227">
            <v>-234248</v>
          </cell>
          <cell r="BK227">
            <v>-1639283</v>
          </cell>
          <cell r="BL227">
            <v>-67728</v>
          </cell>
          <cell r="BM227">
            <v>-316202</v>
          </cell>
          <cell r="BN227">
            <v>-3946</v>
          </cell>
          <cell r="BO227">
            <v>0</v>
          </cell>
          <cell r="BP227">
            <v>0</v>
          </cell>
          <cell r="BQ227">
            <v>0</v>
          </cell>
          <cell r="BR227">
            <v>0</v>
          </cell>
          <cell r="BS227">
            <v>0</v>
          </cell>
          <cell r="BT227">
            <v>47886987</v>
          </cell>
          <cell r="BU227">
            <v>-260288</v>
          </cell>
          <cell r="BV227">
            <v>1523730</v>
          </cell>
          <cell r="BW227">
            <v>-1346802</v>
          </cell>
          <cell r="BX227">
            <v>-1904219</v>
          </cell>
          <cell r="BY227">
            <v>-1947042</v>
          </cell>
          <cell r="BZ227">
            <v>47473860</v>
          </cell>
          <cell r="CA227">
            <v>-952109</v>
          </cell>
          <cell r="CB227">
            <v>-761688</v>
          </cell>
          <cell r="CC227">
            <v>-171380</v>
          </cell>
          <cell r="CD227">
            <v>-19042</v>
          </cell>
          <cell r="CE227">
            <v>-973521</v>
          </cell>
          <cell r="CF227">
            <v>-778817</v>
          </cell>
          <cell r="CG227">
            <v>-175234</v>
          </cell>
          <cell r="CH227">
            <v>-19470</v>
          </cell>
        </row>
        <row r="228">
          <cell r="A228">
            <v>221</v>
          </cell>
          <cell r="B228" t="str">
            <v>Rutland</v>
          </cell>
          <cell r="C228" t="str">
            <v>E2402</v>
          </cell>
          <cell r="D228">
            <v>58754</v>
          </cell>
          <cell r="H228">
            <v>687754</v>
          </cell>
          <cell r="I228">
            <v>0</v>
          </cell>
          <cell r="J228">
            <v>58754</v>
          </cell>
          <cell r="K228">
            <v>0</v>
          </cell>
          <cell r="L228">
            <v>20477</v>
          </cell>
          <cell r="M228">
            <v>0</v>
          </cell>
          <cell r="N228">
            <v>0</v>
          </cell>
          <cell r="O228">
            <v>0</v>
          </cell>
          <cell r="P228">
            <v>0</v>
          </cell>
          <cell r="Q228">
            <v>0</v>
          </cell>
          <cell r="R228">
            <v>303246</v>
          </cell>
          <cell r="S228">
            <v>0</v>
          </cell>
          <cell r="T228">
            <v>6189</v>
          </cell>
          <cell r="U228">
            <v>0</v>
          </cell>
          <cell r="V228">
            <v>0</v>
          </cell>
          <cell r="W228">
            <v>0</v>
          </cell>
          <cell r="X228">
            <v>0</v>
          </cell>
          <cell r="Y228">
            <v>0</v>
          </cell>
          <cell r="Z228">
            <v>0</v>
          </cell>
          <cell r="AA228">
            <v>2735</v>
          </cell>
          <cell r="AB228">
            <v>0</v>
          </cell>
          <cell r="AC228">
            <v>56</v>
          </cell>
          <cell r="AD228">
            <v>0</v>
          </cell>
          <cell r="AE228">
            <v>0</v>
          </cell>
          <cell r="AF228">
            <v>0</v>
          </cell>
          <cell r="AG228">
            <v>0</v>
          </cell>
          <cell r="AH228">
            <v>0</v>
          </cell>
          <cell r="AI228">
            <v>0</v>
          </cell>
          <cell r="AM228">
            <v>0</v>
          </cell>
          <cell r="AN228">
            <v>0</v>
          </cell>
          <cell r="AO228">
            <v>0</v>
          </cell>
          <cell r="AP228">
            <v>83004</v>
          </cell>
          <cell r="AQ228">
            <v>0</v>
          </cell>
          <cell r="AR228">
            <v>1688</v>
          </cell>
          <cell r="AS228">
            <v>-34123</v>
          </cell>
          <cell r="AT228">
            <v>-33441</v>
          </cell>
          <cell r="AU228">
            <v>0</v>
          </cell>
          <cell r="AV228">
            <v>-682</v>
          </cell>
          <cell r="AW228">
            <v>-68246</v>
          </cell>
          <cell r="AX228">
            <v>-270265.40000000002</v>
          </cell>
          <cell r="AY228">
            <v>-264859</v>
          </cell>
          <cell r="AZ228">
            <v>0</v>
          </cell>
          <cell r="BA228">
            <v>-5405</v>
          </cell>
          <cell r="BB228">
            <v>-540529.4</v>
          </cell>
          <cell r="BC228">
            <v>10617748</v>
          </cell>
          <cell r="BD228">
            <v>-1113531</v>
          </cell>
          <cell r="BE228">
            <v>278443</v>
          </cell>
          <cell r="BF228">
            <v>0</v>
          </cell>
          <cell r="BG228">
            <v>-1291060</v>
          </cell>
          <cell r="BH228">
            <v>-22478</v>
          </cell>
          <cell r="BI228">
            <v>-11345</v>
          </cell>
          <cell r="BJ228">
            <v>0</v>
          </cell>
          <cell r="BK228">
            <v>-184423</v>
          </cell>
          <cell r="BL228">
            <v>-41497</v>
          </cell>
          <cell r="BM228">
            <v>-27210</v>
          </cell>
          <cell r="BN228">
            <v>-3563</v>
          </cell>
          <cell r="BO228">
            <v>-11345</v>
          </cell>
          <cell r="BP228">
            <v>-1573</v>
          </cell>
          <cell r="BQ228">
            <v>0</v>
          </cell>
          <cell r="BR228">
            <v>0</v>
          </cell>
          <cell r="BS228">
            <v>0</v>
          </cell>
          <cell r="BT228">
            <v>10742999</v>
          </cell>
          <cell r="BU228">
            <v>-10133</v>
          </cell>
          <cell r="BV228">
            <v>114527</v>
          </cell>
          <cell r="BW228">
            <v>-1462</v>
          </cell>
          <cell r="BX228">
            <v>9698</v>
          </cell>
          <cell r="BY228">
            <v>65902</v>
          </cell>
          <cell r="BZ228">
            <v>11235206</v>
          </cell>
          <cell r="CA228">
            <v>4848</v>
          </cell>
          <cell r="CB228">
            <v>4753</v>
          </cell>
          <cell r="CC228">
            <v>0</v>
          </cell>
          <cell r="CD228">
            <v>97</v>
          </cell>
          <cell r="CE228">
            <v>32951</v>
          </cell>
          <cell r="CF228">
            <v>32292</v>
          </cell>
          <cell r="CG228">
            <v>0</v>
          </cell>
          <cell r="CH228">
            <v>659</v>
          </cell>
        </row>
        <row r="229">
          <cell r="A229">
            <v>222</v>
          </cell>
          <cell r="B229" t="str">
            <v>Ryedale</v>
          </cell>
          <cell r="C229" t="str">
            <v>E2755</v>
          </cell>
          <cell r="D229">
            <v>110030</v>
          </cell>
          <cell r="H229">
            <v>1069000</v>
          </cell>
          <cell r="I229">
            <v>0</v>
          </cell>
          <cell r="J229">
            <v>110030</v>
          </cell>
          <cell r="K229">
            <v>0</v>
          </cell>
          <cell r="L229">
            <v>49000</v>
          </cell>
          <cell r="M229">
            <v>0</v>
          </cell>
          <cell r="N229">
            <v>0</v>
          </cell>
          <cell r="O229">
            <v>0</v>
          </cell>
          <cell r="P229">
            <v>0</v>
          </cell>
          <cell r="Q229">
            <v>0</v>
          </cell>
          <cell r="R229">
            <v>632358</v>
          </cell>
          <cell r="S229">
            <v>142281</v>
          </cell>
          <cell r="T229">
            <v>15809</v>
          </cell>
          <cell r="U229">
            <v>14211</v>
          </cell>
          <cell r="V229">
            <v>3197</v>
          </cell>
          <cell r="W229">
            <v>355</v>
          </cell>
          <cell r="X229">
            <v>0</v>
          </cell>
          <cell r="Y229">
            <v>0</v>
          </cell>
          <cell r="Z229">
            <v>0</v>
          </cell>
          <cell r="AA229">
            <v>1827</v>
          </cell>
          <cell r="AB229">
            <v>411</v>
          </cell>
          <cell r="AC229">
            <v>46</v>
          </cell>
          <cell r="AD229">
            <v>0</v>
          </cell>
          <cell r="AE229">
            <v>0</v>
          </cell>
          <cell r="AF229">
            <v>0</v>
          </cell>
          <cell r="AG229">
            <v>0</v>
          </cell>
          <cell r="AH229">
            <v>0</v>
          </cell>
          <cell r="AI229">
            <v>0</v>
          </cell>
          <cell r="AM229">
            <v>0</v>
          </cell>
          <cell r="AN229">
            <v>0</v>
          </cell>
          <cell r="AO229">
            <v>0</v>
          </cell>
          <cell r="AP229">
            <v>102383</v>
          </cell>
          <cell r="AQ229">
            <v>22871</v>
          </cell>
          <cell r="AR229">
            <v>2541</v>
          </cell>
          <cell r="AS229">
            <v>-30000</v>
          </cell>
          <cell r="AT229">
            <v>-24000</v>
          </cell>
          <cell r="AU229">
            <v>-5400</v>
          </cell>
          <cell r="AV229">
            <v>-600</v>
          </cell>
          <cell r="AW229">
            <v>-60000</v>
          </cell>
          <cell r="AX229">
            <v>-927500</v>
          </cell>
          <cell r="AY229">
            <v>-742000</v>
          </cell>
          <cell r="AZ229">
            <v>-166950</v>
          </cell>
          <cell r="BA229">
            <v>-18550</v>
          </cell>
          <cell r="BB229">
            <v>-1855000</v>
          </cell>
          <cell r="BC229">
            <v>16349089</v>
          </cell>
          <cell r="BD229">
            <v>-2202682</v>
          </cell>
          <cell r="BE229">
            <v>399024</v>
          </cell>
          <cell r="BF229">
            <v>0</v>
          </cell>
          <cell r="BG229">
            <v>-898396</v>
          </cell>
          <cell r="BH229">
            <v>-10208</v>
          </cell>
          <cell r="BI229">
            <v>-44001</v>
          </cell>
          <cell r="BJ229">
            <v>0</v>
          </cell>
          <cell r="BK229">
            <v>-388374</v>
          </cell>
          <cell r="BL229">
            <v>-78122</v>
          </cell>
          <cell r="BM229">
            <v>-66313</v>
          </cell>
          <cell r="BN229">
            <v>-2552</v>
          </cell>
          <cell r="BO229">
            <v>-5769</v>
          </cell>
          <cell r="BP229">
            <v>-1480</v>
          </cell>
          <cell r="BQ229">
            <v>0</v>
          </cell>
          <cell r="BR229">
            <v>0</v>
          </cell>
          <cell r="BS229">
            <v>0</v>
          </cell>
          <cell r="BT229">
            <v>16872649</v>
          </cell>
          <cell r="BU229">
            <v>-22062</v>
          </cell>
          <cell r="BV229">
            <v>126223</v>
          </cell>
          <cell r="BW229">
            <v>-174001</v>
          </cell>
          <cell r="BX229">
            <v>-591015</v>
          </cell>
          <cell r="BY229">
            <v>-189524</v>
          </cell>
          <cell r="BZ229">
            <v>16916955</v>
          </cell>
          <cell r="CA229">
            <v>-295509</v>
          </cell>
          <cell r="CB229">
            <v>-236405</v>
          </cell>
          <cell r="CC229">
            <v>-53191</v>
          </cell>
          <cell r="CD229">
            <v>-5910</v>
          </cell>
          <cell r="CE229">
            <v>-94762</v>
          </cell>
          <cell r="CF229">
            <v>-75810</v>
          </cell>
          <cell r="CG229">
            <v>-17057</v>
          </cell>
          <cell r="CH229">
            <v>-1895</v>
          </cell>
        </row>
        <row r="230">
          <cell r="A230">
            <v>223</v>
          </cell>
          <cell r="B230" t="str">
            <v>Salford</v>
          </cell>
          <cell r="C230" t="str">
            <v>E4206</v>
          </cell>
          <cell r="D230">
            <v>449977</v>
          </cell>
          <cell r="H230">
            <v>-6411141</v>
          </cell>
          <cell r="I230">
            <v>0</v>
          </cell>
          <cell r="J230">
            <v>449977</v>
          </cell>
          <cell r="K230">
            <v>0</v>
          </cell>
          <cell r="L230">
            <v>0</v>
          </cell>
          <cell r="M230">
            <v>0</v>
          </cell>
          <cell r="N230">
            <v>0</v>
          </cell>
          <cell r="O230">
            <v>0</v>
          </cell>
          <cell r="P230">
            <v>0</v>
          </cell>
          <cell r="Q230">
            <v>0</v>
          </cell>
          <cell r="R230">
            <v>3056129</v>
          </cell>
          <cell r="S230">
            <v>0</v>
          </cell>
          <cell r="T230">
            <v>30870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M230">
            <v>0</v>
          </cell>
          <cell r="AN230">
            <v>0</v>
          </cell>
          <cell r="AO230">
            <v>0</v>
          </cell>
          <cell r="AP230">
            <v>1299364</v>
          </cell>
          <cell r="AQ230">
            <v>0</v>
          </cell>
          <cell r="AR230">
            <v>13125</v>
          </cell>
          <cell r="AS230">
            <v>-6911878</v>
          </cell>
          <cell r="AT230">
            <v>-6773644</v>
          </cell>
          <cell r="AU230">
            <v>0</v>
          </cell>
          <cell r="AV230">
            <v>-138238</v>
          </cell>
          <cell r="AW230">
            <v>-13823760</v>
          </cell>
          <cell r="AX230">
            <v>-7554335</v>
          </cell>
          <cell r="AY230">
            <v>-7403252</v>
          </cell>
          <cell r="AZ230">
            <v>0</v>
          </cell>
          <cell r="BA230">
            <v>-151086</v>
          </cell>
          <cell r="BB230">
            <v>-15108673</v>
          </cell>
          <cell r="BC230">
            <v>92107771</v>
          </cell>
          <cell r="BD230">
            <v>-4963557</v>
          </cell>
          <cell r="BE230">
            <v>2786308</v>
          </cell>
          <cell r="BF230">
            <v>0</v>
          </cell>
          <cell r="BG230">
            <v>-6899939</v>
          </cell>
          <cell r="BH230">
            <v>-121545</v>
          </cell>
          <cell r="BI230">
            <v>0</v>
          </cell>
          <cell r="BJ230">
            <v>-80864</v>
          </cell>
          <cell r="BK230">
            <v>-6378126</v>
          </cell>
          <cell r="BL230">
            <v>-209405</v>
          </cell>
          <cell r="BM230">
            <v>-93070</v>
          </cell>
          <cell r="BN230">
            <v>-732</v>
          </cell>
          <cell r="BO230">
            <v>0</v>
          </cell>
          <cell r="BP230">
            <v>0</v>
          </cell>
          <cell r="BQ230">
            <v>0</v>
          </cell>
          <cell r="BR230">
            <v>0</v>
          </cell>
          <cell r="BS230">
            <v>0</v>
          </cell>
          <cell r="BT230">
            <v>97920072</v>
          </cell>
          <cell r="BU230">
            <v>-5159454</v>
          </cell>
          <cell r="BV230">
            <v>28016080</v>
          </cell>
          <cell r="BW230">
            <v>-6337401</v>
          </cell>
          <cell r="BX230">
            <v>-2769000</v>
          </cell>
          <cell r="BY230">
            <v>-1791134</v>
          </cell>
          <cell r="BZ230">
            <v>87374282</v>
          </cell>
          <cell r="CA230">
            <v>-1384501</v>
          </cell>
          <cell r="CB230">
            <v>-1356809</v>
          </cell>
          <cell r="CC230">
            <v>0</v>
          </cell>
          <cell r="CD230">
            <v>-27690</v>
          </cell>
          <cell r="CE230">
            <v>-895567</v>
          </cell>
          <cell r="CF230">
            <v>-877656</v>
          </cell>
          <cell r="CG230">
            <v>0</v>
          </cell>
          <cell r="CH230">
            <v>-17911</v>
          </cell>
        </row>
        <row r="231">
          <cell r="A231">
            <v>224</v>
          </cell>
          <cell r="B231" t="str">
            <v>Sandwell</v>
          </cell>
          <cell r="C231" t="str">
            <v>E4604</v>
          </cell>
          <cell r="D231">
            <v>443826</v>
          </cell>
          <cell r="H231">
            <v>-3625539</v>
          </cell>
          <cell r="I231">
            <v>0</v>
          </cell>
          <cell r="J231">
            <v>443826</v>
          </cell>
          <cell r="K231">
            <v>0</v>
          </cell>
          <cell r="L231">
            <v>0</v>
          </cell>
          <cell r="M231">
            <v>0</v>
          </cell>
          <cell r="N231">
            <v>0</v>
          </cell>
          <cell r="O231">
            <v>0</v>
          </cell>
          <cell r="P231">
            <v>0</v>
          </cell>
          <cell r="Q231">
            <v>0</v>
          </cell>
          <cell r="R231">
            <v>5393654</v>
          </cell>
          <cell r="S231">
            <v>0</v>
          </cell>
          <cell r="T231">
            <v>54481</v>
          </cell>
          <cell r="U231">
            <v>24210</v>
          </cell>
          <cell r="V231">
            <v>0</v>
          </cell>
          <cell r="W231">
            <v>245</v>
          </cell>
          <cell r="X231">
            <v>0</v>
          </cell>
          <cell r="Y231">
            <v>0</v>
          </cell>
          <cell r="Z231">
            <v>0</v>
          </cell>
          <cell r="AA231">
            <v>9902</v>
          </cell>
          <cell r="AB231">
            <v>0</v>
          </cell>
          <cell r="AC231">
            <v>100</v>
          </cell>
          <cell r="AD231">
            <v>0</v>
          </cell>
          <cell r="AE231">
            <v>0</v>
          </cell>
          <cell r="AF231">
            <v>0</v>
          </cell>
          <cell r="AG231">
            <v>0</v>
          </cell>
          <cell r="AH231">
            <v>0</v>
          </cell>
          <cell r="AI231">
            <v>0</v>
          </cell>
          <cell r="AM231">
            <v>0</v>
          </cell>
          <cell r="AN231">
            <v>0</v>
          </cell>
          <cell r="AO231">
            <v>0</v>
          </cell>
          <cell r="AP231">
            <v>1462959</v>
          </cell>
          <cell r="AQ231">
            <v>0</v>
          </cell>
          <cell r="AR231">
            <v>14777</v>
          </cell>
          <cell r="AS231">
            <v>-666896</v>
          </cell>
          <cell r="AT231">
            <v>-653559</v>
          </cell>
          <cell r="AU231">
            <v>0</v>
          </cell>
          <cell r="AV231">
            <v>-13337</v>
          </cell>
          <cell r="AW231">
            <v>-1333792</v>
          </cell>
          <cell r="AX231">
            <v>-903729</v>
          </cell>
          <cell r="AY231">
            <v>-885654</v>
          </cell>
          <cell r="AZ231">
            <v>0</v>
          </cell>
          <cell r="BA231">
            <v>-18075</v>
          </cell>
          <cell r="BB231">
            <v>-1807458</v>
          </cell>
          <cell r="BC231">
            <v>101030034</v>
          </cell>
          <cell r="BD231">
            <v>-8477470</v>
          </cell>
          <cell r="BE231">
            <v>2783078</v>
          </cell>
          <cell r="BF231">
            <v>0</v>
          </cell>
          <cell r="BG231">
            <v>-5962327</v>
          </cell>
          <cell r="BH231">
            <v>-75091</v>
          </cell>
          <cell r="BI231">
            <v>0</v>
          </cell>
          <cell r="BJ231">
            <v>-268500</v>
          </cell>
          <cell r="BK231">
            <v>-4082636</v>
          </cell>
          <cell r="BL231">
            <v>-503426</v>
          </cell>
          <cell r="BM231">
            <v>-383219</v>
          </cell>
          <cell r="BN231">
            <v>-3704</v>
          </cell>
          <cell r="BO231">
            <v>0</v>
          </cell>
          <cell r="BP231">
            <v>0</v>
          </cell>
          <cell r="BQ231">
            <v>0</v>
          </cell>
          <cell r="BR231">
            <v>0</v>
          </cell>
          <cell r="BS231">
            <v>0</v>
          </cell>
          <cell r="BT231">
            <v>104341472</v>
          </cell>
          <cell r="BU231">
            <v>-3025272</v>
          </cell>
          <cell r="BV231">
            <v>4517730</v>
          </cell>
          <cell r="BW231">
            <v>-781530</v>
          </cell>
          <cell r="BX231">
            <v>-8433769</v>
          </cell>
          <cell r="BY231">
            <v>-9272003</v>
          </cell>
          <cell r="BZ231">
            <v>98374992</v>
          </cell>
          <cell r="CA231">
            <v>-4216885</v>
          </cell>
          <cell r="CB231">
            <v>-4132546</v>
          </cell>
          <cell r="CC231">
            <v>0</v>
          </cell>
          <cell r="CD231">
            <v>-84338</v>
          </cell>
          <cell r="CE231">
            <v>-4636002</v>
          </cell>
          <cell r="CF231">
            <v>-4543281</v>
          </cell>
          <cell r="CG231">
            <v>0</v>
          </cell>
          <cell r="CH231">
            <v>-92720</v>
          </cell>
        </row>
        <row r="232">
          <cell r="A232">
            <v>225</v>
          </cell>
          <cell r="B232" t="str">
            <v>Scarborough</v>
          </cell>
          <cell r="C232" t="str">
            <v>E2736</v>
          </cell>
          <cell r="D232">
            <v>259507</v>
          </cell>
          <cell r="H232">
            <v>3537381</v>
          </cell>
          <cell r="I232">
            <v>0</v>
          </cell>
          <cell r="J232">
            <v>259507</v>
          </cell>
          <cell r="K232">
            <v>0</v>
          </cell>
          <cell r="L232">
            <v>0</v>
          </cell>
          <cell r="M232">
            <v>0</v>
          </cell>
          <cell r="N232">
            <v>0</v>
          </cell>
          <cell r="O232">
            <v>0</v>
          </cell>
          <cell r="P232">
            <v>0</v>
          </cell>
          <cell r="Q232">
            <v>0</v>
          </cell>
          <cell r="R232">
            <v>1169232</v>
          </cell>
          <cell r="S232">
            <v>263077</v>
          </cell>
          <cell r="T232">
            <v>29231</v>
          </cell>
          <cell r="U232">
            <v>7</v>
          </cell>
          <cell r="V232">
            <v>2</v>
          </cell>
          <cell r="W232">
            <v>0</v>
          </cell>
          <cell r="X232">
            <v>0</v>
          </cell>
          <cell r="Y232">
            <v>0</v>
          </cell>
          <cell r="Z232">
            <v>0</v>
          </cell>
          <cell r="AA232">
            <v>407</v>
          </cell>
          <cell r="AB232">
            <v>91</v>
          </cell>
          <cell r="AC232">
            <v>10</v>
          </cell>
          <cell r="AD232">
            <v>0</v>
          </cell>
          <cell r="AE232">
            <v>0</v>
          </cell>
          <cell r="AF232">
            <v>0</v>
          </cell>
          <cell r="AG232">
            <v>0</v>
          </cell>
          <cell r="AH232">
            <v>0</v>
          </cell>
          <cell r="AI232">
            <v>0</v>
          </cell>
          <cell r="AM232">
            <v>0</v>
          </cell>
          <cell r="AN232">
            <v>0</v>
          </cell>
          <cell r="AO232">
            <v>0</v>
          </cell>
          <cell r="AP232">
            <v>215056</v>
          </cell>
          <cell r="AQ232">
            <v>48388</v>
          </cell>
          <cell r="AR232">
            <v>5376</v>
          </cell>
          <cell r="AS232">
            <v>-419352</v>
          </cell>
          <cell r="AT232">
            <v>-335481</v>
          </cell>
          <cell r="AU232">
            <v>-75484</v>
          </cell>
          <cell r="AV232">
            <v>-8386</v>
          </cell>
          <cell r="AW232">
            <v>-838703</v>
          </cell>
          <cell r="AX232">
            <v>-1712286</v>
          </cell>
          <cell r="AY232">
            <v>-1369829</v>
          </cell>
          <cell r="AZ232">
            <v>-308210</v>
          </cell>
          <cell r="BA232">
            <v>-34246</v>
          </cell>
          <cell r="BB232">
            <v>-3424571</v>
          </cell>
          <cell r="BC232">
            <v>33793341</v>
          </cell>
          <cell r="BD232">
            <v>-5609077</v>
          </cell>
          <cell r="BE232">
            <v>843340</v>
          </cell>
          <cell r="BF232">
            <v>0</v>
          </cell>
          <cell r="BG232">
            <v>-1887137</v>
          </cell>
          <cell r="BH232">
            <v>-106495</v>
          </cell>
          <cell r="BI232">
            <v>-31589</v>
          </cell>
          <cell r="BJ232">
            <v>-7516</v>
          </cell>
          <cell r="BK232">
            <v>-579712</v>
          </cell>
          <cell r="BL232">
            <v>-159575</v>
          </cell>
          <cell r="BM232">
            <v>-83823</v>
          </cell>
          <cell r="BN232">
            <v>0</v>
          </cell>
          <cell r="BO232">
            <v>-3496</v>
          </cell>
          <cell r="BP232">
            <v>0</v>
          </cell>
          <cell r="BQ232">
            <v>0</v>
          </cell>
          <cell r="BR232">
            <v>0</v>
          </cell>
          <cell r="BS232">
            <v>0</v>
          </cell>
          <cell r="BT232">
            <v>34277198</v>
          </cell>
          <cell r="BU232">
            <v>-330465</v>
          </cell>
          <cell r="BV232">
            <v>1510475</v>
          </cell>
          <cell r="BW232">
            <v>-1083658</v>
          </cell>
          <cell r="BX232">
            <v>550842</v>
          </cell>
          <cell r="BY232">
            <v>-96961</v>
          </cell>
          <cell r="BZ232">
            <v>35791403</v>
          </cell>
          <cell r="CA232">
            <v>275421</v>
          </cell>
          <cell r="CB232">
            <v>220337</v>
          </cell>
          <cell r="CC232">
            <v>49576</v>
          </cell>
          <cell r="CD232">
            <v>5508</v>
          </cell>
          <cell r="CE232">
            <v>-48481</v>
          </cell>
          <cell r="CF232">
            <v>-38784</v>
          </cell>
          <cell r="CG232">
            <v>-8726</v>
          </cell>
          <cell r="CH232">
            <v>-970</v>
          </cell>
        </row>
        <row r="233">
          <cell r="A233">
            <v>226</v>
          </cell>
          <cell r="B233" t="str">
            <v>Sedgemoor</v>
          </cell>
          <cell r="C233" t="str">
            <v>E3332</v>
          </cell>
          <cell r="D233">
            <v>163085</v>
          </cell>
          <cell r="H233">
            <v>-328911</v>
          </cell>
          <cell r="I233">
            <v>0</v>
          </cell>
          <cell r="J233">
            <v>163085</v>
          </cell>
          <cell r="K233">
            <v>0</v>
          </cell>
          <cell r="L233">
            <v>208290</v>
          </cell>
          <cell r="M233">
            <v>0</v>
          </cell>
          <cell r="N233">
            <v>0</v>
          </cell>
          <cell r="O233">
            <v>0</v>
          </cell>
          <cell r="P233">
            <v>0</v>
          </cell>
          <cell r="Q233">
            <v>0</v>
          </cell>
          <cell r="R233">
            <v>818727</v>
          </cell>
          <cell r="S233">
            <v>183655</v>
          </cell>
          <cell r="T233">
            <v>20406</v>
          </cell>
          <cell r="U233">
            <v>763</v>
          </cell>
          <cell r="V233">
            <v>172</v>
          </cell>
          <cell r="W233">
            <v>19</v>
          </cell>
          <cell r="X233">
            <v>5776</v>
          </cell>
          <cell r="Y233">
            <v>1299</v>
          </cell>
          <cell r="Z233">
            <v>144</v>
          </cell>
          <cell r="AA233">
            <v>115</v>
          </cell>
          <cell r="AB233">
            <v>26</v>
          </cell>
          <cell r="AC233">
            <v>3</v>
          </cell>
          <cell r="AD233">
            <v>0</v>
          </cell>
          <cell r="AE233">
            <v>0</v>
          </cell>
          <cell r="AF233">
            <v>0</v>
          </cell>
          <cell r="AG233">
            <v>0</v>
          </cell>
          <cell r="AH233">
            <v>0</v>
          </cell>
          <cell r="AI233">
            <v>0</v>
          </cell>
          <cell r="AM233">
            <v>0</v>
          </cell>
          <cell r="AN233">
            <v>0</v>
          </cell>
          <cell r="AO233">
            <v>0</v>
          </cell>
          <cell r="AP233">
            <v>233804</v>
          </cell>
          <cell r="AQ233">
            <v>51902</v>
          </cell>
          <cell r="AR233">
            <v>5767</v>
          </cell>
          <cell r="AS233">
            <v>-190598</v>
          </cell>
          <cell r="AT233">
            <v>-152479</v>
          </cell>
          <cell r="AU233">
            <v>-34307</v>
          </cell>
          <cell r="AV233">
            <v>-3813</v>
          </cell>
          <cell r="AW233">
            <v>-381197</v>
          </cell>
          <cell r="AX233">
            <v>-1816048</v>
          </cell>
          <cell r="AY233">
            <v>-1452840</v>
          </cell>
          <cell r="AZ233">
            <v>-326890</v>
          </cell>
          <cell r="BA233">
            <v>-36321</v>
          </cell>
          <cell r="BB233">
            <v>-3632099</v>
          </cell>
          <cell r="BC233">
            <v>38949578</v>
          </cell>
          <cell r="BD233">
            <v>-2979364</v>
          </cell>
          <cell r="BE233">
            <v>1031522</v>
          </cell>
          <cell r="BF233">
            <v>0</v>
          </cell>
          <cell r="BG233">
            <v>-2481893</v>
          </cell>
          <cell r="BH233">
            <v>-28448</v>
          </cell>
          <cell r="BI233">
            <v>-67444</v>
          </cell>
          <cell r="BJ233">
            <v>0</v>
          </cell>
          <cell r="BK233">
            <v>-1230347</v>
          </cell>
          <cell r="BL233">
            <v>-70863</v>
          </cell>
          <cell r="BM233">
            <v>-32792</v>
          </cell>
          <cell r="BN233">
            <v>0</v>
          </cell>
          <cell r="BO233">
            <v>-34604</v>
          </cell>
          <cell r="BP233">
            <v>-368</v>
          </cell>
          <cell r="BQ233">
            <v>0</v>
          </cell>
          <cell r="BR233">
            <v>0</v>
          </cell>
          <cell r="BS233">
            <v>0</v>
          </cell>
          <cell r="BT233">
            <v>39023307</v>
          </cell>
          <cell r="BU233">
            <v>-136632</v>
          </cell>
          <cell r="BV233">
            <v>853581</v>
          </cell>
          <cell r="BW233">
            <v>-1875563</v>
          </cell>
          <cell r="BX233">
            <v>40163</v>
          </cell>
          <cell r="BY233">
            <v>-669872</v>
          </cell>
          <cell r="BZ233">
            <v>38390903</v>
          </cell>
          <cell r="CA233">
            <v>20082</v>
          </cell>
          <cell r="CB233">
            <v>16065</v>
          </cell>
          <cell r="CC233">
            <v>3614</v>
          </cell>
          <cell r="CD233">
            <v>402</v>
          </cell>
          <cell r="CE233">
            <v>-334936</v>
          </cell>
          <cell r="CF233">
            <v>-267949</v>
          </cell>
          <cell r="CG233">
            <v>-60288</v>
          </cell>
          <cell r="CH233">
            <v>-6699</v>
          </cell>
        </row>
        <row r="234">
          <cell r="A234">
            <v>227</v>
          </cell>
          <cell r="B234" t="str">
            <v>Sefton</v>
          </cell>
          <cell r="C234" t="str">
            <v>E4304</v>
          </cell>
          <cell r="D234">
            <v>321434</v>
          </cell>
          <cell r="H234">
            <v>-1825745</v>
          </cell>
          <cell r="I234">
            <v>0</v>
          </cell>
          <cell r="J234">
            <v>321434</v>
          </cell>
          <cell r="K234">
            <v>0</v>
          </cell>
          <cell r="L234">
            <v>0</v>
          </cell>
          <cell r="M234">
            <v>0</v>
          </cell>
          <cell r="N234">
            <v>0</v>
          </cell>
          <cell r="O234">
            <v>0</v>
          </cell>
          <cell r="P234">
            <v>0</v>
          </cell>
          <cell r="Q234">
            <v>0</v>
          </cell>
          <cell r="R234">
            <v>3749992</v>
          </cell>
          <cell r="S234">
            <v>0</v>
          </cell>
          <cell r="T234">
            <v>37879</v>
          </cell>
          <cell r="U234">
            <v>8843</v>
          </cell>
          <cell r="V234">
            <v>0</v>
          </cell>
          <cell r="W234">
            <v>89</v>
          </cell>
          <cell r="X234">
            <v>60292</v>
          </cell>
          <cell r="Y234">
            <v>0</v>
          </cell>
          <cell r="Z234">
            <v>609</v>
          </cell>
          <cell r="AA234">
            <v>55268</v>
          </cell>
          <cell r="AB234">
            <v>0</v>
          </cell>
          <cell r="AC234">
            <v>558</v>
          </cell>
          <cell r="AD234">
            <v>0</v>
          </cell>
          <cell r="AE234">
            <v>0</v>
          </cell>
          <cell r="AF234">
            <v>0</v>
          </cell>
          <cell r="AG234">
            <v>0</v>
          </cell>
          <cell r="AH234">
            <v>0</v>
          </cell>
          <cell r="AI234">
            <v>0</v>
          </cell>
          <cell r="AM234">
            <v>0</v>
          </cell>
          <cell r="AN234">
            <v>0</v>
          </cell>
          <cell r="AO234">
            <v>0</v>
          </cell>
          <cell r="AP234">
            <v>945670</v>
          </cell>
          <cell r="AQ234">
            <v>0</v>
          </cell>
          <cell r="AR234">
            <v>9552</v>
          </cell>
          <cell r="AS234">
            <v>-637750</v>
          </cell>
          <cell r="AT234">
            <v>-624995</v>
          </cell>
          <cell r="AU234">
            <v>0</v>
          </cell>
          <cell r="AV234">
            <v>-12755</v>
          </cell>
          <cell r="AW234">
            <v>-1275500</v>
          </cell>
          <cell r="AX234">
            <v>-10053000</v>
          </cell>
          <cell r="AY234">
            <v>-9851940</v>
          </cell>
          <cell r="AZ234">
            <v>0</v>
          </cell>
          <cell r="BA234">
            <v>-201060</v>
          </cell>
          <cell r="BB234">
            <v>-20106000</v>
          </cell>
          <cell r="BC234">
            <v>66080913</v>
          </cell>
          <cell r="BD234">
            <v>-6109679</v>
          </cell>
          <cell r="BE234">
            <v>1933623</v>
          </cell>
          <cell r="BF234">
            <v>0</v>
          </cell>
          <cell r="BG234">
            <v>-4447807</v>
          </cell>
          <cell r="BH234">
            <v>-27334</v>
          </cell>
          <cell r="BI234">
            <v>-363</v>
          </cell>
          <cell r="BJ234">
            <v>0</v>
          </cell>
          <cell r="BK234">
            <v>-3260616</v>
          </cell>
          <cell r="BL234">
            <v>-221337</v>
          </cell>
          <cell r="BM234">
            <v>-83193</v>
          </cell>
          <cell r="BN234">
            <v>0</v>
          </cell>
          <cell r="BO234">
            <v>0</v>
          </cell>
          <cell r="BP234">
            <v>0</v>
          </cell>
          <cell r="BQ234">
            <v>0</v>
          </cell>
          <cell r="BR234">
            <v>0</v>
          </cell>
          <cell r="BS234">
            <v>0</v>
          </cell>
          <cell r="BT234">
            <v>71886728</v>
          </cell>
          <cell r="BU234">
            <v>-823509</v>
          </cell>
          <cell r="BV234">
            <v>2086242</v>
          </cell>
          <cell r="BW234">
            <v>-1552237</v>
          </cell>
          <cell r="BX234">
            <v>-3652507</v>
          </cell>
          <cell r="BY234">
            <v>-2437379</v>
          </cell>
          <cell r="BZ234">
            <v>63590541</v>
          </cell>
          <cell r="CA234">
            <v>-1826254</v>
          </cell>
          <cell r="CB234">
            <v>-1789729</v>
          </cell>
          <cell r="CC234">
            <v>0</v>
          </cell>
          <cell r="CD234">
            <v>-36524</v>
          </cell>
          <cell r="CE234">
            <v>-1218689</v>
          </cell>
          <cell r="CF234">
            <v>-1194316</v>
          </cell>
          <cell r="CG234">
            <v>0</v>
          </cell>
          <cell r="CH234">
            <v>-24374</v>
          </cell>
        </row>
        <row r="235">
          <cell r="A235">
            <v>228</v>
          </cell>
          <cell r="B235" t="str">
            <v>Selby</v>
          </cell>
          <cell r="C235" t="str">
            <v>E2757</v>
          </cell>
          <cell r="D235">
            <v>112514</v>
          </cell>
          <cell r="H235">
            <v>-3154014</v>
          </cell>
          <cell r="I235">
            <v>0</v>
          </cell>
          <cell r="J235">
            <v>112514</v>
          </cell>
          <cell r="K235">
            <v>0</v>
          </cell>
          <cell r="L235">
            <v>7862212</v>
          </cell>
          <cell r="M235">
            <v>0</v>
          </cell>
          <cell r="N235">
            <v>0</v>
          </cell>
          <cell r="O235">
            <v>0</v>
          </cell>
          <cell r="P235">
            <v>0</v>
          </cell>
          <cell r="Q235">
            <v>0</v>
          </cell>
          <cell r="R235">
            <v>470268</v>
          </cell>
          <cell r="S235">
            <v>105810</v>
          </cell>
          <cell r="T235">
            <v>11757</v>
          </cell>
          <cell r="U235">
            <v>439</v>
          </cell>
          <cell r="V235">
            <v>99</v>
          </cell>
          <cell r="W235">
            <v>11</v>
          </cell>
          <cell r="X235">
            <v>0</v>
          </cell>
          <cell r="Y235">
            <v>0</v>
          </cell>
          <cell r="Z235">
            <v>0</v>
          </cell>
          <cell r="AA235">
            <v>380</v>
          </cell>
          <cell r="AB235">
            <v>85</v>
          </cell>
          <cell r="AC235">
            <v>9</v>
          </cell>
          <cell r="AD235">
            <v>0</v>
          </cell>
          <cell r="AE235">
            <v>0</v>
          </cell>
          <cell r="AF235">
            <v>0</v>
          </cell>
          <cell r="AG235">
            <v>0</v>
          </cell>
          <cell r="AH235">
            <v>0</v>
          </cell>
          <cell r="AI235">
            <v>0</v>
          </cell>
          <cell r="AM235">
            <v>0</v>
          </cell>
          <cell r="AN235">
            <v>0</v>
          </cell>
          <cell r="AO235">
            <v>0</v>
          </cell>
          <cell r="AP235">
            <v>273636</v>
          </cell>
          <cell r="AQ235">
            <v>34995</v>
          </cell>
          <cell r="AR235">
            <v>3888</v>
          </cell>
          <cell r="AS235">
            <v>-213650</v>
          </cell>
          <cell r="AT235">
            <v>-170921</v>
          </cell>
          <cell r="AU235">
            <v>-38457</v>
          </cell>
          <cell r="AV235">
            <v>-4272</v>
          </cell>
          <cell r="AW235">
            <v>-427300</v>
          </cell>
          <cell r="AX235">
            <v>-1907297</v>
          </cell>
          <cell r="AY235">
            <v>-1525839</v>
          </cell>
          <cell r="AZ235">
            <v>-343313</v>
          </cell>
          <cell r="BA235">
            <v>-38147</v>
          </cell>
          <cell r="BB235">
            <v>-3814596</v>
          </cell>
          <cell r="BC235">
            <v>34404644</v>
          </cell>
          <cell r="BD235">
            <v>-1824605</v>
          </cell>
          <cell r="BE235">
            <v>1103037</v>
          </cell>
          <cell r="BF235">
            <v>0</v>
          </cell>
          <cell r="BG235">
            <v>-1090313</v>
          </cell>
          <cell r="BH235">
            <v>-50371</v>
          </cell>
          <cell r="BI235">
            <v>-20291</v>
          </cell>
          <cell r="BJ235">
            <v>-503</v>
          </cell>
          <cell r="BK235">
            <v>-559067</v>
          </cell>
          <cell r="BL235">
            <v>-101146</v>
          </cell>
          <cell r="BM235">
            <v>-18455</v>
          </cell>
          <cell r="BN235">
            <v>-1389</v>
          </cell>
          <cell r="BO235">
            <v>-12570</v>
          </cell>
          <cell r="BP235">
            <v>-2868</v>
          </cell>
          <cell r="BQ235">
            <v>-9386</v>
          </cell>
          <cell r="BR235">
            <v>0</v>
          </cell>
          <cell r="BS235">
            <v>0</v>
          </cell>
          <cell r="BT235">
            <v>40923009</v>
          </cell>
          <cell r="BU235">
            <v>-243362</v>
          </cell>
          <cell r="BV235">
            <v>1161094</v>
          </cell>
          <cell r="BW235">
            <v>-595232</v>
          </cell>
          <cell r="BX235">
            <v>-1485038</v>
          </cell>
          <cell r="BY235">
            <v>-3088230</v>
          </cell>
          <cell r="BZ235">
            <v>25885393</v>
          </cell>
          <cell r="CA235">
            <v>-742520</v>
          </cell>
          <cell r="CB235">
            <v>-594015</v>
          </cell>
          <cell r="CC235">
            <v>-133653</v>
          </cell>
          <cell r="CD235">
            <v>-14850</v>
          </cell>
          <cell r="CE235">
            <v>-1544115</v>
          </cell>
          <cell r="CF235">
            <v>-1235292</v>
          </cell>
          <cell r="CG235">
            <v>-277941</v>
          </cell>
          <cell r="CH235">
            <v>-30882</v>
          </cell>
        </row>
        <row r="236">
          <cell r="A236">
            <v>229</v>
          </cell>
          <cell r="B236" t="str">
            <v>Sevenoaks</v>
          </cell>
          <cell r="C236" t="str">
            <v>E2239</v>
          </cell>
          <cell r="D236">
            <v>163555</v>
          </cell>
          <cell r="H236">
            <v>317286</v>
          </cell>
          <cell r="I236">
            <v>0</v>
          </cell>
          <cell r="J236">
            <v>163555</v>
          </cell>
          <cell r="K236">
            <v>0</v>
          </cell>
          <cell r="L236">
            <v>0</v>
          </cell>
          <cell r="M236">
            <v>0</v>
          </cell>
          <cell r="N236">
            <v>0</v>
          </cell>
          <cell r="O236">
            <v>0</v>
          </cell>
          <cell r="P236">
            <v>0</v>
          </cell>
          <cell r="Q236">
            <v>0</v>
          </cell>
          <cell r="R236">
            <v>859652</v>
          </cell>
          <cell r="S236">
            <v>193422</v>
          </cell>
          <cell r="T236">
            <v>21491</v>
          </cell>
          <cell r="U236">
            <v>7795</v>
          </cell>
          <cell r="V236">
            <v>1754</v>
          </cell>
          <cell r="W236">
            <v>195</v>
          </cell>
          <cell r="X236">
            <v>5446</v>
          </cell>
          <cell r="Y236">
            <v>1225</v>
          </cell>
          <cell r="Z236">
            <v>136</v>
          </cell>
          <cell r="AA236">
            <v>1631</v>
          </cell>
          <cell r="AB236">
            <v>367</v>
          </cell>
          <cell r="AC236">
            <v>41</v>
          </cell>
          <cell r="AD236">
            <v>0</v>
          </cell>
          <cell r="AE236">
            <v>0</v>
          </cell>
          <cell r="AF236">
            <v>0</v>
          </cell>
          <cell r="AG236">
            <v>0</v>
          </cell>
          <cell r="AH236">
            <v>0</v>
          </cell>
          <cell r="AI236">
            <v>0</v>
          </cell>
          <cell r="AM236">
            <v>0</v>
          </cell>
          <cell r="AN236">
            <v>0</v>
          </cell>
          <cell r="AO236">
            <v>0</v>
          </cell>
          <cell r="AP236">
            <v>202867</v>
          </cell>
          <cell r="AQ236">
            <v>45645</v>
          </cell>
          <cell r="AR236">
            <v>5072</v>
          </cell>
          <cell r="AS236">
            <v>-393450</v>
          </cell>
          <cell r="AT236">
            <v>-314760</v>
          </cell>
          <cell r="AU236">
            <v>-70821</v>
          </cell>
          <cell r="AV236">
            <v>-7869</v>
          </cell>
          <cell r="AW236">
            <v>-786900</v>
          </cell>
          <cell r="AX236">
            <v>-3085844</v>
          </cell>
          <cell r="AY236">
            <v>-2468675</v>
          </cell>
          <cell r="AZ236">
            <v>-555453</v>
          </cell>
          <cell r="BA236">
            <v>-61717</v>
          </cell>
          <cell r="BB236">
            <v>-6171689</v>
          </cell>
          <cell r="BC236">
            <v>36100519</v>
          </cell>
          <cell r="BD236">
            <v>-2532970</v>
          </cell>
          <cell r="BE236">
            <v>935762</v>
          </cell>
          <cell r="BF236">
            <v>0</v>
          </cell>
          <cell r="BG236">
            <v>-2682393</v>
          </cell>
          <cell r="BH236">
            <v>-88777</v>
          </cell>
          <cell r="BI236">
            <v>-14032</v>
          </cell>
          <cell r="BJ236">
            <v>0</v>
          </cell>
          <cell r="BK236">
            <v>-1201164</v>
          </cell>
          <cell r="BL236">
            <v>-122218</v>
          </cell>
          <cell r="BM236">
            <v>-42305</v>
          </cell>
          <cell r="BN236">
            <v>0</v>
          </cell>
          <cell r="BO236">
            <v>-1291</v>
          </cell>
          <cell r="BP236">
            <v>-7335</v>
          </cell>
          <cell r="BQ236">
            <v>0</v>
          </cell>
          <cell r="BR236">
            <v>0</v>
          </cell>
          <cell r="BS236">
            <v>0</v>
          </cell>
          <cell r="BT236">
            <v>36322837</v>
          </cell>
          <cell r="BU236">
            <v>-219586</v>
          </cell>
          <cell r="BV236">
            <v>1736700</v>
          </cell>
          <cell r="BW236">
            <v>-1515535</v>
          </cell>
          <cell r="BX236">
            <v>-471876</v>
          </cell>
          <cell r="BY236">
            <v>-287351</v>
          </cell>
          <cell r="BZ236">
            <v>33762869</v>
          </cell>
          <cell r="CA236">
            <v>-235937</v>
          </cell>
          <cell r="CB236">
            <v>-188750</v>
          </cell>
          <cell r="CC236">
            <v>-42469</v>
          </cell>
          <cell r="CD236">
            <v>-4720</v>
          </cell>
          <cell r="CE236">
            <v>-143675</v>
          </cell>
          <cell r="CF236">
            <v>-114940</v>
          </cell>
          <cell r="CG236">
            <v>-25862</v>
          </cell>
          <cell r="CH236">
            <v>-2874</v>
          </cell>
        </row>
        <row r="237">
          <cell r="A237">
            <v>230</v>
          </cell>
          <cell r="B237" t="str">
            <v>Sheffield</v>
          </cell>
          <cell r="C237" t="str">
            <v>E4404</v>
          </cell>
          <cell r="D237">
            <v>765222</v>
          </cell>
          <cell r="H237">
            <v>-13644403</v>
          </cell>
          <cell r="I237">
            <v>-291051</v>
          </cell>
          <cell r="J237">
            <v>765222</v>
          </cell>
          <cell r="K237">
            <v>904151</v>
          </cell>
          <cell r="L237">
            <v>1043840</v>
          </cell>
          <cell r="M237">
            <v>0</v>
          </cell>
          <cell r="N237">
            <v>57198</v>
          </cell>
          <cell r="O237">
            <v>57198</v>
          </cell>
          <cell r="P237">
            <v>0</v>
          </cell>
          <cell r="Q237">
            <v>0</v>
          </cell>
          <cell r="R237">
            <v>3959504</v>
          </cell>
          <cell r="S237">
            <v>0</v>
          </cell>
          <cell r="T237">
            <v>79851</v>
          </cell>
          <cell r="U237">
            <v>32328</v>
          </cell>
          <cell r="V237">
            <v>0</v>
          </cell>
          <cell r="W237">
            <v>660</v>
          </cell>
          <cell r="X237">
            <v>0</v>
          </cell>
          <cell r="Y237">
            <v>0</v>
          </cell>
          <cell r="Z237">
            <v>0</v>
          </cell>
          <cell r="AA237">
            <v>57991</v>
          </cell>
          <cell r="AB237">
            <v>0</v>
          </cell>
          <cell r="AC237">
            <v>1183</v>
          </cell>
          <cell r="AD237">
            <v>0</v>
          </cell>
          <cell r="AE237">
            <v>0</v>
          </cell>
          <cell r="AF237">
            <v>0</v>
          </cell>
          <cell r="AG237">
            <v>0</v>
          </cell>
          <cell r="AH237">
            <v>0</v>
          </cell>
          <cell r="AI237">
            <v>0</v>
          </cell>
          <cell r="AM237">
            <v>0</v>
          </cell>
          <cell r="AN237">
            <v>0</v>
          </cell>
          <cell r="AO237">
            <v>0</v>
          </cell>
          <cell r="AP237">
            <v>1467707</v>
          </cell>
          <cell r="AQ237">
            <v>0</v>
          </cell>
          <cell r="AR237">
            <v>29338</v>
          </cell>
          <cell r="AS237">
            <v>-4901833</v>
          </cell>
          <cell r="AT237">
            <v>-4803796</v>
          </cell>
          <cell r="AU237">
            <v>0</v>
          </cell>
          <cell r="AV237">
            <v>-98037</v>
          </cell>
          <cell r="AW237">
            <v>-9803666</v>
          </cell>
          <cell r="AX237">
            <v>-13619109</v>
          </cell>
          <cell r="AY237">
            <v>-13346727</v>
          </cell>
          <cell r="AZ237">
            <v>0</v>
          </cell>
          <cell r="BA237">
            <v>-272382</v>
          </cell>
          <cell r="BB237">
            <v>-27238218</v>
          </cell>
          <cell r="BC237">
            <v>207535236</v>
          </cell>
          <cell r="BD237">
            <v>-11876021</v>
          </cell>
          <cell r="BE237">
            <v>6148433</v>
          </cell>
          <cell r="BF237">
            <v>0</v>
          </cell>
          <cell r="BG237">
            <v>-20693937</v>
          </cell>
          <cell r="BH237">
            <v>-25124</v>
          </cell>
          <cell r="BI237">
            <v>0</v>
          </cell>
          <cell r="BJ237">
            <v>-106594</v>
          </cell>
          <cell r="BK237">
            <v>-8925162</v>
          </cell>
          <cell r="BL237">
            <v>0</v>
          </cell>
          <cell r="BM237">
            <v>-280511</v>
          </cell>
          <cell r="BN237">
            <v>0</v>
          </cell>
          <cell r="BO237">
            <v>0</v>
          </cell>
          <cell r="BP237">
            <v>0</v>
          </cell>
          <cell r="BQ237">
            <v>-79022</v>
          </cell>
          <cell r="BR237">
            <v>-55000</v>
          </cell>
          <cell r="BS237">
            <v>0</v>
          </cell>
          <cell r="BT237">
            <v>217720521</v>
          </cell>
          <cell r="BU237">
            <v>-1424904</v>
          </cell>
          <cell r="BV237">
            <v>13824846</v>
          </cell>
          <cell r="BW237">
            <v>-4878410</v>
          </cell>
          <cell r="BX237">
            <v>-14888073</v>
          </cell>
          <cell r="BY237">
            <v>-12079325</v>
          </cell>
          <cell r="BZ237">
            <v>195310547</v>
          </cell>
          <cell r="CA237">
            <v>-7444036</v>
          </cell>
          <cell r="CB237">
            <v>-7295156</v>
          </cell>
          <cell r="CC237">
            <v>0</v>
          </cell>
          <cell r="CD237">
            <v>-148881</v>
          </cell>
          <cell r="CE237">
            <v>-6039663</v>
          </cell>
          <cell r="CF237">
            <v>-5918869</v>
          </cell>
          <cell r="CG237">
            <v>0</v>
          </cell>
          <cell r="CH237">
            <v>-120793</v>
          </cell>
        </row>
        <row r="238">
          <cell r="A238">
            <v>231</v>
          </cell>
          <cell r="B238" t="str">
            <v>Shepway</v>
          </cell>
          <cell r="C238" t="str">
            <v>E2240</v>
          </cell>
          <cell r="D238">
            <v>147234</v>
          </cell>
          <cell r="H238">
            <v>-2139399</v>
          </cell>
          <cell r="I238">
            <v>0</v>
          </cell>
          <cell r="J238">
            <v>147234</v>
          </cell>
          <cell r="K238">
            <v>0</v>
          </cell>
          <cell r="L238">
            <v>0</v>
          </cell>
          <cell r="M238">
            <v>0</v>
          </cell>
          <cell r="N238">
            <v>0</v>
          </cell>
          <cell r="O238">
            <v>0</v>
          </cell>
          <cell r="P238">
            <v>0</v>
          </cell>
          <cell r="Q238">
            <v>0</v>
          </cell>
          <cell r="R238">
            <v>755585</v>
          </cell>
          <cell r="S238">
            <v>170007</v>
          </cell>
          <cell r="T238">
            <v>18890</v>
          </cell>
          <cell r="U238">
            <v>6255</v>
          </cell>
          <cell r="V238">
            <v>1407</v>
          </cell>
          <cell r="W238">
            <v>156</v>
          </cell>
          <cell r="X238">
            <v>0</v>
          </cell>
          <cell r="Y238">
            <v>0</v>
          </cell>
          <cell r="Z238">
            <v>0</v>
          </cell>
          <cell r="AA238">
            <v>1845</v>
          </cell>
          <cell r="AB238">
            <v>415</v>
          </cell>
          <cell r="AC238">
            <v>46</v>
          </cell>
          <cell r="AD238">
            <v>0</v>
          </cell>
          <cell r="AE238">
            <v>0</v>
          </cell>
          <cell r="AF238">
            <v>0</v>
          </cell>
          <cell r="AG238">
            <v>0</v>
          </cell>
          <cell r="AH238">
            <v>0</v>
          </cell>
          <cell r="AI238">
            <v>0</v>
          </cell>
          <cell r="AM238">
            <v>0</v>
          </cell>
          <cell r="AN238">
            <v>0</v>
          </cell>
          <cell r="AO238">
            <v>0</v>
          </cell>
          <cell r="AP238">
            <v>163380</v>
          </cell>
          <cell r="AQ238">
            <v>36760</v>
          </cell>
          <cell r="AR238">
            <v>4084</v>
          </cell>
          <cell r="AS238">
            <v>-123304</v>
          </cell>
          <cell r="AT238">
            <v>-98642</v>
          </cell>
          <cell r="AU238">
            <v>-22195</v>
          </cell>
          <cell r="AV238">
            <v>-2465</v>
          </cell>
          <cell r="AW238">
            <v>-246606</v>
          </cell>
          <cell r="AX238">
            <v>-1601278</v>
          </cell>
          <cell r="AY238">
            <v>-1281024</v>
          </cell>
          <cell r="AZ238">
            <v>-288231</v>
          </cell>
          <cell r="BA238">
            <v>-32026</v>
          </cell>
          <cell r="BB238">
            <v>-3202559</v>
          </cell>
          <cell r="BC238">
            <v>28453684</v>
          </cell>
          <cell r="BD238">
            <v>-2947275</v>
          </cell>
          <cell r="BE238">
            <v>772383</v>
          </cell>
          <cell r="BF238">
            <v>0</v>
          </cell>
          <cell r="BG238">
            <v>-2486152</v>
          </cell>
          <cell r="BH238">
            <v>-94661</v>
          </cell>
          <cell r="BI238">
            <v>-21056</v>
          </cell>
          <cell r="BJ238">
            <v>-22096</v>
          </cell>
          <cell r="BK238">
            <v>-862218</v>
          </cell>
          <cell r="BL238">
            <v>-66167</v>
          </cell>
          <cell r="BM238">
            <v>-3570</v>
          </cell>
          <cell r="BN238">
            <v>-1327</v>
          </cell>
          <cell r="BO238">
            <v>0</v>
          </cell>
          <cell r="BP238">
            <v>0</v>
          </cell>
          <cell r="BQ238">
            <v>-130520</v>
          </cell>
          <cell r="BR238">
            <v>0</v>
          </cell>
          <cell r="BS238">
            <v>0</v>
          </cell>
          <cell r="BT238">
            <v>28821103</v>
          </cell>
          <cell r="BU238">
            <v>-135657</v>
          </cell>
          <cell r="BV238">
            <v>732835</v>
          </cell>
          <cell r="BW238">
            <v>-644366</v>
          </cell>
          <cell r="BX238">
            <v>-141474</v>
          </cell>
          <cell r="BY238">
            <v>870936</v>
          </cell>
          <cell r="BZ238">
            <v>27191018</v>
          </cell>
          <cell r="CA238">
            <v>-70738</v>
          </cell>
          <cell r="CB238">
            <v>-56589</v>
          </cell>
          <cell r="CC238">
            <v>-12732</v>
          </cell>
          <cell r="CD238">
            <v>-1415</v>
          </cell>
          <cell r="CE238">
            <v>435469</v>
          </cell>
          <cell r="CF238">
            <v>348374</v>
          </cell>
          <cell r="CG238">
            <v>78384</v>
          </cell>
          <cell r="CH238">
            <v>8709</v>
          </cell>
        </row>
        <row r="239">
          <cell r="A239">
            <v>232</v>
          </cell>
          <cell r="B239" t="str">
            <v>Shropshire UA</v>
          </cell>
          <cell r="C239" t="str">
            <v>E3202</v>
          </cell>
          <cell r="D239">
            <v>462690</v>
          </cell>
          <cell r="H239">
            <v>4522012</v>
          </cell>
          <cell r="I239">
            <v>0</v>
          </cell>
          <cell r="J239">
            <v>462690</v>
          </cell>
          <cell r="K239">
            <v>0</v>
          </cell>
          <cell r="L239">
            <v>467024</v>
          </cell>
          <cell r="M239">
            <v>0</v>
          </cell>
          <cell r="N239">
            <v>0</v>
          </cell>
          <cell r="O239">
            <v>0</v>
          </cell>
          <cell r="P239">
            <v>0</v>
          </cell>
          <cell r="Q239">
            <v>0</v>
          </cell>
          <cell r="R239">
            <v>2690070</v>
          </cell>
          <cell r="S239">
            <v>0</v>
          </cell>
          <cell r="T239">
            <v>54899</v>
          </cell>
          <cell r="U239">
            <v>11939</v>
          </cell>
          <cell r="V239">
            <v>0</v>
          </cell>
          <cell r="W239">
            <v>244</v>
          </cell>
          <cell r="X239">
            <v>0</v>
          </cell>
          <cell r="Y239">
            <v>0</v>
          </cell>
          <cell r="Z239">
            <v>0</v>
          </cell>
          <cell r="AA239">
            <v>0</v>
          </cell>
          <cell r="AB239">
            <v>0</v>
          </cell>
          <cell r="AC239">
            <v>0</v>
          </cell>
          <cell r="AD239">
            <v>0</v>
          </cell>
          <cell r="AE239">
            <v>0</v>
          </cell>
          <cell r="AF239">
            <v>0</v>
          </cell>
          <cell r="AG239">
            <v>0</v>
          </cell>
          <cell r="AH239">
            <v>0</v>
          </cell>
          <cell r="AI239">
            <v>0</v>
          </cell>
          <cell r="AM239">
            <v>0</v>
          </cell>
          <cell r="AN239">
            <v>0</v>
          </cell>
          <cell r="AO239">
            <v>0</v>
          </cell>
          <cell r="AP239">
            <v>632225</v>
          </cell>
          <cell r="AQ239">
            <v>0</v>
          </cell>
          <cell r="AR239">
            <v>12759</v>
          </cell>
          <cell r="AS239">
            <v>-904867</v>
          </cell>
          <cell r="AT239">
            <v>-886770</v>
          </cell>
          <cell r="AU239">
            <v>0</v>
          </cell>
          <cell r="AV239">
            <v>-18096</v>
          </cell>
          <cell r="AW239">
            <v>-1809733</v>
          </cell>
          <cell r="AX239">
            <v>-3392255</v>
          </cell>
          <cell r="AY239">
            <v>-3324408</v>
          </cell>
          <cell r="AZ239">
            <v>0</v>
          </cell>
          <cell r="BA239">
            <v>-67846</v>
          </cell>
          <cell r="BB239">
            <v>-6784509</v>
          </cell>
          <cell r="BC239">
            <v>80024143</v>
          </cell>
          <cell r="BD239">
            <v>-8810702</v>
          </cell>
          <cell r="BE239">
            <v>2053153</v>
          </cell>
          <cell r="BF239">
            <v>0</v>
          </cell>
          <cell r="BG239">
            <v>-6864919</v>
          </cell>
          <cell r="BH239">
            <v>-134602</v>
          </cell>
          <cell r="BI239">
            <v>-73547</v>
          </cell>
          <cell r="BJ239">
            <v>-1945</v>
          </cell>
          <cell r="BK239">
            <v>-2444480</v>
          </cell>
          <cell r="BL239">
            <v>-572793</v>
          </cell>
          <cell r="BM239">
            <v>-366248</v>
          </cell>
          <cell r="BN239">
            <v>-22239</v>
          </cell>
          <cell r="BO239">
            <v>-8881</v>
          </cell>
          <cell r="BP239">
            <v>0</v>
          </cell>
          <cell r="BQ239">
            <v>0</v>
          </cell>
          <cell r="BR239">
            <v>0</v>
          </cell>
          <cell r="BS239">
            <v>0</v>
          </cell>
          <cell r="BT239">
            <v>78790098</v>
          </cell>
          <cell r="BU239">
            <v>-238463</v>
          </cell>
          <cell r="BV239">
            <v>3619020</v>
          </cell>
          <cell r="BW239">
            <v>-3363560</v>
          </cell>
          <cell r="BX239">
            <v>4247100</v>
          </cell>
          <cell r="BY239">
            <v>2863636</v>
          </cell>
          <cell r="BZ239">
            <v>84940995</v>
          </cell>
          <cell r="CA239">
            <v>2123551</v>
          </cell>
          <cell r="CB239">
            <v>2081079</v>
          </cell>
          <cell r="CC239">
            <v>0</v>
          </cell>
          <cell r="CD239">
            <v>42470</v>
          </cell>
          <cell r="CE239">
            <v>1431818</v>
          </cell>
          <cell r="CF239">
            <v>1403182</v>
          </cell>
          <cell r="CG239">
            <v>0</v>
          </cell>
          <cell r="CH239">
            <v>28636</v>
          </cell>
        </row>
        <row r="240">
          <cell r="A240">
            <v>233</v>
          </cell>
          <cell r="B240" t="str">
            <v>Slough</v>
          </cell>
          <cell r="C240" t="str">
            <v>E0304</v>
          </cell>
          <cell r="D240">
            <v>207734</v>
          </cell>
          <cell r="H240">
            <v>-505049</v>
          </cell>
          <cell r="I240">
            <v>0</v>
          </cell>
          <cell r="J240">
            <v>207734</v>
          </cell>
          <cell r="K240">
            <v>0</v>
          </cell>
          <cell r="L240">
            <v>0</v>
          </cell>
          <cell r="M240">
            <v>0</v>
          </cell>
          <cell r="N240">
            <v>0</v>
          </cell>
          <cell r="O240">
            <v>0</v>
          </cell>
          <cell r="P240">
            <v>0</v>
          </cell>
          <cell r="Q240">
            <v>0</v>
          </cell>
          <cell r="R240">
            <v>506259</v>
          </cell>
          <cell r="S240">
            <v>0</v>
          </cell>
          <cell r="T240">
            <v>10332</v>
          </cell>
          <cell r="U240">
            <v>5423</v>
          </cell>
          <cell r="V240">
            <v>0</v>
          </cell>
          <cell r="W240">
            <v>111</v>
          </cell>
          <cell r="X240">
            <v>0</v>
          </cell>
          <cell r="Y240">
            <v>0</v>
          </cell>
          <cell r="Z240">
            <v>0</v>
          </cell>
          <cell r="AA240">
            <v>8923</v>
          </cell>
          <cell r="AB240">
            <v>0</v>
          </cell>
          <cell r="AC240">
            <v>182</v>
          </cell>
          <cell r="AD240">
            <v>0</v>
          </cell>
          <cell r="AE240">
            <v>0</v>
          </cell>
          <cell r="AF240">
            <v>0</v>
          </cell>
          <cell r="AG240">
            <v>0</v>
          </cell>
          <cell r="AH240">
            <v>0</v>
          </cell>
          <cell r="AI240">
            <v>0</v>
          </cell>
          <cell r="AM240">
            <v>0</v>
          </cell>
          <cell r="AN240">
            <v>0</v>
          </cell>
          <cell r="AO240">
            <v>0</v>
          </cell>
          <cell r="AP240">
            <v>750555</v>
          </cell>
          <cell r="AQ240">
            <v>0</v>
          </cell>
          <cell r="AR240">
            <v>15317</v>
          </cell>
          <cell r="AS240">
            <v>-1056255.8999999999</v>
          </cell>
          <cell r="AT240">
            <v>-1035132</v>
          </cell>
          <cell r="AU240">
            <v>0</v>
          </cell>
          <cell r="AV240">
            <v>-21125</v>
          </cell>
          <cell r="AW240">
            <v>-2112512.9</v>
          </cell>
          <cell r="AX240">
            <v>-1030230</v>
          </cell>
          <cell r="AY240">
            <v>-1009627</v>
          </cell>
          <cell r="AZ240">
            <v>0</v>
          </cell>
          <cell r="BA240">
            <v>-20605</v>
          </cell>
          <cell r="BB240">
            <v>-2060462</v>
          </cell>
          <cell r="BC240">
            <v>97603359</v>
          </cell>
          <cell r="BD240">
            <v>-1394527</v>
          </cell>
          <cell r="BE240">
            <v>2774867</v>
          </cell>
          <cell r="BF240">
            <v>0</v>
          </cell>
          <cell r="BG240">
            <v>-3908294</v>
          </cell>
          <cell r="BH240">
            <v>0</v>
          </cell>
          <cell r="BI240">
            <v>0</v>
          </cell>
          <cell r="BJ240">
            <v>-49647</v>
          </cell>
          <cell r="BK240">
            <v>-5536934</v>
          </cell>
          <cell r="BL240">
            <v>-107112</v>
          </cell>
          <cell r="BM240">
            <v>-87154</v>
          </cell>
          <cell r="BN240">
            <v>0</v>
          </cell>
          <cell r="BO240">
            <v>0</v>
          </cell>
          <cell r="BP240">
            <v>0</v>
          </cell>
          <cell r="BQ240">
            <v>0</v>
          </cell>
          <cell r="BR240">
            <v>0</v>
          </cell>
          <cell r="BS240">
            <v>0</v>
          </cell>
          <cell r="BT240">
            <v>99093139</v>
          </cell>
          <cell r="BU240">
            <v>-1326883</v>
          </cell>
          <cell r="BV240">
            <v>4041585</v>
          </cell>
          <cell r="BW240">
            <v>-596810</v>
          </cell>
          <cell r="BX240">
            <v>-1905893</v>
          </cell>
          <cell r="BY240">
            <v>-722792</v>
          </cell>
          <cell r="BZ240">
            <v>101970399</v>
          </cell>
          <cell r="CA240">
            <v>-952947</v>
          </cell>
          <cell r="CB240">
            <v>-933887</v>
          </cell>
          <cell r="CC240">
            <v>0</v>
          </cell>
          <cell r="CD240">
            <v>-19059</v>
          </cell>
          <cell r="CE240">
            <v>-361396</v>
          </cell>
          <cell r="CF240">
            <v>-354168</v>
          </cell>
          <cell r="CG240">
            <v>0</v>
          </cell>
          <cell r="CH240">
            <v>-7228</v>
          </cell>
        </row>
        <row r="241">
          <cell r="A241">
            <v>234</v>
          </cell>
          <cell r="B241" t="str">
            <v>Solihull</v>
          </cell>
          <cell r="C241" t="str">
            <v>E4605</v>
          </cell>
          <cell r="D241">
            <v>246543</v>
          </cell>
          <cell r="H241">
            <v>-7380918</v>
          </cell>
          <cell r="I241">
            <v>0</v>
          </cell>
          <cell r="J241">
            <v>246543</v>
          </cell>
          <cell r="K241">
            <v>0</v>
          </cell>
          <cell r="L241">
            <v>0</v>
          </cell>
          <cell r="M241">
            <v>0</v>
          </cell>
          <cell r="N241">
            <v>0</v>
          </cell>
          <cell r="O241">
            <v>0</v>
          </cell>
          <cell r="P241">
            <v>0</v>
          </cell>
          <cell r="Q241">
            <v>0</v>
          </cell>
          <cell r="R241">
            <v>1681093</v>
          </cell>
          <cell r="S241">
            <v>0</v>
          </cell>
          <cell r="T241">
            <v>16981</v>
          </cell>
          <cell r="U241">
            <v>3015</v>
          </cell>
          <cell r="V241">
            <v>0</v>
          </cell>
          <cell r="W241">
            <v>30</v>
          </cell>
          <cell r="X241">
            <v>1439</v>
          </cell>
          <cell r="Y241">
            <v>0</v>
          </cell>
          <cell r="Z241">
            <v>15</v>
          </cell>
          <cell r="AA241">
            <v>2905</v>
          </cell>
          <cell r="AB241">
            <v>0</v>
          </cell>
          <cell r="AC241">
            <v>29</v>
          </cell>
          <cell r="AD241">
            <v>0</v>
          </cell>
          <cell r="AE241">
            <v>0</v>
          </cell>
          <cell r="AF241">
            <v>0</v>
          </cell>
          <cell r="AG241">
            <v>0</v>
          </cell>
          <cell r="AH241">
            <v>0</v>
          </cell>
          <cell r="AI241">
            <v>0</v>
          </cell>
          <cell r="AM241">
            <v>0</v>
          </cell>
          <cell r="AN241">
            <v>0</v>
          </cell>
          <cell r="AO241">
            <v>0</v>
          </cell>
          <cell r="AP241">
            <v>1585240</v>
          </cell>
          <cell r="AQ241">
            <v>0</v>
          </cell>
          <cell r="AR241">
            <v>16013</v>
          </cell>
          <cell r="AS241">
            <v>-1014581</v>
          </cell>
          <cell r="AT241">
            <v>-994288</v>
          </cell>
          <cell r="AU241">
            <v>0</v>
          </cell>
          <cell r="AV241">
            <v>-20292</v>
          </cell>
          <cell r="AW241">
            <v>-2029161</v>
          </cell>
          <cell r="AX241">
            <v>-6708526</v>
          </cell>
          <cell r="AY241">
            <v>-6574355</v>
          </cell>
          <cell r="AZ241">
            <v>0</v>
          </cell>
          <cell r="BA241">
            <v>-134171</v>
          </cell>
          <cell r="BB241">
            <v>-13417052</v>
          </cell>
          <cell r="BC241">
            <v>111798291</v>
          </cell>
          <cell r="BD241">
            <v>-2389703</v>
          </cell>
          <cell r="BE241">
            <v>3299888</v>
          </cell>
          <cell r="BF241">
            <v>0</v>
          </cell>
          <cell r="BG241">
            <v>-5026763</v>
          </cell>
          <cell r="BH241">
            <v>-118060</v>
          </cell>
          <cell r="BI241">
            <v>-994</v>
          </cell>
          <cell r="BJ241">
            <v>-50640</v>
          </cell>
          <cell r="BK241">
            <v>-3413140</v>
          </cell>
          <cell r="BL241">
            <v>-33336</v>
          </cell>
          <cell r="BM241">
            <v>-379805</v>
          </cell>
          <cell r="BN241">
            <v>0</v>
          </cell>
          <cell r="BO241">
            <v>0</v>
          </cell>
          <cell r="BP241">
            <v>0</v>
          </cell>
          <cell r="BQ241">
            <v>0</v>
          </cell>
          <cell r="BR241">
            <v>0</v>
          </cell>
          <cell r="BS241">
            <v>0</v>
          </cell>
          <cell r="BT241">
            <v>116101566</v>
          </cell>
          <cell r="BU241">
            <v>-356906</v>
          </cell>
          <cell r="BV241">
            <v>3340899</v>
          </cell>
          <cell r="BW241">
            <v>-5330146</v>
          </cell>
          <cell r="BX241">
            <v>-8317795.5</v>
          </cell>
          <cell r="BY241">
            <v>-9078390</v>
          </cell>
          <cell r="BZ241">
            <v>106597691</v>
          </cell>
          <cell r="CA241">
            <v>-4158899.5</v>
          </cell>
          <cell r="CB241">
            <v>-4075719</v>
          </cell>
          <cell r="CC241">
            <v>0</v>
          </cell>
          <cell r="CD241">
            <v>-83177</v>
          </cell>
          <cell r="CE241">
            <v>-4539195</v>
          </cell>
          <cell r="CF241">
            <v>-4448411</v>
          </cell>
          <cell r="CG241">
            <v>0</v>
          </cell>
          <cell r="CH241">
            <v>-90784</v>
          </cell>
        </row>
        <row r="242">
          <cell r="A242">
            <v>235</v>
          </cell>
          <cell r="B242" t="str">
            <v>South Bucks</v>
          </cell>
          <cell r="C242" t="str">
            <v>E0434</v>
          </cell>
          <cell r="D242">
            <v>95679</v>
          </cell>
          <cell r="H242">
            <v>-222751</v>
          </cell>
          <cell r="I242">
            <v>0</v>
          </cell>
          <cell r="J242">
            <v>95679</v>
          </cell>
          <cell r="K242">
            <v>0</v>
          </cell>
          <cell r="L242">
            <v>0</v>
          </cell>
          <cell r="M242">
            <v>0</v>
          </cell>
          <cell r="N242">
            <v>0</v>
          </cell>
          <cell r="O242">
            <v>0</v>
          </cell>
          <cell r="P242">
            <v>0</v>
          </cell>
          <cell r="Q242">
            <v>0</v>
          </cell>
          <cell r="R242">
            <v>277762</v>
          </cell>
          <cell r="S242">
            <v>62497</v>
          </cell>
          <cell r="T242">
            <v>6944</v>
          </cell>
          <cell r="U242">
            <v>588</v>
          </cell>
          <cell r="V242">
            <v>133</v>
          </cell>
          <cell r="W242">
            <v>15</v>
          </cell>
          <cell r="X242">
            <v>0</v>
          </cell>
          <cell r="Y242">
            <v>0</v>
          </cell>
          <cell r="Z242">
            <v>0</v>
          </cell>
          <cell r="AA242">
            <v>0</v>
          </cell>
          <cell r="AB242">
            <v>0</v>
          </cell>
          <cell r="AC242">
            <v>0</v>
          </cell>
          <cell r="AD242">
            <v>0</v>
          </cell>
          <cell r="AE242">
            <v>0</v>
          </cell>
          <cell r="AF242">
            <v>0</v>
          </cell>
          <cell r="AG242">
            <v>0</v>
          </cell>
          <cell r="AH242">
            <v>0</v>
          </cell>
          <cell r="AI242">
            <v>0</v>
          </cell>
          <cell r="AM242">
            <v>0</v>
          </cell>
          <cell r="AN242">
            <v>0</v>
          </cell>
          <cell r="AO242">
            <v>0</v>
          </cell>
          <cell r="AP242">
            <v>183096</v>
          </cell>
          <cell r="AQ242">
            <v>41197</v>
          </cell>
          <cell r="AR242">
            <v>4577</v>
          </cell>
          <cell r="AS242">
            <v>-336000</v>
          </cell>
          <cell r="AT242">
            <v>-268800</v>
          </cell>
          <cell r="AU242">
            <v>-60480</v>
          </cell>
          <cell r="AV242">
            <v>-6720</v>
          </cell>
          <cell r="AW242">
            <v>-672000</v>
          </cell>
          <cell r="AX242">
            <v>-2085596</v>
          </cell>
          <cell r="AY242">
            <v>-1668477</v>
          </cell>
          <cell r="AZ242">
            <v>-375406</v>
          </cell>
          <cell r="BA242">
            <v>-41711</v>
          </cell>
          <cell r="BB242">
            <v>-4171190</v>
          </cell>
          <cell r="BC242">
            <v>30849105</v>
          </cell>
          <cell r="BD242">
            <v>-959982</v>
          </cell>
          <cell r="BE242">
            <v>875399</v>
          </cell>
          <cell r="BF242">
            <v>0</v>
          </cell>
          <cell r="BG242">
            <v>-1962466</v>
          </cell>
          <cell r="BH242">
            <v>-67592</v>
          </cell>
          <cell r="BI242">
            <v>-1168</v>
          </cell>
          <cell r="BJ242">
            <v>-8800</v>
          </cell>
          <cell r="BK242">
            <v>-2022384</v>
          </cell>
          <cell r="BL242">
            <v>-21409</v>
          </cell>
          <cell r="BM242">
            <v>-27832</v>
          </cell>
          <cell r="BN242">
            <v>-263</v>
          </cell>
          <cell r="BO242">
            <v>0</v>
          </cell>
          <cell r="BP242">
            <v>0</v>
          </cell>
          <cell r="BQ242">
            <v>0</v>
          </cell>
          <cell r="BR242">
            <v>0</v>
          </cell>
          <cell r="BS242">
            <v>0</v>
          </cell>
          <cell r="BT242">
            <v>31420356</v>
          </cell>
          <cell r="BU242">
            <v>-46556</v>
          </cell>
          <cell r="BV242">
            <v>1337257</v>
          </cell>
          <cell r="BW242">
            <v>-453932</v>
          </cell>
          <cell r="BX242">
            <v>-1831106</v>
          </cell>
          <cell r="BY242">
            <v>-449801</v>
          </cell>
          <cell r="BZ242">
            <v>30472344</v>
          </cell>
          <cell r="CA242">
            <v>-915553</v>
          </cell>
          <cell r="CB242">
            <v>-732443</v>
          </cell>
          <cell r="CC242">
            <v>-164800</v>
          </cell>
          <cell r="CD242">
            <v>-18310</v>
          </cell>
          <cell r="CE242">
            <v>-224901</v>
          </cell>
          <cell r="CF242">
            <v>-179920</v>
          </cell>
          <cell r="CG242">
            <v>-40482</v>
          </cell>
          <cell r="CH242">
            <v>-4498</v>
          </cell>
        </row>
        <row r="243">
          <cell r="A243">
            <v>236</v>
          </cell>
          <cell r="B243" t="str">
            <v>South Cambridgeshire</v>
          </cell>
          <cell r="C243" t="str">
            <v>E0536</v>
          </cell>
          <cell r="D243">
            <v>229729</v>
          </cell>
          <cell r="H243">
            <v>-53865</v>
          </cell>
          <cell r="I243">
            <v>0</v>
          </cell>
          <cell r="J243">
            <v>229729</v>
          </cell>
          <cell r="K243">
            <v>701750</v>
          </cell>
          <cell r="L243">
            <v>877024</v>
          </cell>
          <cell r="M243">
            <v>0</v>
          </cell>
          <cell r="N243">
            <v>165000</v>
          </cell>
          <cell r="O243">
            <v>165000</v>
          </cell>
          <cell r="P243">
            <v>0</v>
          </cell>
          <cell r="Q243">
            <v>0</v>
          </cell>
          <cell r="R243">
            <v>1280304</v>
          </cell>
          <cell r="S243">
            <v>288068</v>
          </cell>
          <cell r="T243">
            <v>32008</v>
          </cell>
          <cell r="U243">
            <v>7609</v>
          </cell>
          <cell r="V243">
            <v>1712</v>
          </cell>
          <cell r="W243">
            <v>190</v>
          </cell>
          <cell r="X243">
            <v>8140</v>
          </cell>
          <cell r="Y243">
            <v>1832</v>
          </cell>
          <cell r="Z243">
            <v>204</v>
          </cell>
          <cell r="AA243">
            <v>0</v>
          </cell>
          <cell r="AB243">
            <v>0</v>
          </cell>
          <cell r="AC243">
            <v>0</v>
          </cell>
          <cell r="AD243">
            <v>0</v>
          </cell>
          <cell r="AE243">
            <v>0</v>
          </cell>
          <cell r="AF243">
            <v>0</v>
          </cell>
          <cell r="AG243">
            <v>0</v>
          </cell>
          <cell r="AH243">
            <v>0</v>
          </cell>
          <cell r="AI243">
            <v>0</v>
          </cell>
          <cell r="AM243">
            <v>0</v>
          </cell>
          <cell r="AN243">
            <v>0</v>
          </cell>
          <cell r="AO243">
            <v>0</v>
          </cell>
          <cell r="AP243">
            <v>436928</v>
          </cell>
          <cell r="AQ243">
            <v>92415</v>
          </cell>
          <cell r="AR243">
            <v>10268</v>
          </cell>
          <cell r="AS243">
            <v>-100001</v>
          </cell>
          <cell r="AT243">
            <v>-79999</v>
          </cell>
          <cell r="AU243">
            <v>-18000</v>
          </cell>
          <cell r="AV243">
            <v>-2000</v>
          </cell>
          <cell r="AW243">
            <v>-200000</v>
          </cell>
          <cell r="AX243">
            <v>-3534083</v>
          </cell>
          <cell r="AY243">
            <v>-2827270</v>
          </cell>
          <cell r="AZ243">
            <v>-636136</v>
          </cell>
          <cell r="BA243">
            <v>-70683</v>
          </cell>
          <cell r="BB243">
            <v>-7068172</v>
          </cell>
          <cell r="BC243">
            <v>76290958</v>
          </cell>
          <cell r="BD243">
            <v>-2823239</v>
          </cell>
          <cell r="BE243">
            <v>2177666</v>
          </cell>
          <cell r="BF243">
            <v>0</v>
          </cell>
          <cell r="BG243">
            <v>-9436392</v>
          </cell>
          <cell r="BH243">
            <v>-29995</v>
          </cell>
          <cell r="BI243">
            <v>-78559</v>
          </cell>
          <cell r="BJ243">
            <v>0</v>
          </cell>
          <cell r="BK243">
            <v>-2174268</v>
          </cell>
          <cell r="BL243">
            <v>-100368</v>
          </cell>
          <cell r="BM243">
            <v>-48439</v>
          </cell>
          <cell r="BN243">
            <v>0</v>
          </cell>
          <cell r="BO243">
            <v>-78559</v>
          </cell>
          <cell r="BP243">
            <v>-72798</v>
          </cell>
          <cell r="BQ243">
            <v>0</v>
          </cell>
          <cell r="BR243">
            <v>0</v>
          </cell>
          <cell r="BS243">
            <v>0</v>
          </cell>
          <cell r="BT243">
            <v>78903023</v>
          </cell>
          <cell r="BU243">
            <v>-57772</v>
          </cell>
          <cell r="BV243">
            <v>331559</v>
          </cell>
          <cell r="BW243">
            <v>-2495466</v>
          </cell>
          <cell r="BX243">
            <v>2479162</v>
          </cell>
          <cell r="BY243">
            <v>3793946</v>
          </cell>
          <cell r="BZ243">
            <v>68357820</v>
          </cell>
          <cell r="CA243">
            <v>1239582</v>
          </cell>
          <cell r="CB243">
            <v>991664</v>
          </cell>
          <cell r="CC243">
            <v>223124</v>
          </cell>
          <cell r="CD243">
            <v>24792</v>
          </cell>
          <cell r="CE243">
            <v>1896974</v>
          </cell>
          <cell r="CF243">
            <v>1517578</v>
          </cell>
          <cell r="CG243">
            <v>341455</v>
          </cell>
          <cell r="CH243">
            <v>37939</v>
          </cell>
        </row>
        <row r="244">
          <cell r="A244">
            <v>237</v>
          </cell>
          <cell r="B244" t="str">
            <v>South Derbyshire</v>
          </cell>
          <cell r="C244" t="str">
            <v>E1039</v>
          </cell>
          <cell r="D244">
            <v>90800</v>
          </cell>
          <cell r="H244">
            <v>665961</v>
          </cell>
          <cell r="I244">
            <v>0</v>
          </cell>
          <cell r="J244">
            <v>90800</v>
          </cell>
          <cell r="K244">
            <v>0</v>
          </cell>
          <cell r="L244">
            <v>0</v>
          </cell>
          <cell r="M244">
            <v>0</v>
          </cell>
          <cell r="N244">
            <v>0</v>
          </cell>
          <cell r="O244">
            <v>0</v>
          </cell>
          <cell r="P244">
            <v>0</v>
          </cell>
          <cell r="Q244">
            <v>0</v>
          </cell>
          <cell r="R244">
            <v>384744</v>
          </cell>
          <cell r="S244">
            <v>86567</v>
          </cell>
          <cell r="T244">
            <v>9619</v>
          </cell>
          <cell r="U244">
            <v>2517</v>
          </cell>
          <cell r="V244">
            <v>566</v>
          </cell>
          <cell r="W244">
            <v>63</v>
          </cell>
          <cell r="X244">
            <v>0</v>
          </cell>
          <cell r="Y244">
            <v>0</v>
          </cell>
          <cell r="Z244">
            <v>0</v>
          </cell>
          <cell r="AA244">
            <v>3418</v>
          </cell>
          <cell r="AB244">
            <v>769</v>
          </cell>
          <cell r="AC244">
            <v>85</v>
          </cell>
          <cell r="AD244">
            <v>0</v>
          </cell>
          <cell r="AE244">
            <v>0</v>
          </cell>
          <cell r="AF244">
            <v>0</v>
          </cell>
          <cell r="AG244">
            <v>0</v>
          </cell>
          <cell r="AH244">
            <v>0</v>
          </cell>
          <cell r="AI244">
            <v>0</v>
          </cell>
          <cell r="AM244">
            <v>0</v>
          </cell>
          <cell r="AN244">
            <v>0</v>
          </cell>
          <cell r="AO244">
            <v>0</v>
          </cell>
          <cell r="AP244">
            <v>149040</v>
          </cell>
          <cell r="AQ244">
            <v>33534</v>
          </cell>
          <cell r="AR244">
            <v>3726</v>
          </cell>
          <cell r="AS244">
            <v>-621042</v>
          </cell>
          <cell r="AT244">
            <v>-496835</v>
          </cell>
          <cell r="AU244">
            <v>-111789</v>
          </cell>
          <cell r="AV244">
            <v>-12421</v>
          </cell>
          <cell r="AW244">
            <v>-1242087</v>
          </cell>
          <cell r="AX244">
            <v>-1240843</v>
          </cell>
          <cell r="AY244">
            <v>-992675</v>
          </cell>
          <cell r="AZ244">
            <v>-223352</v>
          </cell>
          <cell r="BA244">
            <v>-24817</v>
          </cell>
          <cell r="BB244">
            <v>-2481687</v>
          </cell>
          <cell r="BC244">
            <v>23142898</v>
          </cell>
          <cell r="BD244">
            <v>-1534250</v>
          </cell>
          <cell r="BE244">
            <v>626609</v>
          </cell>
          <cell r="BF244">
            <v>0</v>
          </cell>
          <cell r="BG244">
            <v>-1201723</v>
          </cell>
          <cell r="BH244">
            <v>-35078</v>
          </cell>
          <cell r="BI244">
            <v>-22981</v>
          </cell>
          <cell r="BJ244">
            <v>-491709</v>
          </cell>
          <cell r="BK244">
            <v>-484427</v>
          </cell>
          <cell r="BL244">
            <v>-42697</v>
          </cell>
          <cell r="BM244">
            <v>-30521</v>
          </cell>
          <cell r="BN244">
            <v>0</v>
          </cell>
          <cell r="BO244">
            <v>0</v>
          </cell>
          <cell r="BP244">
            <v>-1680</v>
          </cell>
          <cell r="BQ244">
            <v>0</v>
          </cell>
          <cell r="BR244">
            <v>0</v>
          </cell>
          <cell r="BS244">
            <v>0</v>
          </cell>
          <cell r="BT244">
            <v>23786839</v>
          </cell>
          <cell r="BU244">
            <v>-136968</v>
          </cell>
          <cell r="BV244">
            <v>2187816</v>
          </cell>
          <cell r="BW244">
            <v>-774227</v>
          </cell>
          <cell r="BX244">
            <v>-1339347</v>
          </cell>
          <cell r="BY244">
            <v>-712280</v>
          </cell>
          <cell r="BZ244">
            <v>24804466</v>
          </cell>
          <cell r="CA244">
            <v>-669673</v>
          </cell>
          <cell r="CB244">
            <v>-535740</v>
          </cell>
          <cell r="CC244">
            <v>-120541</v>
          </cell>
          <cell r="CD244">
            <v>-13393</v>
          </cell>
          <cell r="CE244">
            <v>-356140</v>
          </cell>
          <cell r="CF244">
            <v>-284912</v>
          </cell>
          <cell r="CG244">
            <v>-64105</v>
          </cell>
          <cell r="CH244">
            <v>-7123</v>
          </cell>
        </row>
        <row r="245">
          <cell r="A245">
            <v>238</v>
          </cell>
          <cell r="B245" t="str">
            <v>South Gloucestershire</v>
          </cell>
          <cell r="C245" t="str">
            <v>E0103</v>
          </cell>
          <cell r="D245">
            <v>333796</v>
          </cell>
          <cell r="H245">
            <v>-7207621</v>
          </cell>
          <cell r="I245">
            <v>64834</v>
          </cell>
          <cell r="J245">
            <v>333796</v>
          </cell>
          <cell r="K245">
            <v>5248696</v>
          </cell>
          <cell r="L245">
            <v>218667</v>
          </cell>
          <cell r="M245">
            <v>0</v>
          </cell>
          <cell r="N245">
            <v>0</v>
          </cell>
          <cell r="O245">
            <v>0</v>
          </cell>
          <cell r="P245">
            <v>0</v>
          </cell>
          <cell r="Q245">
            <v>0</v>
          </cell>
          <cell r="R245">
            <v>2311907</v>
          </cell>
          <cell r="S245">
            <v>122656</v>
          </cell>
          <cell r="T245">
            <v>24531</v>
          </cell>
          <cell r="U245">
            <v>34451</v>
          </cell>
          <cell r="V245">
            <v>1833</v>
          </cell>
          <cell r="W245">
            <v>367</v>
          </cell>
          <cell r="X245">
            <v>0</v>
          </cell>
          <cell r="Y245">
            <v>0</v>
          </cell>
          <cell r="Z245">
            <v>0</v>
          </cell>
          <cell r="AA245">
            <v>7836</v>
          </cell>
          <cell r="AB245">
            <v>417</v>
          </cell>
          <cell r="AC245">
            <v>83</v>
          </cell>
          <cell r="AD245">
            <v>0</v>
          </cell>
          <cell r="AE245">
            <v>0</v>
          </cell>
          <cell r="AF245">
            <v>0</v>
          </cell>
          <cell r="AG245">
            <v>0</v>
          </cell>
          <cell r="AH245">
            <v>0</v>
          </cell>
          <cell r="AI245">
            <v>0</v>
          </cell>
          <cell r="AM245">
            <v>0</v>
          </cell>
          <cell r="AN245">
            <v>0</v>
          </cell>
          <cell r="AO245">
            <v>0</v>
          </cell>
          <cell r="AP245">
            <v>1947144</v>
          </cell>
          <cell r="AQ245">
            <v>99203</v>
          </cell>
          <cell r="AR245">
            <v>19841</v>
          </cell>
          <cell r="AS245">
            <v>-163556</v>
          </cell>
          <cell r="AT245">
            <v>-160285</v>
          </cell>
          <cell r="AU245">
            <v>0</v>
          </cell>
          <cell r="AV245">
            <v>-3271</v>
          </cell>
          <cell r="AW245">
            <v>-327112</v>
          </cell>
          <cell r="AX245">
            <v>-8747992</v>
          </cell>
          <cell r="AY245">
            <v>-8573032</v>
          </cell>
          <cell r="AZ245">
            <v>0</v>
          </cell>
          <cell r="BA245">
            <v>-174961</v>
          </cell>
          <cell r="BB245">
            <v>-17495985</v>
          </cell>
          <cell r="BC245">
            <v>134753265</v>
          </cell>
          <cell r="BD245">
            <v>-3962901</v>
          </cell>
          <cell r="BE245">
            <v>3876750</v>
          </cell>
          <cell r="BF245">
            <v>0</v>
          </cell>
          <cell r="BG245">
            <v>-8088106</v>
          </cell>
          <cell r="BH245">
            <v>-80514</v>
          </cell>
          <cell r="BI245">
            <v>-29548</v>
          </cell>
          <cell r="BJ245">
            <v>-426909</v>
          </cell>
          <cell r="BK245">
            <v>-5177305</v>
          </cell>
          <cell r="BL245">
            <v>-31152</v>
          </cell>
          <cell r="BM245">
            <v>-80576</v>
          </cell>
          <cell r="BN245">
            <v>0</v>
          </cell>
          <cell r="BO245">
            <v>-27224</v>
          </cell>
          <cell r="BP245">
            <v>-21342</v>
          </cell>
          <cell r="BQ245">
            <v>-50888</v>
          </cell>
          <cell r="BR245">
            <v>0</v>
          </cell>
          <cell r="BS245">
            <v>0</v>
          </cell>
          <cell r="BT245">
            <v>138793723</v>
          </cell>
          <cell r="BU245">
            <v>-303120</v>
          </cell>
          <cell r="BV245">
            <v>824835</v>
          </cell>
          <cell r="BW245">
            <v>-2488263</v>
          </cell>
          <cell r="BX245">
            <v>-13643916</v>
          </cell>
          <cell r="BY245">
            <v>-13002325</v>
          </cell>
          <cell r="BZ245">
            <v>132081679</v>
          </cell>
          <cell r="CA245">
            <v>-6821958</v>
          </cell>
          <cell r="CB245">
            <v>-6685518</v>
          </cell>
          <cell r="CC245">
            <v>0</v>
          </cell>
          <cell r="CD245">
            <v>-136440</v>
          </cell>
          <cell r="CE245">
            <v>-6501163</v>
          </cell>
          <cell r="CF245">
            <v>-6371139</v>
          </cell>
          <cell r="CG245">
            <v>0</v>
          </cell>
          <cell r="CH245">
            <v>-130023</v>
          </cell>
        </row>
        <row r="246">
          <cell r="A246">
            <v>239</v>
          </cell>
          <cell r="B246" t="str">
            <v>South Hams</v>
          </cell>
          <cell r="C246" t="str">
            <v>E1136</v>
          </cell>
          <cell r="D246">
            <v>205674</v>
          </cell>
          <cell r="H246">
            <v>-567743</v>
          </cell>
          <cell r="I246">
            <v>0</v>
          </cell>
          <cell r="J246">
            <v>205674</v>
          </cell>
          <cell r="K246">
            <v>0</v>
          </cell>
          <cell r="L246">
            <v>0</v>
          </cell>
          <cell r="M246">
            <v>0</v>
          </cell>
          <cell r="N246">
            <v>0</v>
          </cell>
          <cell r="O246">
            <v>0</v>
          </cell>
          <cell r="P246">
            <v>0</v>
          </cell>
          <cell r="Q246">
            <v>0</v>
          </cell>
          <cell r="R246">
            <v>1286612</v>
          </cell>
          <cell r="S246">
            <v>289488</v>
          </cell>
          <cell r="T246">
            <v>32165</v>
          </cell>
          <cell r="U246">
            <v>0</v>
          </cell>
          <cell r="V246">
            <v>0</v>
          </cell>
          <cell r="W246">
            <v>0</v>
          </cell>
          <cell r="X246">
            <v>16240</v>
          </cell>
          <cell r="Y246">
            <v>3654</v>
          </cell>
          <cell r="Z246">
            <v>406</v>
          </cell>
          <cell r="AA246">
            <v>4059</v>
          </cell>
          <cell r="AB246">
            <v>914</v>
          </cell>
          <cell r="AC246">
            <v>102</v>
          </cell>
          <cell r="AD246">
            <v>0</v>
          </cell>
          <cell r="AE246">
            <v>0</v>
          </cell>
          <cell r="AF246">
            <v>0</v>
          </cell>
          <cell r="AG246">
            <v>0</v>
          </cell>
          <cell r="AH246">
            <v>0</v>
          </cell>
          <cell r="AI246">
            <v>0</v>
          </cell>
          <cell r="AM246">
            <v>0</v>
          </cell>
          <cell r="AN246">
            <v>0</v>
          </cell>
          <cell r="AO246">
            <v>0</v>
          </cell>
          <cell r="AP246">
            <v>145090</v>
          </cell>
          <cell r="AQ246">
            <v>32645</v>
          </cell>
          <cell r="AR246">
            <v>3627</v>
          </cell>
          <cell r="AS246">
            <v>-319120</v>
          </cell>
          <cell r="AT246">
            <v>-255296</v>
          </cell>
          <cell r="AU246">
            <v>-57441</v>
          </cell>
          <cell r="AV246">
            <v>-6382</v>
          </cell>
          <cell r="AW246">
            <v>-638239</v>
          </cell>
          <cell r="AX246">
            <v>-948341</v>
          </cell>
          <cell r="AY246">
            <v>-758672</v>
          </cell>
          <cell r="AZ246">
            <v>-170702</v>
          </cell>
          <cell r="BA246">
            <v>-18967</v>
          </cell>
          <cell r="BB246">
            <v>-1896682</v>
          </cell>
          <cell r="BC246">
            <v>56606442</v>
          </cell>
          <cell r="BD246">
            <v>-4536645</v>
          </cell>
          <cell r="BE246">
            <v>797478</v>
          </cell>
          <cell r="BF246">
            <v>0</v>
          </cell>
          <cell r="BG246">
            <v>-2348105</v>
          </cell>
          <cell r="BH246">
            <v>-90738</v>
          </cell>
          <cell r="BI246">
            <v>-48076</v>
          </cell>
          <cell r="BJ246">
            <v>0</v>
          </cell>
          <cell r="BK246">
            <v>-887073</v>
          </cell>
          <cell r="BL246">
            <v>-162304</v>
          </cell>
          <cell r="BM246">
            <v>-28649</v>
          </cell>
          <cell r="BN246">
            <v>-11231</v>
          </cell>
          <cell r="BO246">
            <v>-14549</v>
          </cell>
          <cell r="BP246">
            <v>0</v>
          </cell>
          <cell r="BQ246">
            <v>0</v>
          </cell>
          <cell r="BR246">
            <v>0</v>
          </cell>
          <cell r="BS246">
            <v>0</v>
          </cell>
          <cell r="BT246">
            <v>30856048</v>
          </cell>
          <cell r="BU246">
            <v>-68781</v>
          </cell>
          <cell r="BV246">
            <v>2572378</v>
          </cell>
          <cell r="BW246">
            <v>-652821</v>
          </cell>
          <cell r="BX246">
            <v>580594</v>
          </cell>
          <cell r="BY246">
            <v>-30581307</v>
          </cell>
          <cell r="BZ246">
            <v>24147114</v>
          </cell>
          <cell r="CA246">
            <v>290296</v>
          </cell>
          <cell r="CB246">
            <v>232238</v>
          </cell>
          <cell r="CC246">
            <v>52254</v>
          </cell>
          <cell r="CD246">
            <v>5806</v>
          </cell>
          <cell r="CE246">
            <v>-15290653</v>
          </cell>
          <cell r="CF246">
            <v>-12232523</v>
          </cell>
          <cell r="CG246">
            <v>-2752318</v>
          </cell>
          <cell r="CH246">
            <v>-305813</v>
          </cell>
        </row>
        <row r="247">
          <cell r="A247">
            <v>240</v>
          </cell>
          <cell r="B247" t="str">
            <v>South Holland</v>
          </cell>
          <cell r="C247" t="str">
            <v>E2535</v>
          </cell>
          <cell r="D247">
            <v>106913</v>
          </cell>
          <cell r="H247">
            <v>-2734374</v>
          </cell>
          <cell r="I247">
            <v>0</v>
          </cell>
          <cell r="J247">
            <v>106913</v>
          </cell>
          <cell r="K247">
            <v>0</v>
          </cell>
          <cell r="L247">
            <v>243855</v>
          </cell>
          <cell r="M247">
            <v>0</v>
          </cell>
          <cell r="N247">
            <v>0</v>
          </cell>
          <cell r="O247">
            <v>0</v>
          </cell>
          <cell r="P247">
            <v>0</v>
          </cell>
          <cell r="Q247">
            <v>0</v>
          </cell>
          <cell r="R247">
            <v>476722</v>
          </cell>
          <cell r="S247">
            <v>119181</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M247">
            <v>0</v>
          </cell>
          <cell r="AN247">
            <v>0</v>
          </cell>
          <cell r="AO247">
            <v>0</v>
          </cell>
          <cell r="AP247">
            <v>137245</v>
          </cell>
          <cell r="AQ247">
            <v>33395</v>
          </cell>
          <cell r="AR247">
            <v>0</v>
          </cell>
          <cell r="AS247">
            <v>-164000</v>
          </cell>
          <cell r="AT247">
            <v>-131200</v>
          </cell>
          <cell r="AU247">
            <v>-32799</v>
          </cell>
          <cell r="AV247">
            <v>0</v>
          </cell>
          <cell r="AW247">
            <v>-327999</v>
          </cell>
          <cell r="AX247">
            <v>-2289086</v>
          </cell>
          <cell r="AY247">
            <v>-1831270</v>
          </cell>
          <cell r="AZ247">
            <v>-457817</v>
          </cell>
          <cell r="BA247">
            <v>0</v>
          </cell>
          <cell r="BB247">
            <v>-4578173</v>
          </cell>
          <cell r="BC247">
            <v>23264250</v>
          </cell>
          <cell r="BD247">
            <v>-1843334</v>
          </cell>
          <cell r="BE247">
            <v>681268</v>
          </cell>
          <cell r="BF247">
            <v>0</v>
          </cell>
          <cell r="BG247">
            <v>-1208993</v>
          </cell>
          <cell r="BH247">
            <v>-50332</v>
          </cell>
          <cell r="BI247">
            <v>-33211</v>
          </cell>
          <cell r="BJ247">
            <v>0</v>
          </cell>
          <cell r="BK247">
            <v>-313637</v>
          </cell>
          <cell r="BL247">
            <v>-78748</v>
          </cell>
          <cell r="BM247">
            <v>-45225</v>
          </cell>
          <cell r="BN247">
            <v>-7014</v>
          </cell>
          <cell r="BO247">
            <v>-33211</v>
          </cell>
          <cell r="BP247">
            <v>0</v>
          </cell>
          <cell r="BQ247">
            <v>0</v>
          </cell>
          <cell r="BR247">
            <v>0</v>
          </cell>
          <cell r="BS247">
            <v>0</v>
          </cell>
          <cell r="BT247">
            <v>26549216</v>
          </cell>
          <cell r="BU247">
            <v>-202044</v>
          </cell>
          <cell r="BV247">
            <v>1232684</v>
          </cell>
          <cell r="BW247">
            <v>-853412</v>
          </cell>
          <cell r="BX247">
            <v>-2092380</v>
          </cell>
          <cell r="BY247">
            <v>-1432122</v>
          </cell>
          <cell r="BZ247">
            <v>22231787</v>
          </cell>
          <cell r="CA247">
            <v>-1046190</v>
          </cell>
          <cell r="CB247">
            <v>-836952</v>
          </cell>
          <cell r="CC247">
            <v>-209238</v>
          </cell>
          <cell r="CD247">
            <v>0</v>
          </cell>
          <cell r="CE247">
            <v>-716061</v>
          </cell>
          <cell r="CF247">
            <v>-572849</v>
          </cell>
          <cell r="CG247">
            <v>-143212</v>
          </cell>
          <cell r="CH247">
            <v>0</v>
          </cell>
        </row>
        <row r="248">
          <cell r="A248">
            <v>241</v>
          </cell>
          <cell r="B248" t="str">
            <v>South Kesteven</v>
          </cell>
          <cell r="C248" t="str">
            <v>E2536</v>
          </cell>
          <cell r="D248">
            <v>177446</v>
          </cell>
          <cell r="H248">
            <v>683</v>
          </cell>
          <cell r="I248">
            <v>0</v>
          </cell>
          <cell r="J248">
            <v>177446</v>
          </cell>
          <cell r="K248">
            <v>0</v>
          </cell>
          <cell r="L248">
            <v>201227</v>
          </cell>
          <cell r="M248">
            <v>0</v>
          </cell>
          <cell r="N248">
            <v>0</v>
          </cell>
          <cell r="O248">
            <v>0</v>
          </cell>
          <cell r="P248">
            <v>0</v>
          </cell>
          <cell r="Q248">
            <v>0</v>
          </cell>
          <cell r="R248">
            <v>764434</v>
          </cell>
          <cell r="S248">
            <v>191108</v>
          </cell>
          <cell r="T248">
            <v>0</v>
          </cell>
          <cell r="U248">
            <v>0</v>
          </cell>
          <cell r="V248">
            <v>0</v>
          </cell>
          <cell r="W248">
            <v>0</v>
          </cell>
          <cell r="X248">
            <v>5422</v>
          </cell>
          <cell r="Y248">
            <v>1356</v>
          </cell>
          <cell r="Z248">
            <v>0</v>
          </cell>
          <cell r="AA248">
            <v>18046</v>
          </cell>
          <cell r="AB248">
            <v>4512</v>
          </cell>
          <cell r="AC248">
            <v>0</v>
          </cell>
          <cell r="AD248">
            <v>0</v>
          </cell>
          <cell r="AE248">
            <v>0</v>
          </cell>
          <cell r="AF248">
            <v>0</v>
          </cell>
          <cell r="AG248">
            <v>0</v>
          </cell>
          <cell r="AH248">
            <v>0</v>
          </cell>
          <cell r="AI248">
            <v>0</v>
          </cell>
          <cell r="AM248">
            <v>0</v>
          </cell>
          <cell r="AN248">
            <v>0</v>
          </cell>
          <cell r="AO248">
            <v>0</v>
          </cell>
          <cell r="AP248">
            <v>241898</v>
          </cell>
          <cell r="AQ248">
            <v>59719</v>
          </cell>
          <cell r="AR248">
            <v>0</v>
          </cell>
          <cell r="AS248">
            <v>-322500</v>
          </cell>
          <cell r="AT248">
            <v>-258000</v>
          </cell>
          <cell r="AU248">
            <v>-64500</v>
          </cell>
          <cell r="AV248">
            <v>0</v>
          </cell>
          <cell r="AW248">
            <v>-645000</v>
          </cell>
          <cell r="AX248">
            <v>-1633264</v>
          </cell>
          <cell r="AY248">
            <v>-1306612</v>
          </cell>
          <cell r="AZ248">
            <v>-326653</v>
          </cell>
          <cell r="BA248">
            <v>0</v>
          </cell>
          <cell r="BB248">
            <v>-3266529</v>
          </cell>
          <cell r="BC248">
            <v>41047756</v>
          </cell>
          <cell r="BD248">
            <v>-2932728</v>
          </cell>
          <cell r="BE248">
            <v>1085155</v>
          </cell>
          <cell r="BF248">
            <v>0</v>
          </cell>
          <cell r="BG248">
            <v>-3384507</v>
          </cell>
          <cell r="BH248">
            <v>-102668</v>
          </cell>
          <cell r="BI248">
            <v>-43413</v>
          </cell>
          <cell r="BJ248">
            <v>0</v>
          </cell>
          <cell r="BK248">
            <v>-1351699</v>
          </cell>
          <cell r="BL248">
            <v>-15543</v>
          </cell>
          <cell r="BM248">
            <v>-2985</v>
          </cell>
          <cell r="BN248">
            <v>0</v>
          </cell>
          <cell r="BO248">
            <v>-20483</v>
          </cell>
          <cell r="BP248">
            <v>-60820</v>
          </cell>
          <cell r="BQ248">
            <v>0</v>
          </cell>
          <cell r="BR248">
            <v>0</v>
          </cell>
          <cell r="BS248">
            <v>0</v>
          </cell>
          <cell r="BT248">
            <v>42226643</v>
          </cell>
          <cell r="BU248">
            <v>0</v>
          </cell>
          <cell r="BV248">
            <v>1521799</v>
          </cell>
          <cell r="BW248">
            <v>-1939273</v>
          </cell>
          <cell r="BX248">
            <v>-2471144</v>
          </cell>
          <cell r="BY248">
            <v>-1863228</v>
          </cell>
          <cell r="BZ248">
            <v>39755589</v>
          </cell>
          <cell r="CA248">
            <v>-1235572</v>
          </cell>
          <cell r="CB248">
            <v>-988458</v>
          </cell>
          <cell r="CC248">
            <v>-247114</v>
          </cell>
          <cell r="CD248">
            <v>0</v>
          </cell>
          <cell r="CE248">
            <v>-931614</v>
          </cell>
          <cell r="CF248">
            <v>-745291</v>
          </cell>
          <cell r="CG248">
            <v>-186323</v>
          </cell>
          <cell r="CH248">
            <v>0</v>
          </cell>
        </row>
        <row r="249">
          <cell r="A249">
            <v>242</v>
          </cell>
          <cell r="B249" t="str">
            <v>South Lakeland</v>
          </cell>
          <cell r="C249" t="str">
            <v>E0936</v>
          </cell>
          <cell r="D249">
            <v>300847</v>
          </cell>
          <cell r="H249">
            <v>1235130</v>
          </cell>
          <cell r="I249">
            <v>0</v>
          </cell>
          <cell r="J249">
            <v>300847</v>
          </cell>
          <cell r="K249">
            <v>0</v>
          </cell>
          <cell r="L249">
            <v>0</v>
          </cell>
          <cell r="M249">
            <v>0</v>
          </cell>
          <cell r="N249">
            <v>0</v>
          </cell>
          <cell r="O249">
            <v>0</v>
          </cell>
          <cell r="P249">
            <v>0</v>
          </cell>
          <cell r="Q249">
            <v>0</v>
          </cell>
          <cell r="R249">
            <v>1960451</v>
          </cell>
          <cell r="S249">
            <v>490113</v>
          </cell>
          <cell r="T249">
            <v>0</v>
          </cell>
          <cell r="U249">
            <v>388</v>
          </cell>
          <cell r="V249">
            <v>97</v>
          </cell>
          <cell r="W249">
            <v>0</v>
          </cell>
          <cell r="X249">
            <v>358</v>
          </cell>
          <cell r="Y249">
            <v>90</v>
          </cell>
          <cell r="Z249">
            <v>0</v>
          </cell>
          <cell r="AA249">
            <v>3293</v>
          </cell>
          <cell r="AB249">
            <v>823</v>
          </cell>
          <cell r="AC249">
            <v>0</v>
          </cell>
          <cell r="AD249">
            <v>0</v>
          </cell>
          <cell r="AE249">
            <v>0</v>
          </cell>
          <cell r="AF249">
            <v>0</v>
          </cell>
          <cell r="AG249">
            <v>0</v>
          </cell>
          <cell r="AH249">
            <v>0</v>
          </cell>
          <cell r="AI249">
            <v>0</v>
          </cell>
          <cell r="AM249">
            <v>0</v>
          </cell>
          <cell r="AN249">
            <v>0</v>
          </cell>
          <cell r="AO249">
            <v>0</v>
          </cell>
          <cell r="AP249">
            <v>241682</v>
          </cell>
          <cell r="AQ249">
            <v>60420</v>
          </cell>
          <cell r="AR249">
            <v>0</v>
          </cell>
          <cell r="AS249">
            <v>-323090.86</v>
          </cell>
          <cell r="AT249">
            <v>-258473</v>
          </cell>
          <cell r="AU249">
            <v>-64617</v>
          </cell>
          <cell r="AV249">
            <v>0</v>
          </cell>
          <cell r="AW249">
            <v>-646180.86</v>
          </cell>
          <cell r="AX249">
            <v>-1110450</v>
          </cell>
          <cell r="AY249">
            <v>-888360</v>
          </cell>
          <cell r="AZ249">
            <v>-222090</v>
          </cell>
          <cell r="BA249">
            <v>0</v>
          </cell>
          <cell r="BB249">
            <v>-2220900</v>
          </cell>
          <cell r="BC249">
            <v>39709094</v>
          </cell>
          <cell r="BD249">
            <v>-6436832</v>
          </cell>
          <cell r="BE249">
            <v>996718</v>
          </cell>
          <cell r="BF249">
            <v>0</v>
          </cell>
          <cell r="BG249">
            <v>-3014527</v>
          </cell>
          <cell r="BH249">
            <v>-112747</v>
          </cell>
          <cell r="BI249">
            <v>-25844</v>
          </cell>
          <cell r="BJ249">
            <v>-10988</v>
          </cell>
          <cell r="BK249">
            <v>-813080</v>
          </cell>
          <cell r="BL249">
            <v>-102080</v>
          </cell>
          <cell r="BM249">
            <v>-2118</v>
          </cell>
          <cell r="BN249">
            <v>-11349</v>
          </cell>
          <cell r="BO249">
            <v>-17174</v>
          </cell>
          <cell r="BP249">
            <v>-8915</v>
          </cell>
          <cell r="BQ249">
            <v>-12516</v>
          </cell>
          <cell r="BR249">
            <v>0</v>
          </cell>
          <cell r="BS249">
            <v>0</v>
          </cell>
          <cell r="BT249">
            <v>40645513</v>
          </cell>
          <cell r="BU249">
            <v>-296808</v>
          </cell>
          <cell r="BV249">
            <v>1261262</v>
          </cell>
          <cell r="BW249">
            <v>-668674</v>
          </cell>
          <cell r="BX249">
            <v>-2324273</v>
          </cell>
          <cell r="BY249">
            <v>-2387738</v>
          </cell>
          <cell r="BZ249">
            <v>40222717</v>
          </cell>
          <cell r="CA249">
            <v>-1162137</v>
          </cell>
          <cell r="CB249">
            <v>-929708</v>
          </cell>
          <cell r="CC249">
            <v>-232428</v>
          </cell>
          <cell r="CD249">
            <v>0</v>
          </cell>
          <cell r="CE249">
            <v>-1193869</v>
          </cell>
          <cell r="CF249">
            <v>-955095</v>
          </cell>
          <cell r="CG249">
            <v>-238774</v>
          </cell>
          <cell r="CH249">
            <v>0</v>
          </cell>
        </row>
        <row r="250">
          <cell r="A250">
            <v>243</v>
          </cell>
          <cell r="B250" t="str">
            <v>South Norfolk</v>
          </cell>
          <cell r="C250" t="str">
            <v>E2637</v>
          </cell>
          <cell r="D250">
            <v>162366</v>
          </cell>
          <cell r="H250">
            <v>-416841</v>
          </cell>
          <cell r="I250">
            <v>-5077</v>
          </cell>
          <cell r="J250">
            <v>162366</v>
          </cell>
          <cell r="K250">
            <v>0</v>
          </cell>
          <cell r="L250">
            <v>149872</v>
          </cell>
          <cell r="M250">
            <v>0</v>
          </cell>
          <cell r="N250">
            <v>284686</v>
          </cell>
          <cell r="O250">
            <v>284686</v>
          </cell>
          <cell r="P250">
            <v>0</v>
          </cell>
          <cell r="Q250">
            <v>0</v>
          </cell>
          <cell r="R250">
            <v>762165</v>
          </cell>
          <cell r="S250">
            <v>189713</v>
          </cell>
          <cell r="T250">
            <v>0</v>
          </cell>
          <cell r="U250">
            <v>0</v>
          </cell>
          <cell r="V250">
            <v>0</v>
          </cell>
          <cell r="W250">
            <v>0</v>
          </cell>
          <cell r="X250">
            <v>8120</v>
          </cell>
          <cell r="Y250">
            <v>2030</v>
          </cell>
          <cell r="Z250">
            <v>0</v>
          </cell>
          <cell r="AA250">
            <v>0</v>
          </cell>
          <cell r="AB250">
            <v>0</v>
          </cell>
          <cell r="AC250">
            <v>0</v>
          </cell>
          <cell r="AD250">
            <v>0</v>
          </cell>
          <cell r="AE250">
            <v>0</v>
          </cell>
          <cell r="AF250">
            <v>0</v>
          </cell>
          <cell r="AG250">
            <v>0</v>
          </cell>
          <cell r="AH250">
            <v>0</v>
          </cell>
          <cell r="AI250">
            <v>0</v>
          </cell>
          <cell r="AM250">
            <v>0</v>
          </cell>
          <cell r="AN250">
            <v>0</v>
          </cell>
          <cell r="AO250">
            <v>0</v>
          </cell>
          <cell r="AP250">
            <v>183151</v>
          </cell>
          <cell r="AQ250">
            <v>44156</v>
          </cell>
          <cell r="AR250">
            <v>0</v>
          </cell>
          <cell r="AS250">
            <v>-254833</v>
          </cell>
          <cell r="AT250">
            <v>-203868</v>
          </cell>
          <cell r="AU250">
            <v>-50968</v>
          </cell>
          <cell r="AV250">
            <v>0</v>
          </cell>
          <cell r="AW250">
            <v>-509669</v>
          </cell>
          <cell r="AX250">
            <v>-1766329</v>
          </cell>
          <cell r="AY250">
            <v>-1413063</v>
          </cell>
          <cell r="AZ250">
            <v>-353266</v>
          </cell>
          <cell r="BA250">
            <v>0</v>
          </cell>
          <cell r="BB250">
            <v>-3532658</v>
          </cell>
          <cell r="BC250">
            <v>29590670</v>
          </cell>
          <cell r="BD250">
            <v>-2860332</v>
          </cell>
          <cell r="BE250">
            <v>850605</v>
          </cell>
          <cell r="BF250">
            <v>0</v>
          </cell>
          <cell r="BG250">
            <v>-3868326</v>
          </cell>
          <cell r="BH250">
            <v>-70063</v>
          </cell>
          <cell r="BI250">
            <v>-93881</v>
          </cell>
          <cell r="BJ250">
            <v>-6907</v>
          </cell>
          <cell r="BK250">
            <v>-690792</v>
          </cell>
          <cell r="BL250">
            <v>-128167</v>
          </cell>
          <cell r="BM250">
            <v>-129054</v>
          </cell>
          <cell r="BN250">
            <v>-5086</v>
          </cell>
          <cell r="BO250">
            <v>-40362</v>
          </cell>
          <cell r="BP250">
            <v>-26938</v>
          </cell>
          <cell r="BQ250">
            <v>-145310</v>
          </cell>
          <cell r="BR250">
            <v>-119904</v>
          </cell>
          <cell r="BS250">
            <v>0</v>
          </cell>
          <cell r="BT250">
            <v>31187528</v>
          </cell>
          <cell r="BU250">
            <v>-36044</v>
          </cell>
          <cell r="BV250">
            <v>1659192</v>
          </cell>
          <cell r="BW250">
            <v>-286779</v>
          </cell>
          <cell r="BX250">
            <v>-2054449</v>
          </cell>
          <cell r="BY250">
            <v>-1206489</v>
          </cell>
          <cell r="BZ250">
            <v>29395174</v>
          </cell>
          <cell r="CA250">
            <v>-1027225</v>
          </cell>
          <cell r="CB250">
            <v>-821779</v>
          </cell>
          <cell r="CC250">
            <v>-205445</v>
          </cell>
          <cell r="CD250">
            <v>0</v>
          </cell>
          <cell r="CE250">
            <v>-603244</v>
          </cell>
          <cell r="CF250">
            <v>-482596</v>
          </cell>
          <cell r="CG250">
            <v>-120649</v>
          </cell>
          <cell r="CH250">
            <v>0</v>
          </cell>
        </row>
        <row r="251">
          <cell r="A251">
            <v>244</v>
          </cell>
          <cell r="B251" t="str">
            <v>South Northamptonshire</v>
          </cell>
          <cell r="C251" t="str">
            <v>E2836</v>
          </cell>
          <cell r="D251">
            <v>107996</v>
          </cell>
          <cell r="H251">
            <v>-2762</v>
          </cell>
          <cell r="I251">
            <v>0</v>
          </cell>
          <cell r="J251">
            <v>107996</v>
          </cell>
          <cell r="K251">
            <v>0</v>
          </cell>
          <cell r="L251">
            <v>234453</v>
          </cell>
          <cell r="M251">
            <v>0</v>
          </cell>
          <cell r="N251">
            <v>0</v>
          </cell>
          <cell r="O251">
            <v>0</v>
          </cell>
          <cell r="P251">
            <v>0</v>
          </cell>
          <cell r="Q251">
            <v>0</v>
          </cell>
          <cell r="R251">
            <v>540113</v>
          </cell>
          <cell r="S251">
            <v>135028</v>
          </cell>
          <cell r="T251">
            <v>0</v>
          </cell>
          <cell r="U251">
            <v>1022</v>
          </cell>
          <cell r="V251">
            <v>255</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M251">
            <v>0</v>
          </cell>
          <cell r="AN251">
            <v>0</v>
          </cell>
          <cell r="AO251">
            <v>0</v>
          </cell>
          <cell r="AP251">
            <v>131828</v>
          </cell>
          <cell r="AQ251">
            <v>32077</v>
          </cell>
          <cell r="AR251">
            <v>0</v>
          </cell>
          <cell r="AS251">
            <v>-303551.67000000004</v>
          </cell>
          <cell r="AT251">
            <v>-242839</v>
          </cell>
          <cell r="AU251">
            <v>-60710</v>
          </cell>
          <cell r="AV251">
            <v>0</v>
          </cell>
          <cell r="AW251">
            <v>-607100.66999999993</v>
          </cell>
          <cell r="AX251">
            <v>-1320316</v>
          </cell>
          <cell r="AY251">
            <v>-1056253</v>
          </cell>
          <cell r="AZ251">
            <v>-264063</v>
          </cell>
          <cell r="BA251">
            <v>0</v>
          </cell>
          <cell r="BB251">
            <v>-2640632</v>
          </cell>
          <cell r="BC251">
            <v>22648671</v>
          </cell>
          <cell r="BD251">
            <v>-2009065</v>
          </cell>
          <cell r="BE251">
            <v>593272</v>
          </cell>
          <cell r="BF251">
            <v>0</v>
          </cell>
          <cell r="BG251">
            <v>-1664428</v>
          </cell>
          <cell r="BH251">
            <v>-6381</v>
          </cell>
          <cell r="BI251">
            <v>-57444</v>
          </cell>
          <cell r="BJ251">
            <v>0</v>
          </cell>
          <cell r="BK251">
            <v>-669911</v>
          </cell>
          <cell r="BL251">
            <v>-112917</v>
          </cell>
          <cell r="BM251">
            <v>-127030</v>
          </cell>
          <cell r="BN251">
            <v>-1595</v>
          </cell>
          <cell r="BO251">
            <v>-18460</v>
          </cell>
          <cell r="BP251">
            <v>-11568</v>
          </cell>
          <cell r="BQ251">
            <v>0</v>
          </cell>
          <cell r="BR251">
            <v>0</v>
          </cell>
          <cell r="BS251">
            <v>0</v>
          </cell>
          <cell r="BT251">
            <v>23069233</v>
          </cell>
          <cell r="BU251">
            <v>0</v>
          </cell>
          <cell r="BV251">
            <v>972054</v>
          </cell>
          <cell r="BW251">
            <v>-1145626</v>
          </cell>
          <cell r="BX251">
            <v>-338929</v>
          </cell>
          <cell r="BY251">
            <v>36065</v>
          </cell>
          <cell r="BZ251">
            <v>21353801</v>
          </cell>
          <cell r="CA251">
            <v>-169464</v>
          </cell>
          <cell r="CB251">
            <v>-135571</v>
          </cell>
          <cell r="CC251">
            <v>-33894</v>
          </cell>
          <cell r="CD251">
            <v>0</v>
          </cell>
          <cell r="CE251">
            <v>18032</v>
          </cell>
          <cell r="CF251">
            <v>14426</v>
          </cell>
          <cell r="CG251">
            <v>3607</v>
          </cell>
          <cell r="CH251">
            <v>0</v>
          </cell>
        </row>
        <row r="252">
          <cell r="A252">
            <v>245</v>
          </cell>
          <cell r="B252" t="str">
            <v>South Oxfordshire</v>
          </cell>
          <cell r="C252" t="str">
            <v>E3133</v>
          </cell>
          <cell r="D252">
            <v>183863</v>
          </cell>
          <cell r="H252">
            <v>1076846</v>
          </cell>
          <cell r="I252">
            <v>-1116</v>
          </cell>
          <cell r="J252">
            <v>183863</v>
          </cell>
          <cell r="K252">
            <v>36696</v>
          </cell>
          <cell r="L252">
            <v>90098</v>
          </cell>
          <cell r="M252">
            <v>0</v>
          </cell>
          <cell r="N252">
            <v>0</v>
          </cell>
          <cell r="O252">
            <v>0</v>
          </cell>
          <cell r="P252">
            <v>0</v>
          </cell>
          <cell r="Q252">
            <v>0</v>
          </cell>
          <cell r="R252">
            <v>735574</v>
          </cell>
          <cell r="S252">
            <v>183894</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M252">
            <v>0</v>
          </cell>
          <cell r="AN252">
            <v>0</v>
          </cell>
          <cell r="AO252">
            <v>0</v>
          </cell>
          <cell r="AP252">
            <v>261136</v>
          </cell>
          <cell r="AQ252">
            <v>64808</v>
          </cell>
          <cell r="AR252">
            <v>0</v>
          </cell>
          <cell r="AS252">
            <v>-572900</v>
          </cell>
          <cell r="AT252">
            <v>-458320</v>
          </cell>
          <cell r="AU252">
            <v>-114580</v>
          </cell>
          <cell r="AV252">
            <v>0</v>
          </cell>
          <cell r="AW252">
            <v>-1145800</v>
          </cell>
          <cell r="AX252">
            <v>-1614904</v>
          </cell>
          <cell r="AY252">
            <v>-1291924</v>
          </cell>
          <cell r="AZ252">
            <v>-322982</v>
          </cell>
          <cell r="BA252">
            <v>0</v>
          </cell>
          <cell r="BB252">
            <v>-3229810</v>
          </cell>
          <cell r="BC252">
            <v>42685610</v>
          </cell>
          <cell r="BD252">
            <v>-2626507</v>
          </cell>
          <cell r="BE252">
            <v>1156913</v>
          </cell>
          <cell r="BF252">
            <v>0</v>
          </cell>
          <cell r="BG252">
            <v>-4286269</v>
          </cell>
          <cell r="BH252">
            <v>-106398</v>
          </cell>
          <cell r="BI252">
            <v>-42933</v>
          </cell>
          <cell r="BJ252">
            <v>0</v>
          </cell>
          <cell r="BK252">
            <v>-1224631</v>
          </cell>
          <cell r="BL252">
            <v>-200985</v>
          </cell>
          <cell r="BM252">
            <v>-17230</v>
          </cell>
          <cell r="BN252">
            <v>-17176</v>
          </cell>
          <cell r="BO252">
            <v>-21187</v>
          </cell>
          <cell r="BP252">
            <v>0</v>
          </cell>
          <cell r="BQ252">
            <v>0</v>
          </cell>
          <cell r="BR252">
            <v>0</v>
          </cell>
          <cell r="BS252">
            <v>0</v>
          </cell>
          <cell r="BT252">
            <v>42501756</v>
          </cell>
          <cell r="BU252">
            <v>-249459</v>
          </cell>
          <cell r="BV252">
            <v>1952648</v>
          </cell>
          <cell r="BW252">
            <v>-1433530</v>
          </cell>
          <cell r="BX252">
            <v>-478887</v>
          </cell>
          <cell r="BY252">
            <v>-753840</v>
          </cell>
          <cell r="BZ252">
            <v>43143481</v>
          </cell>
          <cell r="CA252">
            <v>-239443</v>
          </cell>
          <cell r="CB252">
            <v>-191555</v>
          </cell>
          <cell r="CC252">
            <v>-47889</v>
          </cell>
          <cell r="CD252">
            <v>0</v>
          </cell>
          <cell r="CE252">
            <v>-376920</v>
          </cell>
          <cell r="CF252">
            <v>-301536</v>
          </cell>
          <cell r="CG252">
            <v>-75384</v>
          </cell>
          <cell r="CH252">
            <v>0</v>
          </cell>
        </row>
        <row r="253">
          <cell r="A253">
            <v>246</v>
          </cell>
          <cell r="B253" t="str">
            <v>South Ribble</v>
          </cell>
          <cell r="C253" t="str">
            <v>E2342</v>
          </cell>
          <cell r="D253">
            <v>124370</v>
          </cell>
          <cell r="H253">
            <v>-3041181</v>
          </cell>
          <cell r="I253">
            <v>0</v>
          </cell>
          <cell r="J253">
            <v>124370</v>
          </cell>
          <cell r="K253">
            <v>0</v>
          </cell>
          <cell r="L253">
            <v>0</v>
          </cell>
          <cell r="M253">
            <v>0</v>
          </cell>
          <cell r="N253">
            <v>0</v>
          </cell>
          <cell r="O253">
            <v>0</v>
          </cell>
          <cell r="P253">
            <v>0</v>
          </cell>
          <cell r="Q253">
            <v>0</v>
          </cell>
          <cell r="R253">
            <v>596894</v>
          </cell>
          <cell r="S253">
            <v>134301</v>
          </cell>
          <cell r="T253">
            <v>14922</v>
          </cell>
          <cell r="U253">
            <v>3474</v>
          </cell>
          <cell r="V253">
            <v>782</v>
          </cell>
          <cell r="W253">
            <v>87</v>
          </cell>
          <cell r="X253">
            <v>0</v>
          </cell>
          <cell r="Y253">
            <v>0</v>
          </cell>
          <cell r="Z253">
            <v>0</v>
          </cell>
          <cell r="AA253">
            <v>2672</v>
          </cell>
          <cell r="AB253">
            <v>601</v>
          </cell>
          <cell r="AC253">
            <v>67</v>
          </cell>
          <cell r="AD253">
            <v>0</v>
          </cell>
          <cell r="AE253">
            <v>0</v>
          </cell>
          <cell r="AF253">
            <v>0</v>
          </cell>
          <cell r="AG253">
            <v>0</v>
          </cell>
          <cell r="AH253">
            <v>0</v>
          </cell>
          <cell r="AI253">
            <v>0</v>
          </cell>
          <cell r="AM253">
            <v>0</v>
          </cell>
          <cell r="AN253">
            <v>0</v>
          </cell>
          <cell r="AO253">
            <v>0</v>
          </cell>
          <cell r="AP253">
            <v>196745</v>
          </cell>
          <cell r="AQ253">
            <v>44268</v>
          </cell>
          <cell r="AR253">
            <v>4919</v>
          </cell>
          <cell r="AS253">
            <v>-258449</v>
          </cell>
          <cell r="AT253">
            <v>-206756</v>
          </cell>
          <cell r="AU253">
            <v>-46520</v>
          </cell>
          <cell r="AV253">
            <v>-5167</v>
          </cell>
          <cell r="AW253">
            <v>-516892</v>
          </cell>
          <cell r="AX253">
            <v>-1500000</v>
          </cell>
          <cell r="AY253">
            <v>-1200000</v>
          </cell>
          <cell r="AZ253">
            <v>-270000</v>
          </cell>
          <cell r="BA253">
            <v>-30000</v>
          </cell>
          <cell r="BB253">
            <v>-3000000</v>
          </cell>
          <cell r="BC253">
            <v>39595072</v>
          </cell>
          <cell r="BD253">
            <v>-2343575</v>
          </cell>
          <cell r="BE253">
            <v>1024286</v>
          </cell>
          <cell r="BF253">
            <v>0</v>
          </cell>
          <cell r="BG253">
            <v>-1944843</v>
          </cell>
          <cell r="BH253">
            <v>-18369</v>
          </cell>
          <cell r="BI253">
            <v>-3926</v>
          </cell>
          <cell r="BJ253">
            <v>-4342</v>
          </cell>
          <cell r="BK253">
            <v>-874220</v>
          </cell>
          <cell r="BL253">
            <v>-113833</v>
          </cell>
          <cell r="BM253">
            <v>-25493</v>
          </cell>
          <cell r="BN253">
            <v>-825</v>
          </cell>
          <cell r="BO253">
            <v>-3926</v>
          </cell>
          <cell r="BP253">
            <v>0</v>
          </cell>
          <cell r="BQ253">
            <v>0</v>
          </cell>
          <cell r="BR253">
            <v>0</v>
          </cell>
          <cell r="BS253">
            <v>0</v>
          </cell>
          <cell r="BT253">
            <v>39508051</v>
          </cell>
          <cell r="BU253">
            <v>-195161</v>
          </cell>
          <cell r="BV253">
            <v>1154359</v>
          </cell>
          <cell r="BW253">
            <v>-771409</v>
          </cell>
          <cell r="BX253">
            <v>661596</v>
          </cell>
          <cell r="BY253">
            <v>627798</v>
          </cell>
          <cell r="BZ253">
            <v>32743922</v>
          </cell>
          <cell r="CA253">
            <v>330798</v>
          </cell>
          <cell r="CB253">
            <v>264638</v>
          </cell>
          <cell r="CC253">
            <v>59543</v>
          </cell>
          <cell r="CD253">
            <v>6617</v>
          </cell>
          <cell r="CE253">
            <v>313899</v>
          </cell>
          <cell r="CF253">
            <v>251119</v>
          </cell>
          <cell r="CG253">
            <v>56502</v>
          </cell>
          <cell r="CH253">
            <v>6278</v>
          </cell>
        </row>
        <row r="254">
          <cell r="A254">
            <v>247</v>
          </cell>
          <cell r="B254" t="str">
            <v>South Somerset</v>
          </cell>
          <cell r="C254" t="str">
            <v>E3334</v>
          </cell>
          <cell r="D254">
            <v>223868</v>
          </cell>
          <cell r="H254">
            <v>-1262789</v>
          </cell>
          <cell r="I254">
            <v>0</v>
          </cell>
          <cell r="J254">
            <v>223868</v>
          </cell>
          <cell r="K254">
            <v>0</v>
          </cell>
          <cell r="L254">
            <v>455039</v>
          </cell>
          <cell r="M254">
            <v>0</v>
          </cell>
          <cell r="N254">
            <v>0</v>
          </cell>
          <cell r="O254">
            <v>0</v>
          </cell>
          <cell r="P254">
            <v>0</v>
          </cell>
          <cell r="Q254">
            <v>0</v>
          </cell>
          <cell r="R254">
            <v>1010259</v>
          </cell>
          <cell r="S254">
            <v>227308</v>
          </cell>
          <cell r="T254">
            <v>25256</v>
          </cell>
          <cell r="U254">
            <v>5324</v>
          </cell>
          <cell r="V254">
            <v>1198</v>
          </cell>
          <cell r="W254">
            <v>133</v>
          </cell>
          <cell r="X254">
            <v>0</v>
          </cell>
          <cell r="Y254">
            <v>0</v>
          </cell>
          <cell r="Z254">
            <v>0</v>
          </cell>
          <cell r="AA254">
            <v>3724</v>
          </cell>
          <cell r="AB254">
            <v>838</v>
          </cell>
          <cell r="AC254">
            <v>93</v>
          </cell>
          <cell r="AD254">
            <v>0</v>
          </cell>
          <cell r="AE254">
            <v>0</v>
          </cell>
          <cell r="AF254">
            <v>0</v>
          </cell>
          <cell r="AG254">
            <v>0</v>
          </cell>
          <cell r="AH254">
            <v>0</v>
          </cell>
          <cell r="AI254">
            <v>0</v>
          </cell>
          <cell r="AM254">
            <v>0</v>
          </cell>
          <cell r="AN254">
            <v>0</v>
          </cell>
          <cell r="AO254">
            <v>0</v>
          </cell>
          <cell r="AP254">
            <v>257034</v>
          </cell>
          <cell r="AQ254">
            <v>56295</v>
          </cell>
          <cell r="AR254">
            <v>6255</v>
          </cell>
          <cell r="AS254">
            <v>-543801</v>
          </cell>
          <cell r="AT254">
            <v>-435039</v>
          </cell>
          <cell r="AU254">
            <v>-97884</v>
          </cell>
          <cell r="AV254">
            <v>-10876</v>
          </cell>
          <cell r="AW254">
            <v>-1087600</v>
          </cell>
          <cell r="AX254">
            <v>-2384487.6</v>
          </cell>
          <cell r="AY254">
            <v>-1907589</v>
          </cell>
          <cell r="AZ254">
            <v>-429206</v>
          </cell>
          <cell r="BA254">
            <v>-47688</v>
          </cell>
          <cell r="BB254">
            <v>-4768970.5999999996</v>
          </cell>
          <cell r="BC254">
            <v>44805263</v>
          </cell>
          <cell r="BD254">
            <v>-4130308</v>
          </cell>
          <cell r="BE254">
            <v>1173009</v>
          </cell>
          <cell r="BF254">
            <v>0</v>
          </cell>
          <cell r="BG254">
            <v>-3457780</v>
          </cell>
          <cell r="BH254">
            <v>-40178</v>
          </cell>
          <cell r="BI254">
            <v>-94483</v>
          </cell>
          <cell r="BJ254">
            <v>-51414</v>
          </cell>
          <cell r="BK254">
            <v>-1514982</v>
          </cell>
          <cell r="BL254">
            <v>-150073</v>
          </cell>
          <cell r="BM254">
            <v>-53009</v>
          </cell>
          <cell r="BN254">
            <v>-4125</v>
          </cell>
          <cell r="BO254">
            <v>-25861</v>
          </cell>
          <cell r="BP254">
            <v>-9982</v>
          </cell>
          <cell r="BQ254">
            <v>-7766</v>
          </cell>
          <cell r="BR254">
            <v>0</v>
          </cell>
          <cell r="BS254">
            <v>0</v>
          </cell>
          <cell r="BT254">
            <v>45617272</v>
          </cell>
          <cell r="BU254">
            <v>-755394</v>
          </cell>
          <cell r="BV254">
            <v>2248694</v>
          </cell>
          <cell r="BW254">
            <v>-791598</v>
          </cell>
          <cell r="BX254">
            <v>1471289</v>
          </cell>
          <cell r="BY254">
            <v>1296696</v>
          </cell>
          <cell r="BZ254">
            <v>41640226</v>
          </cell>
          <cell r="CA254">
            <v>735643</v>
          </cell>
          <cell r="CB254">
            <v>588516</v>
          </cell>
          <cell r="CC254">
            <v>132416</v>
          </cell>
          <cell r="CD254">
            <v>14714</v>
          </cell>
          <cell r="CE254">
            <v>648348</v>
          </cell>
          <cell r="CF254">
            <v>518678</v>
          </cell>
          <cell r="CG254">
            <v>116703</v>
          </cell>
          <cell r="CH254">
            <v>12967</v>
          </cell>
        </row>
        <row r="255">
          <cell r="A255">
            <v>248</v>
          </cell>
          <cell r="B255" t="str">
            <v>South Staffordshire</v>
          </cell>
          <cell r="C255" t="str">
            <v>E3435</v>
          </cell>
          <cell r="D255">
            <v>104320</v>
          </cell>
          <cell r="H255">
            <v>228508</v>
          </cell>
          <cell r="I255">
            <v>-146019</v>
          </cell>
          <cell r="J255">
            <v>104320</v>
          </cell>
          <cell r="K255">
            <v>2467483</v>
          </cell>
          <cell r="L255">
            <v>14236</v>
          </cell>
          <cell r="M255">
            <v>192777</v>
          </cell>
          <cell r="N255">
            <v>52387</v>
          </cell>
          <cell r="O255">
            <v>52387</v>
          </cell>
          <cell r="P255">
            <v>0</v>
          </cell>
          <cell r="Q255">
            <v>0</v>
          </cell>
          <cell r="R255">
            <v>598862</v>
          </cell>
          <cell r="S255">
            <v>134744</v>
          </cell>
          <cell r="T255">
            <v>14972</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M255">
            <v>0</v>
          </cell>
          <cell r="AN255">
            <v>0</v>
          </cell>
          <cell r="AO255">
            <v>0</v>
          </cell>
          <cell r="AP255">
            <v>164930</v>
          </cell>
          <cell r="AQ255">
            <v>31440</v>
          </cell>
          <cell r="AR255">
            <v>3172</v>
          </cell>
          <cell r="AS255">
            <v>-266500</v>
          </cell>
          <cell r="AT255">
            <v>-213200</v>
          </cell>
          <cell r="AU255">
            <v>-47970</v>
          </cell>
          <cell r="AV255">
            <v>-5330</v>
          </cell>
          <cell r="AW255">
            <v>-533000</v>
          </cell>
          <cell r="AX255">
            <v>-1436000</v>
          </cell>
          <cell r="AY255">
            <v>-1148800</v>
          </cell>
          <cell r="AZ255">
            <v>-258480</v>
          </cell>
          <cell r="BA255">
            <v>-28720</v>
          </cell>
          <cell r="BB255">
            <v>-2872000</v>
          </cell>
          <cell r="BC255">
            <v>21812461</v>
          </cell>
          <cell r="BD255">
            <v>-2203612</v>
          </cell>
          <cell r="BE255">
            <v>630038</v>
          </cell>
          <cell r="BF255">
            <v>0</v>
          </cell>
          <cell r="BG255">
            <v>-765416</v>
          </cell>
          <cell r="BH255">
            <v>-21351</v>
          </cell>
          <cell r="BI255">
            <v>-8671</v>
          </cell>
          <cell r="BJ255">
            <v>0</v>
          </cell>
          <cell r="BK255">
            <v>-408476</v>
          </cell>
          <cell r="BL255">
            <v>-46939</v>
          </cell>
          <cell r="BM255">
            <v>-243936</v>
          </cell>
          <cell r="BN255">
            <v>-4244</v>
          </cell>
          <cell r="BO255">
            <v>-3602</v>
          </cell>
          <cell r="BP255">
            <v>0</v>
          </cell>
          <cell r="BQ255">
            <v>-106422</v>
          </cell>
          <cell r="BR255">
            <v>-106422</v>
          </cell>
          <cell r="BS255">
            <v>0</v>
          </cell>
          <cell r="BT255">
            <v>24833341</v>
          </cell>
          <cell r="BU255">
            <v>-117583</v>
          </cell>
          <cell r="BV255">
            <v>929121</v>
          </cell>
          <cell r="BW255">
            <v>-200111</v>
          </cell>
          <cell r="BX255">
            <v>-864243</v>
          </cell>
          <cell r="BY255">
            <v>347</v>
          </cell>
          <cell r="BZ255">
            <v>21113827</v>
          </cell>
          <cell r="CA255">
            <v>-432120</v>
          </cell>
          <cell r="CB255">
            <v>-345698</v>
          </cell>
          <cell r="CC255">
            <v>-77783</v>
          </cell>
          <cell r="CD255">
            <v>-8642</v>
          </cell>
          <cell r="CE255">
            <v>174</v>
          </cell>
          <cell r="CF255">
            <v>139</v>
          </cell>
          <cell r="CG255">
            <v>31</v>
          </cell>
          <cell r="CH255">
            <v>3</v>
          </cell>
        </row>
        <row r="256">
          <cell r="A256">
            <v>249</v>
          </cell>
          <cell r="B256" t="str">
            <v>South Tyneside</v>
          </cell>
          <cell r="C256" t="str">
            <v>E4504</v>
          </cell>
          <cell r="D256">
            <v>150198</v>
          </cell>
          <cell r="H256">
            <v>-1706502</v>
          </cell>
          <cell r="I256">
            <v>0</v>
          </cell>
          <cell r="J256">
            <v>150198</v>
          </cell>
          <cell r="K256">
            <v>0</v>
          </cell>
          <cell r="L256">
            <v>0</v>
          </cell>
          <cell r="M256">
            <v>0</v>
          </cell>
          <cell r="N256">
            <v>0</v>
          </cell>
          <cell r="O256">
            <v>0</v>
          </cell>
          <cell r="P256">
            <v>0</v>
          </cell>
          <cell r="Q256">
            <v>0</v>
          </cell>
          <cell r="R256">
            <v>820645</v>
          </cell>
          <cell r="S256">
            <v>0</v>
          </cell>
          <cell r="T256">
            <v>16748</v>
          </cell>
          <cell r="U256">
            <v>0</v>
          </cell>
          <cell r="V256">
            <v>0</v>
          </cell>
          <cell r="W256">
            <v>0</v>
          </cell>
          <cell r="X256">
            <v>0</v>
          </cell>
          <cell r="Y256">
            <v>0</v>
          </cell>
          <cell r="Z256">
            <v>0</v>
          </cell>
          <cell r="AA256">
            <v>12434</v>
          </cell>
          <cell r="AB256">
            <v>0</v>
          </cell>
          <cell r="AC256">
            <v>254</v>
          </cell>
          <cell r="AD256">
            <v>0</v>
          </cell>
          <cell r="AE256">
            <v>0</v>
          </cell>
          <cell r="AF256">
            <v>0</v>
          </cell>
          <cell r="AG256">
            <v>0</v>
          </cell>
          <cell r="AH256">
            <v>0</v>
          </cell>
          <cell r="AI256">
            <v>0</v>
          </cell>
          <cell r="AM256">
            <v>0</v>
          </cell>
          <cell r="AN256">
            <v>0</v>
          </cell>
          <cell r="AO256">
            <v>0</v>
          </cell>
          <cell r="AP256">
            <v>215653</v>
          </cell>
          <cell r="AQ256">
            <v>0</v>
          </cell>
          <cell r="AR256">
            <v>4401</v>
          </cell>
          <cell r="AS256">
            <v>-373220.93</v>
          </cell>
          <cell r="AT256">
            <v>-365758</v>
          </cell>
          <cell r="AU256">
            <v>0</v>
          </cell>
          <cell r="AV256">
            <v>-7464</v>
          </cell>
          <cell r="AW256">
            <v>-746442.93</v>
          </cell>
          <cell r="AX256">
            <v>-972650</v>
          </cell>
          <cell r="AY256">
            <v>-953195</v>
          </cell>
          <cell r="AZ256">
            <v>0</v>
          </cell>
          <cell r="BA256">
            <v>-19453</v>
          </cell>
          <cell r="BB256">
            <v>-1945298</v>
          </cell>
          <cell r="BC256">
            <v>30914941</v>
          </cell>
          <cell r="BD256">
            <v>-2835536</v>
          </cell>
          <cell r="BE256">
            <v>859125</v>
          </cell>
          <cell r="BF256">
            <v>0</v>
          </cell>
          <cell r="BG256">
            <v>-1910352</v>
          </cell>
          <cell r="BH256">
            <v>-60572</v>
          </cell>
          <cell r="BI256">
            <v>0</v>
          </cell>
          <cell r="BJ256">
            <v>-15848</v>
          </cell>
          <cell r="BK256">
            <v>-1819578</v>
          </cell>
          <cell r="BL256">
            <v>-3738</v>
          </cell>
          <cell r="BM256">
            <v>-77557</v>
          </cell>
          <cell r="BN256">
            <v>0</v>
          </cell>
          <cell r="BO256">
            <v>0</v>
          </cell>
          <cell r="BP256">
            <v>0</v>
          </cell>
          <cell r="BQ256">
            <v>0</v>
          </cell>
          <cell r="BR256">
            <v>0</v>
          </cell>
          <cell r="BS256">
            <v>0</v>
          </cell>
          <cell r="BT256">
            <v>31579730</v>
          </cell>
          <cell r="BU256">
            <v>-177905</v>
          </cell>
          <cell r="BV256">
            <v>1733829</v>
          </cell>
          <cell r="BW256">
            <v>-888093</v>
          </cell>
          <cell r="BX256">
            <v>-1208212</v>
          </cell>
          <cell r="BY256">
            <v>-758709</v>
          </cell>
          <cell r="BZ256">
            <v>29298638</v>
          </cell>
          <cell r="CA256">
            <v>-604105</v>
          </cell>
          <cell r="CB256">
            <v>-592025</v>
          </cell>
          <cell r="CC256">
            <v>0</v>
          </cell>
          <cell r="CD256">
            <v>-12082</v>
          </cell>
          <cell r="CE256">
            <v>-379355</v>
          </cell>
          <cell r="CF256">
            <v>-371767</v>
          </cell>
          <cell r="CG256">
            <v>0</v>
          </cell>
          <cell r="CH256">
            <v>-7587</v>
          </cell>
        </row>
        <row r="257">
          <cell r="A257">
            <v>250</v>
          </cell>
          <cell r="B257" t="str">
            <v>Southampton</v>
          </cell>
          <cell r="C257" t="str">
            <v>E1702</v>
          </cell>
          <cell r="D257">
            <v>310662</v>
          </cell>
          <cell r="H257">
            <v>-2147453</v>
          </cell>
          <cell r="I257">
            <v>0</v>
          </cell>
          <cell r="J257">
            <v>310662</v>
          </cell>
          <cell r="K257">
            <v>0</v>
          </cell>
          <cell r="L257">
            <v>0</v>
          </cell>
          <cell r="M257">
            <v>0</v>
          </cell>
          <cell r="N257">
            <v>0</v>
          </cell>
          <cell r="O257">
            <v>0</v>
          </cell>
          <cell r="P257">
            <v>0</v>
          </cell>
          <cell r="Q257">
            <v>0</v>
          </cell>
          <cell r="R257">
            <v>1268931</v>
          </cell>
          <cell r="S257">
            <v>0</v>
          </cell>
          <cell r="T257">
            <v>25897</v>
          </cell>
          <cell r="U257">
            <v>11715</v>
          </cell>
          <cell r="V257">
            <v>0</v>
          </cell>
          <cell r="W257">
            <v>239</v>
          </cell>
          <cell r="X257">
            <v>21536</v>
          </cell>
          <cell r="Y257">
            <v>0</v>
          </cell>
          <cell r="Z257">
            <v>440</v>
          </cell>
          <cell r="AA257">
            <v>3084</v>
          </cell>
          <cell r="AB257">
            <v>0</v>
          </cell>
          <cell r="AC257">
            <v>63</v>
          </cell>
          <cell r="AD257">
            <v>0</v>
          </cell>
          <cell r="AE257">
            <v>0</v>
          </cell>
          <cell r="AF257">
            <v>0</v>
          </cell>
          <cell r="AG257">
            <v>0</v>
          </cell>
          <cell r="AH257">
            <v>0</v>
          </cell>
          <cell r="AI257">
            <v>0</v>
          </cell>
          <cell r="AM257">
            <v>0</v>
          </cell>
          <cell r="AN257">
            <v>0</v>
          </cell>
          <cell r="AO257">
            <v>0</v>
          </cell>
          <cell r="AP257">
            <v>719741</v>
          </cell>
          <cell r="AQ257">
            <v>0</v>
          </cell>
          <cell r="AR257">
            <v>14689</v>
          </cell>
          <cell r="AS257">
            <v>-1641195</v>
          </cell>
          <cell r="AT257">
            <v>-1608370.46</v>
          </cell>
          <cell r="AU257">
            <v>0</v>
          </cell>
          <cell r="AV257">
            <v>-32824.54</v>
          </cell>
          <cell r="AW257">
            <v>-3282390</v>
          </cell>
          <cell r="AX257">
            <v>-9411766</v>
          </cell>
          <cell r="AY257">
            <v>-9223531</v>
          </cell>
          <cell r="AZ257">
            <v>0</v>
          </cell>
          <cell r="BA257">
            <v>-188236</v>
          </cell>
          <cell r="BB257">
            <v>-18823533</v>
          </cell>
          <cell r="BC257">
            <v>101391649</v>
          </cell>
          <cell r="BD257">
            <v>-3633635</v>
          </cell>
          <cell r="BE257">
            <v>2938720</v>
          </cell>
          <cell r="BF257">
            <v>0</v>
          </cell>
          <cell r="BG257">
            <v>-9377492</v>
          </cell>
          <cell r="BH257">
            <v>-52676</v>
          </cell>
          <cell r="BI257">
            <v>0</v>
          </cell>
          <cell r="BJ257">
            <v>-23086</v>
          </cell>
          <cell r="BK257">
            <v>-3186236</v>
          </cell>
          <cell r="BL257">
            <v>-1174</v>
          </cell>
          <cell r="BM257">
            <v>-115712</v>
          </cell>
          <cell r="BN257">
            <v>0</v>
          </cell>
          <cell r="BO257">
            <v>0</v>
          </cell>
          <cell r="BP257">
            <v>0</v>
          </cell>
          <cell r="BQ257">
            <v>0</v>
          </cell>
          <cell r="BR257">
            <v>0</v>
          </cell>
          <cell r="BS257">
            <v>0</v>
          </cell>
          <cell r="BT257">
            <v>105692705</v>
          </cell>
          <cell r="BU257">
            <v>-1053520</v>
          </cell>
          <cell r="BV257">
            <v>5590557</v>
          </cell>
          <cell r="BW257">
            <v>-2909538</v>
          </cell>
          <cell r="BX257">
            <v>6175197</v>
          </cell>
          <cell r="BY257">
            <v>4740206</v>
          </cell>
          <cell r="BZ257">
            <v>97784052</v>
          </cell>
          <cell r="CA257">
            <v>3087599</v>
          </cell>
          <cell r="CB257">
            <v>3025847</v>
          </cell>
          <cell r="CC257">
            <v>0</v>
          </cell>
          <cell r="CD257">
            <v>61751</v>
          </cell>
          <cell r="CE257">
            <v>2370103</v>
          </cell>
          <cell r="CF257">
            <v>2322701</v>
          </cell>
          <cell r="CG257">
            <v>0</v>
          </cell>
          <cell r="CH257">
            <v>47402</v>
          </cell>
        </row>
        <row r="258">
          <cell r="A258">
            <v>251</v>
          </cell>
          <cell r="B258" t="str">
            <v>Southend-on-Sea</v>
          </cell>
          <cell r="C258" t="str">
            <v>E1501</v>
          </cell>
          <cell r="D258">
            <v>234382</v>
          </cell>
          <cell r="H258">
            <v>-2195152</v>
          </cell>
          <cell r="I258">
            <v>0</v>
          </cell>
          <cell r="J258">
            <v>234382</v>
          </cell>
          <cell r="K258">
            <v>0</v>
          </cell>
          <cell r="L258">
            <v>0</v>
          </cell>
          <cell r="M258">
            <v>0</v>
          </cell>
          <cell r="N258">
            <v>0</v>
          </cell>
          <cell r="O258">
            <v>0</v>
          </cell>
          <cell r="P258">
            <v>0</v>
          </cell>
          <cell r="Q258">
            <v>0</v>
          </cell>
          <cell r="R258">
            <v>1539998</v>
          </cell>
          <cell r="S258">
            <v>0</v>
          </cell>
          <cell r="T258">
            <v>31429</v>
          </cell>
          <cell r="U258">
            <v>6763</v>
          </cell>
          <cell r="V258">
            <v>0</v>
          </cell>
          <cell r="W258">
            <v>138</v>
          </cell>
          <cell r="X258">
            <v>0</v>
          </cell>
          <cell r="Y258">
            <v>0</v>
          </cell>
          <cell r="Z258">
            <v>0</v>
          </cell>
          <cell r="AA258">
            <v>0</v>
          </cell>
          <cell r="AB258">
            <v>0</v>
          </cell>
          <cell r="AC258">
            <v>0</v>
          </cell>
          <cell r="AD258">
            <v>0</v>
          </cell>
          <cell r="AE258">
            <v>0</v>
          </cell>
          <cell r="AF258">
            <v>0</v>
          </cell>
          <cell r="AG258">
            <v>0</v>
          </cell>
          <cell r="AH258">
            <v>0</v>
          </cell>
          <cell r="AI258">
            <v>0</v>
          </cell>
          <cell r="AM258">
            <v>0</v>
          </cell>
          <cell r="AN258">
            <v>0</v>
          </cell>
          <cell r="AO258">
            <v>0</v>
          </cell>
          <cell r="AP258">
            <v>310724</v>
          </cell>
          <cell r="AQ258">
            <v>0</v>
          </cell>
          <cell r="AR258">
            <v>6341</v>
          </cell>
          <cell r="AS258">
            <v>-360681.99</v>
          </cell>
          <cell r="AT258">
            <v>-353468</v>
          </cell>
          <cell r="AU258">
            <v>0</v>
          </cell>
          <cell r="AV258">
            <v>-7213</v>
          </cell>
          <cell r="AW258">
            <v>-721362.99</v>
          </cell>
          <cell r="AX258">
            <v>-2296154.2000000002</v>
          </cell>
          <cell r="AY258">
            <v>-2250231</v>
          </cell>
          <cell r="AZ258">
            <v>0</v>
          </cell>
          <cell r="BA258">
            <v>-45922</v>
          </cell>
          <cell r="BB258">
            <v>-4592307.2</v>
          </cell>
          <cell r="BC258">
            <v>46516666</v>
          </cell>
          <cell r="BD258">
            <v>-4963352</v>
          </cell>
          <cell r="BE258">
            <v>1246916</v>
          </cell>
          <cell r="BF258">
            <v>0</v>
          </cell>
          <cell r="BG258">
            <v>-4345751</v>
          </cell>
          <cell r="BH258">
            <v>-53744</v>
          </cell>
          <cell r="BI258">
            <v>0</v>
          </cell>
          <cell r="BJ258">
            <v>-13343</v>
          </cell>
          <cell r="BK258">
            <v>-1740435</v>
          </cell>
          <cell r="BL258">
            <v>-72706</v>
          </cell>
          <cell r="BM258">
            <v>-35468</v>
          </cell>
          <cell r="BN258">
            <v>-3827</v>
          </cell>
          <cell r="BO258">
            <v>0</v>
          </cell>
          <cell r="BP258">
            <v>0</v>
          </cell>
          <cell r="BQ258">
            <v>0</v>
          </cell>
          <cell r="BR258">
            <v>0</v>
          </cell>
          <cell r="BS258">
            <v>0</v>
          </cell>
          <cell r="BT258">
            <v>48191933</v>
          </cell>
          <cell r="BU258">
            <v>-367085</v>
          </cell>
          <cell r="BV258">
            <v>1728602</v>
          </cell>
          <cell r="BW258">
            <v>-1429433</v>
          </cell>
          <cell r="BX258">
            <v>-5100022</v>
          </cell>
          <cell r="BY258">
            <v>-4322184</v>
          </cell>
          <cell r="BZ258">
            <v>42215030</v>
          </cell>
          <cell r="CA258">
            <v>-2550011</v>
          </cell>
          <cell r="CB258">
            <v>-2499011</v>
          </cell>
          <cell r="CC258">
            <v>0</v>
          </cell>
          <cell r="CD258">
            <v>-51000</v>
          </cell>
          <cell r="CE258">
            <v>-2161092</v>
          </cell>
          <cell r="CF258">
            <v>-2117870</v>
          </cell>
          <cell r="CG258">
            <v>0</v>
          </cell>
          <cell r="CH258">
            <v>-43222</v>
          </cell>
        </row>
        <row r="259">
          <cell r="A259">
            <v>252</v>
          </cell>
          <cell r="B259" t="str">
            <v>Southwark</v>
          </cell>
          <cell r="C259" t="str">
            <v>E5019</v>
          </cell>
          <cell r="D259">
            <v>720423</v>
          </cell>
          <cell r="H259">
            <v>22881500</v>
          </cell>
          <cell r="I259">
            <v>0</v>
          </cell>
          <cell r="J259">
            <v>720423</v>
          </cell>
          <cell r="K259">
            <v>0</v>
          </cell>
          <cell r="L259">
            <v>0</v>
          </cell>
          <cell r="M259">
            <v>0</v>
          </cell>
          <cell r="N259">
            <v>0</v>
          </cell>
          <cell r="O259">
            <v>0</v>
          </cell>
          <cell r="P259">
            <v>0</v>
          </cell>
          <cell r="Q259">
            <v>0</v>
          </cell>
          <cell r="R259">
            <v>1080480</v>
          </cell>
          <cell r="S259">
            <v>1332592</v>
          </cell>
          <cell r="T259">
            <v>0</v>
          </cell>
          <cell r="U259">
            <v>0</v>
          </cell>
          <cell r="V259">
            <v>0</v>
          </cell>
          <cell r="W259">
            <v>0</v>
          </cell>
          <cell r="X259">
            <v>0</v>
          </cell>
          <cell r="Y259">
            <v>0</v>
          </cell>
          <cell r="Z259">
            <v>0</v>
          </cell>
          <cell r="AA259">
            <v>2857</v>
          </cell>
          <cell r="AB259">
            <v>3524</v>
          </cell>
          <cell r="AC259">
            <v>0</v>
          </cell>
          <cell r="AD259">
            <v>0</v>
          </cell>
          <cell r="AE259">
            <v>0</v>
          </cell>
          <cell r="AF259">
            <v>0</v>
          </cell>
          <cell r="AG259">
            <v>0</v>
          </cell>
          <cell r="AH259">
            <v>0</v>
          </cell>
          <cell r="AI259">
            <v>0</v>
          </cell>
          <cell r="AM259">
            <v>0</v>
          </cell>
          <cell r="AN259">
            <v>0</v>
          </cell>
          <cell r="AO259">
            <v>0</v>
          </cell>
          <cell r="AP259">
            <v>1237004</v>
          </cell>
          <cell r="AQ259">
            <v>1525638</v>
          </cell>
          <cell r="AR259">
            <v>0</v>
          </cell>
          <cell r="AS259">
            <v>-2841952</v>
          </cell>
          <cell r="AT259">
            <v>-1705169.8</v>
          </cell>
          <cell r="AU259">
            <v>-1136780</v>
          </cell>
          <cell r="AV259">
            <v>0</v>
          </cell>
          <cell r="AW259">
            <v>-5683902</v>
          </cell>
          <cell r="AX259">
            <v>-20164893</v>
          </cell>
          <cell r="AY259">
            <v>-12098937</v>
          </cell>
          <cell r="AZ259">
            <v>-8065957</v>
          </cell>
          <cell r="BA259">
            <v>0</v>
          </cell>
          <cell r="BB259">
            <v>-40329787</v>
          </cell>
          <cell r="BC259">
            <v>231139833</v>
          </cell>
          <cell r="BD259">
            <v>-5889937</v>
          </cell>
          <cell r="BE259">
            <v>8172214</v>
          </cell>
          <cell r="BF259">
            <v>0</v>
          </cell>
          <cell r="BG259">
            <v>-25222293</v>
          </cell>
          <cell r="BH259">
            <v>-45268</v>
          </cell>
          <cell r="BI259">
            <v>0</v>
          </cell>
          <cell r="BJ259">
            <v>-21441</v>
          </cell>
          <cell r="BK259">
            <v>-5920609</v>
          </cell>
          <cell r="BL259">
            <v>-225501</v>
          </cell>
          <cell r="BM259">
            <v>-61426</v>
          </cell>
          <cell r="BN259">
            <v>0</v>
          </cell>
          <cell r="BO259">
            <v>0</v>
          </cell>
          <cell r="BP259">
            <v>0</v>
          </cell>
          <cell r="BQ259">
            <v>0</v>
          </cell>
          <cell r="BR259">
            <v>0</v>
          </cell>
          <cell r="BS259">
            <v>0</v>
          </cell>
          <cell r="BT259">
            <v>256745187</v>
          </cell>
          <cell r="BU259">
            <v>-1468697</v>
          </cell>
          <cell r="BV259">
            <v>33635667</v>
          </cell>
          <cell r="BW259">
            <v>-17438369</v>
          </cell>
          <cell r="BX259">
            <v>1708609</v>
          </cell>
          <cell r="BY259">
            <v>15151180</v>
          </cell>
          <cell r="BZ259">
            <v>274497100</v>
          </cell>
          <cell r="CA259">
            <v>854304</v>
          </cell>
          <cell r="CB259">
            <v>512582</v>
          </cell>
          <cell r="CC259">
            <v>341723</v>
          </cell>
          <cell r="CD259">
            <v>0</v>
          </cell>
          <cell r="CE259">
            <v>7575590</v>
          </cell>
          <cell r="CF259">
            <v>4545354</v>
          </cell>
          <cell r="CG259">
            <v>3030236</v>
          </cell>
          <cell r="CH259">
            <v>0</v>
          </cell>
        </row>
        <row r="260">
          <cell r="A260">
            <v>253</v>
          </cell>
          <cell r="B260" t="str">
            <v>Spelthorne</v>
          </cell>
          <cell r="C260" t="str">
            <v>E3637</v>
          </cell>
          <cell r="D260">
            <v>128748</v>
          </cell>
          <cell r="H260">
            <v>1018095</v>
          </cell>
          <cell r="I260">
            <v>0</v>
          </cell>
          <cell r="J260">
            <v>128748</v>
          </cell>
          <cell r="K260">
            <v>0</v>
          </cell>
          <cell r="L260">
            <v>0</v>
          </cell>
          <cell r="M260">
            <v>0</v>
          </cell>
          <cell r="N260">
            <v>0</v>
          </cell>
          <cell r="O260">
            <v>0</v>
          </cell>
          <cell r="P260">
            <v>0</v>
          </cell>
          <cell r="Q260">
            <v>0</v>
          </cell>
          <cell r="R260">
            <v>356004</v>
          </cell>
          <cell r="S260">
            <v>89001</v>
          </cell>
          <cell r="T260">
            <v>0</v>
          </cell>
          <cell r="U260">
            <v>0</v>
          </cell>
          <cell r="V260">
            <v>0</v>
          </cell>
          <cell r="W260">
            <v>0</v>
          </cell>
          <cell r="X260">
            <v>0</v>
          </cell>
          <cell r="Y260">
            <v>0</v>
          </cell>
          <cell r="Z260">
            <v>0</v>
          </cell>
          <cell r="AA260">
            <v>1860</v>
          </cell>
          <cell r="AB260">
            <v>465</v>
          </cell>
          <cell r="AC260">
            <v>0</v>
          </cell>
          <cell r="AD260">
            <v>0</v>
          </cell>
          <cell r="AE260">
            <v>0</v>
          </cell>
          <cell r="AF260">
            <v>0</v>
          </cell>
          <cell r="AG260">
            <v>0</v>
          </cell>
          <cell r="AH260">
            <v>0</v>
          </cell>
          <cell r="AI260">
            <v>0</v>
          </cell>
          <cell r="AM260">
            <v>0</v>
          </cell>
          <cell r="AN260">
            <v>0</v>
          </cell>
          <cell r="AO260">
            <v>0</v>
          </cell>
          <cell r="AP260">
            <v>293077</v>
          </cell>
          <cell r="AQ260">
            <v>73269</v>
          </cell>
          <cell r="AR260">
            <v>0</v>
          </cell>
          <cell r="AS260">
            <v>-303723.5</v>
          </cell>
          <cell r="AT260">
            <v>-242978</v>
          </cell>
          <cell r="AU260">
            <v>-60744.5</v>
          </cell>
          <cell r="AV260">
            <v>0</v>
          </cell>
          <cell r="AW260">
            <v>-607446</v>
          </cell>
          <cell r="AX260">
            <v>-1541746</v>
          </cell>
          <cell r="AY260">
            <v>-1233396</v>
          </cell>
          <cell r="AZ260">
            <v>-308348</v>
          </cell>
          <cell r="BA260">
            <v>0</v>
          </cell>
          <cell r="BB260">
            <v>-3083490</v>
          </cell>
          <cell r="BC260">
            <v>42951504</v>
          </cell>
          <cell r="BD260">
            <v>-1357800</v>
          </cell>
          <cell r="BE260">
            <v>1220269</v>
          </cell>
          <cell r="BF260">
            <v>0</v>
          </cell>
          <cell r="BG260">
            <v>-2172590</v>
          </cell>
          <cell r="BH260">
            <v>-29820</v>
          </cell>
          <cell r="BI260">
            <v>0</v>
          </cell>
          <cell r="BJ260">
            <v>-8628</v>
          </cell>
          <cell r="BK260">
            <v>-937364</v>
          </cell>
          <cell r="BL260">
            <v>-52359</v>
          </cell>
          <cell r="BM260">
            <v>-47779</v>
          </cell>
          <cell r="BN260">
            <v>-6809</v>
          </cell>
          <cell r="BO260">
            <v>0</v>
          </cell>
          <cell r="BP260">
            <v>0</v>
          </cell>
          <cell r="BQ260">
            <v>0</v>
          </cell>
          <cell r="BR260">
            <v>0</v>
          </cell>
          <cell r="BS260">
            <v>0</v>
          </cell>
          <cell r="BT260">
            <v>42173171</v>
          </cell>
          <cell r="BU260">
            <v>-857889</v>
          </cell>
          <cell r="BV260">
            <v>957253</v>
          </cell>
          <cell r="BW260">
            <v>-2354653</v>
          </cell>
          <cell r="BX260">
            <v>76225</v>
          </cell>
          <cell r="BY260">
            <v>2259000</v>
          </cell>
          <cell r="BZ260">
            <v>48776376</v>
          </cell>
          <cell r="CA260">
            <v>38112</v>
          </cell>
          <cell r="CB260">
            <v>30491</v>
          </cell>
          <cell r="CC260">
            <v>7622</v>
          </cell>
          <cell r="CD260">
            <v>0</v>
          </cell>
          <cell r="CE260">
            <v>1129500</v>
          </cell>
          <cell r="CF260">
            <v>903600</v>
          </cell>
          <cell r="CG260">
            <v>225900</v>
          </cell>
          <cell r="CH260">
            <v>0</v>
          </cell>
        </row>
        <row r="261">
          <cell r="A261">
            <v>254</v>
          </cell>
          <cell r="B261" t="str">
            <v>St Albans</v>
          </cell>
          <cell r="C261" t="str">
            <v>E1936</v>
          </cell>
          <cell r="D261">
            <v>188622</v>
          </cell>
          <cell r="H261">
            <v>-2229175</v>
          </cell>
          <cell r="I261">
            <v>-167188</v>
          </cell>
          <cell r="J261">
            <v>188622</v>
          </cell>
          <cell r="K261">
            <v>0</v>
          </cell>
          <cell r="L261">
            <v>0</v>
          </cell>
          <cell r="M261">
            <v>0</v>
          </cell>
          <cell r="N261">
            <v>0</v>
          </cell>
          <cell r="O261">
            <v>0</v>
          </cell>
          <cell r="P261">
            <v>0</v>
          </cell>
          <cell r="Q261">
            <v>0</v>
          </cell>
          <cell r="R261">
            <v>540243</v>
          </cell>
          <cell r="S261">
            <v>135061</v>
          </cell>
          <cell r="T261">
            <v>0</v>
          </cell>
          <cell r="U261">
            <v>0</v>
          </cell>
          <cell r="V261">
            <v>0</v>
          </cell>
          <cell r="W261">
            <v>0</v>
          </cell>
          <cell r="X261">
            <v>0</v>
          </cell>
          <cell r="Y261">
            <v>0</v>
          </cell>
          <cell r="Z261">
            <v>0</v>
          </cell>
          <cell r="AA261">
            <v>1798</v>
          </cell>
          <cell r="AB261">
            <v>449</v>
          </cell>
          <cell r="AC261">
            <v>0</v>
          </cell>
          <cell r="AD261">
            <v>0</v>
          </cell>
          <cell r="AE261">
            <v>0</v>
          </cell>
          <cell r="AF261">
            <v>0</v>
          </cell>
          <cell r="AG261">
            <v>0</v>
          </cell>
          <cell r="AH261">
            <v>0</v>
          </cell>
          <cell r="AI261">
            <v>0</v>
          </cell>
          <cell r="AM261">
            <v>0</v>
          </cell>
          <cell r="AN261">
            <v>0</v>
          </cell>
          <cell r="AO261">
            <v>0</v>
          </cell>
          <cell r="AP261">
            <v>348304</v>
          </cell>
          <cell r="AQ261">
            <v>87076</v>
          </cell>
          <cell r="AR261">
            <v>0</v>
          </cell>
          <cell r="AS261">
            <v>-799500</v>
          </cell>
          <cell r="AT261">
            <v>-639600</v>
          </cell>
          <cell r="AU261">
            <v>-159900</v>
          </cell>
          <cell r="AV261">
            <v>0</v>
          </cell>
          <cell r="AW261">
            <v>-1599000</v>
          </cell>
          <cell r="AX261">
            <v>-4859999.8</v>
          </cell>
          <cell r="AY261">
            <v>-3888000</v>
          </cell>
          <cell r="AZ261">
            <v>-972001</v>
          </cell>
          <cell r="BA261">
            <v>0</v>
          </cell>
          <cell r="BB261">
            <v>-9720000.8000000007</v>
          </cell>
          <cell r="BC261">
            <v>60513885</v>
          </cell>
          <cell r="BD261">
            <v>-1733034</v>
          </cell>
          <cell r="BE261">
            <v>1760825</v>
          </cell>
          <cell r="BF261">
            <v>0</v>
          </cell>
          <cell r="BG261">
            <v>-5458015</v>
          </cell>
          <cell r="BH261">
            <v>-84786</v>
          </cell>
          <cell r="BI261">
            <v>0</v>
          </cell>
          <cell r="BJ261">
            <v>-4020</v>
          </cell>
          <cell r="BK261">
            <v>-2874302</v>
          </cell>
          <cell r="BL261">
            <v>-134949</v>
          </cell>
          <cell r="BM261">
            <v>-21689</v>
          </cell>
          <cell r="BN261">
            <v>-1168</v>
          </cell>
          <cell r="BO261">
            <v>0</v>
          </cell>
          <cell r="BP261">
            <v>0</v>
          </cell>
          <cell r="BQ261">
            <v>0</v>
          </cell>
          <cell r="BR261">
            <v>0</v>
          </cell>
          <cell r="BS261">
            <v>0</v>
          </cell>
          <cell r="BT261">
            <v>61928154</v>
          </cell>
          <cell r="BU261">
            <v>0</v>
          </cell>
          <cell r="BV261">
            <v>2468367</v>
          </cell>
          <cell r="BW261">
            <v>-1282005</v>
          </cell>
          <cell r="BX261">
            <v>-6242755</v>
          </cell>
          <cell r="BY261">
            <v>-288652</v>
          </cell>
          <cell r="BZ261">
            <v>57967698</v>
          </cell>
          <cell r="CA261">
            <v>-3121377</v>
          </cell>
          <cell r="CB261">
            <v>-2497102</v>
          </cell>
          <cell r="CC261">
            <v>-624276</v>
          </cell>
          <cell r="CD261">
            <v>0</v>
          </cell>
          <cell r="CE261">
            <v>-144326</v>
          </cell>
          <cell r="CF261">
            <v>-115461</v>
          </cell>
          <cell r="CG261">
            <v>-28865</v>
          </cell>
          <cell r="CH261">
            <v>0</v>
          </cell>
        </row>
        <row r="262">
          <cell r="A262">
            <v>255</v>
          </cell>
          <cell r="B262" t="str">
            <v>St Edmundsbury</v>
          </cell>
          <cell r="C262" t="str">
            <v>E3535</v>
          </cell>
          <cell r="D262">
            <v>158330</v>
          </cell>
          <cell r="H262">
            <v>-1283993</v>
          </cell>
          <cell r="I262">
            <v>0</v>
          </cell>
          <cell r="J262">
            <v>158330</v>
          </cell>
          <cell r="K262">
            <v>0</v>
          </cell>
          <cell r="L262">
            <v>238498</v>
          </cell>
          <cell r="M262">
            <v>0</v>
          </cell>
          <cell r="N262">
            <v>0</v>
          </cell>
          <cell r="O262">
            <v>0</v>
          </cell>
          <cell r="P262">
            <v>0</v>
          </cell>
          <cell r="Q262">
            <v>0</v>
          </cell>
          <cell r="R262">
            <v>632278</v>
          </cell>
          <cell r="S262">
            <v>158070</v>
          </cell>
          <cell r="T262">
            <v>0</v>
          </cell>
          <cell r="U262">
            <v>0</v>
          </cell>
          <cell r="V262">
            <v>0</v>
          </cell>
          <cell r="W262">
            <v>0</v>
          </cell>
          <cell r="X262">
            <v>65668</v>
          </cell>
          <cell r="Y262">
            <v>16417</v>
          </cell>
          <cell r="Z262">
            <v>0</v>
          </cell>
          <cell r="AA262">
            <v>0</v>
          </cell>
          <cell r="AB262">
            <v>0</v>
          </cell>
          <cell r="AC262">
            <v>0</v>
          </cell>
          <cell r="AD262">
            <v>0</v>
          </cell>
          <cell r="AE262">
            <v>0</v>
          </cell>
          <cell r="AF262">
            <v>0</v>
          </cell>
          <cell r="AG262">
            <v>0</v>
          </cell>
          <cell r="AH262">
            <v>0</v>
          </cell>
          <cell r="AI262">
            <v>0</v>
          </cell>
          <cell r="AM262">
            <v>0</v>
          </cell>
          <cell r="AN262">
            <v>0</v>
          </cell>
          <cell r="AO262">
            <v>0</v>
          </cell>
          <cell r="AP262">
            <v>270355</v>
          </cell>
          <cell r="AQ262">
            <v>66693</v>
          </cell>
          <cell r="AR262">
            <v>0</v>
          </cell>
          <cell r="AS262">
            <v>-301002.17000000004</v>
          </cell>
          <cell r="AT262">
            <v>-240803</v>
          </cell>
          <cell r="AU262">
            <v>-60200</v>
          </cell>
          <cell r="AV262">
            <v>0</v>
          </cell>
          <cell r="AW262">
            <v>-602005.17000000004</v>
          </cell>
          <cell r="AX262">
            <v>-1386771</v>
          </cell>
          <cell r="AY262">
            <v>-1109420</v>
          </cell>
          <cell r="AZ262">
            <v>-277354</v>
          </cell>
          <cell r="BA262">
            <v>0</v>
          </cell>
          <cell r="BB262">
            <v>-2773545</v>
          </cell>
          <cell r="BC262">
            <v>48520654</v>
          </cell>
          <cell r="BD262">
            <v>-2052366</v>
          </cell>
          <cell r="BE262">
            <v>1270727</v>
          </cell>
          <cell r="BF262">
            <v>0</v>
          </cell>
          <cell r="BG262">
            <v>-2739711</v>
          </cell>
          <cell r="BH262">
            <v>-21441</v>
          </cell>
          <cell r="BI262">
            <v>-52682</v>
          </cell>
          <cell r="BJ262">
            <v>0</v>
          </cell>
          <cell r="BK262">
            <v>-1126130</v>
          </cell>
          <cell r="BL262">
            <v>-38418</v>
          </cell>
          <cell r="BM262">
            <v>-108263</v>
          </cell>
          <cell r="BN262">
            <v>-4315</v>
          </cell>
          <cell r="BO262">
            <v>-17604</v>
          </cell>
          <cell r="BP262">
            <v>-3642</v>
          </cell>
          <cell r="BQ262">
            <v>0</v>
          </cell>
          <cell r="BR262">
            <v>0</v>
          </cell>
          <cell r="BS262">
            <v>0</v>
          </cell>
          <cell r="BT262">
            <v>48546992</v>
          </cell>
          <cell r="BU262">
            <v>-85993</v>
          </cell>
          <cell r="BV262">
            <v>1944356</v>
          </cell>
          <cell r="BW262">
            <v>-593777</v>
          </cell>
          <cell r="BX262">
            <v>1570316.2800000012</v>
          </cell>
          <cell r="BY262">
            <v>1888342</v>
          </cell>
          <cell r="BZ262">
            <v>44398571</v>
          </cell>
          <cell r="CA262">
            <v>785158.28000000119</v>
          </cell>
          <cell r="CB262">
            <v>628127</v>
          </cell>
          <cell r="CC262">
            <v>157031</v>
          </cell>
          <cell r="CD262">
            <v>0</v>
          </cell>
          <cell r="CE262">
            <v>944171</v>
          </cell>
          <cell r="CF262">
            <v>755337</v>
          </cell>
          <cell r="CG262">
            <v>188834</v>
          </cell>
          <cell r="CH262">
            <v>0</v>
          </cell>
        </row>
        <row r="263">
          <cell r="A263">
            <v>256</v>
          </cell>
          <cell r="B263" t="str">
            <v>St Helens</v>
          </cell>
          <cell r="C263" t="str">
            <v>E4303</v>
          </cell>
          <cell r="D263">
            <v>190546</v>
          </cell>
          <cell r="H263">
            <v>-2372989</v>
          </cell>
          <cell r="I263">
            <v>0</v>
          </cell>
          <cell r="J263">
            <v>190546</v>
          </cell>
          <cell r="K263">
            <v>0</v>
          </cell>
          <cell r="L263">
            <v>0</v>
          </cell>
          <cell r="M263">
            <v>0</v>
          </cell>
          <cell r="N263">
            <v>0</v>
          </cell>
          <cell r="O263">
            <v>0</v>
          </cell>
          <cell r="P263">
            <v>0</v>
          </cell>
          <cell r="Q263">
            <v>0</v>
          </cell>
          <cell r="R263">
            <v>2436605</v>
          </cell>
          <cell r="S263">
            <v>0</v>
          </cell>
          <cell r="T263">
            <v>24612</v>
          </cell>
          <cell r="U263">
            <v>11069</v>
          </cell>
          <cell r="V263">
            <v>0</v>
          </cell>
          <cell r="W263">
            <v>112</v>
          </cell>
          <cell r="X263">
            <v>0</v>
          </cell>
          <cell r="Y263">
            <v>0</v>
          </cell>
          <cell r="Z263">
            <v>0</v>
          </cell>
          <cell r="AA263">
            <v>719</v>
          </cell>
          <cell r="AB263">
            <v>0</v>
          </cell>
          <cell r="AC263">
            <v>7</v>
          </cell>
          <cell r="AD263">
            <v>0</v>
          </cell>
          <cell r="AE263">
            <v>0</v>
          </cell>
          <cell r="AF263">
            <v>0</v>
          </cell>
          <cell r="AG263">
            <v>0</v>
          </cell>
          <cell r="AH263">
            <v>0</v>
          </cell>
          <cell r="AI263">
            <v>0</v>
          </cell>
          <cell r="AM263">
            <v>0</v>
          </cell>
          <cell r="AN263">
            <v>0</v>
          </cell>
          <cell r="AO263">
            <v>0</v>
          </cell>
          <cell r="AP263">
            <v>669689</v>
          </cell>
          <cell r="AQ263">
            <v>0</v>
          </cell>
          <cell r="AR263">
            <v>6765</v>
          </cell>
          <cell r="AS263">
            <v>-2025245</v>
          </cell>
          <cell r="AT263">
            <v>-1984739</v>
          </cell>
          <cell r="AU263">
            <v>0</v>
          </cell>
          <cell r="AV263">
            <v>-40504</v>
          </cell>
          <cell r="AW263">
            <v>-4050488</v>
          </cell>
          <cell r="AX263">
            <v>-4683143</v>
          </cell>
          <cell r="AY263">
            <v>-4589482</v>
          </cell>
          <cell r="AZ263">
            <v>0</v>
          </cell>
          <cell r="BA263">
            <v>-93664</v>
          </cell>
          <cell r="BB263">
            <v>-9366289</v>
          </cell>
          <cell r="BC263">
            <v>50343905</v>
          </cell>
          <cell r="BD263">
            <v>-3430430</v>
          </cell>
          <cell r="BE263">
            <v>1475917</v>
          </cell>
          <cell r="BF263">
            <v>0</v>
          </cell>
          <cell r="BG263">
            <v>-3342445</v>
          </cell>
          <cell r="BH263">
            <v>-81551</v>
          </cell>
          <cell r="BI263">
            <v>0</v>
          </cell>
          <cell r="BJ263">
            <v>-2091</v>
          </cell>
          <cell r="BK263">
            <v>-2101090</v>
          </cell>
          <cell r="BL263">
            <v>-247960</v>
          </cell>
          <cell r="BM263">
            <v>-42091</v>
          </cell>
          <cell r="BN263">
            <v>-14095</v>
          </cell>
          <cell r="BO263">
            <v>0</v>
          </cell>
          <cell r="BP263">
            <v>0</v>
          </cell>
          <cell r="BQ263">
            <v>0</v>
          </cell>
          <cell r="BR263">
            <v>0</v>
          </cell>
          <cell r="BS263">
            <v>0</v>
          </cell>
          <cell r="BT263">
            <v>54042069</v>
          </cell>
          <cell r="BU263">
            <v>-655401</v>
          </cell>
          <cell r="BV263">
            <v>5004815</v>
          </cell>
          <cell r="BW263">
            <v>-1577967</v>
          </cell>
          <cell r="BX263">
            <v>960905</v>
          </cell>
          <cell r="BY263">
            <v>285982</v>
          </cell>
          <cell r="BZ263">
            <v>45032501</v>
          </cell>
          <cell r="CA263">
            <v>480453</v>
          </cell>
          <cell r="CB263">
            <v>470843</v>
          </cell>
          <cell r="CC263">
            <v>0</v>
          </cell>
          <cell r="CD263">
            <v>9609</v>
          </cell>
          <cell r="CE263">
            <v>142991</v>
          </cell>
          <cell r="CF263">
            <v>140131</v>
          </cell>
          <cell r="CG263">
            <v>0</v>
          </cell>
          <cell r="CH263">
            <v>2860</v>
          </cell>
        </row>
        <row r="264">
          <cell r="A264">
            <v>257</v>
          </cell>
          <cell r="B264" t="str">
            <v>Stafford</v>
          </cell>
          <cell r="C264" t="str">
            <v>E3436</v>
          </cell>
          <cell r="D264">
            <v>167690</v>
          </cell>
          <cell r="H264">
            <v>-1153518</v>
          </cell>
          <cell r="I264">
            <v>0</v>
          </cell>
          <cell r="J264">
            <v>167690</v>
          </cell>
          <cell r="K264">
            <v>0</v>
          </cell>
          <cell r="L264">
            <v>0</v>
          </cell>
          <cell r="M264">
            <v>0</v>
          </cell>
          <cell r="N264">
            <v>0</v>
          </cell>
          <cell r="O264">
            <v>0</v>
          </cell>
          <cell r="P264">
            <v>0</v>
          </cell>
          <cell r="Q264">
            <v>0</v>
          </cell>
          <cell r="R264">
            <v>659124</v>
          </cell>
          <cell r="S264">
            <v>148303</v>
          </cell>
          <cell r="T264">
            <v>16478</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M264">
            <v>0</v>
          </cell>
          <cell r="AN264">
            <v>0</v>
          </cell>
          <cell r="AO264">
            <v>0</v>
          </cell>
          <cell r="AP264">
            <v>276498</v>
          </cell>
          <cell r="AQ264">
            <v>62212</v>
          </cell>
          <cell r="AR264">
            <v>6912</v>
          </cell>
          <cell r="AS264">
            <v>-499242</v>
          </cell>
          <cell r="AT264">
            <v>-399391</v>
          </cell>
          <cell r="AU264">
            <v>-89863</v>
          </cell>
          <cell r="AV264">
            <v>-9985</v>
          </cell>
          <cell r="AW264">
            <v>-998481</v>
          </cell>
          <cell r="AX264">
            <v>-2458338</v>
          </cell>
          <cell r="AY264">
            <v>-1966670</v>
          </cell>
          <cell r="AZ264">
            <v>-442501</v>
          </cell>
          <cell r="BA264">
            <v>-49168</v>
          </cell>
          <cell r="BB264">
            <v>-4916677</v>
          </cell>
          <cell r="BC264">
            <v>46738723</v>
          </cell>
          <cell r="BD264">
            <v>-2577801</v>
          </cell>
          <cell r="BE264">
            <v>1257061</v>
          </cell>
          <cell r="BF264">
            <v>0</v>
          </cell>
          <cell r="BG264">
            <v>-2793000</v>
          </cell>
          <cell r="BH264">
            <v>-76200</v>
          </cell>
          <cell r="BI264">
            <v>-20329</v>
          </cell>
          <cell r="BJ264">
            <v>0</v>
          </cell>
          <cell r="BK264">
            <v>-1708412</v>
          </cell>
          <cell r="BL264">
            <v>-195571</v>
          </cell>
          <cell r="BM264">
            <v>-76279</v>
          </cell>
          <cell r="BN264">
            <v>-2892</v>
          </cell>
          <cell r="BO264">
            <v>-17954</v>
          </cell>
          <cell r="BP264">
            <v>-4066</v>
          </cell>
          <cell r="BQ264">
            <v>0</v>
          </cell>
          <cell r="BR264">
            <v>0</v>
          </cell>
          <cell r="BS264">
            <v>0</v>
          </cell>
          <cell r="BT264">
            <v>47259845</v>
          </cell>
          <cell r="BU264">
            <v>-308354</v>
          </cell>
          <cell r="BV264">
            <v>1786925</v>
          </cell>
          <cell r="BW264">
            <v>-545117</v>
          </cell>
          <cell r="BX264">
            <v>610410.53000000026</v>
          </cell>
          <cell r="BY264">
            <v>5008214</v>
          </cell>
          <cell r="BZ264">
            <v>46017127</v>
          </cell>
          <cell r="CA264">
            <v>305206.53000000026</v>
          </cell>
          <cell r="CB264">
            <v>244164</v>
          </cell>
          <cell r="CC264">
            <v>54936</v>
          </cell>
          <cell r="CD264">
            <v>6104</v>
          </cell>
          <cell r="CE264">
            <v>2504107</v>
          </cell>
          <cell r="CF264">
            <v>2003286</v>
          </cell>
          <cell r="CG264">
            <v>450739</v>
          </cell>
          <cell r="CH264">
            <v>50082</v>
          </cell>
        </row>
        <row r="265">
          <cell r="A265">
            <v>258</v>
          </cell>
          <cell r="B265" t="str">
            <v>Staffordshire Moorlands</v>
          </cell>
          <cell r="C265" t="str">
            <v>E3437</v>
          </cell>
          <cell r="D265">
            <v>115457</v>
          </cell>
          <cell r="H265">
            <v>1308049</v>
          </cell>
          <cell r="I265">
            <v>0</v>
          </cell>
          <cell r="J265">
            <v>115457</v>
          </cell>
          <cell r="K265">
            <v>0</v>
          </cell>
          <cell r="L265">
            <v>0</v>
          </cell>
          <cell r="M265">
            <v>0</v>
          </cell>
          <cell r="N265">
            <v>0</v>
          </cell>
          <cell r="O265">
            <v>0</v>
          </cell>
          <cell r="P265">
            <v>0</v>
          </cell>
          <cell r="Q265">
            <v>0</v>
          </cell>
          <cell r="R265">
            <v>597199</v>
          </cell>
          <cell r="S265">
            <v>134370</v>
          </cell>
          <cell r="T265">
            <v>14930</v>
          </cell>
          <cell r="U265">
            <v>0</v>
          </cell>
          <cell r="V265">
            <v>0</v>
          </cell>
          <cell r="W265">
            <v>0</v>
          </cell>
          <cell r="X265">
            <v>3087</v>
          </cell>
          <cell r="Y265">
            <v>695</v>
          </cell>
          <cell r="Z265">
            <v>77</v>
          </cell>
          <cell r="AA265">
            <v>1724</v>
          </cell>
          <cell r="AB265">
            <v>388</v>
          </cell>
          <cell r="AC265">
            <v>43</v>
          </cell>
          <cell r="AD265">
            <v>0</v>
          </cell>
          <cell r="AE265">
            <v>0</v>
          </cell>
          <cell r="AF265">
            <v>0</v>
          </cell>
          <cell r="AG265">
            <v>0</v>
          </cell>
          <cell r="AH265">
            <v>0</v>
          </cell>
          <cell r="AI265">
            <v>0</v>
          </cell>
          <cell r="AM265">
            <v>0</v>
          </cell>
          <cell r="AN265">
            <v>0</v>
          </cell>
          <cell r="AO265">
            <v>0</v>
          </cell>
          <cell r="AP265">
            <v>122204</v>
          </cell>
          <cell r="AQ265">
            <v>27496</v>
          </cell>
          <cell r="AR265">
            <v>3055</v>
          </cell>
          <cell r="AS265">
            <v>-218655</v>
          </cell>
          <cell r="AT265">
            <v>-174924</v>
          </cell>
          <cell r="AU265">
            <v>-39359</v>
          </cell>
          <cell r="AV265">
            <v>-4374</v>
          </cell>
          <cell r="AW265">
            <v>-437312</v>
          </cell>
          <cell r="AX265">
            <v>-1001284.5800000001</v>
          </cell>
          <cell r="AY265">
            <v>-801026</v>
          </cell>
          <cell r="AZ265">
            <v>-180230</v>
          </cell>
          <cell r="BA265">
            <v>-20026</v>
          </cell>
          <cell r="BB265">
            <v>-2002566.5</v>
          </cell>
          <cell r="BC265">
            <v>18540216</v>
          </cell>
          <cell r="BD265">
            <v>-2461251</v>
          </cell>
          <cell r="BE265">
            <v>482802</v>
          </cell>
          <cell r="BF265">
            <v>0</v>
          </cell>
          <cell r="BG265">
            <v>-1331518</v>
          </cell>
          <cell r="BH265">
            <v>-47593</v>
          </cell>
          <cell r="BI265">
            <v>-19175</v>
          </cell>
          <cell r="BJ265">
            <v>-28084</v>
          </cell>
          <cell r="BK265">
            <v>-551014</v>
          </cell>
          <cell r="BL265">
            <v>-97250</v>
          </cell>
          <cell r="BM265">
            <v>-124127</v>
          </cell>
          <cell r="BN265">
            <v>-2704</v>
          </cell>
          <cell r="BO265">
            <v>-13429</v>
          </cell>
          <cell r="BP265">
            <v>0</v>
          </cell>
          <cell r="BQ265">
            <v>0</v>
          </cell>
          <cell r="BR265">
            <v>0</v>
          </cell>
          <cell r="BS265">
            <v>0</v>
          </cell>
          <cell r="BT265">
            <v>18781030</v>
          </cell>
          <cell r="BU265">
            <v>-7624</v>
          </cell>
          <cell r="BV265">
            <v>702996</v>
          </cell>
          <cell r="BW265">
            <v>-399176</v>
          </cell>
          <cell r="BX265">
            <v>-678782</v>
          </cell>
          <cell r="BY265">
            <v>-361317</v>
          </cell>
          <cell r="BZ265">
            <v>20338236</v>
          </cell>
          <cell r="CA265">
            <v>-339390</v>
          </cell>
          <cell r="CB265">
            <v>-271513</v>
          </cell>
          <cell r="CC265">
            <v>-61091</v>
          </cell>
          <cell r="CD265">
            <v>-6788</v>
          </cell>
          <cell r="CE265">
            <v>-180658</v>
          </cell>
          <cell r="CF265">
            <v>-144527</v>
          </cell>
          <cell r="CG265">
            <v>-32519</v>
          </cell>
          <cell r="CH265">
            <v>-3613</v>
          </cell>
        </row>
        <row r="266">
          <cell r="A266">
            <v>259</v>
          </cell>
          <cell r="B266" t="str">
            <v>Stevenage</v>
          </cell>
          <cell r="C266" t="str">
            <v>E1937</v>
          </cell>
          <cell r="D266">
            <v>109538</v>
          </cell>
          <cell r="H266">
            <v>-2867754</v>
          </cell>
          <cell r="I266">
            <v>0</v>
          </cell>
          <cell r="J266">
            <v>109538</v>
          </cell>
          <cell r="K266">
            <v>0</v>
          </cell>
          <cell r="L266">
            <v>0</v>
          </cell>
          <cell r="M266">
            <v>0</v>
          </cell>
          <cell r="N266">
            <v>0</v>
          </cell>
          <cell r="O266">
            <v>0</v>
          </cell>
          <cell r="P266">
            <v>0</v>
          </cell>
          <cell r="Q266">
            <v>0</v>
          </cell>
          <cell r="R266">
            <v>334926</v>
          </cell>
          <cell r="S266">
            <v>83731</v>
          </cell>
          <cell r="T266">
            <v>0</v>
          </cell>
          <cell r="U266">
            <v>0</v>
          </cell>
          <cell r="V266">
            <v>0</v>
          </cell>
          <cell r="W266">
            <v>0</v>
          </cell>
          <cell r="X266">
            <v>19298</v>
          </cell>
          <cell r="Y266">
            <v>4825</v>
          </cell>
          <cell r="Z266">
            <v>0</v>
          </cell>
          <cell r="AA266">
            <v>7518</v>
          </cell>
          <cell r="AB266">
            <v>1880</v>
          </cell>
          <cell r="AC266">
            <v>0</v>
          </cell>
          <cell r="AD266">
            <v>0</v>
          </cell>
          <cell r="AE266">
            <v>0</v>
          </cell>
          <cell r="AF266">
            <v>0</v>
          </cell>
          <cell r="AG266">
            <v>0</v>
          </cell>
          <cell r="AH266">
            <v>0</v>
          </cell>
          <cell r="AI266">
            <v>0</v>
          </cell>
          <cell r="AM266">
            <v>0</v>
          </cell>
          <cell r="AN266">
            <v>0</v>
          </cell>
          <cell r="AO266">
            <v>0</v>
          </cell>
          <cell r="AP266">
            <v>253508</v>
          </cell>
          <cell r="AQ266">
            <v>63377</v>
          </cell>
          <cell r="AR266">
            <v>0</v>
          </cell>
          <cell r="AS266">
            <v>-695147</v>
          </cell>
          <cell r="AT266">
            <v>-556118</v>
          </cell>
          <cell r="AU266">
            <v>-139029</v>
          </cell>
          <cell r="AV266">
            <v>0</v>
          </cell>
          <cell r="AW266">
            <v>-1390294</v>
          </cell>
          <cell r="AX266">
            <v>-3617381</v>
          </cell>
          <cell r="AY266">
            <v>-2893903</v>
          </cell>
          <cell r="AZ266">
            <v>-723475</v>
          </cell>
          <cell r="BA266">
            <v>0</v>
          </cell>
          <cell r="BB266">
            <v>-7234759</v>
          </cell>
          <cell r="BC266">
            <v>47181683</v>
          </cell>
          <cell r="BD266">
            <v>-982737</v>
          </cell>
          <cell r="BE266">
            <v>1339685</v>
          </cell>
          <cell r="BF266">
            <v>0</v>
          </cell>
          <cell r="BG266">
            <v>-1962939</v>
          </cell>
          <cell r="BH266">
            <v>-4075</v>
          </cell>
          <cell r="BI266">
            <v>0</v>
          </cell>
          <cell r="BJ266">
            <v>-18075</v>
          </cell>
          <cell r="BK266">
            <v>-1793997</v>
          </cell>
          <cell r="BL266">
            <v>-128908</v>
          </cell>
          <cell r="BM266">
            <v>-16674</v>
          </cell>
          <cell r="BN266">
            <v>-1019</v>
          </cell>
          <cell r="BO266">
            <v>0</v>
          </cell>
          <cell r="BP266">
            <v>0</v>
          </cell>
          <cell r="BQ266">
            <v>0</v>
          </cell>
          <cell r="BR266">
            <v>0</v>
          </cell>
          <cell r="BS266">
            <v>0</v>
          </cell>
          <cell r="BT266">
            <v>48544409</v>
          </cell>
          <cell r="BU266">
            <v>-623940</v>
          </cell>
          <cell r="BV266">
            <v>1115429</v>
          </cell>
          <cell r="BW266">
            <v>-831365</v>
          </cell>
          <cell r="BX266">
            <v>1328570</v>
          </cell>
          <cell r="BY266">
            <v>1195144</v>
          </cell>
          <cell r="BZ266">
            <v>42190983</v>
          </cell>
          <cell r="CA266">
            <v>664285</v>
          </cell>
          <cell r="CB266">
            <v>531428</v>
          </cell>
          <cell r="CC266">
            <v>132857</v>
          </cell>
          <cell r="CD266">
            <v>0</v>
          </cell>
          <cell r="CE266">
            <v>597572</v>
          </cell>
          <cell r="CF266">
            <v>478058</v>
          </cell>
          <cell r="CG266">
            <v>119514</v>
          </cell>
          <cell r="CH266">
            <v>0</v>
          </cell>
        </row>
        <row r="267">
          <cell r="A267">
            <v>260</v>
          </cell>
          <cell r="B267" t="str">
            <v>Stockport</v>
          </cell>
          <cell r="C267" t="str">
            <v>E4207</v>
          </cell>
          <cell r="D267">
            <v>428357</v>
          </cell>
          <cell r="H267">
            <v>-8217938</v>
          </cell>
          <cell r="I267">
            <v>0</v>
          </cell>
          <cell r="J267">
            <v>428357</v>
          </cell>
          <cell r="K267">
            <v>0</v>
          </cell>
          <cell r="L267">
            <v>0</v>
          </cell>
          <cell r="M267">
            <v>0</v>
          </cell>
          <cell r="N267">
            <v>0</v>
          </cell>
          <cell r="O267">
            <v>0</v>
          </cell>
          <cell r="P267">
            <v>0</v>
          </cell>
          <cell r="Q267">
            <v>0</v>
          </cell>
          <cell r="R267">
            <v>5570658</v>
          </cell>
          <cell r="S267">
            <v>0</v>
          </cell>
          <cell r="T267">
            <v>56269</v>
          </cell>
          <cell r="U267">
            <v>0</v>
          </cell>
          <cell r="V267">
            <v>0</v>
          </cell>
          <cell r="W267">
            <v>0</v>
          </cell>
          <cell r="X267">
            <v>0</v>
          </cell>
          <cell r="Y267">
            <v>0</v>
          </cell>
          <cell r="Z267">
            <v>0</v>
          </cell>
          <cell r="AA267">
            <v>7871</v>
          </cell>
          <cell r="AB267">
            <v>0</v>
          </cell>
          <cell r="AC267">
            <v>79</v>
          </cell>
          <cell r="AD267">
            <v>0</v>
          </cell>
          <cell r="AE267">
            <v>0</v>
          </cell>
          <cell r="AF267">
            <v>0</v>
          </cell>
          <cell r="AG267">
            <v>0</v>
          </cell>
          <cell r="AH267">
            <v>0</v>
          </cell>
          <cell r="AI267">
            <v>0</v>
          </cell>
          <cell r="AM267">
            <v>0</v>
          </cell>
          <cell r="AN267">
            <v>0</v>
          </cell>
          <cell r="AO267">
            <v>0</v>
          </cell>
          <cell r="AP267">
            <v>1218129</v>
          </cell>
          <cell r="AQ267">
            <v>0</v>
          </cell>
          <cell r="AR267">
            <v>12304</v>
          </cell>
          <cell r="AS267">
            <v>-2527227</v>
          </cell>
          <cell r="AT267">
            <v>-2476684</v>
          </cell>
          <cell r="AU267">
            <v>0</v>
          </cell>
          <cell r="AV267">
            <v>-50544</v>
          </cell>
          <cell r="AW267">
            <v>-5054455</v>
          </cell>
          <cell r="AX267">
            <v>-3522100</v>
          </cell>
          <cell r="AY267">
            <v>-3451657</v>
          </cell>
          <cell r="AZ267">
            <v>0</v>
          </cell>
          <cell r="BA267">
            <v>-70442</v>
          </cell>
          <cell r="BB267">
            <v>-7044199</v>
          </cell>
          <cell r="BC267">
            <v>95402900</v>
          </cell>
          <cell r="BD267">
            <v>-7573946</v>
          </cell>
          <cell r="BE267">
            <v>2568025</v>
          </cell>
          <cell r="BF267">
            <v>0</v>
          </cell>
          <cell r="BG267">
            <v>-4583081</v>
          </cell>
          <cell r="BH267">
            <v>-252804</v>
          </cell>
          <cell r="BI267">
            <v>0</v>
          </cell>
          <cell r="BJ267">
            <v>-6191</v>
          </cell>
          <cell r="BK267">
            <v>-4432795</v>
          </cell>
          <cell r="BL267">
            <v>0</v>
          </cell>
          <cell r="BM267">
            <v>-81022</v>
          </cell>
          <cell r="BN267">
            <v>-22251</v>
          </cell>
          <cell r="BO267">
            <v>0</v>
          </cell>
          <cell r="BP267">
            <v>0</v>
          </cell>
          <cell r="BQ267">
            <v>-10493</v>
          </cell>
          <cell r="BR267">
            <v>0</v>
          </cell>
          <cell r="BS267">
            <v>0</v>
          </cell>
          <cell r="BT267">
            <v>98782509</v>
          </cell>
          <cell r="BU267">
            <v>-2941760</v>
          </cell>
          <cell r="BV267">
            <v>8777190</v>
          </cell>
          <cell r="BW267">
            <v>-1842748</v>
          </cell>
          <cell r="BX267">
            <v>-160894</v>
          </cell>
          <cell r="BY267">
            <v>-725000</v>
          </cell>
          <cell r="BZ267">
            <v>81911723</v>
          </cell>
          <cell r="CA267">
            <v>-80447</v>
          </cell>
          <cell r="CB267">
            <v>-78838</v>
          </cell>
          <cell r="CC267">
            <v>0</v>
          </cell>
          <cell r="CD267">
            <v>-1609</v>
          </cell>
          <cell r="CE267">
            <v>-362500</v>
          </cell>
          <cell r="CF267">
            <v>-355250</v>
          </cell>
          <cell r="CG267">
            <v>0</v>
          </cell>
          <cell r="CH267">
            <v>-7250</v>
          </cell>
        </row>
        <row r="268">
          <cell r="A268">
            <v>261</v>
          </cell>
          <cell r="B268" t="str">
            <v>Stockton-on-Tees</v>
          </cell>
          <cell r="C268" t="str">
            <v>E0704</v>
          </cell>
          <cell r="D268">
            <v>241804</v>
          </cell>
          <cell r="H268">
            <v>-4816169</v>
          </cell>
          <cell r="I268">
            <v>-95172</v>
          </cell>
          <cell r="J268">
            <v>241804</v>
          </cell>
          <cell r="K268">
            <v>124558</v>
          </cell>
          <cell r="L268">
            <v>0</v>
          </cell>
          <cell r="M268">
            <v>0</v>
          </cell>
          <cell r="N268">
            <v>90444.5</v>
          </cell>
          <cell r="O268">
            <v>89770.5</v>
          </cell>
          <cell r="P268">
            <v>0</v>
          </cell>
          <cell r="Q268">
            <v>674</v>
          </cell>
          <cell r="R268">
            <v>961327</v>
          </cell>
          <cell r="S268">
            <v>0</v>
          </cell>
          <cell r="T268">
            <v>19259</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M268">
            <v>0</v>
          </cell>
          <cell r="AN268">
            <v>0</v>
          </cell>
          <cell r="AO268">
            <v>0</v>
          </cell>
          <cell r="AP268">
            <v>548925</v>
          </cell>
          <cell r="AQ268">
            <v>0</v>
          </cell>
          <cell r="AR268">
            <v>11147</v>
          </cell>
          <cell r="AS268">
            <v>-449999.5</v>
          </cell>
          <cell r="AT268">
            <v>-441000</v>
          </cell>
          <cell r="AU268">
            <v>0</v>
          </cell>
          <cell r="AV268">
            <v>-9000</v>
          </cell>
          <cell r="AW268">
            <v>-899999.5</v>
          </cell>
          <cell r="AX268">
            <v>-3304095</v>
          </cell>
          <cell r="AY268">
            <v>-3238011</v>
          </cell>
          <cell r="AZ268">
            <v>0</v>
          </cell>
          <cell r="BA268">
            <v>-66081</v>
          </cell>
          <cell r="BB268">
            <v>-6608187</v>
          </cell>
          <cell r="BC268">
            <v>87822392</v>
          </cell>
          <cell r="BD268">
            <v>-3193037</v>
          </cell>
          <cell r="BE268">
            <v>2341609</v>
          </cell>
          <cell r="BF268">
            <v>0</v>
          </cell>
          <cell r="BG268">
            <v>-4531257</v>
          </cell>
          <cell r="BH268">
            <v>-36666</v>
          </cell>
          <cell r="BI268">
            <v>-11431</v>
          </cell>
          <cell r="BJ268">
            <v>-8709</v>
          </cell>
          <cell r="BK268">
            <v>-2739571</v>
          </cell>
          <cell r="BL268">
            <v>-183888</v>
          </cell>
          <cell r="BM268">
            <v>-93267</v>
          </cell>
          <cell r="BN268">
            <v>-9151</v>
          </cell>
          <cell r="BO268">
            <v>-8449</v>
          </cell>
          <cell r="BP268">
            <v>0</v>
          </cell>
          <cell r="BQ268">
            <v>-255041</v>
          </cell>
          <cell r="BR268">
            <v>-37672</v>
          </cell>
          <cell r="BS268">
            <v>-97934</v>
          </cell>
          <cell r="BT268">
            <v>84870590</v>
          </cell>
          <cell r="BU268">
            <v>-1050485</v>
          </cell>
          <cell r="BV268">
            <v>1122482</v>
          </cell>
          <cell r="BW268">
            <v>-1375699</v>
          </cell>
          <cell r="BX268">
            <v>6181858.5</v>
          </cell>
          <cell r="BY268">
            <v>0</v>
          </cell>
          <cell r="BZ268">
            <v>74139511</v>
          </cell>
          <cell r="CA268">
            <v>3090929.5</v>
          </cell>
          <cell r="CB268">
            <v>3029110</v>
          </cell>
          <cell r="CC268">
            <v>0</v>
          </cell>
          <cell r="CD268">
            <v>61819</v>
          </cell>
          <cell r="CE268">
            <v>0</v>
          </cell>
          <cell r="CF268">
            <v>0</v>
          </cell>
          <cell r="CG268">
            <v>0</v>
          </cell>
          <cell r="CH268">
            <v>0</v>
          </cell>
        </row>
        <row r="269">
          <cell r="A269">
            <v>262</v>
          </cell>
          <cell r="B269" t="str">
            <v>Stoke-on-Trent</v>
          </cell>
          <cell r="C269" t="str">
            <v>E3401</v>
          </cell>
          <cell r="D269">
            <v>361940</v>
          </cell>
          <cell r="H269">
            <v>-560355</v>
          </cell>
          <cell r="I269">
            <v>0</v>
          </cell>
          <cell r="J269">
            <v>361940</v>
          </cell>
          <cell r="K269">
            <v>168226</v>
          </cell>
          <cell r="L269">
            <v>0</v>
          </cell>
          <cell r="M269">
            <v>0</v>
          </cell>
          <cell r="N269">
            <v>0</v>
          </cell>
          <cell r="O269">
            <v>0</v>
          </cell>
          <cell r="P269">
            <v>0</v>
          </cell>
          <cell r="Q269">
            <v>0</v>
          </cell>
          <cell r="R269">
            <v>2012712</v>
          </cell>
          <cell r="S269">
            <v>0</v>
          </cell>
          <cell r="T269">
            <v>41076</v>
          </cell>
          <cell r="U269">
            <v>7205</v>
          </cell>
          <cell r="V269">
            <v>0</v>
          </cell>
          <cell r="W269">
            <v>147</v>
          </cell>
          <cell r="X269">
            <v>0</v>
          </cell>
          <cell r="Y269">
            <v>0</v>
          </cell>
          <cell r="Z269">
            <v>0</v>
          </cell>
          <cell r="AA269">
            <v>0</v>
          </cell>
          <cell r="AB269">
            <v>0</v>
          </cell>
          <cell r="AC269">
            <v>0</v>
          </cell>
          <cell r="AD269">
            <v>0</v>
          </cell>
          <cell r="AE269">
            <v>0</v>
          </cell>
          <cell r="AF269">
            <v>0</v>
          </cell>
          <cell r="AG269">
            <v>0</v>
          </cell>
          <cell r="AH269">
            <v>0</v>
          </cell>
          <cell r="AI269">
            <v>0</v>
          </cell>
          <cell r="AM269">
            <v>0</v>
          </cell>
          <cell r="AN269">
            <v>0</v>
          </cell>
          <cell r="AO269">
            <v>0</v>
          </cell>
          <cell r="AP269">
            <v>659250</v>
          </cell>
          <cell r="AQ269">
            <v>0</v>
          </cell>
          <cell r="AR269">
            <v>13403</v>
          </cell>
          <cell r="AS269">
            <v>-1879716</v>
          </cell>
          <cell r="AT269">
            <v>-1842122</v>
          </cell>
          <cell r="AU269">
            <v>0</v>
          </cell>
          <cell r="AV269">
            <v>-37595</v>
          </cell>
          <cell r="AW269">
            <v>-3759433</v>
          </cell>
          <cell r="AX269">
            <v>-3748934</v>
          </cell>
          <cell r="AY269">
            <v>-3673957</v>
          </cell>
          <cell r="AZ269">
            <v>0</v>
          </cell>
          <cell r="BA269">
            <v>-74979</v>
          </cell>
          <cell r="BB269">
            <v>-7497870</v>
          </cell>
          <cell r="BC269">
            <v>92112330</v>
          </cell>
          <cell r="BD269">
            <v>-6477114</v>
          </cell>
          <cell r="BE269">
            <v>2453085</v>
          </cell>
          <cell r="BF269">
            <v>0</v>
          </cell>
          <cell r="BG269">
            <v>-6073981</v>
          </cell>
          <cell r="BH269">
            <v>-57831</v>
          </cell>
          <cell r="BI269">
            <v>0</v>
          </cell>
          <cell r="BJ269">
            <v>-449943</v>
          </cell>
          <cell r="BK269">
            <v>-2265137</v>
          </cell>
          <cell r="BL269">
            <v>-151255</v>
          </cell>
          <cell r="BM269">
            <v>-153259</v>
          </cell>
          <cell r="BN269">
            <v>-9130</v>
          </cell>
          <cell r="BO269">
            <v>0</v>
          </cell>
          <cell r="BP269">
            <v>0</v>
          </cell>
          <cell r="BQ269">
            <v>0</v>
          </cell>
          <cell r="BR269">
            <v>0</v>
          </cell>
          <cell r="BS269">
            <v>0</v>
          </cell>
          <cell r="BT269">
            <v>91116008</v>
          </cell>
          <cell r="BU269">
            <v>-46233</v>
          </cell>
          <cell r="BV269">
            <v>5294517</v>
          </cell>
          <cell r="BW269">
            <v>-893897</v>
          </cell>
          <cell r="BX269">
            <v>7410794</v>
          </cell>
          <cell r="BY269">
            <v>6686676</v>
          </cell>
          <cell r="BZ269">
            <v>89222418</v>
          </cell>
          <cell r="CA269">
            <v>3705397</v>
          </cell>
          <cell r="CB269">
            <v>3631290</v>
          </cell>
          <cell r="CC269">
            <v>0</v>
          </cell>
          <cell r="CD269">
            <v>74107</v>
          </cell>
          <cell r="CE269">
            <v>3343338</v>
          </cell>
          <cell r="CF269">
            <v>3276471</v>
          </cell>
          <cell r="CG269">
            <v>0</v>
          </cell>
          <cell r="CH269">
            <v>66867</v>
          </cell>
        </row>
        <row r="270">
          <cell r="A270">
            <v>263</v>
          </cell>
          <cell r="B270" t="str">
            <v>Stratford-on-Avon</v>
          </cell>
          <cell r="C270" t="str">
            <v>E3734</v>
          </cell>
          <cell r="D270">
            <v>214845</v>
          </cell>
          <cell r="H270">
            <v>-760618.44</v>
          </cell>
          <cell r="I270">
            <v>0</v>
          </cell>
          <cell r="J270">
            <v>214845</v>
          </cell>
          <cell r="K270">
            <v>0</v>
          </cell>
          <cell r="L270">
            <v>36656</v>
          </cell>
          <cell r="M270">
            <v>0</v>
          </cell>
          <cell r="N270">
            <v>0</v>
          </cell>
          <cell r="O270">
            <v>0</v>
          </cell>
          <cell r="P270">
            <v>0</v>
          </cell>
          <cell r="Q270">
            <v>0</v>
          </cell>
          <cell r="R270">
            <v>907699</v>
          </cell>
          <cell r="S270">
            <v>226925</v>
          </cell>
          <cell r="T270">
            <v>0</v>
          </cell>
          <cell r="U270">
            <v>100658</v>
          </cell>
          <cell r="V270">
            <v>25164</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M270">
            <v>0</v>
          </cell>
          <cell r="AN270">
            <v>0</v>
          </cell>
          <cell r="AO270">
            <v>0</v>
          </cell>
          <cell r="AP270">
            <v>313100</v>
          </cell>
          <cell r="AQ270">
            <v>78137</v>
          </cell>
          <cell r="AR270">
            <v>0</v>
          </cell>
          <cell r="AS270">
            <v>-229755</v>
          </cell>
          <cell r="AT270">
            <v>-183805</v>
          </cell>
          <cell r="AU270">
            <v>-45952</v>
          </cell>
          <cell r="AV270">
            <v>0</v>
          </cell>
          <cell r="AW270">
            <v>-459512</v>
          </cell>
          <cell r="AX270">
            <v>-1162322</v>
          </cell>
          <cell r="AY270">
            <v>-929858</v>
          </cell>
          <cell r="AZ270">
            <v>-232465</v>
          </cell>
          <cell r="BA270">
            <v>0</v>
          </cell>
          <cell r="BB270">
            <v>-2324645</v>
          </cell>
          <cell r="BC270">
            <v>55169822</v>
          </cell>
          <cell r="BD270">
            <v>-3639737</v>
          </cell>
          <cell r="BE270">
            <v>1465887</v>
          </cell>
          <cell r="BF270">
            <v>0</v>
          </cell>
          <cell r="BG270">
            <v>-4173325</v>
          </cell>
          <cell r="BH270">
            <v>-100959</v>
          </cell>
          <cell r="BI270">
            <v>-32971</v>
          </cell>
          <cell r="BJ270">
            <v>-34725</v>
          </cell>
          <cell r="BK270">
            <v>-2298253</v>
          </cell>
          <cell r="BL270">
            <v>-12278</v>
          </cell>
          <cell r="BM270">
            <v>-42070</v>
          </cell>
          <cell r="BN270">
            <v>0</v>
          </cell>
          <cell r="BO270">
            <v>-2546</v>
          </cell>
          <cell r="BP270">
            <v>0</v>
          </cell>
          <cell r="BQ270">
            <v>0</v>
          </cell>
          <cell r="BR270">
            <v>0</v>
          </cell>
          <cell r="BS270">
            <v>0</v>
          </cell>
          <cell r="BT270">
            <v>54841846</v>
          </cell>
          <cell r="BU270">
            <v>-256684</v>
          </cell>
          <cell r="BV270">
            <v>1540300</v>
          </cell>
          <cell r="BW270">
            <v>-168829</v>
          </cell>
          <cell r="BX270">
            <v>-784701</v>
          </cell>
          <cell r="BY270">
            <v>-429197</v>
          </cell>
          <cell r="BZ270">
            <v>52017113</v>
          </cell>
          <cell r="CA270">
            <v>-392351</v>
          </cell>
          <cell r="CB270">
            <v>-313880</v>
          </cell>
          <cell r="CC270">
            <v>-78470</v>
          </cell>
          <cell r="CD270">
            <v>0</v>
          </cell>
          <cell r="CE270">
            <v>-214598</v>
          </cell>
          <cell r="CF270">
            <v>-171679</v>
          </cell>
          <cell r="CG270">
            <v>-42920</v>
          </cell>
          <cell r="CH270">
            <v>0</v>
          </cell>
        </row>
        <row r="271">
          <cell r="A271">
            <v>264</v>
          </cell>
          <cell r="B271" t="str">
            <v>Stroud</v>
          </cell>
          <cell r="C271" t="str">
            <v>E1635</v>
          </cell>
          <cell r="D271">
            <v>158662</v>
          </cell>
          <cell r="H271">
            <v>201724</v>
          </cell>
          <cell r="I271">
            <v>0</v>
          </cell>
          <cell r="J271">
            <v>158662</v>
          </cell>
          <cell r="K271">
            <v>0</v>
          </cell>
          <cell r="L271">
            <v>102338</v>
          </cell>
          <cell r="M271">
            <v>0</v>
          </cell>
          <cell r="N271">
            <v>0</v>
          </cell>
          <cell r="O271">
            <v>0</v>
          </cell>
          <cell r="P271">
            <v>0</v>
          </cell>
          <cell r="Q271">
            <v>0</v>
          </cell>
          <cell r="R271">
            <v>707332</v>
          </cell>
          <cell r="S271">
            <v>176833</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M271">
            <v>0</v>
          </cell>
          <cell r="AN271">
            <v>0</v>
          </cell>
          <cell r="AO271">
            <v>0</v>
          </cell>
          <cell r="AP271">
            <v>161979</v>
          </cell>
          <cell r="AQ271">
            <v>40110</v>
          </cell>
          <cell r="AR271">
            <v>0</v>
          </cell>
          <cell r="AS271">
            <v>-198096.25</v>
          </cell>
          <cell r="AT271">
            <v>-158479</v>
          </cell>
          <cell r="AU271">
            <v>-39621</v>
          </cell>
          <cell r="AV271">
            <v>0</v>
          </cell>
          <cell r="AW271">
            <v>-396196.25</v>
          </cell>
          <cell r="AX271">
            <v>-647803</v>
          </cell>
          <cell r="AY271">
            <v>-518241</v>
          </cell>
          <cell r="AZ271">
            <v>-129559</v>
          </cell>
          <cell r="BA271">
            <v>0</v>
          </cell>
          <cell r="BB271">
            <v>-1295603</v>
          </cell>
          <cell r="BC271">
            <v>27119015</v>
          </cell>
          <cell r="BD271">
            <v>-2809344</v>
          </cell>
          <cell r="BE271">
            <v>707193</v>
          </cell>
          <cell r="BF271">
            <v>0</v>
          </cell>
          <cell r="BG271">
            <v>-2079841</v>
          </cell>
          <cell r="BH271">
            <v>-34355</v>
          </cell>
          <cell r="BI271">
            <v>-41994</v>
          </cell>
          <cell r="BJ271">
            <v>-125000</v>
          </cell>
          <cell r="BK271">
            <v>-1057068</v>
          </cell>
          <cell r="BL271">
            <v>-82102</v>
          </cell>
          <cell r="BM271">
            <v>-104333</v>
          </cell>
          <cell r="BN271">
            <v>0</v>
          </cell>
          <cell r="BO271">
            <v>-5100</v>
          </cell>
          <cell r="BP271">
            <v>0</v>
          </cell>
          <cell r="BQ271">
            <v>0</v>
          </cell>
          <cell r="BR271">
            <v>0</v>
          </cell>
          <cell r="BS271">
            <v>0</v>
          </cell>
          <cell r="BT271">
            <v>27696683</v>
          </cell>
          <cell r="BU271">
            <v>42305</v>
          </cell>
          <cell r="BV271">
            <v>1008490</v>
          </cell>
          <cell r="BW271">
            <v>-301534</v>
          </cell>
          <cell r="BX271">
            <v>-54941</v>
          </cell>
          <cell r="BY271">
            <v>96987</v>
          </cell>
          <cell r="BZ271">
            <v>26702087</v>
          </cell>
          <cell r="CA271">
            <v>-27471</v>
          </cell>
          <cell r="CB271">
            <v>-21976</v>
          </cell>
          <cell r="CC271">
            <v>-5494</v>
          </cell>
          <cell r="CD271">
            <v>0</v>
          </cell>
          <cell r="CE271">
            <v>48493</v>
          </cell>
          <cell r="CF271">
            <v>38795</v>
          </cell>
          <cell r="CG271">
            <v>9699</v>
          </cell>
          <cell r="CH271">
            <v>0</v>
          </cell>
        </row>
        <row r="272">
          <cell r="A272">
            <v>265</v>
          </cell>
          <cell r="B272" t="str">
            <v>Suffolk Coastal</v>
          </cell>
          <cell r="C272" t="str">
            <v>E3536</v>
          </cell>
          <cell r="D272">
            <v>269565</v>
          </cell>
          <cell r="H272">
            <v>-6260970</v>
          </cell>
          <cell r="I272">
            <v>0</v>
          </cell>
          <cell r="J272">
            <v>269565</v>
          </cell>
          <cell r="K272">
            <v>0</v>
          </cell>
          <cell r="L272">
            <v>120062</v>
          </cell>
          <cell r="M272">
            <v>0</v>
          </cell>
          <cell r="N272">
            <v>0</v>
          </cell>
          <cell r="O272">
            <v>0</v>
          </cell>
          <cell r="P272">
            <v>0</v>
          </cell>
          <cell r="Q272">
            <v>0</v>
          </cell>
          <cell r="R272">
            <v>967618</v>
          </cell>
          <cell r="S272">
            <v>241905</v>
          </cell>
          <cell r="T272">
            <v>0</v>
          </cell>
          <cell r="U272">
            <v>2693</v>
          </cell>
          <cell r="V272">
            <v>673</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M272">
            <v>0</v>
          </cell>
          <cell r="AN272">
            <v>0</v>
          </cell>
          <cell r="AO272">
            <v>0</v>
          </cell>
          <cell r="AP272">
            <v>371196</v>
          </cell>
          <cell r="AQ272">
            <v>92348</v>
          </cell>
          <cell r="AR272">
            <v>0</v>
          </cell>
          <cell r="AS272">
            <v>-369082</v>
          </cell>
          <cell r="AT272">
            <v>-295269</v>
          </cell>
          <cell r="AU272">
            <v>-73818</v>
          </cell>
          <cell r="AV272">
            <v>0</v>
          </cell>
          <cell r="AW272">
            <v>-738169</v>
          </cell>
          <cell r="AX272">
            <v>-3081267</v>
          </cell>
          <cell r="AY272">
            <v>-2465012</v>
          </cell>
          <cell r="AZ272">
            <v>-616252</v>
          </cell>
          <cell r="BA272">
            <v>0</v>
          </cell>
          <cell r="BB272">
            <v>-6162531</v>
          </cell>
          <cell r="BC272">
            <v>68038728</v>
          </cell>
          <cell r="BD272">
            <v>-3907211</v>
          </cell>
          <cell r="BE272">
            <v>1793668</v>
          </cell>
          <cell r="BF272">
            <v>0</v>
          </cell>
          <cell r="BG272">
            <v>-2609010</v>
          </cell>
          <cell r="BH272">
            <v>-25546</v>
          </cell>
          <cell r="BI272">
            <v>-78102</v>
          </cell>
          <cell r="BJ272">
            <v>-96579</v>
          </cell>
          <cell r="BK272">
            <v>-774533</v>
          </cell>
          <cell r="BL272">
            <v>-56875</v>
          </cell>
          <cell r="BM272">
            <v>-313013</v>
          </cell>
          <cell r="BN272">
            <v>-219</v>
          </cell>
          <cell r="BO272">
            <v>-11681</v>
          </cell>
          <cell r="BP272">
            <v>-12996</v>
          </cell>
          <cell r="BQ272">
            <v>0</v>
          </cell>
          <cell r="BR272">
            <v>0</v>
          </cell>
          <cell r="BS272">
            <v>0</v>
          </cell>
          <cell r="BT272">
            <v>69044955</v>
          </cell>
          <cell r="BU272">
            <v>-100723</v>
          </cell>
          <cell r="BV272">
            <v>1226013</v>
          </cell>
          <cell r="BW272">
            <v>-508885</v>
          </cell>
          <cell r="BX272">
            <v>-2270543</v>
          </cell>
          <cell r="BY272">
            <v>-2821934</v>
          </cell>
          <cell r="BZ272">
            <v>61477412</v>
          </cell>
          <cell r="CA272">
            <v>-1135272</v>
          </cell>
          <cell r="CB272">
            <v>-908217</v>
          </cell>
          <cell r="CC272">
            <v>-227054</v>
          </cell>
          <cell r="CD272">
            <v>0</v>
          </cell>
          <cell r="CE272">
            <v>-1410967</v>
          </cell>
          <cell r="CF272">
            <v>-1128774</v>
          </cell>
          <cell r="CG272">
            <v>-282193</v>
          </cell>
          <cell r="CH272">
            <v>0</v>
          </cell>
        </row>
        <row r="273">
          <cell r="A273">
            <v>266</v>
          </cell>
          <cell r="B273" t="str">
            <v>Sunderland</v>
          </cell>
          <cell r="C273" t="str">
            <v>E4505</v>
          </cell>
          <cell r="D273">
            <v>341354</v>
          </cell>
          <cell r="H273">
            <v>-3347787</v>
          </cell>
          <cell r="I273">
            <v>-29602</v>
          </cell>
          <cell r="J273">
            <v>341354</v>
          </cell>
          <cell r="K273">
            <v>721136</v>
          </cell>
          <cell r="L273">
            <v>0</v>
          </cell>
          <cell r="M273">
            <v>0</v>
          </cell>
          <cell r="N273">
            <v>38799</v>
          </cell>
          <cell r="O273">
            <v>38799</v>
          </cell>
          <cell r="P273">
            <v>0</v>
          </cell>
          <cell r="Q273">
            <v>0</v>
          </cell>
          <cell r="R273">
            <v>1555137</v>
          </cell>
          <cell r="S273">
            <v>0</v>
          </cell>
          <cell r="T273">
            <v>31737</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M273">
            <v>0</v>
          </cell>
          <cell r="AN273">
            <v>0</v>
          </cell>
          <cell r="AO273">
            <v>0</v>
          </cell>
          <cell r="AP273">
            <v>625810</v>
          </cell>
          <cell r="AQ273">
            <v>0</v>
          </cell>
          <cell r="AR273">
            <v>12539</v>
          </cell>
          <cell r="AS273">
            <v>-2685986</v>
          </cell>
          <cell r="AT273">
            <v>-2632266</v>
          </cell>
          <cell r="AU273">
            <v>0</v>
          </cell>
          <cell r="AV273">
            <v>-53719</v>
          </cell>
          <cell r="AW273">
            <v>-5371971</v>
          </cell>
          <cell r="AX273">
            <v>-7388769</v>
          </cell>
          <cell r="AY273">
            <v>-7240992</v>
          </cell>
          <cell r="AZ273">
            <v>0</v>
          </cell>
          <cell r="BA273">
            <v>-147776</v>
          </cell>
          <cell r="BB273">
            <v>-14777537</v>
          </cell>
          <cell r="BC273">
            <v>89100175</v>
          </cell>
          <cell r="BD273">
            <v>-4872586</v>
          </cell>
          <cell r="BE273">
            <v>2572113</v>
          </cell>
          <cell r="BF273">
            <v>0</v>
          </cell>
          <cell r="BG273">
            <v>-6657875</v>
          </cell>
          <cell r="BH273">
            <v>-28965</v>
          </cell>
          <cell r="BI273">
            <v>-1907</v>
          </cell>
          <cell r="BJ273">
            <v>-25240</v>
          </cell>
          <cell r="BK273">
            <v>-2980007</v>
          </cell>
          <cell r="BL273">
            <v>-57491</v>
          </cell>
          <cell r="BM273">
            <v>-128077</v>
          </cell>
          <cell r="BN273">
            <v>-596</v>
          </cell>
          <cell r="BO273">
            <v>0</v>
          </cell>
          <cell r="BP273">
            <v>0</v>
          </cell>
          <cell r="BQ273">
            <v>-34790</v>
          </cell>
          <cell r="BR273">
            <v>-34790</v>
          </cell>
          <cell r="BS273">
            <v>0</v>
          </cell>
          <cell r="BT273">
            <v>95100607</v>
          </cell>
          <cell r="BU273">
            <v>-1113711</v>
          </cell>
          <cell r="BV273">
            <v>6966006</v>
          </cell>
          <cell r="BW273">
            <v>-798423</v>
          </cell>
          <cell r="BX273">
            <v>441750</v>
          </cell>
          <cell r="BY273">
            <v>0</v>
          </cell>
          <cell r="BZ273">
            <v>83471649</v>
          </cell>
          <cell r="CA273">
            <v>220875</v>
          </cell>
          <cell r="CB273">
            <v>216457</v>
          </cell>
          <cell r="CC273">
            <v>0</v>
          </cell>
          <cell r="CD273">
            <v>4418</v>
          </cell>
          <cell r="CE273">
            <v>0</v>
          </cell>
          <cell r="CF273">
            <v>0</v>
          </cell>
          <cell r="CG273">
            <v>0</v>
          </cell>
          <cell r="CH273">
            <v>0</v>
          </cell>
        </row>
        <row r="274">
          <cell r="A274">
            <v>267</v>
          </cell>
          <cell r="B274" t="str">
            <v>Surrey Heath</v>
          </cell>
          <cell r="C274" t="str">
            <v>E3638</v>
          </cell>
          <cell r="D274">
            <v>123229</v>
          </cell>
          <cell r="H274">
            <v>-27882</v>
          </cell>
          <cell r="I274">
            <v>0</v>
          </cell>
          <cell r="J274">
            <v>123229</v>
          </cell>
          <cell r="K274">
            <v>0</v>
          </cell>
          <cell r="L274">
            <v>0</v>
          </cell>
          <cell r="M274">
            <v>0</v>
          </cell>
          <cell r="N274">
            <v>0</v>
          </cell>
          <cell r="O274">
            <v>0</v>
          </cell>
          <cell r="P274">
            <v>0</v>
          </cell>
          <cell r="Q274">
            <v>0</v>
          </cell>
          <cell r="R274">
            <v>779470</v>
          </cell>
          <cell r="S274">
            <v>194867</v>
          </cell>
          <cell r="T274">
            <v>0</v>
          </cell>
          <cell r="U274">
            <v>1703</v>
          </cell>
          <cell r="V274">
            <v>426</v>
          </cell>
          <cell r="W274">
            <v>0</v>
          </cell>
          <cell r="X274">
            <v>14897</v>
          </cell>
          <cell r="Y274">
            <v>3724</v>
          </cell>
          <cell r="Z274">
            <v>0</v>
          </cell>
          <cell r="AA274">
            <v>12180</v>
          </cell>
          <cell r="AB274">
            <v>3045</v>
          </cell>
          <cell r="AC274">
            <v>0</v>
          </cell>
          <cell r="AD274">
            <v>0</v>
          </cell>
          <cell r="AE274">
            <v>0</v>
          </cell>
          <cell r="AF274">
            <v>0</v>
          </cell>
          <cell r="AG274">
            <v>0</v>
          </cell>
          <cell r="AH274">
            <v>0</v>
          </cell>
          <cell r="AI274">
            <v>0</v>
          </cell>
          <cell r="AM274">
            <v>0</v>
          </cell>
          <cell r="AN274">
            <v>0</v>
          </cell>
          <cell r="AO274">
            <v>0</v>
          </cell>
          <cell r="AP274">
            <v>207312</v>
          </cell>
          <cell r="AQ274">
            <v>51828</v>
          </cell>
          <cell r="AR274">
            <v>0</v>
          </cell>
          <cell r="AS274">
            <v>-216267</v>
          </cell>
          <cell r="AT274">
            <v>-173014</v>
          </cell>
          <cell r="AU274">
            <v>-43254</v>
          </cell>
          <cell r="AV274">
            <v>0</v>
          </cell>
          <cell r="AW274">
            <v>-432535</v>
          </cell>
          <cell r="AX274">
            <v>-1953163</v>
          </cell>
          <cell r="AY274">
            <v>-1562531</v>
          </cell>
          <cell r="AZ274">
            <v>-390633</v>
          </cell>
          <cell r="BA274">
            <v>0</v>
          </cell>
          <cell r="BB274">
            <v>-3906327</v>
          </cell>
          <cell r="BC274">
            <v>38275670</v>
          </cell>
          <cell r="BD274">
            <v>-1379843</v>
          </cell>
          <cell r="BE274">
            <v>987379</v>
          </cell>
          <cell r="BF274">
            <v>0</v>
          </cell>
          <cell r="BG274">
            <v>-1505317</v>
          </cell>
          <cell r="BH274">
            <v>-5815</v>
          </cell>
          <cell r="BI274">
            <v>0</v>
          </cell>
          <cell r="BJ274">
            <v>-3258</v>
          </cell>
          <cell r="BK274">
            <v>-1221975</v>
          </cell>
          <cell r="BL274">
            <v>-96605</v>
          </cell>
          <cell r="BM274">
            <v>-215295</v>
          </cell>
          <cell r="BN274">
            <v>-1454</v>
          </cell>
          <cell r="BO274">
            <v>0</v>
          </cell>
          <cell r="BP274">
            <v>0</v>
          </cell>
          <cell r="BQ274">
            <v>0</v>
          </cell>
          <cell r="BR274">
            <v>0</v>
          </cell>
          <cell r="BS274">
            <v>0</v>
          </cell>
          <cell r="BT274">
            <v>37737280</v>
          </cell>
          <cell r="BU274">
            <v>-200310</v>
          </cell>
          <cell r="BV274">
            <v>1356098</v>
          </cell>
          <cell r="BW274">
            <v>-583714</v>
          </cell>
          <cell r="BX274">
            <v>3566920</v>
          </cell>
          <cell r="BY274">
            <v>2055283</v>
          </cell>
          <cell r="BZ274">
            <v>34502660</v>
          </cell>
          <cell r="CA274">
            <v>1783460</v>
          </cell>
          <cell r="CB274">
            <v>1426768</v>
          </cell>
          <cell r="CC274">
            <v>356692</v>
          </cell>
          <cell r="CD274">
            <v>0</v>
          </cell>
          <cell r="CE274">
            <v>1027642</v>
          </cell>
          <cell r="CF274">
            <v>822113</v>
          </cell>
          <cell r="CG274">
            <v>205528</v>
          </cell>
          <cell r="CH274">
            <v>0</v>
          </cell>
        </row>
        <row r="275">
          <cell r="A275">
            <v>268</v>
          </cell>
          <cell r="B275" t="str">
            <v>Sutton</v>
          </cell>
          <cell r="C275" t="str">
            <v>E5048</v>
          </cell>
          <cell r="D275">
            <v>193376</v>
          </cell>
          <cell r="H275">
            <v>481547</v>
          </cell>
          <cell r="I275">
            <v>0</v>
          </cell>
          <cell r="J275">
            <v>193376</v>
          </cell>
          <cell r="K275">
            <v>0</v>
          </cell>
          <cell r="L275">
            <v>0</v>
          </cell>
          <cell r="M275">
            <v>0</v>
          </cell>
          <cell r="N275">
            <v>0</v>
          </cell>
          <cell r="O275">
            <v>0</v>
          </cell>
          <cell r="P275">
            <v>0</v>
          </cell>
          <cell r="Q275">
            <v>0</v>
          </cell>
          <cell r="R275">
            <v>642725</v>
          </cell>
          <cell r="S275">
            <v>792694</v>
          </cell>
          <cell r="T275">
            <v>0</v>
          </cell>
          <cell r="U275">
            <v>0</v>
          </cell>
          <cell r="V275">
            <v>0</v>
          </cell>
          <cell r="W275">
            <v>0</v>
          </cell>
          <cell r="X275">
            <v>15225</v>
          </cell>
          <cell r="Y275">
            <v>18778</v>
          </cell>
          <cell r="Z275">
            <v>0</v>
          </cell>
          <cell r="AA275">
            <v>4568</v>
          </cell>
          <cell r="AB275">
            <v>5633</v>
          </cell>
          <cell r="AC275">
            <v>0</v>
          </cell>
          <cell r="AD275">
            <v>0</v>
          </cell>
          <cell r="AE275">
            <v>0</v>
          </cell>
          <cell r="AF275">
            <v>0</v>
          </cell>
          <cell r="AG275">
            <v>0</v>
          </cell>
          <cell r="AH275">
            <v>0</v>
          </cell>
          <cell r="AI275">
            <v>0</v>
          </cell>
          <cell r="AM275">
            <v>0</v>
          </cell>
          <cell r="AN275">
            <v>0</v>
          </cell>
          <cell r="AO275">
            <v>0</v>
          </cell>
          <cell r="AP275">
            <v>240954</v>
          </cell>
          <cell r="AQ275">
            <v>297176</v>
          </cell>
          <cell r="AR275">
            <v>0</v>
          </cell>
          <cell r="AS275">
            <v>-409192</v>
          </cell>
          <cell r="AT275">
            <v>-245513</v>
          </cell>
          <cell r="AU275">
            <v>-163676</v>
          </cell>
          <cell r="AV275">
            <v>0</v>
          </cell>
          <cell r="AW275">
            <v>-818381</v>
          </cell>
          <cell r="AX275">
            <v>-849996</v>
          </cell>
          <cell r="AY275">
            <v>-509996</v>
          </cell>
          <cell r="AZ275">
            <v>-339998</v>
          </cell>
          <cell r="BA275">
            <v>0</v>
          </cell>
          <cell r="BB275">
            <v>-1699990</v>
          </cell>
          <cell r="BC275">
            <v>51336925</v>
          </cell>
          <cell r="BD275">
            <v>-2895615</v>
          </cell>
          <cell r="BE275">
            <v>1319221</v>
          </cell>
          <cell r="BF275">
            <v>0</v>
          </cell>
          <cell r="BG275">
            <v>-4916590</v>
          </cell>
          <cell r="BH275">
            <v>-37374</v>
          </cell>
          <cell r="BI275">
            <v>0</v>
          </cell>
          <cell r="BJ275">
            <v>-835</v>
          </cell>
          <cell r="BK275">
            <v>-947005</v>
          </cell>
          <cell r="BL275">
            <v>0</v>
          </cell>
          <cell r="BM275">
            <v>-105948</v>
          </cell>
          <cell r="BN275">
            <v>0</v>
          </cell>
          <cell r="BO275">
            <v>0</v>
          </cell>
          <cell r="BP275">
            <v>0</v>
          </cell>
          <cell r="BQ275">
            <v>-41328</v>
          </cell>
          <cell r="BR275">
            <v>0</v>
          </cell>
          <cell r="BS275">
            <v>0</v>
          </cell>
          <cell r="BT275">
            <v>50228016</v>
          </cell>
          <cell r="BU275">
            <v>-326745</v>
          </cell>
          <cell r="BV275">
            <v>2338231</v>
          </cell>
          <cell r="BW275">
            <v>-942622</v>
          </cell>
          <cell r="BX275">
            <v>-3046398.4000000004</v>
          </cell>
          <cell r="BY275">
            <v>-2264422</v>
          </cell>
          <cell r="BZ275">
            <v>53468742</v>
          </cell>
          <cell r="CA275">
            <v>-1523199.4000000004</v>
          </cell>
          <cell r="CB275">
            <v>-913919</v>
          </cell>
          <cell r="CC275">
            <v>-609280</v>
          </cell>
          <cell r="CD275">
            <v>0</v>
          </cell>
          <cell r="CE275">
            <v>-1132211</v>
          </cell>
          <cell r="CF275">
            <v>-679327</v>
          </cell>
          <cell r="CG275">
            <v>-452884</v>
          </cell>
          <cell r="CH275">
            <v>0</v>
          </cell>
        </row>
        <row r="276">
          <cell r="A276">
            <v>269</v>
          </cell>
          <cell r="B276" t="str">
            <v>Swale</v>
          </cell>
          <cell r="C276" t="str">
            <v>E2241</v>
          </cell>
          <cell r="D276">
            <v>182037</v>
          </cell>
          <cell r="H276">
            <v>73465</v>
          </cell>
          <cell r="I276">
            <v>0</v>
          </cell>
          <cell r="J276">
            <v>182037</v>
          </cell>
          <cell r="K276">
            <v>0</v>
          </cell>
          <cell r="L276">
            <v>379872</v>
          </cell>
          <cell r="M276">
            <v>821485</v>
          </cell>
          <cell r="N276">
            <v>0</v>
          </cell>
          <cell r="O276">
            <v>0</v>
          </cell>
          <cell r="P276">
            <v>0</v>
          </cell>
          <cell r="Q276">
            <v>0</v>
          </cell>
          <cell r="R276">
            <v>806960</v>
          </cell>
          <cell r="S276">
            <v>181566</v>
          </cell>
          <cell r="T276">
            <v>20174</v>
          </cell>
          <cell r="U276">
            <v>4103</v>
          </cell>
          <cell r="V276">
            <v>923</v>
          </cell>
          <cell r="W276">
            <v>103</v>
          </cell>
          <cell r="X276">
            <v>4736</v>
          </cell>
          <cell r="Y276">
            <v>1065</v>
          </cell>
          <cell r="Z276">
            <v>118</v>
          </cell>
          <cell r="AA276">
            <v>812</v>
          </cell>
          <cell r="AB276">
            <v>183</v>
          </cell>
          <cell r="AC276">
            <v>20</v>
          </cell>
          <cell r="AD276">
            <v>0</v>
          </cell>
          <cell r="AE276">
            <v>0</v>
          </cell>
          <cell r="AF276">
            <v>0</v>
          </cell>
          <cell r="AG276">
            <v>0</v>
          </cell>
          <cell r="AH276">
            <v>0</v>
          </cell>
          <cell r="AI276">
            <v>0</v>
          </cell>
          <cell r="AM276">
            <v>0</v>
          </cell>
          <cell r="AN276">
            <v>0</v>
          </cell>
          <cell r="AO276">
            <v>0</v>
          </cell>
          <cell r="AP276">
            <v>270620</v>
          </cell>
          <cell r="AQ276">
            <v>71945</v>
          </cell>
          <cell r="AR276">
            <v>6623</v>
          </cell>
          <cell r="AS276">
            <v>-557120</v>
          </cell>
          <cell r="AT276">
            <v>-445693</v>
          </cell>
          <cell r="AU276">
            <v>-100282</v>
          </cell>
          <cell r="AV276">
            <v>-11141</v>
          </cell>
          <cell r="AW276">
            <v>-1114236</v>
          </cell>
          <cell r="AX276">
            <v>-3880188.3</v>
          </cell>
          <cell r="AY276">
            <v>-3104153</v>
          </cell>
          <cell r="AZ276">
            <v>-698434</v>
          </cell>
          <cell r="BA276">
            <v>-77604</v>
          </cell>
          <cell r="BB276">
            <v>-7760379.2999999998</v>
          </cell>
          <cell r="BC276">
            <v>45775301</v>
          </cell>
          <cell r="BD276">
            <v>-3366804</v>
          </cell>
          <cell r="BE276">
            <v>1260870</v>
          </cell>
          <cell r="BF276">
            <v>0</v>
          </cell>
          <cell r="BG276">
            <v>-3024894</v>
          </cell>
          <cell r="BH276">
            <v>-88854</v>
          </cell>
          <cell r="BI276">
            <v>-34402</v>
          </cell>
          <cell r="BJ276">
            <v>-58083</v>
          </cell>
          <cell r="BK276">
            <v>-1419945</v>
          </cell>
          <cell r="BL276">
            <v>-233285</v>
          </cell>
          <cell r="BM276">
            <v>-138692</v>
          </cell>
          <cell r="BN276">
            <v>-22213</v>
          </cell>
          <cell r="BO276">
            <v>-34402</v>
          </cell>
          <cell r="BP276">
            <v>-12405</v>
          </cell>
          <cell r="BQ276">
            <v>0</v>
          </cell>
          <cell r="BR276">
            <v>0</v>
          </cell>
          <cell r="BS276">
            <v>0</v>
          </cell>
          <cell r="BT276">
            <v>47058878</v>
          </cell>
          <cell r="BU276">
            <v>-88652</v>
          </cell>
          <cell r="BV276">
            <v>957793</v>
          </cell>
          <cell r="BW276">
            <v>-762415</v>
          </cell>
          <cell r="BX276">
            <v>2443673</v>
          </cell>
          <cell r="BY276">
            <v>2446961</v>
          </cell>
          <cell r="BZ276">
            <v>44089186</v>
          </cell>
          <cell r="CA276">
            <v>1221838</v>
          </cell>
          <cell r="CB276">
            <v>977468</v>
          </cell>
          <cell r="CC276">
            <v>219930</v>
          </cell>
          <cell r="CD276">
            <v>24437</v>
          </cell>
          <cell r="CE276">
            <v>1223481</v>
          </cell>
          <cell r="CF276">
            <v>978784</v>
          </cell>
          <cell r="CG276">
            <v>220226</v>
          </cell>
          <cell r="CH276">
            <v>24470</v>
          </cell>
        </row>
        <row r="277">
          <cell r="A277">
            <v>270</v>
          </cell>
          <cell r="B277" t="str">
            <v>Swindon</v>
          </cell>
          <cell r="C277" t="str">
            <v>E3901</v>
          </cell>
          <cell r="D277">
            <v>265619</v>
          </cell>
          <cell r="H277">
            <v>-8079130</v>
          </cell>
          <cell r="I277">
            <v>0</v>
          </cell>
          <cell r="J277">
            <v>265619</v>
          </cell>
          <cell r="K277">
            <v>0</v>
          </cell>
          <cell r="L277">
            <v>523217</v>
          </cell>
          <cell r="M277">
            <v>0</v>
          </cell>
          <cell r="N277">
            <v>0</v>
          </cell>
          <cell r="O277">
            <v>0</v>
          </cell>
          <cell r="P277">
            <v>0</v>
          </cell>
          <cell r="Q277">
            <v>0</v>
          </cell>
          <cell r="R277">
            <v>1227631</v>
          </cell>
          <cell r="S277">
            <v>0</v>
          </cell>
          <cell r="T277">
            <v>25054</v>
          </cell>
          <cell r="U277">
            <v>8094</v>
          </cell>
          <cell r="V277">
            <v>0</v>
          </cell>
          <cell r="W277">
            <v>165</v>
          </cell>
          <cell r="X277">
            <v>4348</v>
          </cell>
          <cell r="Y277">
            <v>0</v>
          </cell>
          <cell r="Z277">
            <v>89</v>
          </cell>
          <cell r="AA277">
            <v>0</v>
          </cell>
          <cell r="AB277">
            <v>0</v>
          </cell>
          <cell r="AC277">
            <v>0</v>
          </cell>
          <cell r="AD277">
            <v>0</v>
          </cell>
          <cell r="AE277">
            <v>0</v>
          </cell>
          <cell r="AF277">
            <v>0</v>
          </cell>
          <cell r="AG277">
            <v>0</v>
          </cell>
          <cell r="AH277">
            <v>0</v>
          </cell>
          <cell r="AI277">
            <v>0</v>
          </cell>
          <cell r="AM277">
            <v>0</v>
          </cell>
          <cell r="AN277">
            <v>0</v>
          </cell>
          <cell r="AO277">
            <v>0</v>
          </cell>
          <cell r="AP277">
            <v>719606</v>
          </cell>
          <cell r="AQ277">
            <v>0</v>
          </cell>
          <cell r="AR277">
            <v>14525</v>
          </cell>
          <cell r="AS277">
            <v>-704335</v>
          </cell>
          <cell r="AT277">
            <v>-690248</v>
          </cell>
          <cell r="AU277">
            <v>0</v>
          </cell>
          <cell r="AV277">
            <v>-14085</v>
          </cell>
          <cell r="AW277">
            <v>-1408668</v>
          </cell>
          <cell r="AX277">
            <v>-5089652</v>
          </cell>
          <cell r="AY277">
            <v>-4987860</v>
          </cell>
          <cell r="AZ277">
            <v>0</v>
          </cell>
          <cell r="BA277">
            <v>-101794</v>
          </cell>
          <cell r="BB277">
            <v>-10179306</v>
          </cell>
          <cell r="BC277">
            <v>107034856</v>
          </cell>
          <cell r="BD277">
            <v>-2964548</v>
          </cell>
          <cell r="BE277">
            <v>3129342</v>
          </cell>
          <cell r="BF277">
            <v>0</v>
          </cell>
          <cell r="BG277">
            <v>-6622441</v>
          </cell>
          <cell r="BH277">
            <v>-87353</v>
          </cell>
          <cell r="BI277">
            <v>-7989</v>
          </cell>
          <cell r="BJ277">
            <v>-41704</v>
          </cell>
          <cell r="BK277">
            <v>-4871843</v>
          </cell>
          <cell r="BL277">
            <v>-189128</v>
          </cell>
          <cell r="BM277">
            <v>-57979</v>
          </cell>
          <cell r="BN277">
            <v>-21838</v>
          </cell>
          <cell r="BO277">
            <v>-3019</v>
          </cell>
          <cell r="BP277">
            <v>0</v>
          </cell>
          <cell r="BQ277">
            <v>0</v>
          </cell>
          <cell r="BR277">
            <v>0</v>
          </cell>
          <cell r="BS277">
            <v>0</v>
          </cell>
          <cell r="BT277">
            <v>109923519</v>
          </cell>
          <cell r="BU277">
            <v>-1075252</v>
          </cell>
          <cell r="BV277">
            <v>4194428</v>
          </cell>
          <cell r="BW277">
            <v>-302260</v>
          </cell>
          <cell r="BX277">
            <v>242174</v>
          </cell>
          <cell r="BY277">
            <v>-40739</v>
          </cell>
          <cell r="BZ277">
            <v>96697895</v>
          </cell>
          <cell r="CA277">
            <v>121087</v>
          </cell>
          <cell r="CB277">
            <v>118665</v>
          </cell>
          <cell r="CC277">
            <v>0</v>
          </cell>
          <cell r="CD277">
            <v>2422</v>
          </cell>
          <cell r="CE277">
            <v>-20370</v>
          </cell>
          <cell r="CF277">
            <v>-19962</v>
          </cell>
          <cell r="CG277">
            <v>0</v>
          </cell>
          <cell r="CH277">
            <v>-407</v>
          </cell>
        </row>
        <row r="278">
          <cell r="A278">
            <v>271</v>
          </cell>
          <cell r="B278" t="str">
            <v>Tameside</v>
          </cell>
          <cell r="C278" t="str">
            <v>E4208</v>
          </cell>
          <cell r="D278">
            <v>291392</v>
          </cell>
          <cell r="H278">
            <v>-3318353</v>
          </cell>
          <cell r="I278">
            <v>0</v>
          </cell>
          <cell r="J278">
            <v>306392</v>
          </cell>
          <cell r="K278">
            <v>0</v>
          </cell>
          <cell r="L278">
            <v>0</v>
          </cell>
          <cell r="M278">
            <v>0</v>
          </cell>
          <cell r="N278">
            <v>0</v>
          </cell>
          <cell r="O278">
            <v>0</v>
          </cell>
          <cell r="P278">
            <v>0</v>
          </cell>
          <cell r="Q278">
            <v>0</v>
          </cell>
          <cell r="R278">
            <v>3845549</v>
          </cell>
          <cell r="S278">
            <v>0</v>
          </cell>
          <cell r="T278">
            <v>38844</v>
          </cell>
          <cell r="U278">
            <v>0</v>
          </cell>
          <cell r="V278">
            <v>0</v>
          </cell>
          <cell r="W278">
            <v>0</v>
          </cell>
          <cell r="X278">
            <v>0</v>
          </cell>
          <cell r="Y278">
            <v>0</v>
          </cell>
          <cell r="Z278">
            <v>0</v>
          </cell>
          <cell r="AA278">
            <v>6417</v>
          </cell>
          <cell r="AB278">
            <v>0</v>
          </cell>
          <cell r="AC278">
            <v>65</v>
          </cell>
          <cell r="AD278">
            <v>0</v>
          </cell>
          <cell r="AE278">
            <v>0</v>
          </cell>
          <cell r="AF278">
            <v>0</v>
          </cell>
          <cell r="AG278">
            <v>0</v>
          </cell>
          <cell r="AH278">
            <v>0</v>
          </cell>
          <cell r="AI278">
            <v>0</v>
          </cell>
          <cell r="AM278">
            <v>0</v>
          </cell>
          <cell r="AN278">
            <v>0</v>
          </cell>
          <cell r="AO278">
            <v>0</v>
          </cell>
          <cell r="AP278">
            <v>746596</v>
          </cell>
          <cell r="AQ278">
            <v>0</v>
          </cell>
          <cell r="AR278">
            <v>7541</v>
          </cell>
          <cell r="AS278">
            <v>-1565545.9</v>
          </cell>
          <cell r="AT278">
            <v>-1534236</v>
          </cell>
          <cell r="AU278">
            <v>0</v>
          </cell>
          <cell r="AV278">
            <v>-31311</v>
          </cell>
          <cell r="AW278">
            <v>-3131092.9</v>
          </cell>
          <cell r="AX278">
            <v>-3870222</v>
          </cell>
          <cell r="AY278">
            <v>-3792819</v>
          </cell>
          <cell r="AZ278">
            <v>0</v>
          </cell>
          <cell r="BA278">
            <v>-77405</v>
          </cell>
          <cell r="BB278">
            <v>-7740446</v>
          </cell>
          <cell r="BC278">
            <v>55311052</v>
          </cell>
          <cell r="BD278">
            <v>-6342068</v>
          </cell>
          <cell r="BE278">
            <v>1569659</v>
          </cell>
          <cell r="BF278">
            <v>0</v>
          </cell>
          <cell r="BG278">
            <v>-3473986</v>
          </cell>
          <cell r="BH278">
            <v>-154627</v>
          </cell>
          <cell r="BI278">
            <v>0</v>
          </cell>
          <cell r="BJ278">
            <v>0</v>
          </cell>
          <cell r="BK278">
            <v>-1916761</v>
          </cell>
          <cell r="BL278">
            <v>-26012</v>
          </cell>
          <cell r="BM278">
            <v>-34573</v>
          </cell>
          <cell r="BN278">
            <v>-2114</v>
          </cell>
          <cell r="BO278">
            <v>0</v>
          </cell>
          <cell r="BP278">
            <v>0</v>
          </cell>
          <cell r="BQ278">
            <v>0</v>
          </cell>
          <cell r="BR278">
            <v>0</v>
          </cell>
          <cell r="BS278">
            <v>0</v>
          </cell>
          <cell r="BT278">
            <v>58550641</v>
          </cell>
          <cell r="BU278">
            <v>-1615971</v>
          </cell>
          <cell r="BV278">
            <v>6192684</v>
          </cell>
          <cell r="BW278">
            <v>-1761662</v>
          </cell>
          <cell r="BX278">
            <v>-6659671</v>
          </cell>
          <cell r="BY278">
            <v>-3553208</v>
          </cell>
          <cell r="BZ278">
            <v>50204000</v>
          </cell>
          <cell r="CA278">
            <v>-3329835</v>
          </cell>
          <cell r="CB278">
            <v>-3263240</v>
          </cell>
          <cell r="CC278">
            <v>0</v>
          </cell>
          <cell r="CD278">
            <v>-66596</v>
          </cell>
          <cell r="CE278">
            <v>-1776604</v>
          </cell>
          <cell r="CF278">
            <v>-1741072</v>
          </cell>
          <cell r="CG278">
            <v>0</v>
          </cell>
          <cell r="CH278">
            <v>-35532</v>
          </cell>
        </row>
        <row r="279">
          <cell r="A279">
            <v>272</v>
          </cell>
          <cell r="B279" t="str">
            <v>Tamworth</v>
          </cell>
          <cell r="C279" t="str">
            <v>E3439</v>
          </cell>
          <cell r="D279">
            <v>91080</v>
          </cell>
          <cell r="H279">
            <v>-1322640</v>
          </cell>
          <cell r="I279">
            <v>0</v>
          </cell>
          <cell r="J279">
            <v>91080</v>
          </cell>
          <cell r="K279">
            <v>0</v>
          </cell>
          <cell r="L279">
            <v>0</v>
          </cell>
          <cell r="M279">
            <v>0</v>
          </cell>
          <cell r="N279">
            <v>0</v>
          </cell>
          <cell r="O279">
            <v>0</v>
          </cell>
          <cell r="P279">
            <v>0</v>
          </cell>
          <cell r="Q279">
            <v>0</v>
          </cell>
          <cell r="R279">
            <v>338718</v>
          </cell>
          <cell r="S279">
            <v>76212</v>
          </cell>
          <cell r="T279">
            <v>8468</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M279">
            <v>0</v>
          </cell>
          <cell r="AN279">
            <v>0</v>
          </cell>
          <cell r="AO279">
            <v>0</v>
          </cell>
          <cell r="AP279">
            <v>199085</v>
          </cell>
          <cell r="AQ279">
            <v>44794</v>
          </cell>
          <cell r="AR279">
            <v>4977</v>
          </cell>
          <cell r="AS279">
            <v>-513415.76</v>
          </cell>
          <cell r="AT279">
            <v>-410731</v>
          </cell>
          <cell r="AU279">
            <v>-92414</v>
          </cell>
          <cell r="AV279">
            <v>-10267</v>
          </cell>
          <cell r="AW279">
            <v>-1026827.76</v>
          </cell>
          <cell r="AX279">
            <v>-2371292</v>
          </cell>
          <cell r="AY279">
            <v>-1897035</v>
          </cell>
          <cell r="AZ279">
            <v>-426832</v>
          </cell>
          <cell r="BA279">
            <v>-47425</v>
          </cell>
          <cell r="BB279">
            <v>-4742584</v>
          </cell>
          <cell r="BC279">
            <v>34340989</v>
          </cell>
          <cell r="BD279">
            <v>-1276121</v>
          </cell>
          <cell r="BE279">
            <v>921657</v>
          </cell>
          <cell r="BF279">
            <v>0</v>
          </cell>
          <cell r="BG279">
            <v>-1290351</v>
          </cell>
          <cell r="BH279">
            <v>-42841</v>
          </cell>
          <cell r="BI279">
            <v>0</v>
          </cell>
          <cell r="BJ279">
            <v>0</v>
          </cell>
          <cell r="BK279">
            <v>-1037588</v>
          </cell>
          <cell r="BL279">
            <v>-22240</v>
          </cell>
          <cell r="BM279">
            <v>-2057</v>
          </cell>
          <cell r="BN279">
            <v>-4225</v>
          </cell>
          <cell r="BO279">
            <v>0</v>
          </cell>
          <cell r="BP279">
            <v>0</v>
          </cell>
          <cell r="BQ279">
            <v>0</v>
          </cell>
          <cell r="BR279">
            <v>0</v>
          </cell>
          <cell r="BS279">
            <v>0</v>
          </cell>
          <cell r="BT279">
            <v>35024655</v>
          </cell>
          <cell r="BU279">
            <v>-171111</v>
          </cell>
          <cell r="BV279">
            <v>1123773</v>
          </cell>
          <cell r="BW279">
            <v>-1014484</v>
          </cell>
          <cell r="BX279">
            <v>812728</v>
          </cell>
          <cell r="BY279">
            <v>845281</v>
          </cell>
          <cell r="BZ279">
            <v>33133377</v>
          </cell>
          <cell r="CA279">
            <v>406362</v>
          </cell>
          <cell r="CB279">
            <v>325092</v>
          </cell>
          <cell r="CC279">
            <v>73146</v>
          </cell>
          <cell r="CD279">
            <v>8128</v>
          </cell>
          <cell r="CE279">
            <v>422641</v>
          </cell>
          <cell r="CF279">
            <v>338112</v>
          </cell>
          <cell r="CG279">
            <v>76075</v>
          </cell>
          <cell r="CH279">
            <v>8453</v>
          </cell>
        </row>
        <row r="280">
          <cell r="A280">
            <v>273</v>
          </cell>
          <cell r="B280" t="str">
            <v>Tandridge</v>
          </cell>
          <cell r="C280" t="str">
            <v>E3639</v>
          </cell>
          <cell r="D280">
            <v>125069</v>
          </cell>
          <cell r="H280">
            <v>1280255</v>
          </cell>
          <cell r="I280">
            <v>0</v>
          </cell>
          <cell r="J280">
            <v>125069</v>
          </cell>
          <cell r="K280">
            <v>0</v>
          </cell>
          <cell r="L280">
            <v>0</v>
          </cell>
          <cell r="M280">
            <v>0</v>
          </cell>
          <cell r="N280">
            <v>0</v>
          </cell>
          <cell r="O280">
            <v>0</v>
          </cell>
          <cell r="P280">
            <v>0</v>
          </cell>
          <cell r="Q280">
            <v>0</v>
          </cell>
          <cell r="R280">
            <v>559418</v>
          </cell>
          <cell r="S280">
            <v>139854</v>
          </cell>
          <cell r="T280">
            <v>0</v>
          </cell>
          <cell r="U280">
            <v>0</v>
          </cell>
          <cell r="V280">
            <v>0</v>
          </cell>
          <cell r="W280">
            <v>0</v>
          </cell>
          <cell r="X280">
            <v>3898</v>
          </cell>
          <cell r="Y280">
            <v>974</v>
          </cell>
          <cell r="Z280">
            <v>0</v>
          </cell>
          <cell r="AA280">
            <v>0</v>
          </cell>
          <cell r="AB280">
            <v>0</v>
          </cell>
          <cell r="AC280">
            <v>0</v>
          </cell>
          <cell r="AD280">
            <v>0</v>
          </cell>
          <cell r="AE280">
            <v>0</v>
          </cell>
          <cell r="AF280">
            <v>0</v>
          </cell>
          <cell r="AG280">
            <v>0</v>
          </cell>
          <cell r="AH280">
            <v>0</v>
          </cell>
          <cell r="AI280">
            <v>0</v>
          </cell>
          <cell r="AM280">
            <v>0</v>
          </cell>
          <cell r="AN280">
            <v>0</v>
          </cell>
          <cell r="AO280">
            <v>0</v>
          </cell>
          <cell r="AP280">
            <v>124971</v>
          </cell>
          <cell r="AQ280">
            <v>31243</v>
          </cell>
          <cell r="AR280">
            <v>0</v>
          </cell>
          <cell r="AS280">
            <v>-45707</v>
          </cell>
          <cell r="AT280">
            <v>-36565</v>
          </cell>
          <cell r="AU280">
            <v>-9141</v>
          </cell>
          <cell r="AV280">
            <v>0</v>
          </cell>
          <cell r="AW280">
            <v>-91413</v>
          </cell>
          <cell r="AX280">
            <v>-877521</v>
          </cell>
          <cell r="AY280">
            <v>-702019</v>
          </cell>
          <cell r="AZ280">
            <v>-175505</v>
          </cell>
          <cell r="BA280">
            <v>0</v>
          </cell>
          <cell r="BB280">
            <v>-1755045</v>
          </cell>
          <cell r="BC280">
            <v>17614415</v>
          </cell>
          <cell r="BD280">
            <v>-2229552</v>
          </cell>
          <cell r="BE280">
            <v>518374</v>
          </cell>
          <cell r="BF280">
            <v>0</v>
          </cell>
          <cell r="BG280">
            <v>-2816559</v>
          </cell>
          <cell r="BH280">
            <v>-28311</v>
          </cell>
          <cell r="BI280">
            <v>-14599</v>
          </cell>
          <cell r="BJ280">
            <v>0</v>
          </cell>
          <cell r="BK280">
            <v>-634738</v>
          </cell>
          <cell r="BL280">
            <v>-51720</v>
          </cell>
          <cell r="BM280">
            <v>-15855</v>
          </cell>
          <cell r="BN280">
            <v>-77</v>
          </cell>
          <cell r="BO280">
            <v>-14599</v>
          </cell>
          <cell r="BP280">
            <v>-5324</v>
          </cell>
          <cell r="BQ280">
            <v>0</v>
          </cell>
          <cell r="BR280">
            <v>0</v>
          </cell>
          <cell r="BS280">
            <v>0</v>
          </cell>
          <cell r="BT280">
            <v>18564653</v>
          </cell>
          <cell r="BU280">
            <v>-38959</v>
          </cell>
          <cell r="BV280">
            <v>275839</v>
          </cell>
          <cell r="BW280">
            <v>-180476</v>
          </cell>
          <cell r="BX280">
            <v>-2690729</v>
          </cell>
          <cell r="BY280">
            <v>-849829</v>
          </cell>
          <cell r="BZ280">
            <v>20798783</v>
          </cell>
          <cell r="CA280">
            <v>-1345366</v>
          </cell>
          <cell r="CB280">
            <v>-1076291</v>
          </cell>
          <cell r="CC280">
            <v>-269072</v>
          </cell>
          <cell r="CD280">
            <v>0</v>
          </cell>
          <cell r="CE280">
            <v>-424914</v>
          </cell>
          <cell r="CF280">
            <v>-339932</v>
          </cell>
          <cell r="CG280">
            <v>-84983</v>
          </cell>
          <cell r="CH280">
            <v>0</v>
          </cell>
        </row>
        <row r="281">
          <cell r="A281">
            <v>274</v>
          </cell>
          <cell r="B281" t="str">
            <v>Taunton Deane</v>
          </cell>
          <cell r="C281" t="str">
            <v>E3333</v>
          </cell>
          <cell r="D281">
            <v>168758</v>
          </cell>
          <cell r="H281">
            <v>-2261855</v>
          </cell>
          <cell r="I281">
            <v>0</v>
          </cell>
          <cell r="J281">
            <v>168758</v>
          </cell>
          <cell r="K281">
            <v>0</v>
          </cell>
          <cell r="L281">
            <v>152400</v>
          </cell>
          <cell r="M281">
            <v>0</v>
          </cell>
          <cell r="N281">
            <v>0</v>
          </cell>
          <cell r="O281">
            <v>0</v>
          </cell>
          <cell r="P281">
            <v>0</v>
          </cell>
          <cell r="Q281">
            <v>0</v>
          </cell>
          <cell r="R281">
            <v>667746</v>
          </cell>
          <cell r="S281">
            <v>150243</v>
          </cell>
          <cell r="T281">
            <v>16694</v>
          </cell>
          <cell r="U281">
            <v>0</v>
          </cell>
          <cell r="V281">
            <v>0</v>
          </cell>
          <cell r="W281">
            <v>0</v>
          </cell>
          <cell r="X281">
            <v>3248</v>
          </cell>
          <cell r="Y281">
            <v>731</v>
          </cell>
          <cell r="Z281">
            <v>81</v>
          </cell>
          <cell r="AA281">
            <v>0</v>
          </cell>
          <cell r="AB281">
            <v>0</v>
          </cell>
          <cell r="AC281">
            <v>0</v>
          </cell>
          <cell r="AD281">
            <v>0</v>
          </cell>
          <cell r="AE281">
            <v>0</v>
          </cell>
          <cell r="AF281">
            <v>0</v>
          </cell>
          <cell r="AG281">
            <v>0</v>
          </cell>
          <cell r="AH281">
            <v>0</v>
          </cell>
          <cell r="AI281">
            <v>0</v>
          </cell>
          <cell r="AM281">
            <v>0</v>
          </cell>
          <cell r="AN281">
            <v>0</v>
          </cell>
          <cell r="AO281">
            <v>0</v>
          </cell>
          <cell r="AP281">
            <v>224874</v>
          </cell>
          <cell r="AQ281">
            <v>50082</v>
          </cell>
          <cell r="AR281">
            <v>5565</v>
          </cell>
          <cell r="AS281">
            <v>-328167</v>
          </cell>
          <cell r="AT281">
            <v>-262533</v>
          </cell>
          <cell r="AU281">
            <v>-59070</v>
          </cell>
          <cell r="AV281">
            <v>-6564</v>
          </cell>
          <cell r="AW281">
            <v>-656334</v>
          </cell>
          <cell r="AX281">
            <v>-1167841</v>
          </cell>
          <cell r="AY281">
            <v>-934270</v>
          </cell>
          <cell r="AZ281">
            <v>-210212</v>
          </cell>
          <cell r="BA281">
            <v>-23356</v>
          </cell>
          <cell r="BB281">
            <v>-2335679</v>
          </cell>
          <cell r="BC281">
            <v>41724384</v>
          </cell>
          <cell r="BD281">
            <v>-2682859</v>
          </cell>
          <cell r="BE281">
            <v>1128371</v>
          </cell>
          <cell r="BF281">
            <v>0</v>
          </cell>
          <cell r="BG281">
            <v>-3768675</v>
          </cell>
          <cell r="BH281">
            <v>-58726</v>
          </cell>
          <cell r="BI281">
            <v>-34817</v>
          </cell>
          <cell r="BJ281">
            <v>-17034</v>
          </cell>
          <cell r="BK281">
            <v>-1489741</v>
          </cell>
          <cell r="BL281">
            <v>-210533</v>
          </cell>
          <cell r="BM281">
            <v>-79602</v>
          </cell>
          <cell r="BN281">
            <v>-2410</v>
          </cell>
          <cell r="BO281">
            <v>-8512</v>
          </cell>
          <cell r="BP281">
            <v>-6630</v>
          </cell>
          <cell r="BQ281">
            <v>0</v>
          </cell>
          <cell r="BR281">
            <v>0</v>
          </cell>
          <cell r="BS281">
            <v>0</v>
          </cell>
          <cell r="BT281">
            <v>40409902</v>
          </cell>
          <cell r="BU281">
            <v>-164434</v>
          </cell>
          <cell r="BV281">
            <v>2234421</v>
          </cell>
          <cell r="BW281">
            <v>-1453244</v>
          </cell>
          <cell r="BX281">
            <v>-494123</v>
          </cell>
          <cell r="BY281">
            <v>-96063</v>
          </cell>
          <cell r="BZ281">
            <v>37044509</v>
          </cell>
          <cell r="CA281">
            <v>-247063</v>
          </cell>
          <cell r="CB281">
            <v>-197648</v>
          </cell>
          <cell r="CC281">
            <v>-44471</v>
          </cell>
          <cell r="CD281">
            <v>-4941</v>
          </cell>
          <cell r="CE281">
            <v>-48031</v>
          </cell>
          <cell r="CF281">
            <v>-38425</v>
          </cell>
          <cell r="CG281">
            <v>-8646</v>
          </cell>
          <cell r="CH281">
            <v>-961</v>
          </cell>
        </row>
        <row r="282">
          <cell r="A282">
            <v>275</v>
          </cell>
          <cell r="B282" t="str">
            <v>Teignbridge</v>
          </cell>
          <cell r="C282" t="str">
            <v>E1137</v>
          </cell>
          <cell r="D282">
            <v>189507</v>
          </cell>
          <cell r="H282">
            <v>-872917</v>
          </cell>
          <cell r="I282">
            <v>0</v>
          </cell>
          <cell r="J282">
            <v>189507</v>
          </cell>
          <cell r="K282">
            <v>0</v>
          </cell>
          <cell r="L282">
            <v>109524</v>
          </cell>
          <cell r="M282">
            <v>0</v>
          </cell>
          <cell r="N282">
            <v>0</v>
          </cell>
          <cell r="O282">
            <v>0</v>
          </cell>
          <cell r="P282">
            <v>0</v>
          </cell>
          <cell r="Q282">
            <v>0</v>
          </cell>
          <cell r="R282">
            <v>1047100</v>
          </cell>
          <cell r="S282">
            <v>235598</v>
          </cell>
          <cell r="T282">
            <v>26178</v>
          </cell>
          <cell r="U282">
            <v>367</v>
          </cell>
          <cell r="V282">
            <v>83</v>
          </cell>
          <cell r="W282">
            <v>9</v>
          </cell>
          <cell r="X282">
            <v>0</v>
          </cell>
          <cell r="Y282">
            <v>0</v>
          </cell>
          <cell r="Z282">
            <v>0</v>
          </cell>
          <cell r="AA282">
            <v>0</v>
          </cell>
          <cell r="AB282">
            <v>0</v>
          </cell>
          <cell r="AC282">
            <v>0</v>
          </cell>
          <cell r="AD282">
            <v>0</v>
          </cell>
          <cell r="AE282">
            <v>0</v>
          </cell>
          <cell r="AF282">
            <v>0</v>
          </cell>
          <cell r="AG282">
            <v>0</v>
          </cell>
          <cell r="AH282">
            <v>0</v>
          </cell>
          <cell r="AI282">
            <v>0</v>
          </cell>
          <cell r="AM282">
            <v>0</v>
          </cell>
          <cell r="AN282">
            <v>0</v>
          </cell>
          <cell r="AO282">
            <v>0</v>
          </cell>
          <cell r="AP282">
            <v>188236</v>
          </cell>
          <cell r="AQ282">
            <v>41983</v>
          </cell>
          <cell r="AR282">
            <v>4665</v>
          </cell>
          <cell r="AS282">
            <v>-150000</v>
          </cell>
          <cell r="AT282">
            <v>-120000</v>
          </cell>
          <cell r="AU282">
            <v>-27000</v>
          </cell>
          <cell r="AV282">
            <v>-3000</v>
          </cell>
          <cell r="AW282">
            <v>-300000</v>
          </cell>
          <cell r="AX282">
            <v>-200000</v>
          </cell>
          <cell r="AY282">
            <v>-160000</v>
          </cell>
          <cell r="AZ282">
            <v>-36000</v>
          </cell>
          <cell r="BA282">
            <v>-4000</v>
          </cell>
          <cell r="BB282">
            <v>-400000</v>
          </cell>
          <cell r="BC282">
            <v>31374315</v>
          </cell>
          <cell r="BD282">
            <v>-4018472</v>
          </cell>
          <cell r="BE282">
            <v>809947</v>
          </cell>
          <cell r="BF282">
            <v>0</v>
          </cell>
          <cell r="BG282">
            <v>-2628983</v>
          </cell>
          <cell r="BH282">
            <v>-76800</v>
          </cell>
          <cell r="BI282">
            <v>-52581</v>
          </cell>
          <cell r="BJ282">
            <v>0</v>
          </cell>
          <cell r="BK282">
            <v>-968389</v>
          </cell>
          <cell r="BL282">
            <v>-79612</v>
          </cell>
          <cell r="BM282">
            <v>-45733</v>
          </cell>
          <cell r="BN282">
            <v>-7515</v>
          </cell>
          <cell r="BO282">
            <v>-41923</v>
          </cell>
          <cell r="BP282">
            <v>-3090</v>
          </cell>
          <cell r="BQ282">
            <v>0</v>
          </cell>
          <cell r="BR282">
            <v>0</v>
          </cell>
          <cell r="BS282">
            <v>0</v>
          </cell>
          <cell r="BT282">
            <v>31676567</v>
          </cell>
          <cell r="BU282">
            <v>-90358</v>
          </cell>
          <cell r="BV282">
            <v>492434</v>
          </cell>
          <cell r="BW282">
            <v>-333429</v>
          </cell>
          <cell r="BX282">
            <v>-2944208</v>
          </cell>
          <cell r="BY282">
            <v>-2232000</v>
          </cell>
          <cell r="BZ282">
            <v>31053967</v>
          </cell>
          <cell r="CA282">
            <v>-1472104</v>
          </cell>
          <cell r="CB282">
            <v>-1177683</v>
          </cell>
          <cell r="CC282">
            <v>-264979</v>
          </cell>
          <cell r="CD282">
            <v>-29442</v>
          </cell>
          <cell r="CE282">
            <v>-1116000</v>
          </cell>
          <cell r="CF282">
            <v>-892800</v>
          </cell>
          <cell r="CG282">
            <v>-200880</v>
          </cell>
          <cell r="CH282">
            <v>-22320</v>
          </cell>
        </row>
        <row r="283">
          <cell r="A283">
            <v>276</v>
          </cell>
          <cell r="B283" t="str">
            <v>Telford and the Wrekin</v>
          </cell>
          <cell r="C283" t="str">
            <v>E3201</v>
          </cell>
          <cell r="D283">
            <v>216826</v>
          </cell>
          <cell r="H283">
            <v>-599557</v>
          </cell>
          <cell r="I283">
            <v>0</v>
          </cell>
          <cell r="J283">
            <v>216826</v>
          </cell>
          <cell r="K283">
            <v>0</v>
          </cell>
          <cell r="L283">
            <v>63524</v>
          </cell>
          <cell r="M283">
            <v>0</v>
          </cell>
          <cell r="N283">
            <v>0</v>
          </cell>
          <cell r="O283">
            <v>0</v>
          </cell>
          <cell r="P283">
            <v>0</v>
          </cell>
          <cell r="Q283">
            <v>0</v>
          </cell>
          <cell r="R283">
            <v>957517</v>
          </cell>
          <cell r="S283">
            <v>0</v>
          </cell>
          <cell r="T283">
            <v>19541</v>
          </cell>
          <cell r="U283">
            <v>6703</v>
          </cell>
          <cell r="V283">
            <v>0</v>
          </cell>
          <cell r="W283">
            <v>137</v>
          </cell>
          <cell r="X283">
            <v>2740</v>
          </cell>
          <cell r="Y283">
            <v>0</v>
          </cell>
          <cell r="Z283">
            <v>56</v>
          </cell>
          <cell r="AA283">
            <v>38985</v>
          </cell>
          <cell r="AB283">
            <v>0</v>
          </cell>
          <cell r="AC283">
            <v>796</v>
          </cell>
          <cell r="AD283">
            <v>0</v>
          </cell>
          <cell r="AE283">
            <v>0</v>
          </cell>
          <cell r="AF283">
            <v>0</v>
          </cell>
          <cell r="AG283">
            <v>0</v>
          </cell>
          <cell r="AH283">
            <v>0</v>
          </cell>
          <cell r="AI283">
            <v>0</v>
          </cell>
          <cell r="AM283">
            <v>0</v>
          </cell>
          <cell r="AN283">
            <v>0</v>
          </cell>
          <cell r="AO283">
            <v>0</v>
          </cell>
          <cell r="AP283">
            <v>500802</v>
          </cell>
          <cell r="AQ283">
            <v>0</v>
          </cell>
          <cell r="AR283">
            <v>10201</v>
          </cell>
          <cell r="AS283">
            <v>-627000</v>
          </cell>
          <cell r="AT283">
            <v>-614460</v>
          </cell>
          <cell r="AU283">
            <v>0</v>
          </cell>
          <cell r="AV283">
            <v>-12540</v>
          </cell>
          <cell r="AW283">
            <v>-1254000</v>
          </cell>
          <cell r="AX283">
            <v>-3360000</v>
          </cell>
          <cell r="AY283">
            <v>-3292800</v>
          </cell>
          <cell r="AZ283">
            <v>0</v>
          </cell>
          <cell r="BA283">
            <v>-67200</v>
          </cell>
          <cell r="BB283">
            <v>-6720000</v>
          </cell>
          <cell r="BC283">
            <v>71511328</v>
          </cell>
          <cell r="BD283">
            <v>-3066085</v>
          </cell>
          <cell r="BE283">
            <v>2016849</v>
          </cell>
          <cell r="BF283">
            <v>0</v>
          </cell>
          <cell r="BG283">
            <v>-4900656</v>
          </cell>
          <cell r="BH283">
            <v>-32822</v>
          </cell>
          <cell r="BI283">
            <v>-5271</v>
          </cell>
          <cell r="BJ283">
            <v>-124310</v>
          </cell>
          <cell r="BK283">
            <v>-1952600</v>
          </cell>
          <cell r="BL283">
            <v>-309557</v>
          </cell>
          <cell r="BM283">
            <v>-64992</v>
          </cell>
          <cell r="BN283">
            <v>-4972</v>
          </cell>
          <cell r="BO283">
            <v>-5271</v>
          </cell>
          <cell r="BP283">
            <v>0</v>
          </cell>
          <cell r="BQ283">
            <v>-10000</v>
          </cell>
          <cell r="BR283">
            <v>0</v>
          </cell>
          <cell r="BS283">
            <v>0</v>
          </cell>
          <cell r="BT283">
            <v>74053399</v>
          </cell>
          <cell r="BU283">
            <v>-768085</v>
          </cell>
          <cell r="BV283">
            <v>2684282</v>
          </cell>
          <cell r="BW283">
            <v>-2472655</v>
          </cell>
          <cell r="BX283">
            <v>3373727</v>
          </cell>
          <cell r="BY283">
            <v>3723398</v>
          </cell>
          <cell r="BZ283">
            <v>67909389</v>
          </cell>
          <cell r="CA283">
            <v>1686864</v>
          </cell>
          <cell r="CB283">
            <v>1653126</v>
          </cell>
          <cell r="CC283">
            <v>0</v>
          </cell>
          <cell r="CD283">
            <v>33737</v>
          </cell>
          <cell r="CE283">
            <v>1861699</v>
          </cell>
          <cell r="CF283">
            <v>1824465</v>
          </cell>
          <cell r="CG283">
            <v>0</v>
          </cell>
          <cell r="CH283">
            <v>37234</v>
          </cell>
        </row>
        <row r="284">
          <cell r="A284">
            <v>277</v>
          </cell>
          <cell r="B284" t="str">
            <v>Tendring</v>
          </cell>
          <cell r="C284" t="str">
            <v>E1542</v>
          </cell>
          <cell r="D284">
            <v>290060</v>
          </cell>
          <cell r="H284">
            <v>460247</v>
          </cell>
          <cell r="I284">
            <v>0</v>
          </cell>
          <cell r="J284">
            <v>290060</v>
          </cell>
          <cell r="K284">
            <v>0</v>
          </cell>
          <cell r="L284">
            <v>275365</v>
          </cell>
          <cell r="M284">
            <v>0</v>
          </cell>
          <cell r="N284">
            <v>0</v>
          </cell>
          <cell r="O284">
            <v>0</v>
          </cell>
          <cell r="P284">
            <v>0</v>
          </cell>
          <cell r="Q284">
            <v>0</v>
          </cell>
          <cell r="R284">
            <v>1147819</v>
          </cell>
          <cell r="S284">
            <v>258259</v>
          </cell>
          <cell r="T284">
            <v>28695</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M284">
            <v>0</v>
          </cell>
          <cell r="AN284">
            <v>0</v>
          </cell>
          <cell r="AO284">
            <v>0</v>
          </cell>
          <cell r="AP284">
            <v>151821</v>
          </cell>
          <cell r="AQ284">
            <v>33229</v>
          </cell>
          <cell r="AR284">
            <v>3692</v>
          </cell>
          <cell r="AS284">
            <v>-81691</v>
          </cell>
          <cell r="AT284">
            <v>-65354</v>
          </cell>
          <cell r="AU284">
            <v>-14706</v>
          </cell>
          <cell r="AV284">
            <v>-1634</v>
          </cell>
          <cell r="AW284">
            <v>-163385</v>
          </cell>
          <cell r="AX284">
            <v>-1221500</v>
          </cell>
          <cell r="AY284">
            <v>-977200</v>
          </cell>
          <cell r="AZ284">
            <v>-219870</v>
          </cell>
          <cell r="BA284">
            <v>-24430</v>
          </cell>
          <cell r="BB284">
            <v>-2443000</v>
          </cell>
          <cell r="BC284">
            <v>26317194</v>
          </cell>
          <cell r="BD284">
            <v>-4574323</v>
          </cell>
          <cell r="BE284">
            <v>662973</v>
          </cell>
          <cell r="BF284">
            <v>0</v>
          </cell>
          <cell r="BG284">
            <v>-2135863</v>
          </cell>
          <cell r="BH284">
            <v>-169934</v>
          </cell>
          <cell r="BI284">
            <v>-43241</v>
          </cell>
          <cell r="BJ284">
            <v>0</v>
          </cell>
          <cell r="BK284">
            <v>-588783</v>
          </cell>
          <cell r="BL284">
            <v>-32442</v>
          </cell>
          <cell r="BM284">
            <v>-207</v>
          </cell>
          <cell r="BN284">
            <v>0</v>
          </cell>
          <cell r="BO284">
            <v>-43240</v>
          </cell>
          <cell r="BP284">
            <v>0</v>
          </cell>
          <cell r="BQ284">
            <v>0</v>
          </cell>
          <cell r="BR284">
            <v>0</v>
          </cell>
          <cell r="BS284">
            <v>0</v>
          </cell>
          <cell r="BT284">
            <v>26585959</v>
          </cell>
          <cell r="BU284">
            <v>-162567</v>
          </cell>
          <cell r="BV284">
            <v>735900</v>
          </cell>
          <cell r="BW284">
            <v>-838474</v>
          </cell>
          <cell r="BX284">
            <v>26853</v>
          </cell>
          <cell r="BY284">
            <v>-374626</v>
          </cell>
          <cell r="BZ284">
            <v>24578912</v>
          </cell>
          <cell r="CA284">
            <v>13426</v>
          </cell>
          <cell r="CB284">
            <v>10741</v>
          </cell>
          <cell r="CC284">
            <v>2417</v>
          </cell>
          <cell r="CD284">
            <v>269</v>
          </cell>
          <cell r="CE284">
            <v>-187314</v>
          </cell>
          <cell r="CF284">
            <v>-149850</v>
          </cell>
          <cell r="CG284">
            <v>-33716</v>
          </cell>
          <cell r="CH284">
            <v>-3746</v>
          </cell>
        </row>
        <row r="285">
          <cell r="A285">
            <v>278</v>
          </cell>
          <cell r="B285" t="str">
            <v>Test Valley</v>
          </cell>
          <cell r="C285" t="str">
            <v>E1742</v>
          </cell>
          <cell r="D285">
            <v>188253</v>
          </cell>
          <cell r="H285">
            <v>195880</v>
          </cell>
          <cell r="I285">
            <v>0</v>
          </cell>
          <cell r="J285">
            <v>188253</v>
          </cell>
          <cell r="K285">
            <v>0</v>
          </cell>
          <cell r="L285">
            <v>359040</v>
          </cell>
          <cell r="M285">
            <v>0</v>
          </cell>
          <cell r="N285">
            <v>0</v>
          </cell>
          <cell r="O285">
            <v>0</v>
          </cell>
          <cell r="P285">
            <v>0</v>
          </cell>
          <cell r="Q285">
            <v>0</v>
          </cell>
          <cell r="R285">
            <v>672264</v>
          </cell>
          <cell r="S285">
            <v>151259</v>
          </cell>
          <cell r="T285">
            <v>16807</v>
          </cell>
          <cell r="U285">
            <v>8648</v>
          </cell>
          <cell r="V285">
            <v>1946</v>
          </cell>
          <cell r="W285">
            <v>216</v>
          </cell>
          <cell r="X285">
            <v>93497</v>
          </cell>
          <cell r="Y285">
            <v>21037</v>
          </cell>
          <cell r="Z285">
            <v>2337</v>
          </cell>
          <cell r="AA285">
            <v>471</v>
          </cell>
          <cell r="AB285">
            <v>106</v>
          </cell>
          <cell r="AC285">
            <v>12</v>
          </cell>
          <cell r="AD285">
            <v>0</v>
          </cell>
          <cell r="AE285">
            <v>0</v>
          </cell>
          <cell r="AF285">
            <v>0</v>
          </cell>
          <cell r="AG285">
            <v>0</v>
          </cell>
          <cell r="AH285">
            <v>0</v>
          </cell>
          <cell r="AI285">
            <v>0</v>
          </cell>
          <cell r="AM285">
            <v>0</v>
          </cell>
          <cell r="AN285">
            <v>0</v>
          </cell>
          <cell r="AO285">
            <v>0</v>
          </cell>
          <cell r="AP285">
            <v>313584</v>
          </cell>
          <cell r="AQ285">
            <v>69343</v>
          </cell>
          <cell r="AR285">
            <v>7705</v>
          </cell>
          <cell r="AS285">
            <v>-497449</v>
          </cell>
          <cell r="AT285">
            <v>-397959</v>
          </cell>
          <cell r="AU285">
            <v>-89540</v>
          </cell>
          <cell r="AV285">
            <v>-9948</v>
          </cell>
          <cell r="AW285">
            <v>-994896</v>
          </cell>
          <cell r="AX285">
            <v>-2156722</v>
          </cell>
          <cell r="AY285">
            <v>-1725378</v>
          </cell>
          <cell r="AZ285">
            <v>-388211</v>
          </cell>
          <cell r="BA285">
            <v>-43135</v>
          </cell>
          <cell r="BB285">
            <v>-4313446</v>
          </cell>
          <cell r="BC285">
            <v>48173778</v>
          </cell>
          <cell r="BD285">
            <v>-2647039</v>
          </cell>
          <cell r="BE285">
            <v>1353581</v>
          </cell>
          <cell r="BF285">
            <v>0</v>
          </cell>
          <cell r="BG285">
            <v>-2823358</v>
          </cell>
          <cell r="BH285">
            <v>-67986</v>
          </cell>
          <cell r="BI285">
            <v>-30583</v>
          </cell>
          <cell r="BJ285">
            <v>-15372</v>
          </cell>
          <cell r="BK285">
            <v>-1103687</v>
          </cell>
          <cell r="BL285">
            <v>-179774</v>
          </cell>
          <cell r="BM285">
            <v>-93610</v>
          </cell>
          <cell r="BN285">
            <v>-16997</v>
          </cell>
          <cell r="BO285">
            <v>-55854</v>
          </cell>
          <cell r="BP285">
            <v>-30583</v>
          </cell>
          <cell r="BQ285">
            <v>0</v>
          </cell>
          <cell r="BR285">
            <v>0</v>
          </cell>
          <cell r="BS285">
            <v>0</v>
          </cell>
          <cell r="BT285">
            <v>51979451</v>
          </cell>
          <cell r="BU285">
            <v>-728275</v>
          </cell>
          <cell r="BV285">
            <v>2337465</v>
          </cell>
          <cell r="BW285">
            <v>-660126</v>
          </cell>
          <cell r="BX285">
            <v>13334</v>
          </cell>
          <cell r="BY285">
            <v>1586089</v>
          </cell>
          <cell r="BZ285">
            <v>51291761</v>
          </cell>
          <cell r="CA285">
            <v>6667</v>
          </cell>
          <cell r="CB285">
            <v>5333</v>
          </cell>
          <cell r="CC285">
            <v>1200</v>
          </cell>
          <cell r="CD285">
            <v>134</v>
          </cell>
          <cell r="CE285">
            <v>793044</v>
          </cell>
          <cell r="CF285">
            <v>634436</v>
          </cell>
          <cell r="CG285">
            <v>142748</v>
          </cell>
          <cell r="CH285">
            <v>15861</v>
          </cell>
        </row>
        <row r="286">
          <cell r="A286">
            <v>279</v>
          </cell>
          <cell r="B286" t="str">
            <v>Tewkesbury</v>
          </cell>
          <cell r="C286" t="str">
            <v>E1636</v>
          </cell>
          <cell r="D286">
            <v>123791</v>
          </cell>
          <cell r="H286">
            <v>1118347</v>
          </cell>
          <cell r="I286">
            <v>0</v>
          </cell>
          <cell r="J286">
            <v>123791</v>
          </cell>
          <cell r="K286">
            <v>0</v>
          </cell>
          <cell r="L286">
            <v>0</v>
          </cell>
          <cell r="M286">
            <v>0</v>
          </cell>
          <cell r="N286">
            <v>0</v>
          </cell>
          <cell r="O286">
            <v>0</v>
          </cell>
          <cell r="P286">
            <v>0</v>
          </cell>
          <cell r="Q286">
            <v>0</v>
          </cell>
          <cell r="R286">
            <v>497384</v>
          </cell>
          <cell r="S286">
            <v>124346</v>
          </cell>
          <cell r="T286">
            <v>0</v>
          </cell>
          <cell r="U286">
            <v>0</v>
          </cell>
          <cell r="V286">
            <v>0</v>
          </cell>
          <cell r="W286">
            <v>0</v>
          </cell>
          <cell r="X286">
            <v>0</v>
          </cell>
          <cell r="Y286">
            <v>0</v>
          </cell>
          <cell r="Z286">
            <v>0</v>
          </cell>
          <cell r="AA286">
            <v>1580</v>
          </cell>
          <cell r="AB286">
            <v>395</v>
          </cell>
          <cell r="AC286">
            <v>0</v>
          </cell>
          <cell r="AD286">
            <v>0</v>
          </cell>
          <cell r="AE286">
            <v>0</v>
          </cell>
          <cell r="AF286">
            <v>0</v>
          </cell>
          <cell r="AG286">
            <v>0</v>
          </cell>
          <cell r="AH286">
            <v>0</v>
          </cell>
          <cell r="AI286">
            <v>0</v>
          </cell>
          <cell r="AM286">
            <v>0</v>
          </cell>
          <cell r="AN286">
            <v>0</v>
          </cell>
          <cell r="AO286">
            <v>0</v>
          </cell>
          <cell r="AP286">
            <v>210562</v>
          </cell>
          <cell r="AQ286">
            <v>52641</v>
          </cell>
          <cell r="AR286">
            <v>0</v>
          </cell>
          <cell r="AS286">
            <v>-61431</v>
          </cell>
          <cell r="AT286">
            <v>-49144</v>
          </cell>
          <cell r="AU286">
            <v>-12286</v>
          </cell>
          <cell r="AV286">
            <v>0</v>
          </cell>
          <cell r="AW286">
            <v>-122861</v>
          </cell>
          <cell r="AX286">
            <v>-4097412</v>
          </cell>
          <cell r="AY286">
            <v>-3277930</v>
          </cell>
          <cell r="AZ286">
            <v>-819483</v>
          </cell>
          <cell r="BA286">
            <v>0</v>
          </cell>
          <cell r="BB286">
            <v>-8194825</v>
          </cell>
          <cell r="BC286">
            <v>31850178</v>
          </cell>
          <cell r="BD286">
            <v>-1895957</v>
          </cell>
          <cell r="BE286">
            <v>926846</v>
          </cell>
          <cell r="BF286">
            <v>0</v>
          </cell>
          <cell r="BG286">
            <v>-1248712</v>
          </cell>
          <cell r="BH286">
            <v>-33256</v>
          </cell>
          <cell r="BI286">
            <v>-10168</v>
          </cell>
          <cell r="BJ286">
            <v>-32156</v>
          </cell>
          <cell r="BK286">
            <v>-898428</v>
          </cell>
          <cell r="BL286">
            <v>-39331</v>
          </cell>
          <cell r="BM286">
            <v>-27219</v>
          </cell>
          <cell r="BN286">
            <v>-378</v>
          </cell>
          <cell r="BO286">
            <v>-7351</v>
          </cell>
          <cell r="BP286">
            <v>0</v>
          </cell>
          <cell r="BQ286">
            <v>0</v>
          </cell>
          <cell r="BR286">
            <v>0</v>
          </cell>
          <cell r="BS286">
            <v>0</v>
          </cell>
          <cell r="BT286">
            <v>35771794</v>
          </cell>
          <cell r="BU286">
            <v>-73757</v>
          </cell>
          <cell r="BV286">
            <v>132137</v>
          </cell>
          <cell r="BW286">
            <v>-106187</v>
          </cell>
          <cell r="BX286">
            <v>-3866464</v>
          </cell>
          <cell r="BY286">
            <v>-2075752</v>
          </cell>
          <cell r="BZ286">
            <v>35043566</v>
          </cell>
          <cell r="CA286">
            <v>-1933232</v>
          </cell>
          <cell r="CB286">
            <v>-1546586</v>
          </cell>
          <cell r="CC286">
            <v>-386646</v>
          </cell>
          <cell r="CD286">
            <v>0</v>
          </cell>
          <cell r="CE286">
            <v>-1037876</v>
          </cell>
          <cell r="CF286">
            <v>-830301</v>
          </cell>
          <cell r="CG286">
            <v>-207575</v>
          </cell>
          <cell r="CH286">
            <v>0</v>
          </cell>
        </row>
        <row r="287">
          <cell r="A287">
            <v>280</v>
          </cell>
          <cell r="B287" t="str">
            <v>Thanet</v>
          </cell>
          <cell r="C287" t="str">
            <v>E2242</v>
          </cell>
          <cell r="D287">
            <v>191748</v>
          </cell>
          <cell r="H287">
            <v>-340296</v>
          </cell>
          <cell r="I287">
            <v>0</v>
          </cell>
          <cell r="J287">
            <v>191748</v>
          </cell>
          <cell r="K287">
            <v>0</v>
          </cell>
          <cell r="L287">
            <v>0</v>
          </cell>
          <cell r="M287">
            <v>0</v>
          </cell>
          <cell r="N287">
            <v>0</v>
          </cell>
          <cell r="O287">
            <v>0</v>
          </cell>
          <cell r="P287">
            <v>0</v>
          </cell>
          <cell r="Q287">
            <v>0</v>
          </cell>
          <cell r="R287">
            <v>982862</v>
          </cell>
          <cell r="S287">
            <v>221144</v>
          </cell>
          <cell r="T287">
            <v>24572</v>
          </cell>
          <cell r="U287">
            <v>526</v>
          </cell>
          <cell r="V287">
            <v>118</v>
          </cell>
          <cell r="W287">
            <v>13</v>
          </cell>
          <cell r="X287">
            <v>480</v>
          </cell>
          <cell r="Y287">
            <v>108</v>
          </cell>
          <cell r="Z287">
            <v>12</v>
          </cell>
          <cell r="AA287">
            <v>762</v>
          </cell>
          <cell r="AB287">
            <v>171</v>
          </cell>
          <cell r="AC287">
            <v>19</v>
          </cell>
          <cell r="AD287">
            <v>0</v>
          </cell>
          <cell r="AE287">
            <v>0</v>
          </cell>
          <cell r="AF287">
            <v>0</v>
          </cell>
          <cell r="AG287">
            <v>0</v>
          </cell>
          <cell r="AH287">
            <v>0</v>
          </cell>
          <cell r="AI287">
            <v>0</v>
          </cell>
          <cell r="AM287">
            <v>0</v>
          </cell>
          <cell r="AN287">
            <v>0</v>
          </cell>
          <cell r="AO287">
            <v>0</v>
          </cell>
          <cell r="AP287">
            <v>187898</v>
          </cell>
          <cell r="AQ287">
            <v>42277</v>
          </cell>
          <cell r="AR287">
            <v>4697</v>
          </cell>
          <cell r="AS287">
            <v>-482754</v>
          </cell>
          <cell r="AT287">
            <v>-386201</v>
          </cell>
          <cell r="AU287">
            <v>-86896</v>
          </cell>
          <cell r="AV287">
            <v>-9655</v>
          </cell>
          <cell r="AW287">
            <v>-965506</v>
          </cell>
          <cell r="AX287">
            <v>-2631650</v>
          </cell>
          <cell r="AY287">
            <v>-2105320</v>
          </cell>
          <cell r="AZ287">
            <v>-473698</v>
          </cell>
          <cell r="BA287">
            <v>-52633</v>
          </cell>
          <cell r="BB287">
            <v>-5263301</v>
          </cell>
          <cell r="BC287">
            <v>33674766</v>
          </cell>
          <cell r="BD287">
            <v>-4153604</v>
          </cell>
          <cell r="BE287">
            <v>934524</v>
          </cell>
          <cell r="BF287">
            <v>0</v>
          </cell>
          <cell r="BG287">
            <v>-3848991</v>
          </cell>
          <cell r="BH287">
            <v>-39794</v>
          </cell>
          <cell r="BI287">
            <v>-5107</v>
          </cell>
          <cell r="BJ287">
            <v>-2745</v>
          </cell>
          <cell r="BK287">
            <v>-1445183</v>
          </cell>
          <cell r="BL287">
            <v>-151002</v>
          </cell>
          <cell r="BM287">
            <v>-45620</v>
          </cell>
          <cell r="BN287">
            <v>0</v>
          </cell>
          <cell r="BO287">
            <v>-758</v>
          </cell>
          <cell r="BP287">
            <v>0</v>
          </cell>
          <cell r="BQ287">
            <v>0</v>
          </cell>
          <cell r="BR287">
            <v>0</v>
          </cell>
          <cell r="BS287">
            <v>0</v>
          </cell>
          <cell r="BT287">
            <v>33275112</v>
          </cell>
          <cell r="BU287">
            <v>-290509</v>
          </cell>
          <cell r="BV287">
            <v>1804806</v>
          </cell>
          <cell r="BW287">
            <v>-1595293</v>
          </cell>
          <cell r="BX287">
            <v>3421105</v>
          </cell>
          <cell r="BY287">
            <v>3118092</v>
          </cell>
          <cell r="BZ287">
            <v>31271603</v>
          </cell>
          <cell r="CA287">
            <v>1710552</v>
          </cell>
          <cell r="CB287">
            <v>1368441</v>
          </cell>
          <cell r="CC287">
            <v>307900</v>
          </cell>
          <cell r="CD287">
            <v>34212</v>
          </cell>
          <cell r="CE287">
            <v>1559046</v>
          </cell>
          <cell r="CF287">
            <v>1247237</v>
          </cell>
          <cell r="CG287">
            <v>280628</v>
          </cell>
          <cell r="CH287">
            <v>31181</v>
          </cell>
        </row>
        <row r="288">
          <cell r="A288">
            <v>281</v>
          </cell>
          <cell r="B288" t="str">
            <v>Three Rivers</v>
          </cell>
          <cell r="C288" t="str">
            <v>E1938</v>
          </cell>
          <cell r="D288">
            <v>92778</v>
          </cell>
          <cell r="H288">
            <v>0</v>
          </cell>
          <cell r="I288">
            <v>0</v>
          </cell>
          <cell r="J288">
            <v>92778</v>
          </cell>
          <cell r="K288">
            <v>0</v>
          </cell>
          <cell r="L288">
            <v>0</v>
          </cell>
          <cell r="M288">
            <v>0</v>
          </cell>
          <cell r="N288">
            <v>0</v>
          </cell>
          <cell r="O288">
            <v>0</v>
          </cell>
          <cell r="P288">
            <v>0</v>
          </cell>
          <cell r="Q288">
            <v>0</v>
          </cell>
          <cell r="R288">
            <v>324881</v>
          </cell>
          <cell r="S288">
            <v>81220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M288">
            <v>0</v>
          </cell>
          <cell r="AN288">
            <v>0</v>
          </cell>
          <cell r="AO288">
            <v>0</v>
          </cell>
          <cell r="AP288">
            <v>154818</v>
          </cell>
          <cell r="AQ288">
            <v>38705</v>
          </cell>
          <cell r="AR288">
            <v>0</v>
          </cell>
          <cell r="AS288">
            <v>-338766</v>
          </cell>
          <cell r="AT288">
            <v>-271011</v>
          </cell>
          <cell r="AU288">
            <v>-67753</v>
          </cell>
          <cell r="AV288">
            <v>0</v>
          </cell>
          <cell r="AW288">
            <v>-677530</v>
          </cell>
          <cell r="AX288">
            <v>-1112593</v>
          </cell>
          <cell r="AY288">
            <v>-890072</v>
          </cell>
          <cell r="AZ288">
            <v>-222519</v>
          </cell>
          <cell r="BA288">
            <v>0</v>
          </cell>
          <cell r="BB288">
            <v>-2225184</v>
          </cell>
          <cell r="BC288">
            <v>30373309</v>
          </cell>
          <cell r="BD288">
            <v>-988486</v>
          </cell>
          <cell r="BE288">
            <v>759964</v>
          </cell>
          <cell r="BF288">
            <v>0</v>
          </cell>
          <cell r="BG288">
            <v>-2353617</v>
          </cell>
          <cell r="BH288">
            <v>-28464</v>
          </cell>
          <cell r="BI288">
            <v>-1864</v>
          </cell>
          <cell r="BJ288">
            <v>-115569</v>
          </cell>
          <cell r="BK288">
            <v>-549136</v>
          </cell>
          <cell r="BL288">
            <v>-10574</v>
          </cell>
          <cell r="BM288">
            <v>-124057</v>
          </cell>
          <cell r="BN288">
            <v>0</v>
          </cell>
          <cell r="BO288">
            <v>-1864</v>
          </cell>
          <cell r="BP288">
            <v>0</v>
          </cell>
          <cell r="BQ288">
            <v>0</v>
          </cell>
          <cell r="BR288">
            <v>0</v>
          </cell>
          <cell r="BS288">
            <v>0</v>
          </cell>
          <cell r="BT288">
            <v>27866457</v>
          </cell>
          <cell r="BU288">
            <v>-237719</v>
          </cell>
          <cell r="BV288">
            <v>703867</v>
          </cell>
          <cell r="BW288">
            <v>-839429</v>
          </cell>
          <cell r="BX288">
            <v>-9863538</v>
          </cell>
          <cell r="BY288">
            <v>-12976506</v>
          </cell>
          <cell r="BZ288">
            <v>25766155</v>
          </cell>
          <cell r="CA288">
            <v>-4931769</v>
          </cell>
          <cell r="CB288">
            <v>-3945415</v>
          </cell>
          <cell r="CC288">
            <v>-986354</v>
          </cell>
          <cell r="CD288">
            <v>0</v>
          </cell>
          <cell r="CE288">
            <v>-6488253</v>
          </cell>
          <cell r="CF288">
            <v>-5190602</v>
          </cell>
          <cell r="CG288">
            <v>-1297651</v>
          </cell>
          <cell r="CH288">
            <v>0</v>
          </cell>
        </row>
        <row r="289">
          <cell r="A289">
            <v>282</v>
          </cell>
          <cell r="B289" t="str">
            <v>Thurrock</v>
          </cell>
          <cell r="C289" t="str">
            <v>E1502</v>
          </cell>
          <cell r="D289">
            <v>229558</v>
          </cell>
          <cell r="H289">
            <v>-2403089</v>
          </cell>
          <cell r="I289">
            <v>0</v>
          </cell>
          <cell r="J289">
            <v>229558</v>
          </cell>
          <cell r="K289">
            <v>0</v>
          </cell>
          <cell r="L289">
            <v>0</v>
          </cell>
          <cell r="M289">
            <v>0</v>
          </cell>
          <cell r="N289">
            <v>0</v>
          </cell>
          <cell r="O289">
            <v>0</v>
          </cell>
          <cell r="P289">
            <v>0</v>
          </cell>
          <cell r="Q289">
            <v>0</v>
          </cell>
          <cell r="R289">
            <v>779715</v>
          </cell>
          <cell r="S289">
            <v>0</v>
          </cell>
          <cell r="T289">
            <v>15913</v>
          </cell>
          <cell r="U289">
            <v>0</v>
          </cell>
          <cell r="V289">
            <v>0</v>
          </cell>
          <cell r="W289">
            <v>0</v>
          </cell>
          <cell r="X289">
            <v>0</v>
          </cell>
          <cell r="Y289">
            <v>0</v>
          </cell>
          <cell r="Z289">
            <v>0</v>
          </cell>
          <cell r="AA289">
            <v>52313</v>
          </cell>
          <cell r="AB289">
            <v>0</v>
          </cell>
          <cell r="AC289">
            <v>1068</v>
          </cell>
          <cell r="AD289">
            <v>0</v>
          </cell>
          <cell r="AE289">
            <v>0</v>
          </cell>
          <cell r="AF289">
            <v>0</v>
          </cell>
          <cell r="AG289">
            <v>0</v>
          </cell>
          <cell r="AH289">
            <v>0</v>
          </cell>
          <cell r="AI289">
            <v>0</v>
          </cell>
          <cell r="AM289">
            <v>0</v>
          </cell>
          <cell r="AN289">
            <v>0</v>
          </cell>
          <cell r="AO289">
            <v>0</v>
          </cell>
          <cell r="AP289">
            <v>811728</v>
          </cell>
          <cell r="AQ289">
            <v>0</v>
          </cell>
          <cell r="AR289">
            <v>16566</v>
          </cell>
          <cell r="AS289">
            <v>41831</v>
          </cell>
          <cell r="AT289">
            <v>40995</v>
          </cell>
          <cell r="AU289">
            <v>0</v>
          </cell>
          <cell r="AV289">
            <v>837</v>
          </cell>
          <cell r="AW289">
            <v>83663</v>
          </cell>
          <cell r="AX289">
            <v>-6132673</v>
          </cell>
          <cell r="AY289">
            <v>-6010021</v>
          </cell>
          <cell r="AZ289">
            <v>0</v>
          </cell>
          <cell r="BA289">
            <v>-122653</v>
          </cell>
          <cell r="BB289">
            <v>-12265347</v>
          </cell>
          <cell r="BC289">
            <v>110404107</v>
          </cell>
          <cell r="BD289">
            <v>-2434680</v>
          </cell>
          <cell r="BE289">
            <v>3090465</v>
          </cell>
          <cell r="BF289">
            <v>0</v>
          </cell>
          <cell r="BG289">
            <v>-4026219</v>
          </cell>
          <cell r="BH289">
            <v>-34939</v>
          </cell>
          <cell r="BI289">
            <v>0</v>
          </cell>
          <cell r="BJ289">
            <v>-3556</v>
          </cell>
          <cell r="BK289">
            <v>-5294577</v>
          </cell>
          <cell r="BL289">
            <v>-46161</v>
          </cell>
          <cell r="BM289">
            <v>-32700</v>
          </cell>
          <cell r="BN289">
            <v>-941</v>
          </cell>
          <cell r="BO289">
            <v>0</v>
          </cell>
          <cell r="BP289">
            <v>0</v>
          </cell>
          <cell r="BQ289">
            <v>0</v>
          </cell>
          <cell r="BR289">
            <v>0</v>
          </cell>
          <cell r="BS289">
            <v>0</v>
          </cell>
          <cell r="BT289">
            <v>112181176</v>
          </cell>
          <cell r="BU289">
            <v>0</v>
          </cell>
          <cell r="BV289">
            <v>599825</v>
          </cell>
          <cell r="BW289">
            <v>-270617</v>
          </cell>
          <cell r="BX289">
            <v>422656</v>
          </cell>
          <cell r="BY289">
            <v>-3617709</v>
          </cell>
          <cell r="BZ289">
            <v>110281361</v>
          </cell>
          <cell r="CA289">
            <v>211328</v>
          </cell>
          <cell r="CB289">
            <v>207101</v>
          </cell>
          <cell r="CC289">
            <v>0</v>
          </cell>
          <cell r="CD289">
            <v>4227</v>
          </cell>
          <cell r="CE289">
            <v>-1808855</v>
          </cell>
          <cell r="CF289">
            <v>-1772677</v>
          </cell>
          <cell r="CG289">
            <v>0</v>
          </cell>
          <cell r="CH289">
            <v>-36177</v>
          </cell>
        </row>
        <row r="290">
          <cell r="A290">
            <v>283</v>
          </cell>
          <cell r="B290" t="str">
            <v>Tonbridge and Malling</v>
          </cell>
          <cell r="C290" t="str">
            <v>E2243</v>
          </cell>
          <cell r="D290">
            <v>162575</v>
          </cell>
          <cell r="H290">
            <v>52258</v>
          </cell>
          <cell r="I290">
            <v>0</v>
          </cell>
          <cell r="J290">
            <v>162575</v>
          </cell>
          <cell r="K290">
            <v>0</v>
          </cell>
          <cell r="L290">
            <v>0</v>
          </cell>
          <cell r="M290">
            <v>0</v>
          </cell>
          <cell r="N290">
            <v>0</v>
          </cell>
          <cell r="O290">
            <v>0</v>
          </cell>
          <cell r="P290">
            <v>0</v>
          </cell>
          <cell r="Q290">
            <v>0</v>
          </cell>
          <cell r="R290">
            <v>521837</v>
          </cell>
          <cell r="S290">
            <v>117413</v>
          </cell>
          <cell r="T290">
            <v>13046</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M290">
            <v>0</v>
          </cell>
          <cell r="AN290">
            <v>0</v>
          </cell>
          <cell r="AO290">
            <v>0</v>
          </cell>
          <cell r="AP290">
            <v>320682</v>
          </cell>
          <cell r="AQ290">
            <v>72153</v>
          </cell>
          <cell r="AR290">
            <v>8017</v>
          </cell>
          <cell r="AS290">
            <v>-180000</v>
          </cell>
          <cell r="AT290">
            <v>-144000</v>
          </cell>
          <cell r="AU290">
            <v>-32400</v>
          </cell>
          <cell r="AV290">
            <v>-3600</v>
          </cell>
          <cell r="AW290">
            <v>-360000</v>
          </cell>
          <cell r="AX290">
            <v>-3750000</v>
          </cell>
          <cell r="AY290">
            <v>-3000000</v>
          </cell>
          <cell r="AZ290">
            <v>-675000</v>
          </cell>
          <cell r="BA290">
            <v>-75000</v>
          </cell>
          <cell r="BB290">
            <v>-7500000</v>
          </cell>
          <cell r="BC290">
            <v>53230926</v>
          </cell>
          <cell r="BD290">
            <v>-1844945</v>
          </cell>
          <cell r="BE290">
            <v>1573388</v>
          </cell>
          <cell r="BF290">
            <v>0</v>
          </cell>
          <cell r="BG290">
            <v>-4769582</v>
          </cell>
          <cell r="BH290">
            <v>-70859</v>
          </cell>
          <cell r="BI290">
            <v>-7447</v>
          </cell>
          <cell r="BJ290">
            <v>-84880</v>
          </cell>
          <cell r="BK290">
            <v>-3245623</v>
          </cell>
          <cell r="BL290">
            <v>-135113</v>
          </cell>
          <cell r="BM290">
            <v>-47477</v>
          </cell>
          <cell r="BN290">
            <v>-17408</v>
          </cell>
          <cell r="BO290">
            <v>-1558</v>
          </cell>
          <cell r="BP290">
            <v>-12899</v>
          </cell>
          <cell r="BQ290">
            <v>0</v>
          </cell>
          <cell r="BR290">
            <v>0</v>
          </cell>
          <cell r="BS290">
            <v>0</v>
          </cell>
          <cell r="BT290">
            <v>53751367</v>
          </cell>
          <cell r="BU290">
            <v>-230000</v>
          </cell>
          <cell r="BV290">
            <v>1350815</v>
          </cell>
          <cell r="BW290">
            <v>-2078022</v>
          </cell>
          <cell r="BX290">
            <v>-649646</v>
          </cell>
          <cell r="BY290">
            <v>-29785</v>
          </cell>
          <cell r="BZ290">
            <v>53370595</v>
          </cell>
          <cell r="CA290">
            <v>-324822</v>
          </cell>
          <cell r="CB290">
            <v>-259859</v>
          </cell>
          <cell r="CC290">
            <v>-58468</v>
          </cell>
          <cell r="CD290">
            <v>-6497</v>
          </cell>
          <cell r="CE290">
            <v>-14892</v>
          </cell>
          <cell r="CF290">
            <v>-11914</v>
          </cell>
          <cell r="CG290">
            <v>-2681</v>
          </cell>
          <cell r="CH290">
            <v>-298</v>
          </cell>
        </row>
        <row r="291">
          <cell r="A291">
            <v>284</v>
          </cell>
          <cell r="B291" t="str">
            <v>Torbay</v>
          </cell>
          <cell r="C291" t="str">
            <v>E1102</v>
          </cell>
          <cell r="D291">
            <v>195813</v>
          </cell>
          <cell r="H291">
            <v>-3609793.3899999997</v>
          </cell>
          <cell r="I291">
            <v>0</v>
          </cell>
          <cell r="J291">
            <v>195813</v>
          </cell>
          <cell r="K291">
            <v>0</v>
          </cell>
          <cell r="L291">
            <v>0</v>
          </cell>
          <cell r="M291">
            <v>0</v>
          </cell>
          <cell r="N291">
            <v>0</v>
          </cell>
          <cell r="O291">
            <v>0</v>
          </cell>
          <cell r="P291">
            <v>0</v>
          </cell>
          <cell r="Q291">
            <v>0</v>
          </cell>
          <cell r="R291">
            <v>1392580</v>
          </cell>
          <cell r="S291">
            <v>0</v>
          </cell>
          <cell r="T291">
            <v>28420</v>
          </cell>
          <cell r="U291">
            <v>6363</v>
          </cell>
          <cell r="V291">
            <v>0</v>
          </cell>
          <cell r="W291">
            <v>130</v>
          </cell>
          <cell r="X291">
            <v>0</v>
          </cell>
          <cell r="Y291">
            <v>0</v>
          </cell>
          <cell r="Z291">
            <v>0</v>
          </cell>
          <cell r="AA291">
            <v>5069</v>
          </cell>
          <cell r="AB291">
            <v>0</v>
          </cell>
          <cell r="AC291">
            <v>103</v>
          </cell>
          <cell r="AD291">
            <v>0</v>
          </cell>
          <cell r="AE291">
            <v>0</v>
          </cell>
          <cell r="AF291">
            <v>0</v>
          </cell>
          <cell r="AG291">
            <v>0</v>
          </cell>
          <cell r="AH291">
            <v>0</v>
          </cell>
          <cell r="AI291">
            <v>0</v>
          </cell>
          <cell r="AM291">
            <v>0</v>
          </cell>
          <cell r="AN291">
            <v>0</v>
          </cell>
          <cell r="AO291">
            <v>0</v>
          </cell>
          <cell r="AP291">
            <v>224188</v>
          </cell>
          <cell r="AQ291">
            <v>0</v>
          </cell>
          <cell r="AR291">
            <v>4575</v>
          </cell>
          <cell r="AS291">
            <v>-431057</v>
          </cell>
          <cell r="AT291">
            <v>-422435</v>
          </cell>
          <cell r="AU291">
            <v>0</v>
          </cell>
          <cell r="AV291">
            <v>-8622</v>
          </cell>
          <cell r="AW291">
            <v>-862114</v>
          </cell>
          <cell r="AX291">
            <v>-1515396</v>
          </cell>
          <cell r="AY291">
            <v>-1485088</v>
          </cell>
          <cell r="AZ291">
            <v>0</v>
          </cell>
          <cell r="BA291">
            <v>-30308</v>
          </cell>
          <cell r="BB291">
            <v>-3030792</v>
          </cell>
          <cell r="BC291">
            <v>37457069</v>
          </cell>
          <cell r="BD291">
            <v>-4386286</v>
          </cell>
          <cell r="BE291">
            <v>1005147</v>
          </cell>
          <cell r="BF291">
            <v>0</v>
          </cell>
          <cell r="BG291">
            <v>-3656907</v>
          </cell>
          <cell r="BH291">
            <v>-137454</v>
          </cell>
          <cell r="BI291">
            <v>0</v>
          </cell>
          <cell r="BJ291">
            <v>-9569</v>
          </cell>
          <cell r="BK291">
            <v>-1232178</v>
          </cell>
          <cell r="BL291">
            <v>-67209</v>
          </cell>
          <cell r="BM291">
            <v>-294024</v>
          </cell>
          <cell r="BN291">
            <v>-4968</v>
          </cell>
          <cell r="BO291">
            <v>0</v>
          </cell>
          <cell r="BP291">
            <v>0</v>
          </cell>
          <cell r="BQ291">
            <v>0</v>
          </cell>
          <cell r="BR291">
            <v>0</v>
          </cell>
          <cell r="BS291">
            <v>0</v>
          </cell>
          <cell r="BT291">
            <v>37377885</v>
          </cell>
          <cell r="BU291">
            <v>-603748</v>
          </cell>
          <cell r="BV291">
            <v>1878475</v>
          </cell>
          <cell r="BW291">
            <v>-720079</v>
          </cell>
          <cell r="BX291">
            <v>-493639</v>
          </cell>
          <cell r="BY291">
            <v>-103564</v>
          </cell>
          <cell r="BZ291">
            <v>30458166</v>
          </cell>
          <cell r="CA291">
            <v>-246820</v>
          </cell>
          <cell r="CB291">
            <v>-241883</v>
          </cell>
          <cell r="CC291">
            <v>0</v>
          </cell>
          <cell r="CD291">
            <v>-4936</v>
          </cell>
          <cell r="CE291">
            <v>-51782</v>
          </cell>
          <cell r="CF291">
            <v>-50746</v>
          </cell>
          <cell r="CG291">
            <v>0</v>
          </cell>
          <cell r="CH291">
            <v>-1036</v>
          </cell>
        </row>
        <row r="292">
          <cell r="A292">
            <v>285</v>
          </cell>
          <cell r="B292" t="str">
            <v>Torridge</v>
          </cell>
          <cell r="C292" t="str">
            <v>E1139</v>
          </cell>
          <cell r="D292">
            <v>132592</v>
          </cell>
          <cell r="H292">
            <v>648424</v>
          </cell>
          <cell r="I292">
            <v>0</v>
          </cell>
          <cell r="J292">
            <v>132592</v>
          </cell>
          <cell r="K292">
            <v>0</v>
          </cell>
          <cell r="L292">
            <v>746789</v>
          </cell>
          <cell r="M292">
            <v>0</v>
          </cell>
          <cell r="N292">
            <v>0</v>
          </cell>
          <cell r="O292">
            <v>0</v>
          </cell>
          <cell r="P292">
            <v>0</v>
          </cell>
          <cell r="Q292">
            <v>0</v>
          </cell>
          <cell r="R292">
            <v>729512</v>
          </cell>
          <cell r="S292">
            <v>164140</v>
          </cell>
          <cell r="T292">
            <v>18238</v>
          </cell>
          <cell r="U292">
            <v>271</v>
          </cell>
          <cell r="V292">
            <v>61</v>
          </cell>
          <cell r="W292">
            <v>7</v>
          </cell>
          <cell r="X292">
            <v>0</v>
          </cell>
          <cell r="Y292">
            <v>0</v>
          </cell>
          <cell r="Z292">
            <v>0</v>
          </cell>
          <cell r="AA292">
            <v>0</v>
          </cell>
          <cell r="AB292">
            <v>0</v>
          </cell>
          <cell r="AC292">
            <v>0</v>
          </cell>
          <cell r="AD292">
            <v>0</v>
          </cell>
          <cell r="AE292">
            <v>0</v>
          </cell>
          <cell r="AF292">
            <v>0</v>
          </cell>
          <cell r="AG292">
            <v>0</v>
          </cell>
          <cell r="AH292">
            <v>0</v>
          </cell>
          <cell r="AI292">
            <v>0</v>
          </cell>
          <cell r="AM292">
            <v>0</v>
          </cell>
          <cell r="AN292">
            <v>0</v>
          </cell>
          <cell r="AO292">
            <v>0</v>
          </cell>
          <cell r="AP292">
            <v>74565</v>
          </cell>
          <cell r="AQ292">
            <v>14253</v>
          </cell>
          <cell r="AR292">
            <v>1584</v>
          </cell>
          <cell r="AS292">
            <v>-46487</v>
          </cell>
          <cell r="AT292">
            <v>-37189</v>
          </cell>
          <cell r="AU292">
            <v>-8368</v>
          </cell>
          <cell r="AV292">
            <v>-930</v>
          </cell>
          <cell r="AW292">
            <v>-92974</v>
          </cell>
          <cell r="AX292">
            <v>-645782</v>
          </cell>
          <cell r="AY292">
            <v>-516623</v>
          </cell>
          <cell r="AZ292">
            <v>-116241</v>
          </cell>
          <cell r="BA292">
            <v>-12916</v>
          </cell>
          <cell r="BB292">
            <v>-1291562</v>
          </cell>
          <cell r="BC292">
            <v>10098580</v>
          </cell>
          <cell r="BD292">
            <v>-3083690</v>
          </cell>
          <cell r="BE292">
            <v>273801</v>
          </cell>
          <cell r="BF292">
            <v>0</v>
          </cell>
          <cell r="BG292">
            <v>-1311683</v>
          </cell>
          <cell r="BH292">
            <v>-30662</v>
          </cell>
          <cell r="BI292">
            <v>-57724</v>
          </cell>
          <cell r="BJ292">
            <v>0</v>
          </cell>
          <cell r="BK292">
            <v>-334507</v>
          </cell>
          <cell r="BL292">
            <v>-85024</v>
          </cell>
          <cell r="BM292">
            <v>-20124</v>
          </cell>
          <cell r="BN292">
            <v>-3508</v>
          </cell>
          <cell r="BO292">
            <v>-19390</v>
          </cell>
          <cell r="BP292">
            <v>-10361</v>
          </cell>
          <cell r="BQ292">
            <v>0</v>
          </cell>
          <cell r="BR292">
            <v>0</v>
          </cell>
          <cell r="BS292">
            <v>0</v>
          </cell>
          <cell r="BT292">
            <v>10590926</v>
          </cell>
          <cell r="BU292">
            <v>-47436</v>
          </cell>
          <cell r="BV292">
            <v>335855</v>
          </cell>
          <cell r="BW292">
            <v>-125690</v>
          </cell>
          <cell r="BX292">
            <v>-726667</v>
          </cell>
          <cell r="BY292">
            <v>-1312729</v>
          </cell>
          <cell r="BZ292">
            <v>10542753</v>
          </cell>
          <cell r="CA292">
            <v>-363333</v>
          </cell>
          <cell r="CB292">
            <v>-290667</v>
          </cell>
          <cell r="CC292">
            <v>-65401</v>
          </cell>
          <cell r="CD292">
            <v>-7266</v>
          </cell>
          <cell r="CE292">
            <v>-656364</v>
          </cell>
          <cell r="CF292">
            <v>-525092</v>
          </cell>
          <cell r="CG292">
            <v>-118146</v>
          </cell>
          <cell r="CH292">
            <v>-13127</v>
          </cell>
        </row>
        <row r="293">
          <cell r="A293">
            <v>286</v>
          </cell>
          <cell r="B293" t="str">
            <v>Tower Hamlets</v>
          </cell>
          <cell r="C293" t="str">
            <v>E5020</v>
          </cell>
          <cell r="D293">
            <v>1016741</v>
          </cell>
          <cell r="H293">
            <v>23454911</v>
          </cell>
          <cell r="I293">
            <v>0</v>
          </cell>
          <cell r="J293">
            <v>1016741</v>
          </cell>
          <cell r="K293">
            <v>0</v>
          </cell>
          <cell r="L293">
            <v>0</v>
          </cell>
          <cell r="M293">
            <v>0</v>
          </cell>
          <cell r="N293">
            <v>0</v>
          </cell>
          <cell r="O293">
            <v>0</v>
          </cell>
          <cell r="P293">
            <v>0</v>
          </cell>
          <cell r="Q293">
            <v>0</v>
          </cell>
          <cell r="R293">
            <v>1047046</v>
          </cell>
          <cell r="S293">
            <v>1291356</v>
          </cell>
          <cell r="T293">
            <v>0</v>
          </cell>
          <cell r="U293">
            <v>0</v>
          </cell>
          <cell r="V293">
            <v>0</v>
          </cell>
          <cell r="W293">
            <v>0</v>
          </cell>
          <cell r="X293">
            <v>164304</v>
          </cell>
          <cell r="Y293">
            <v>202642</v>
          </cell>
          <cell r="Z293">
            <v>0</v>
          </cell>
          <cell r="AA293">
            <v>1400</v>
          </cell>
          <cell r="AB293">
            <v>1726</v>
          </cell>
          <cell r="AC293">
            <v>0</v>
          </cell>
          <cell r="AD293">
            <v>0</v>
          </cell>
          <cell r="AE293">
            <v>0</v>
          </cell>
          <cell r="AF293">
            <v>0</v>
          </cell>
          <cell r="AG293">
            <v>0</v>
          </cell>
          <cell r="AH293">
            <v>0</v>
          </cell>
          <cell r="AI293">
            <v>0</v>
          </cell>
          <cell r="AM293">
            <v>0</v>
          </cell>
          <cell r="AN293">
            <v>0</v>
          </cell>
          <cell r="AO293">
            <v>0</v>
          </cell>
          <cell r="AP293">
            <v>2022094</v>
          </cell>
          <cell r="AQ293">
            <v>2493916</v>
          </cell>
          <cell r="AR293">
            <v>0</v>
          </cell>
          <cell r="AS293">
            <v>-4228101</v>
          </cell>
          <cell r="AT293">
            <v>-2536863</v>
          </cell>
          <cell r="AU293">
            <v>-1691241</v>
          </cell>
          <cell r="AV293">
            <v>0</v>
          </cell>
          <cell r="AW293">
            <v>-8456205</v>
          </cell>
          <cell r="AX293">
            <v>-972610</v>
          </cell>
          <cell r="AY293">
            <v>-583566</v>
          </cell>
          <cell r="AZ293">
            <v>-389044</v>
          </cell>
          <cell r="BA293">
            <v>0</v>
          </cell>
          <cell r="BB293">
            <v>-1945220</v>
          </cell>
          <cell r="BC293">
            <v>392900678</v>
          </cell>
          <cell r="BD293">
            <v>-6700974</v>
          </cell>
          <cell r="BE293">
            <v>10340539</v>
          </cell>
          <cell r="BF293">
            <v>0</v>
          </cell>
          <cell r="BG293">
            <v>-13115228</v>
          </cell>
          <cell r="BH293">
            <v>0</v>
          </cell>
          <cell r="BI293">
            <v>0</v>
          </cell>
          <cell r="BJ293">
            <v>-97</v>
          </cell>
          <cell r="BK293">
            <v>-13340648</v>
          </cell>
          <cell r="BL293">
            <v>-361285</v>
          </cell>
          <cell r="BM293">
            <v>-46569</v>
          </cell>
          <cell r="BN293">
            <v>0</v>
          </cell>
          <cell r="BO293">
            <v>0</v>
          </cell>
          <cell r="BP293">
            <v>0</v>
          </cell>
          <cell r="BQ293">
            <v>0</v>
          </cell>
          <cell r="BR293">
            <v>0</v>
          </cell>
          <cell r="BS293">
            <v>0</v>
          </cell>
          <cell r="BT293">
            <v>399518653</v>
          </cell>
          <cell r="BU293">
            <v>-1771817</v>
          </cell>
          <cell r="BV293">
            <v>20568052</v>
          </cell>
          <cell r="BW293">
            <v>-22899382</v>
          </cell>
          <cell r="BX293">
            <v>-13598394</v>
          </cell>
          <cell r="BY293">
            <v>-1313659</v>
          </cell>
          <cell r="BZ293">
            <v>448712213</v>
          </cell>
          <cell r="CA293">
            <v>-6799197</v>
          </cell>
          <cell r="CB293">
            <v>-4079518</v>
          </cell>
          <cell r="CC293">
            <v>-2719679</v>
          </cell>
          <cell r="CD293">
            <v>0</v>
          </cell>
          <cell r="CE293">
            <v>-656829</v>
          </cell>
          <cell r="CF293">
            <v>-394098</v>
          </cell>
          <cell r="CG293">
            <v>-262732</v>
          </cell>
          <cell r="CH293">
            <v>0</v>
          </cell>
        </row>
        <row r="294">
          <cell r="A294">
            <v>287</v>
          </cell>
          <cell r="B294" t="str">
            <v>Trafford</v>
          </cell>
          <cell r="C294" t="str">
            <v>E4209</v>
          </cell>
          <cell r="D294">
            <v>442753</v>
          </cell>
          <cell r="H294">
            <v>-9789188</v>
          </cell>
          <cell r="I294">
            <v>0</v>
          </cell>
          <cell r="J294">
            <v>442753</v>
          </cell>
          <cell r="K294">
            <v>0</v>
          </cell>
          <cell r="L294">
            <v>72696</v>
          </cell>
          <cell r="M294">
            <v>0</v>
          </cell>
          <cell r="N294">
            <v>0</v>
          </cell>
          <cell r="O294">
            <v>0</v>
          </cell>
          <cell r="P294">
            <v>0</v>
          </cell>
          <cell r="Q294">
            <v>0</v>
          </cell>
          <cell r="R294">
            <v>3237582</v>
          </cell>
          <cell r="S294">
            <v>0</v>
          </cell>
          <cell r="T294">
            <v>32703</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M294">
            <v>0</v>
          </cell>
          <cell r="AN294">
            <v>0</v>
          </cell>
          <cell r="AO294">
            <v>0</v>
          </cell>
          <cell r="AP294">
            <v>2264171</v>
          </cell>
          <cell r="AQ294">
            <v>0</v>
          </cell>
          <cell r="AR294">
            <v>22859</v>
          </cell>
          <cell r="AS294">
            <v>-4075008.4</v>
          </cell>
          <cell r="AT294">
            <v>-3993508</v>
          </cell>
          <cell r="AU294">
            <v>0</v>
          </cell>
          <cell r="AV294">
            <v>-81502</v>
          </cell>
          <cell r="AW294">
            <v>-8150018.4000000004</v>
          </cell>
          <cell r="AX294">
            <v>-19989435</v>
          </cell>
          <cell r="AY294">
            <v>-19589647</v>
          </cell>
          <cell r="AZ294">
            <v>0</v>
          </cell>
          <cell r="BA294">
            <v>-399789</v>
          </cell>
          <cell r="BB294">
            <v>-39978871</v>
          </cell>
          <cell r="BC294">
            <v>156549939</v>
          </cell>
          <cell r="BD294">
            <v>-4636836</v>
          </cell>
          <cell r="BE294">
            <v>4574294</v>
          </cell>
          <cell r="BF294">
            <v>0</v>
          </cell>
          <cell r="BG294">
            <v>-4683907</v>
          </cell>
          <cell r="BH294">
            <v>-67569</v>
          </cell>
          <cell r="BI294">
            <v>-509</v>
          </cell>
          <cell r="BJ294">
            <v>0</v>
          </cell>
          <cell r="BK294">
            <v>-6486639</v>
          </cell>
          <cell r="BL294">
            <v>-49275</v>
          </cell>
          <cell r="BM294">
            <v>-801407</v>
          </cell>
          <cell r="BN294">
            <v>-12494</v>
          </cell>
          <cell r="BO294">
            <v>-509</v>
          </cell>
          <cell r="BP294">
            <v>0</v>
          </cell>
          <cell r="BQ294">
            <v>0</v>
          </cell>
          <cell r="BR294">
            <v>0</v>
          </cell>
          <cell r="BS294">
            <v>0</v>
          </cell>
          <cell r="BT294">
            <v>169516024</v>
          </cell>
          <cell r="BU294">
            <v>18506</v>
          </cell>
          <cell r="BV294">
            <v>12539438</v>
          </cell>
          <cell r="BW294">
            <v>-6632396</v>
          </cell>
          <cell r="BX294">
            <v>-12020621</v>
          </cell>
          <cell r="BY294">
            <v>-1294352</v>
          </cell>
          <cell r="BZ294">
            <v>152178196</v>
          </cell>
          <cell r="CA294">
            <v>-6010310</v>
          </cell>
          <cell r="CB294">
            <v>-5890104</v>
          </cell>
          <cell r="CC294">
            <v>0</v>
          </cell>
          <cell r="CD294">
            <v>-120207</v>
          </cell>
          <cell r="CE294">
            <v>-647176</v>
          </cell>
          <cell r="CF294">
            <v>-634232</v>
          </cell>
          <cell r="CG294">
            <v>0</v>
          </cell>
          <cell r="CH294">
            <v>-12944</v>
          </cell>
        </row>
        <row r="295">
          <cell r="A295">
            <v>288</v>
          </cell>
          <cell r="B295" t="str">
            <v>Tunbridge Wells</v>
          </cell>
          <cell r="C295" t="str">
            <v>E2244</v>
          </cell>
          <cell r="D295">
            <v>172841</v>
          </cell>
          <cell r="H295">
            <v>-732748</v>
          </cell>
          <cell r="I295">
            <v>0</v>
          </cell>
          <cell r="J295">
            <v>172841</v>
          </cell>
          <cell r="K295">
            <v>0</v>
          </cell>
          <cell r="L295">
            <v>0</v>
          </cell>
          <cell r="M295">
            <v>0</v>
          </cell>
          <cell r="N295">
            <v>0</v>
          </cell>
          <cell r="O295">
            <v>0</v>
          </cell>
          <cell r="P295">
            <v>0</v>
          </cell>
          <cell r="Q295">
            <v>0</v>
          </cell>
          <cell r="R295">
            <v>602319</v>
          </cell>
          <cell r="S295">
            <v>135522</v>
          </cell>
          <cell r="T295">
            <v>15058</v>
          </cell>
          <cell r="U295">
            <v>832</v>
          </cell>
          <cell r="V295">
            <v>187</v>
          </cell>
          <cell r="W295">
            <v>21</v>
          </cell>
          <cell r="X295">
            <v>0</v>
          </cell>
          <cell r="Y295">
            <v>0</v>
          </cell>
          <cell r="Z295">
            <v>0</v>
          </cell>
          <cell r="AA295">
            <v>7630</v>
          </cell>
          <cell r="AB295">
            <v>1717</v>
          </cell>
          <cell r="AC295">
            <v>191</v>
          </cell>
          <cell r="AD295">
            <v>0</v>
          </cell>
          <cell r="AE295">
            <v>0</v>
          </cell>
          <cell r="AF295">
            <v>0</v>
          </cell>
          <cell r="AG295">
            <v>0</v>
          </cell>
          <cell r="AH295">
            <v>0</v>
          </cell>
          <cell r="AI295">
            <v>0</v>
          </cell>
          <cell r="AM295">
            <v>0</v>
          </cell>
          <cell r="AN295">
            <v>0</v>
          </cell>
          <cell r="AO295">
            <v>0</v>
          </cell>
          <cell r="AP295">
            <v>327367</v>
          </cell>
          <cell r="AQ295">
            <v>73658</v>
          </cell>
          <cell r="AR295">
            <v>8184</v>
          </cell>
          <cell r="AS295">
            <v>-980934</v>
          </cell>
          <cell r="AT295">
            <v>-784749</v>
          </cell>
          <cell r="AU295">
            <v>-176569</v>
          </cell>
          <cell r="AV295">
            <v>-19618</v>
          </cell>
          <cell r="AW295">
            <v>-1961870</v>
          </cell>
          <cell r="AX295">
            <v>-2426227</v>
          </cell>
          <cell r="AY295">
            <v>-1940982</v>
          </cell>
          <cell r="AZ295">
            <v>-436721</v>
          </cell>
          <cell r="BA295">
            <v>-48524</v>
          </cell>
          <cell r="BB295">
            <v>-4852454</v>
          </cell>
          <cell r="BC295">
            <v>52451433</v>
          </cell>
          <cell r="BD295">
            <v>-2228564</v>
          </cell>
          <cell r="BE295">
            <v>1443942</v>
          </cell>
          <cell r="BF295">
            <v>0</v>
          </cell>
          <cell r="BG295">
            <v>-4292233</v>
          </cell>
          <cell r="BH295">
            <v>-27325</v>
          </cell>
          <cell r="BI295">
            <v>-7424</v>
          </cell>
          <cell r="BJ295">
            <v>0</v>
          </cell>
          <cell r="BK295">
            <v>-1528140</v>
          </cell>
          <cell r="BL295">
            <v>-24878</v>
          </cell>
          <cell r="BM295">
            <v>-12848</v>
          </cell>
          <cell r="BN295">
            <v>-987</v>
          </cell>
          <cell r="BO295">
            <v>-4541</v>
          </cell>
          <cell r="BP295">
            <v>-21788</v>
          </cell>
          <cell r="BQ295">
            <v>0</v>
          </cell>
          <cell r="BR295">
            <v>0</v>
          </cell>
          <cell r="BS295">
            <v>0</v>
          </cell>
          <cell r="BT295">
            <v>52737362</v>
          </cell>
          <cell r="BU295">
            <v>0</v>
          </cell>
          <cell r="BV295">
            <v>2454288</v>
          </cell>
          <cell r="BW295">
            <v>-1370894</v>
          </cell>
          <cell r="BX295">
            <v>642034</v>
          </cell>
          <cell r="BY295">
            <v>-257648</v>
          </cell>
          <cell r="BZ295">
            <v>54483176</v>
          </cell>
          <cell r="CA295">
            <v>321018</v>
          </cell>
          <cell r="CB295">
            <v>256813</v>
          </cell>
          <cell r="CC295">
            <v>57783</v>
          </cell>
          <cell r="CD295">
            <v>6420</v>
          </cell>
          <cell r="CE295">
            <v>-128825</v>
          </cell>
          <cell r="CF295">
            <v>-103059</v>
          </cell>
          <cell r="CG295">
            <v>-23188</v>
          </cell>
          <cell r="CH295">
            <v>-2576</v>
          </cell>
        </row>
        <row r="296">
          <cell r="A296">
            <v>289</v>
          </cell>
          <cell r="B296" t="str">
            <v>Uttlesford</v>
          </cell>
          <cell r="C296" t="str">
            <v>E1544</v>
          </cell>
          <cell r="D296">
            <v>138766</v>
          </cell>
          <cell r="H296">
            <v>-1164784</v>
          </cell>
          <cell r="I296">
            <v>0</v>
          </cell>
          <cell r="J296">
            <v>138766</v>
          </cell>
          <cell r="K296">
            <v>0</v>
          </cell>
          <cell r="L296">
            <v>136486</v>
          </cell>
          <cell r="M296">
            <v>0</v>
          </cell>
          <cell r="N296">
            <v>0</v>
          </cell>
          <cell r="O296">
            <v>0</v>
          </cell>
          <cell r="P296">
            <v>0</v>
          </cell>
          <cell r="Q296">
            <v>0</v>
          </cell>
          <cell r="R296">
            <v>558469</v>
          </cell>
          <cell r="S296">
            <v>125656</v>
          </cell>
          <cell r="T296">
            <v>13962</v>
          </cell>
          <cell r="U296">
            <v>3993</v>
          </cell>
          <cell r="V296">
            <v>898</v>
          </cell>
          <cell r="W296">
            <v>100</v>
          </cell>
          <cell r="X296">
            <v>0</v>
          </cell>
          <cell r="Y296">
            <v>0</v>
          </cell>
          <cell r="Z296">
            <v>0</v>
          </cell>
          <cell r="AA296">
            <v>0</v>
          </cell>
          <cell r="AB296">
            <v>0</v>
          </cell>
          <cell r="AC296">
            <v>0</v>
          </cell>
          <cell r="AD296">
            <v>0</v>
          </cell>
          <cell r="AE296">
            <v>0</v>
          </cell>
          <cell r="AF296">
            <v>0</v>
          </cell>
          <cell r="AG296">
            <v>0</v>
          </cell>
          <cell r="AH296">
            <v>0</v>
          </cell>
          <cell r="AI296">
            <v>0</v>
          </cell>
          <cell r="AM296">
            <v>0</v>
          </cell>
          <cell r="AN296">
            <v>0</v>
          </cell>
          <cell r="AO296">
            <v>0</v>
          </cell>
          <cell r="AP296">
            <v>253570</v>
          </cell>
          <cell r="AQ296">
            <v>56592</v>
          </cell>
          <cell r="AR296">
            <v>6288</v>
          </cell>
          <cell r="AS296">
            <v>-228289</v>
          </cell>
          <cell r="AT296">
            <v>-182630</v>
          </cell>
          <cell r="AU296">
            <v>-41091</v>
          </cell>
          <cell r="AV296">
            <v>-4566</v>
          </cell>
          <cell r="AW296">
            <v>-456576</v>
          </cell>
          <cell r="AX296">
            <v>-1061718</v>
          </cell>
          <cell r="AY296">
            <v>-849373</v>
          </cell>
          <cell r="AZ296">
            <v>-191110</v>
          </cell>
          <cell r="BA296">
            <v>-21234</v>
          </cell>
          <cell r="BB296">
            <v>-2123435</v>
          </cell>
          <cell r="BC296">
            <v>39930711</v>
          </cell>
          <cell r="BD296">
            <v>-2184257</v>
          </cell>
          <cell r="BE296">
            <v>1113368</v>
          </cell>
          <cell r="BF296">
            <v>0</v>
          </cell>
          <cell r="BG296">
            <v>-1933096</v>
          </cell>
          <cell r="BH296">
            <v>-16282</v>
          </cell>
          <cell r="BI296">
            <v>-48148</v>
          </cell>
          <cell r="BJ296">
            <v>-78515</v>
          </cell>
          <cell r="BK296">
            <v>-923224</v>
          </cell>
          <cell r="BL296">
            <v>-46318</v>
          </cell>
          <cell r="BM296">
            <v>-122536</v>
          </cell>
          <cell r="BN296">
            <v>-169</v>
          </cell>
          <cell r="BO296">
            <v>-44657</v>
          </cell>
          <cell r="BP296">
            <v>-120451</v>
          </cell>
          <cell r="BQ296">
            <v>-56883</v>
          </cell>
          <cell r="BR296">
            <v>0</v>
          </cell>
          <cell r="BS296">
            <v>0</v>
          </cell>
          <cell r="BT296">
            <v>32462603</v>
          </cell>
          <cell r="BU296">
            <v>-232960</v>
          </cell>
          <cell r="BV296">
            <v>1438992</v>
          </cell>
          <cell r="BW296">
            <v>-504013</v>
          </cell>
          <cell r="BX296">
            <v>-2173048</v>
          </cell>
          <cell r="BY296">
            <v>-3429337</v>
          </cell>
          <cell r="BZ296">
            <v>41860113</v>
          </cell>
          <cell r="CA296">
            <v>-1086523</v>
          </cell>
          <cell r="CB296">
            <v>-869220</v>
          </cell>
          <cell r="CC296">
            <v>-195574</v>
          </cell>
          <cell r="CD296">
            <v>-21731</v>
          </cell>
          <cell r="CE296">
            <v>-1714669</v>
          </cell>
          <cell r="CF296">
            <v>-1371735</v>
          </cell>
          <cell r="CG296">
            <v>-308640</v>
          </cell>
          <cell r="CH296">
            <v>-34293</v>
          </cell>
        </row>
        <row r="297">
          <cell r="A297">
            <v>290</v>
          </cell>
          <cell r="B297" t="str">
            <v>Vale of White Horse</v>
          </cell>
          <cell r="C297" t="str">
            <v>E3134</v>
          </cell>
          <cell r="D297">
            <v>179515</v>
          </cell>
          <cell r="H297">
            <v>-3945400</v>
          </cell>
          <cell r="I297">
            <v>-31563</v>
          </cell>
          <cell r="J297">
            <v>179515</v>
          </cell>
          <cell r="K297">
            <v>817931</v>
          </cell>
          <cell r="L297">
            <v>236429</v>
          </cell>
          <cell r="M297">
            <v>0</v>
          </cell>
          <cell r="N297">
            <v>659722</v>
          </cell>
          <cell r="O297">
            <v>659722</v>
          </cell>
          <cell r="P297">
            <v>0</v>
          </cell>
          <cell r="Q297">
            <v>0</v>
          </cell>
          <cell r="R297">
            <v>490751</v>
          </cell>
          <cell r="S297">
            <v>117430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M297">
            <v>0</v>
          </cell>
          <cell r="AN297">
            <v>0</v>
          </cell>
          <cell r="AO297">
            <v>0</v>
          </cell>
          <cell r="AP297">
            <v>341010</v>
          </cell>
          <cell r="AQ297">
            <v>78815</v>
          </cell>
          <cell r="AR297">
            <v>0</v>
          </cell>
          <cell r="AS297">
            <v>-509435</v>
          </cell>
          <cell r="AT297">
            <v>-407548</v>
          </cell>
          <cell r="AU297">
            <v>-101887</v>
          </cell>
          <cell r="AV297">
            <v>0</v>
          </cell>
          <cell r="AW297">
            <v>-1018870</v>
          </cell>
          <cell r="AX297">
            <v>-2077965</v>
          </cell>
          <cell r="AY297">
            <v>-1662374</v>
          </cell>
          <cell r="AZ297">
            <v>-415593</v>
          </cell>
          <cell r="BA297">
            <v>0</v>
          </cell>
          <cell r="BB297">
            <v>-4155932</v>
          </cell>
          <cell r="BC297">
            <v>56978978</v>
          </cell>
          <cell r="BD297">
            <v>-1769500</v>
          </cell>
          <cell r="BE297">
            <v>1683381</v>
          </cell>
          <cell r="BF297">
            <v>0</v>
          </cell>
          <cell r="BG297">
            <v>-7350309</v>
          </cell>
          <cell r="BH297">
            <v>-98410</v>
          </cell>
          <cell r="BI297">
            <v>-37071</v>
          </cell>
          <cell r="BJ297">
            <v>0</v>
          </cell>
          <cell r="BK297">
            <v>-1597417</v>
          </cell>
          <cell r="BL297">
            <v>-158516</v>
          </cell>
          <cell r="BM297">
            <v>-8092</v>
          </cell>
          <cell r="BN297">
            <v>-6151</v>
          </cell>
          <cell r="BO297">
            <v>-15021</v>
          </cell>
          <cell r="BP297">
            <v>0</v>
          </cell>
          <cell r="BQ297">
            <v>-694514</v>
          </cell>
          <cell r="BR297">
            <v>-968447</v>
          </cell>
          <cell r="BS297">
            <v>0</v>
          </cell>
          <cell r="BT297">
            <v>58045375</v>
          </cell>
          <cell r="BU297">
            <v>-243724</v>
          </cell>
          <cell r="BV297">
            <v>1854023</v>
          </cell>
          <cell r="BW297">
            <v>-595740</v>
          </cell>
          <cell r="BX297">
            <v>-1417930</v>
          </cell>
          <cell r="BY297">
            <v>-2598407</v>
          </cell>
          <cell r="BZ297">
            <v>52468602</v>
          </cell>
          <cell r="CA297">
            <v>-708964</v>
          </cell>
          <cell r="CB297">
            <v>-567173</v>
          </cell>
          <cell r="CC297">
            <v>-141793</v>
          </cell>
          <cell r="CD297">
            <v>0</v>
          </cell>
          <cell r="CE297">
            <v>-1299203</v>
          </cell>
          <cell r="CF297">
            <v>-1039363</v>
          </cell>
          <cell r="CG297">
            <v>-259841</v>
          </cell>
          <cell r="CH297">
            <v>0</v>
          </cell>
        </row>
        <row r="298">
          <cell r="A298">
            <v>291</v>
          </cell>
          <cell r="B298" t="str">
            <v>Wakefield</v>
          </cell>
          <cell r="C298" t="str">
            <v>E4705</v>
          </cell>
          <cell r="D298">
            <v>451332</v>
          </cell>
          <cell r="H298">
            <v>-6216765</v>
          </cell>
          <cell r="I298">
            <v>0</v>
          </cell>
          <cell r="J298">
            <v>451332</v>
          </cell>
          <cell r="K298">
            <v>0</v>
          </cell>
          <cell r="L298">
            <v>543161</v>
          </cell>
          <cell r="M298">
            <v>0</v>
          </cell>
          <cell r="N298">
            <v>0</v>
          </cell>
          <cell r="O298">
            <v>0</v>
          </cell>
          <cell r="P298">
            <v>0</v>
          </cell>
          <cell r="Q298">
            <v>0</v>
          </cell>
          <cell r="R298">
            <v>2504436</v>
          </cell>
          <cell r="S298">
            <v>0</v>
          </cell>
          <cell r="T298">
            <v>51111</v>
          </cell>
          <cell r="U298">
            <v>4973</v>
          </cell>
          <cell r="V298">
            <v>0</v>
          </cell>
          <cell r="W298">
            <v>102</v>
          </cell>
          <cell r="X298">
            <v>0</v>
          </cell>
          <cell r="Y298">
            <v>0</v>
          </cell>
          <cell r="Z298">
            <v>0</v>
          </cell>
          <cell r="AA298">
            <v>1813</v>
          </cell>
          <cell r="AB298">
            <v>0</v>
          </cell>
          <cell r="AC298">
            <v>37</v>
          </cell>
          <cell r="AD298">
            <v>0</v>
          </cell>
          <cell r="AE298">
            <v>0</v>
          </cell>
          <cell r="AF298">
            <v>0</v>
          </cell>
          <cell r="AG298">
            <v>0</v>
          </cell>
          <cell r="AH298">
            <v>0</v>
          </cell>
          <cell r="AI298">
            <v>0</v>
          </cell>
          <cell r="AM298">
            <v>0</v>
          </cell>
          <cell r="AN298">
            <v>0</v>
          </cell>
          <cell r="AO298">
            <v>0</v>
          </cell>
          <cell r="AP298">
            <v>860826</v>
          </cell>
          <cell r="AQ298">
            <v>0</v>
          </cell>
          <cell r="AR298">
            <v>17401</v>
          </cell>
          <cell r="AS298">
            <v>-510000</v>
          </cell>
          <cell r="AT298">
            <v>-499800</v>
          </cell>
          <cell r="AU298">
            <v>0</v>
          </cell>
          <cell r="AV298">
            <v>-10200</v>
          </cell>
          <cell r="AW298">
            <v>-1020000</v>
          </cell>
          <cell r="AX298">
            <v>-6014807</v>
          </cell>
          <cell r="AY298">
            <v>-5894516</v>
          </cell>
          <cell r="AZ298">
            <v>0</v>
          </cell>
          <cell r="BA298">
            <v>-120298</v>
          </cell>
          <cell r="BB298">
            <v>-12029621</v>
          </cell>
          <cell r="BC298">
            <v>121268877</v>
          </cell>
          <cell r="BD298">
            <v>-8204154</v>
          </cell>
          <cell r="BE298">
            <v>3488962</v>
          </cell>
          <cell r="BF298">
            <v>0</v>
          </cell>
          <cell r="BG298">
            <v>-7452163</v>
          </cell>
          <cell r="BH298">
            <v>-73375</v>
          </cell>
          <cell r="BI298">
            <v>-6572</v>
          </cell>
          <cell r="BJ298">
            <v>-67766</v>
          </cell>
          <cell r="BK298">
            <v>-4679217</v>
          </cell>
          <cell r="BL298">
            <v>-803316</v>
          </cell>
          <cell r="BM298">
            <v>-453822</v>
          </cell>
          <cell r="BN298">
            <v>-11783</v>
          </cell>
          <cell r="BO298">
            <v>0</v>
          </cell>
          <cell r="BP298">
            <v>0</v>
          </cell>
          <cell r="BQ298">
            <v>0</v>
          </cell>
          <cell r="BR298">
            <v>0</v>
          </cell>
          <cell r="BS298">
            <v>0</v>
          </cell>
          <cell r="BT298">
            <v>127932240</v>
          </cell>
          <cell r="BU298">
            <v>-1151053</v>
          </cell>
          <cell r="BV298">
            <v>1674166</v>
          </cell>
          <cell r="BW298">
            <v>-1400948</v>
          </cell>
          <cell r="BX298">
            <v>-6589340</v>
          </cell>
          <cell r="BY298">
            <v>-6665203</v>
          </cell>
          <cell r="BZ298">
            <v>115843438</v>
          </cell>
          <cell r="CA298">
            <v>-3294671</v>
          </cell>
          <cell r="CB298">
            <v>-3228776</v>
          </cell>
          <cell r="CC298">
            <v>0</v>
          </cell>
          <cell r="CD298">
            <v>-65893</v>
          </cell>
          <cell r="CE298">
            <v>-3332602</v>
          </cell>
          <cell r="CF298">
            <v>-3265949</v>
          </cell>
          <cell r="CG298">
            <v>0</v>
          </cell>
          <cell r="CH298">
            <v>-66652</v>
          </cell>
        </row>
        <row r="299">
          <cell r="A299">
            <v>292</v>
          </cell>
          <cell r="B299" t="str">
            <v>Walsall</v>
          </cell>
          <cell r="C299" t="str">
            <v>E4606</v>
          </cell>
          <cell r="D299">
            <v>337320</v>
          </cell>
          <cell r="H299">
            <v>3450076</v>
          </cell>
          <cell r="I299">
            <v>-3437</v>
          </cell>
          <cell r="J299">
            <v>337320</v>
          </cell>
          <cell r="K299">
            <v>13229</v>
          </cell>
          <cell r="L299">
            <v>0</v>
          </cell>
          <cell r="M299">
            <v>0</v>
          </cell>
          <cell r="N299">
            <v>0</v>
          </cell>
          <cell r="O299">
            <v>0</v>
          </cell>
          <cell r="P299">
            <v>0</v>
          </cell>
          <cell r="Q299">
            <v>0</v>
          </cell>
          <cell r="R299">
            <v>4007678</v>
          </cell>
          <cell r="S299">
            <v>0</v>
          </cell>
          <cell r="T299">
            <v>40477</v>
          </cell>
          <cell r="U299">
            <v>44106</v>
          </cell>
          <cell r="V299">
            <v>0</v>
          </cell>
          <cell r="W299">
            <v>446</v>
          </cell>
          <cell r="X299">
            <v>0</v>
          </cell>
          <cell r="Y299">
            <v>0</v>
          </cell>
          <cell r="Z299">
            <v>0</v>
          </cell>
          <cell r="AA299">
            <v>4023</v>
          </cell>
          <cell r="AB299">
            <v>0</v>
          </cell>
          <cell r="AC299">
            <v>41</v>
          </cell>
          <cell r="AD299">
            <v>0</v>
          </cell>
          <cell r="AE299">
            <v>0</v>
          </cell>
          <cell r="AF299">
            <v>0</v>
          </cell>
          <cell r="AG299">
            <v>0</v>
          </cell>
          <cell r="AH299">
            <v>0</v>
          </cell>
          <cell r="AI299">
            <v>0</v>
          </cell>
          <cell r="AM299">
            <v>0</v>
          </cell>
          <cell r="AN299">
            <v>0</v>
          </cell>
          <cell r="AO299">
            <v>0</v>
          </cell>
          <cell r="AP299">
            <v>1086113</v>
          </cell>
          <cell r="AQ299">
            <v>0</v>
          </cell>
          <cell r="AR299">
            <v>10969</v>
          </cell>
          <cell r="AS299">
            <v>-1792164</v>
          </cell>
          <cell r="AT299">
            <v>-1756320</v>
          </cell>
          <cell r="AU299">
            <v>0</v>
          </cell>
          <cell r="AV299">
            <v>-35842</v>
          </cell>
          <cell r="AW299">
            <v>-3584326</v>
          </cell>
          <cell r="AX299">
            <v>-2657653</v>
          </cell>
          <cell r="AY299">
            <v>-2604502</v>
          </cell>
          <cell r="AZ299">
            <v>0</v>
          </cell>
          <cell r="BA299">
            <v>-53154</v>
          </cell>
          <cell r="BB299">
            <v>-5315309</v>
          </cell>
          <cell r="BC299">
            <v>70102033</v>
          </cell>
          <cell r="BD299">
            <v>-6132267</v>
          </cell>
          <cell r="BE299">
            <v>1872286</v>
          </cell>
          <cell r="BF299">
            <v>0</v>
          </cell>
          <cell r="BG299">
            <v>-4970911</v>
          </cell>
          <cell r="BH299">
            <v>-44783</v>
          </cell>
          <cell r="BI299">
            <v>0</v>
          </cell>
          <cell r="BJ299">
            <v>-20052</v>
          </cell>
          <cell r="BK299">
            <v>-2869423</v>
          </cell>
          <cell r="BL299">
            <v>-149489</v>
          </cell>
          <cell r="BM299">
            <v>-46004</v>
          </cell>
          <cell r="BN299">
            <v>-3428</v>
          </cell>
          <cell r="BO299">
            <v>0</v>
          </cell>
          <cell r="BP299">
            <v>0</v>
          </cell>
          <cell r="BQ299">
            <v>0</v>
          </cell>
          <cell r="BR299">
            <v>0</v>
          </cell>
          <cell r="BS299">
            <v>0</v>
          </cell>
          <cell r="BT299">
            <v>69165793</v>
          </cell>
          <cell r="BU299">
            <v>0</v>
          </cell>
          <cell r="BV299">
            <v>7170296</v>
          </cell>
          <cell r="BW299">
            <v>-1480735</v>
          </cell>
          <cell r="BX299">
            <v>-222878</v>
          </cell>
          <cell r="BY299">
            <v>-1368293</v>
          </cell>
          <cell r="BZ299">
            <v>73021071</v>
          </cell>
          <cell r="CA299">
            <v>-111438</v>
          </cell>
          <cell r="CB299">
            <v>-109210</v>
          </cell>
          <cell r="CC299">
            <v>0</v>
          </cell>
          <cell r="CD299">
            <v>-2230</v>
          </cell>
          <cell r="CE299">
            <v>-684146</v>
          </cell>
          <cell r="CF299">
            <v>-670464</v>
          </cell>
          <cell r="CG299">
            <v>0</v>
          </cell>
          <cell r="CH299">
            <v>-13683</v>
          </cell>
        </row>
        <row r="300">
          <cell r="A300">
            <v>293</v>
          </cell>
          <cell r="B300" t="str">
            <v>Waltham Forest</v>
          </cell>
          <cell r="C300" t="str">
            <v>E5049</v>
          </cell>
          <cell r="D300">
            <v>294648</v>
          </cell>
          <cell r="H300">
            <v>10647989</v>
          </cell>
          <cell r="I300">
            <v>0</v>
          </cell>
          <cell r="J300">
            <v>294648</v>
          </cell>
          <cell r="K300">
            <v>0</v>
          </cell>
          <cell r="L300">
            <v>0</v>
          </cell>
          <cell r="M300">
            <v>0</v>
          </cell>
          <cell r="N300">
            <v>0</v>
          </cell>
          <cell r="O300">
            <v>0</v>
          </cell>
          <cell r="P300">
            <v>0</v>
          </cell>
          <cell r="Q300">
            <v>0</v>
          </cell>
          <cell r="R300">
            <v>1051429</v>
          </cell>
          <cell r="S300">
            <v>1296762</v>
          </cell>
          <cell r="T300">
            <v>0</v>
          </cell>
          <cell r="U300">
            <v>442</v>
          </cell>
          <cell r="V300">
            <v>545</v>
          </cell>
          <cell r="W300">
            <v>0</v>
          </cell>
          <cell r="X300">
            <v>8075</v>
          </cell>
          <cell r="Y300">
            <v>9959</v>
          </cell>
          <cell r="Z300">
            <v>0</v>
          </cell>
          <cell r="AA300">
            <v>364</v>
          </cell>
          <cell r="AB300">
            <v>449</v>
          </cell>
          <cell r="AC300">
            <v>0</v>
          </cell>
          <cell r="AD300">
            <v>0</v>
          </cell>
          <cell r="AE300">
            <v>0</v>
          </cell>
          <cell r="AF300">
            <v>0</v>
          </cell>
          <cell r="AG300">
            <v>0</v>
          </cell>
          <cell r="AH300">
            <v>0</v>
          </cell>
          <cell r="AI300">
            <v>0</v>
          </cell>
          <cell r="AM300">
            <v>0</v>
          </cell>
          <cell r="AN300">
            <v>0</v>
          </cell>
          <cell r="AO300">
            <v>0</v>
          </cell>
          <cell r="AP300">
            <v>283927</v>
          </cell>
          <cell r="AQ300">
            <v>350176</v>
          </cell>
          <cell r="AR300">
            <v>0</v>
          </cell>
          <cell r="AS300">
            <v>-1212260</v>
          </cell>
          <cell r="AT300">
            <v>-727355</v>
          </cell>
          <cell r="AU300">
            <v>-484904</v>
          </cell>
          <cell r="AV300">
            <v>0</v>
          </cell>
          <cell r="AW300">
            <v>-2424519</v>
          </cell>
          <cell r="AX300">
            <v>-3329164</v>
          </cell>
          <cell r="AY300">
            <v>-1997499</v>
          </cell>
          <cell r="AZ300">
            <v>-1331665</v>
          </cell>
          <cell r="BA300">
            <v>0</v>
          </cell>
          <cell r="BB300">
            <v>-6658328</v>
          </cell>
          <cell r="BC300">
            <v>52592567</v>
          </cell>
          <cell r="BD300">
            <v>-5479117</v>
          </cell>
          <cell r="BE300">
            <v>1362363</v>
          </cell>
          <cell r="BF300">
            <v>0</v>
          </cell>
          <cell r="BG300">
            <v>-5285388</v>
          </cell>
          <cell r="BH300">
            <v>-46633</v>
          </cell>
          <cell r="BI300">
            <v>0</v>
          </cell>
          <cell r="BJ300">
            <v>0</v>
          </cell>
          <cell r="BK300">
            <v>-1152320</v>
          </cell>
          <cell r="BL300">
            <v>-146842</v>
          </cell>
          <cell r="BM300">
            <v>-67052</v>
          </cell>
          <cell r="BN300">
            <v>-2858</v>
          </cell>
          <cell r="BO300">
            <v>0</v>
          </cell>
          <cell r="BP300">
            <v>0</v>
          </cell>
          <cell r="BQ300">
            <v>0</v>
          </cell>
          <cell r="BR300">
            <v>0</v>
          </cell>
          <cell r="BS300">
            <v>0</v>
          </cell>
          <cell r="BT300">
            <v>59401699</v>
          </cell>
          <cell r="BU300">
            <v>-586642</v>
          </cell>
          <cell r="BV300">
            <v>4358167</v>
          </cell>
          <cell r="BW300">
            <v>-3658472</v>
          </cell>
          <cell r="BX300">
            <v>-1052387</v>
          </cell>
          <cell r="BY300">
            <v>-3533463</v>
          </cell>
          <cell r="BZ300">
            <v>63004726</v>
          </cell>
          <cell r="CA300">
            <v>-526193</v>
          </cell>
          <cell r="CB300">
            <v>-315716</v>
          </cell>
          <cell r="CC300">
            <v>-210478</v>
          </cell>
          <cell r="CD300">
            <v>0</v>
          </cell>
          <cell r="CE300">
            <v>-1766731</v>
          </cell>
          <cell r="CF300">
            <v>-1060039</v>
          </cell>
          <cell r="CG300">
            <v>-706693</v>
          </cell>
          <cell r="CH300">
            <v>0</v>
          </cell>
        </row>
        <row r="301">
          <cell r="A301">
            <v>294</v>
          </cell>
          <cell r="B301" t="str">
            <v>Wandsworth</v>
          </cell>
          <cell r="C301" t="str">
            <v>E5021</v>
          </cell>
          <cell r="D301">
            <v>462945</v>
          </cell>
          <cell r="H301">
            <v>6864065</v>
          </cell>
          <cell r="I301">
            <v>380607</v>
          </cell>
          <cell r="J301">
            <v>462945</v>
          </cell>
          <cell r="K301">
            <v>0</v>
          </cell>
          <cell r="L301">
            <v>0</v>
          </cell>
          <cell r="M301">
            <v>0</v>
          </cell>
          <cell r="N301">
            <v>0</v>
          </cell>
          <cell r="O301">
            <v>0</v>
          </cell>
          <cell r="P301">
            <v>0</v>
          </cell>
          <cell r="Q301">
            <v>0</v>
          </cell>
          <cell r="R301">
            <v>972756</v>
          </cell>
          <cell r="S301">
            <v>1080352</v>
          </cell>
          <cell r="T301">
            <v>0</v>
          </cell>
          <cell r="U301">
            <v>9703</v>
          </cell>
          <cell r="V301">
            <v>9631</v>
          </cell>
          <cell r="W301">
            <v>0</v>
          </cell>
          <cell r="X301">
            <v>0</v>
          </cell>
          <cell r="Y301">
            <v>0</v>
          </cell>
          <cell r="Z301">
            <v>0</v>
          </cell>
          <cell r="AA301">
            <v>15999</v>
          </cell>
          <cell r="AB301">
            <v>19732</v>
          </cell>
          <cell r="AC301">
            <v>0</v>
          </cell>
          <cell r="AD301">
            <v>0</v>
          </cell>
          <cell r="AE301">
            <v>0</v>
          </cell>
          <cell r="AF301">
            <v>0</v>
          </cell>
          <cell r="AG301">
            <v>0</v>
          </cell>
          <cell r="AH301">
            <v>0</v>
          </cell>
          <cell r="AI301">
            <v>0</v>
          </cell>
          <cell r="AM301">
            <v>0</v>
          </cell>
          <cell r="AN301">
            <v>0</v>
          </cell>
          <cell r="AO301">
            <v>0</v>
          </cell>
          <cell r="AP301">
            <v>513994</v>
          </cell>
          <cell r="AQ301">
            <v>633925</v>
          </cell>
          <cell r="AR301">
            <v>0</v>
          </cell>
          <cell r="AS301">
            <v>-1491000</v>
          </cell>
          <cell r="AT301">
            <v>-894600</v>
          </cell>
          <cell r="AU301">
            <v>-596400</v>
          </cell>
          <cell r="AV301">
            <v>0</v>
          </cell>
          <cell r="AW301">
            <v>-2982000</v>
          </cell>
          <cell r="AX301">
            <v>-3498570</v>
          </cell>
          <cell r="AY301">
            <v>-2099141</v>
          </cell>
          <cell r="AZ301">
            <v>-1399427</v>
          </cell>
          <cell r="BA301">
            <v>0</v>
          </cell>
          <cell r="BB301">
            <v>-6997138</v>
          </cell>
          <cell r="BC301">
            <v>101775301</v>
          </cell>
          <cell r="BD301">
            <v>-4210701</v>
          </cell>
          <cell r="BE301">
            <v>2542838</v>
          </cell>
          <cell r="BF301">
            <v>0</v>
          </cell>
          <cell r="BG301">
            <v>-9562973</v>
          </cell>
          <cell r="BH301">
            <v>-26232</v>
          </cell>
          <cell r="BI301">
            <v>0</v>
          </cell>
          <cell r="BJ301">
            <v>0</v>
          </cell>
          <cell r="BK301">
            <v>-2747274</v>
          </cell>
          <cell r="BL301">
            <v>-223397</v>
          </cell>
          <cell r="BM301">
            <v>-957417</v>
          </cell>
          <cell r="BN301">
            <v>-1384</v>
          </cell>
          <cell r="BO301">
            <v>0</v>
          </cell>
          <cell r="BP301">
            <v>0</v>
          </cell>
          <cell r="BQ301">
            <v>0</v>
          </cell>
          <cell r="BR301">
            <v>0</v>
          </cell>
          <cell r="BS301">
            <v>0</v>
          </cell>
          <cell r="BT301">
            <v>102353445</v>
          </cell>
          <cell r="BU301">
            <v>-24040</v>
          </cell>
          <cell r="BV301">
            <v>6261127</v>
          </cell>
          <cell r="BW301">
            <v>-3798139</v>
          </cell>
          <cell r="BX301">
            <v>-7123959</v>
          </cell>
          <cell r="BY301">
            <v>-6050615</v>
          </cell>
          <cell r="BZ301">
            <v>114057619</v>
          </cell>
          <cell r="CA301">
            <v>-3561979</v>
          </cell>
          <cell r="CB301">
            <v>-2137188</v>
          </cell>
          <cell r="CC301">
            <v>-1424792</v>
          </cell>
          <cell r="CD301">
            <v>0</v>
          </cell>
          <cell r="CE301">
            <v>-3025307</v>
          </cell>
          <cell r="CF301">
            <v>-1815185</v>
          </cell>
          <cell r="CG301">
            <v>-1210123</v>
          </cell>
          <cell r="CH301">
            <v>0</v>
          </cell>
        </row>
        <row r="302">
          <cell r="A302">
            <v>295</v>
          </cell>
          <cell r="B302" t="str">
            <v>Warrington</v>
          </cell>
          <cell r="C302" t="str">
            <v>E0602</v>
          </cell>
          <cell r="D302">
            <v>294932</v>
          </cell>
          <cell r="H302">
            <v>-8695887</v>
          </cell>
          <cell r="I302">
            <v>-154394</v>
          </cell>
          <cell r="J302">
            <v>294932</v>
          </cell>
          <cell r="K302">
            <v>0</v>
          </cell>
          <cell r="L302">
            <v>0</v>
          </cell>
          <cell r="M302">
            <v>0</v>
          </cell>
          <cell r="N302">
            <v>1065427</v>
          </cell>
          <cell r="O302">
            <v>1065427</v>
          </cell>
          <cell r="P302">
            <v>0</v>
          </cell>
          <cell r="Q302">
            <v>0</v>
          </cell>
          <cell r="R302">
            <v>1040201</v>
          </cell>
          <cell r="S302">
            <v>0</v>
          </cell>
          <cell r="T302">
            <v>21172</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M302">
            <v>0</v>
          </cell>
          <cell r="AN302">
            <v>0</v>
          </cell>
          <cell r="AO302">
            <v>0</v>
          </cell>
          <cell r="AP302">
            <v>772652</v>
          </cell>
          <cell r="AQ302">
            <v>0</v>
          </cell>
          <cell r="AR302">
            <v>15442</v>
          </cell>
          <cell r="AS302">
            <v>-2357974</v>
          </cell>
          <cell r="AT302">
            <v>-2310814</v>
          </cell>
          <cell r="AU302">
            <v>0</v>
          </cell>
          <cell r="AV302">
            <v>-47160</v>
          </cell>
          <cell r="AW302">
            <v>-4715948</v>
          </cell>
          <cell r="AX302">
            <v>-4614363</v>
          </cell>
          <cell r="AY302">
            <v>-4522077</v>
          </cell>
          <cell r="AZ302">
            <v>0</v>
          </cell>
          <cell r="BA302">
            <v>-92288</v>
          </cell>
          <cell r="BB302">
            <v>-9228728</v>
          </cell>
          <cell r="BC302">
            <v>108308426</v>
          </cell>
          <cell r="BD302">
            <v>-3340065</v>
          </cell>
          <cell r="BE302">
            <v>3014623</v>
          </cell>
          <cell r="BF302">
            <v>0</v>
          </cell>
          <cell r="BG302">
            <v>-4037433</v>
          </cell>
          <cell r="BH302">
            <v>-89377</v>
          </cell>
          <cell r="BI302">
            <v>-1832</v>
          </cell>
          <cell r="BJ302">
            <v>-239521</v>
          </cell>
          <cell r="BK302">
            <v>-4163330</v>
          </cell>
          <cell r="BL302">
            <v>-151369</v>
          </cell>
          <cell r="BM302">
            <v>-764682</v>
          </cell>
          <cell r="BN302">
            <v>-5268</v>
          </cell>
          <cell r="BO302">
            <v>-1018</v>
          </cell>
          <cell r="BP302">
            <v>-3557</v>
          </cell>
          <cell r="BQ302">
            <v>-5454</v>
          </cell>
          <cell r="BR302">
            <v>0</v>
          </cell>
          <cell r="BS302">
            <v>0</v>
          </cell>
          <cell r="BT302">
            <v>109769262</v>
          </cell>
          <cell r="BU302">
            <v>0</v>
          </cell>
          <cell r="BV302">
            <v>12679343</v>
          </cell>
          <cell r="BW302">
            <v>-1613339</v>
          </cell>
          <cell r="BX302">
            <v>-7687019</v>
          </cell>
          <cell r="BY302">
            <v>-8168528</v>
          </cell>
          <cell r="BZ302">
            <v>102798183</v>
          </cell>
          <cell r="CA302">
            <v>-3843510</v>
          </cell>
          <cell r="CB302">
            <v>-3766639</v>
          </cell>
          <cell r="CC302">
            <v>0</v>
          </cell>
          <cell r="CD302">
            <v>-76870</v>
          </cell>
          <cell r="CE302">
            <v>-4084264</v>
          </cell>
          <cell r="CF302">
            <v>-4002579</v>
          </cell>
          <cell r="CG302">
            <v>0</v>
          </cell>
          <cell r="CH302">
            <v>-81685</v>
          </cell>
        </row>
        <row r="303">
          <cell r="A303">
            <v>296</v>
          </cell>
          <cell r="B303" t="str">
            <v>Warwick</v>
          </cell>
          <cell r="C303" t="str">
            <v>E3735</v>
          </cell>
          <cell r="D303">
            <v>209611</v>
          </cell>
          <cell r="H303">
            <v>-589545</v>
          </cell>
          <cell r="I303">
            <v>0</v>
          </cell>
          <cell r="J303">
            <v>209611</v>
          </cell>
          <cell r="K303">
            <v>0</v>
          </cell>
          <cell r="L303">
            <v>8505</v>
          </cell>
          <cell r="M303">
            <v>0</v>
          </cell>
          <cell r="N303">
            <v>0</v>
          </cell>
          <cell r="O303">
            <v>0</v>
          </cell>
          <cell r="P303">
            <v>0</v>
          </cell>
          <cell r="Q303">
            <v>0</v>
          </cell>
          <cell r="R303">
            <v>1146535</v>
          </cell>
          <cell r="S303">
            <v>286634</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M303">
            <v>0</v>
          </cell>
          <cell r="AN303">
            <v>0</v>
          </cell>
          <cell r="AO303">
            <v>0</v>
          </cell>
          <cell r="AP303">
            <v>368077</v>
          </cell>
          <cell r="AQ303">
            <v>91987</v>
          </cell>
          <cell r="AR303">
            <v>0</v>
          </cell>
          <cell r="AS303">
            <v>-462500</v>
          </cell>
          <cell r="AT303">
            <v>-370000</v>
          </cell>
          <cell r="AU303">
            <v>-92500</v>
          </cell>
          <cell r="AV303">
            <v>0</v>
          </cell>
          <cell r="AW303">
            <v>-925000</v>
          </cell>
          <cell r="AX303">
            <v>-4574130</v>
          </cell>
          <cell r="AY303">
            <v>-3659302</v>
          </cell>
          <cell r="AZ303">
            <v>-914826</v>
          </cell>
          <cell r="BA303">
            <v>0</v>
          </cell>
          <cell r="BB303">
            <v>-9148258</v>
          </cell>
          <cell r="BC303">
            <v>70253328</v>
          </cell>
          <cell r="BD303">
            <v>-3000792</v>
          </cell>
          <cell r="BE303">
            <v>1857678</v>
          </cell>
          <cell r="BF303">
            <v>0</v>
          </cell>
          <cell r="BG303">
            <v>-4179613</v>
          </cell>
          <cell r="BH303">
            <v>-60366</v>
          </cell>
          <cell r="BI303">
            <v>-7759</v>
          </cell>
          <cell r="BJ303">
            <v>-8014</v>
          </cell>
          <cell r="BK303">
            <v>-2468872</v>
          </cell>
          <cell r="BL303">
            <v>-7116</v>
          </cell>
          <cell r="BM303">
            <v>-79297</v>
          </cell>
          <cell r="BN303">
            <v>0</v>
          </cell>
          <cell r="BO303">
            <v>-14419</v>
          </cell>
          <cell r="BP303">
            <v>0</v>
          </cell>
          <cell r="BQ303">
            <v>0</v>
          </cell>
          <cell r="BR303">
            <v>0</v>
          </cell>
          <cell r="BS303">
            <v>0</v>
          </cell>
          <cell r="BT303">
            <v>70315418</v>
          </cell>
          <cell r="BU303">
            <v>-204555</v>
          </cell>
          <cell r="BV303">
            <v>1551360</v>
          </cell>
          <cell r="BW303">
            <v>-452352</v>
          </cell>
          <cell r="BX303">
            <v>3056038</v>
          </cell>
          <cell r="BY303">
            <v>2769763</v>
          </cell>
          <cell r="BZ303">
            <v>61237254</v>
          </cell>
          <cell r="CA303">
            <v>1528019</v>
          </cell>
          <cell r="CB303">
            <v>1222415</v>
          </cell>
          <cell r="CC303">
            <v>305604</v>
          </cell>
          <cell r="CD303">
            <v>0</v>
          </cell>
          <cell r="CE303">
            <v>1384882</v>
          </cell>
          <cell r="CF303">
            <v>1107905</v>
          </cell>
          <cell r="CG303">
            <v>276976</v>
          </cell>
          <cell r="CH303">
            <v>0</v>
          </cell>
        </row>
        <row r="304">
          <cell r="A304">
            <v>297</v>
          </cell>
          <cell r="B304" t="str">
            <v>Watford</v>
          </cell>
          <cell r="C304" t="str">
            <v>E1939</v>
          </cell>
          <cell r="D304">
            <v>166600</v>
          </cell>
          <cell r="H304">
            <v>0</v>
          </cell>
          <cell r="I304">
            <v>0</v>
          </cell>
          <cell r="J304">
            <v>166600</v>
          </cell>
          <cell r="K304">
            <v>0</v>
          </cell>
          <cell r="L304">
            <v>0</v>
          </cell>
          <cell r="M304">
            <v>0</v>
          </cell>
          <cell r="N304">
            <v>0</v>
          </cell>
          <cell r="O304">
            <v>0</v>
          </cell>
          <cell r="P304">
            <v>0</v>
          </cell>
          <cell r="Q304">
            <v>0</v>
          </cell>
          <cell r="R304">
            <v>426163</v>
          </cell>
          <cell r="S304">
            <v>106541</v>
          </cell>
          <cell r="T304">
            <v>0</v>
          </cell>
          <cell r="U304">
            <v>6595</v>
          </cell>
          <cell r="V304">
            <v>1649</v>
          </cell>
          <cell r="W304">
            <v>0</v>
          </cell>
          <cell r="X304">
            <v>0</v>
          </cell>
          <cell r="Y304">
            <v>0</v>
          </cell>
          <cell r="Z304">
            <v>0</v>
          </cell>
          <cell r="AA304">
            <v>46166</v>
          </cell>
          <cell r="AB304">
            <v>11541</v>
          </cell>
          <cell r="AC304">
            <v>0</v>
          </cell>
          <cell r="AD304">
            <v>0</v>
          </cell>
          <cell r="AE304">
            <v>0</v>
          </cell>
          <cell r="AF304">
            <v>0</v>
          </cell>
          <cell r="AG304">
            <v>0</v>
          </cell>
          <cell r="AH304">
            <v>0</v>
          </cell>
          <cell r="AI304">
            <v>0</v>
          </cell>
          <cell r="AM304">
            <v>0</v>
          </cell>
          <cell r="AN304">
            <v>0</v>
          </cell>
          <cell r="AO304">
            <v>0</v>
          </cell>
          <cell r="AP304">
            <v>359665</v>
          </cell>
          <cell r="AQ304">
            <v>89916</v>
          </cell>
          <cell r="AR304">
            <v>0</v>
          </cell>
          <cell r="AS304">
            <v>-808344</v>
          </cell>
          <cell r="AT304">
            <v>-646675</v>
          </cell>
          <cell r="AU304">
            <v>-161668</v>
          </cell>
          <cell r="AV304">
            <v>0</v>
          </cell>
          <cell r="AW304">
            <v>-1616687</v>
          </cell>
          <cell r="AX304">
            <v>-5089682</v>
          </cell>
          <cell r="AY304">
            <v>-4071746</v>
          </cell>
          <cell r="AZ304">
            <v>-1017937</v>
          </cell>
          <cell r="BA304">
            <v>0</v>
          </cell>
          <cell r="BB304">
            <v>-10179365</v>
          </cell>
          <cell r="BC304">
            <v>72091579</v>
          </cell>
          <cell r="BD304">
            <v>-1498235</v>
          </cell>
          <cell r="BE304">
            <v>1836613</v>
          </cell>
          <cell r="BF304">
            <v>0</v>
          </cell>
          <cell r="BG304">
            <v>-3130302</v>
          </cell>
          <cell r="BH304">
            <v>0</v>
          </cell>
          <cell r="BI304">
            <v>0</v>
          </cell>
          <cell r="BJ304">
            <v>-23350</v>
          </cell>
          <cell r="BK304">
            <v>-2916626</v>
          </cell>
          <cell r="BL304">
            <v>-163707</v>
          </cell>
          <cell r="BM304">
            <v>0</v>
          </cell>
          <cell r="BN304">
            <v>0</v>
          </cell>
          <cell r="BO304">
            <v>0</v>
          </cell>
          <cell r="BP304">
            <v>0</v>
          </cell>
          <cell r="BQ304">
            <v>0</v>
          </cell>
          <cell r="BR304">
            <v>0</v>
          </cell>
          <cell r="BS304">
            <v>0</v>
          </cell>
          <cell r="BT304">
            <v>63332202</v>
          </cell>
          <cell r="BU304">
            <v>-681642</v>
          </cell>
          <cell r="BV304">
            <v>2815985</v>
          </cell>
          <cell r="BW304">
            <v>-2349115</v>
          </cell>
          <cell r="BX304">
            <v>8904529.3000000007</v>
          </cell>
          <cell r="BY304">
            <v>-1347568</v>
          </cell>
          <cell r="BZ304">
            <v>59858485</v>
          </cell>
          <cell r="CA304">
            <v>4452263.3000000007</v>
          </cell>
          <cell r="CB304">
            <v>3561813</v>
          </cell>
          <cell r="CC304">
            <v>890453</v>
          </cell>
          <cell r="CD304">
            <v>0</v>
          </cell>
          <cell r="CE304">
            <v>-673784</v>
          </cell>
          <cell r="CF304">
            <v>-539027</v>
          </cell>
          <cell r="CG304">
            <v>-134757</v>
          </cell>
          <cell r="CH304">
            <v>0</v>
          </cell>
        </row>
        <row r="305">
          <cell r="A305">
            <v>298</v>
          </cell>
          <cell r="B305" t="str">
            <v>Waveney</v>
          </cell>
          <cell r="C305" t="str">
            <v>E3537</v>
          </cell>
          <cell r="D305">
            <v>202129</v>
          </cell>
          <cell r="H305">
            <v>644820</v>
          </cell>
          <cell r="I305">
            <v>-9712</v>
          </cell>
          <cell r="J305">
            <v>202129</v>
          </cell>
          <cell r="K305">
            <v>238342</v>
          </cell>
          <cell r="L305">
            <v>201779</v>
          </cell>
          <cell r="M305">
            <v>0</v>
          </cell>
          <cell r="N305">
            <v>169145</v>
          </cell>
          <cell r="O305">
            <v>169145</v>
          </cell>
          <cell r="P305">
            <v>0</v>
          </cell>
          <cell r="Q305">
            <v>0</v>
          </cell>
          <cell r="R305">
            <v>811060</v>
          </cell>
          <cell r="S305">
            <v>202765</v>
          </cell>
          <cell r="T305">
            <v>0</v>
          </cell>
          <cell r="U305">
            <v>0</v>
          </cell>
          <cell r="V305">
            <v>0</v>
          </cell>
          <cell r="W305">
            <v>0</v>
          </cell>
          <cell r="X305">
            <v>0</v>
          </cell>
          <cell r="Y305">
            <v>0</v>
          </cell>
          <cell r="Z305">
            <v>0</v>
          </cell>
          <cell r="AA305">
            <v>4206</v>
          </cell>
          <cell r="AB305">
            <v>1051</v>
          </cell>
          <cell r="AC305">
            <v>0</v>
          </cell>
          <cell r="AD305">
            <v>0</v>
          </cell>
          <cell r="AE305">
            <v>0</v>
          </cell>
          <cell r="AF305">
            <v>0</v>
          </cell>
          <cell r="AG305">
            <v>0</v>
          </cell>
          <cell r="AH305">
            <v>0</v>
          </cell>
          <cell r="AI305">
            <v>0</v>
          </cell>
          <cell r="AM305">
            <v>0</v>
          </cell>
          <cell r="AN305">
            <v>0</v>
          </cell>
          <cell r="AO305">
            <v>0</v>
          </cell>
          <cell r="AP305">
            <v>168667</v>
          </cell>
          <cell r="AQ305">
            <v>39879</v>
          </cell>
          <cell r="AR305">
            <v>0</v>
          </cell>
          <cell r="AS305">
            <v>-422920</v>
          </cell>
          <cell r="AT305">
            <v>-338338</v>
          </cell>
          <cell r="AU305">
            <v>-84585</v>
          </cell>
          <cell r="AV305">
            <v>0</v>
          </cell>
          <cell r="AW305">
            <v>-845843</v>
          </cell>
          <cell r="AX305">
            <v>-1555642</v>
          </cell>
          <cell r="AY305">
            <v>-1244512</v>
          </cell>
          <cell r="AZ305">
            <v>-311128</v>
          </cell>
          <cell r="BA305">
            <v>0</v>
          </cell>
          <cell r="BB305">
            <v>-3111282</v>
          </cell>
          <cell r="BC305">
            <v>26800625</v>
          </cell>
          <cell r="BD305">
            <v>-3426165</v>
          </cell>
          <cell r="BE305">
            <v>713773</v>
          </cell>
          <cell r="BF305">
            <v>0</v>
          </cell>
          <cell r="BG305">
            <v>-2457991</v>
          </cell>
          <cell r="BH305">
            <v>-46285</v>
          </cell>
          <cell r="BI305">
            <v>-18358</v>
          </cell>
          <cell r="BJ305">
            <v>0</v>
          </cell>
          <cell r="BK305">
            <v>-988709</v>
          </cell>
          <cell r="BL305">
            <v>-79692</v>
          </cell>
          <cell r="BM305">
            <v>-5262</v>
          </cell>
          <cell r="BN305">
            <v>-204</v>
          </cell>
          <cell r="BO305">
            <v>-864</v>
          </cell>
          <cell r="BP305">
            <v>0</v>
          </cell>
          <cell r="BQ305">
            <v>-158686</v>
          </cell>
          <cell r="BR305">
            <v>-163398</v>
          </cell>
          <cell r="BS305">
            <v>0</v>
          </cell>
          <cell r="BT305">
            <v>27019959</v>
          </cell>
          <cell r="BU305">
            <v>-98861</v>
          </cell>
          <cell r="BV305">
            <v>1511412</v>
          </cell>
          <cell r="BW305">
            <v>-773777</v>
          </cell>
          <cell r="BX305">
            <v>-1194914</v>
          </cell>
          <cell r="BY305">
            <v>-2415155</v>
          </cell>
          <cell r="BZ305">
            <v>26547922</v>
          </cell>
          <cell r="CA305">
            <v>-597458</v>
          </cell>
          <cell r="CB305">
            <v>-477965</v>
          </cell>
          <cell r="CC305">
            <v>-119491</v>
          </cell>
          <cell r="CD305">
            <v>0</v>
          </cell>
          <cell r="CE305">
            <v>-1207577</v>
          </cell>
          <cell r="CF305">
            <v>-966062</v>
          </cell>
          <cell r="CG305">
            <v>-241516</v>
          </cell>
          <cell r="CH305">
            <v>0</v>
          </cell>
        </row>
        <row r="306">
          <cell r="A306">
            <v>299</v>
          </cell>
          <cell r="B306" t="str">
            <v>Waverley</v>
          </cell>
          <cell r="C306" t="str">
            <v>E3640</v>
          </cell>
          <cell r="D306">
            <v>177540</v>
          </cell>
          <cell r="H306">
            <v>1961408</v>
          </cell>
          <cell r="I306">
            <v>0</v>
          </cell>
          <cell r="J306">
            <v>177540</v>
          </cell>
          <cell r="K306">
            <v>0</v>
          </cell>
          <cell r="L306">
            <v>0</v>
          </cell>
          <cell r="M306">
            <v>0</v>
          </cell>
          <cell r="N306">
            <v>0</v>
          </cell>
          <cell r="O306">
            <v>0</v>
          </cell>
          <cell r="P306">
            <v>0</v>
          </cell>
          <cell r="Q306">
            <v>0</v>
          </cell>
          <cell r="R306">
            <v>661458</v>
          </cell>
          <cell r="S306">
            <v>165364</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M306">
            <v>0</v>
          </cell>
          <cell r="AN306">
            <v>0</v>
          </cell>
          <cell r="AO306">
            <v>0</v>
          </cell>
          <cell r="AP306">
            <v>227699</v>
          </cell>
          <cell r="AQ306">
            <v>56925</v>
          </cell>
          <cell r="AR306">
            <v>0</v>
          </cell>
          <cell r="AS306">
            <v>-235000</v>
          </cell>
          <cell r="AT306">
            <v>-188000</v>
          </cell>
          <cell r="AU306">
            <v>-47000</v>
          </cell>
          <cell r="AV306">
            <v>0</v>
          </cell>
          <cell r="AW306">
            <v>-470000</v>
          </cell>
          <cell r="AX306">
            <v>-1025000</v>
          </cell>
          <cell r="AY306">
            <v>-820000</v>
          </cell>
          <cell r="AZ306">
            <v>-205000</v>
          </cell>
          <cell r="BA306">
            <v>0</v>
          </cell>
          <cell r="BB306">
            <v>-2050000</v>
          </cell>
          <cell r="BC306">
            <v>36334694</v>
          </cell>
          <cell r="BD306">
            <v>-2348545</v>
          </cell>
          <cell r="BE306">
            <v>1020893</v>
          </cell>
          <cell r="BF306">
            <v>0</v>
          </cell>
          <cell r="BG306">
            <v>-5072305</v>
          </cell>
          <cell r="BH306">
            <v>-40414</v>
          </cell>
          <cell r="BI306">
            <v>-7244</v>
          </cell>
          <cell r="BJ306">
            <v>-3027</v>
          </cell>
          <cell r="BK306">
            <v>-1096289</v>
          </cell>
          <cell r="BL306">
            <v>-66204</v>
          </cell>
          <cell r="BM306">
            <v>-489165</v>
          </cell>
          <cell r="BN306">
            <v>0</v>
          </cell>
          <cell r="BO306">
            <v>-4346</v>
          </cell>
          <cell r="BP306">
            <v>-6699</v>
          </cell>
          <cell r="BQ306">
            <v>0</v>
          </cell>
          <cell r="BR306">
            <v>0</v>
          </cell>
          <cell r="BS306">
            <v>0</v>
          </cell>
          <cell r="BT306">
            <v>36734987</v>
          </cell>
          <cell r="BU306">
            <v>-235786</v>
          </cell>
          <cell r="BV306">
            <v>2338145</v>
          </cell>
          <cell r="BW306">
            <v>-750111</v>
          </cell>
          <cell r="BX306">
            <v>-2193877</v>
          </cell>
          <cell r="BY306">
            <v>-2359829</v>
          </cell>
          <cell r="BZ306">
            <v>37895632</v>
          </cell>
          <cell r="CA306">
            <v>-1096939</v>
          </cell>
          <cell r="CB306">
            <v>-877550</v>
          </cell>
          <cell r="CC306">
            <v>-219388</v>
          </cell>
          <cell r="CD306">
            <v>0</v>
          </cell>
          <cell r="CE306">
            <v>-1179914</v>
          </cell>
          <cell r="CF306">
            <v>-943932</v>
          </cell>
          <cell r="CG306">
            <v>-235983</v>
          </cell>
          <cell r="CH306">
            <v>0</v>
          </cell>
        </row>
        <row r="307">
          <cell r="A307">
            <v>300</v>
          </cell>
          <cell r="B307" t="str">
            <v>Wealden</v>
          </cell>
          <cell r="C307" t="str">
            <v>E1437</v>
          </cell>
          <cell r="D307">
            <v>214771</v>
          </cell>
          <cell r="H307">
            <v>1061787</v>
          </cell>
          <cell r="I307">
            <v>0</v>
          </cell>
          <cell r="J307">
            <v>214771</v>
          </cell>
          <cell r="K307">
            <v>0</v>
          </cell>
          <cell r="L307">
            <v>155165</v>
          </cell>
          <cell r="M307">
            <v>0</v>
          </cell>
          <cell r="N307">
            <v>0</v>
          </cell>
          <cell r="O307">
            <v>0</v>
          </cell>
          <cell r="P307">
            <v>0</v>
          </cell>
          <cell r="Q307">
            <v>0</v>
          </cell>
          <cell r="R307">
            <v>1356599</v>
          </cell>
          <cell r="S307">
            <v>305235</v>
          </cell>
          <cell r="T307">
            <v>33915</v>
          </cell>
          <cell r="U307">
            <v>10781</v>
          </cell>
          <cell r="V307">
            <v>2426</v>
          </cell>
          <cell r="W307">
            <v>270</v>
          </cell>
          <cell r="X307">
            <v>0</v>
          </cell>
          <cell r="Y307">
            <v>0</v>
          </cell>
          <cell r="Z307">
            <v>0</v>
          </cell>
          <cell r="AA307">
            <v>1545</v>
          </cell>
          <cell r="AB307">
            <v>348</v>
          </cell>
          <cell r="AC307">
            <v>39</v>
          </cell>
          <cell r="AD307">
            <v>0</v>
          </cell>
          <cell r="AE307">
            <v>0</v>
          </cell>
          <cell r="AF307">
            <v>0</v>
          </cell>
          <cell r="AG307">
            <v>0</v>
          </cell>
          <cell r="AH307">
            <v>0</v>
          </cell>
          <cell r="AI307">
            <v>0</v>
          </cell>
          <cell r="AM307">
            <v>0</v>
          </cell>
          <cell r="AN307">
            <v>0</v>
          </cell>
          <cell r="AO307">
            <v>0</v>
          </cell>
          <cell r="AP307">
            <v>162269</v>
          </cell>
          <cell r="AQ307">
            <v>35986</v>
          </cell>
          <cell r="AR307">
            <v>3998</v>
          </cell>
          <cell r="AS307">
            <v>-362344</v>
          </cell>
          <cell r="AT307">
            <v>-289874</v>
          </cell>
          <cell r="AU307">
            <v>-65221</v>
          </cell>
          <cell r="AV307">
            <v>-7247</v>
          </cell>
          <cell r="AW307">
            <v>-724686</v>
          </cell>
          <cell r="AX307">
            <v>-646501</v>
          </cell>
          <cell r="AY307">
            <v>-517200</v>
          </cell>
          <cell r="AZ307">
            <v>-116370</v>
          </cell>
          <cell r="BA307">
            <v>-12929</v>
          </cell>
          <cell r="BB307">
            <v>-1293000</v>
          </cell>
          <cell r="BC307">
            <v>30101270</v>
          </cell>
          <cell r="BD307">
            <v>-5230618</v>
          </cell>
          <cell r="BE307">
            <v>738417</v>
          </cell>
          <cell r="BF307">
            <v>0</v>
          </cell>
          <cell r="BG307">
            <v>-2737976</v>
          </cell>
          <cell r="BH307">
            <v>-88929</v>
          </cell>
          <cell r="BI307">
            <v>-71409</v>
          </cell>
          <cell r="BJ307">
            <v>-3616</v>
          </cell>
          <cell r="BK307">
            <v>-615841</v>
          </cell>
          <cell r="BL307">
            <v>-83031</v>
          </cell>
          <cell r="BM307">
            <v>-11943</v>
          </cell>
          <cell r="BN307">
            <v>0</v>
          </cell>
          <cell r="BO307">
            <v>-14341</v>
          </cell>
          <cell r="BP307">
            <v>-4227</v>
          </cell>
          <cell r="BQ307">
            <v>0</v>
          </cell>
          <cell r="BR307">
            <v>0</v>
          </cell>
          <cell r="BS307">
            <v>0</v>
          </cell>
          <cell r="BT307">
            <v>30870024</v>
          </cell>
          <cell r="BU307">
            <v>-208445</v>
          </cell>
          <cell r="BV307">
            <v>1552996</v>
          </cell>
          <cell r="BW307">
            <v>-435978</v>
          </cell>
          <cell r="BX307">
            <v>-774437</v>
          </cell>
          <cell r="BY307">
            <v>-955405</v>
          </cell>
          <cell r="BZ307">
            <v>26618351</v>
          </cell>
          <cell r="CA307">
            <v>-387220</v>
          </cell>
          <cell r="CB307">
            <v>-309774</v>
          </cell>
          <cell r="CC307">
            <v>-69699</v>
          </cell>
          <cell r="CD307">
            <v>-7744</v>
          </cell>
          <cell r="CE307">
            <v>-477703</v>
          </cell>
          <cell r="CF307">
            <v>-382162</v>
          </cell>
          <cell r="CG307">
            <v>-85986</v>
          </cell>
          <cell r="CH307">
            <v>-9554</v>
          </cell>
        </row>
        <row r="308">
          <cell r="A308">
            <v>301</v>
          </cell>
          <cell r="B308" t="str">
            <v>Wellingborough</v>
          </cell>
          <cell r="C308" t="str">
            <v>E2837</v>
          </cell>
          <cell r="D308">
            <v>109064</v>
          </cell>
          <cell r="H308">
            <v>-975612</v>
          </cell>
          <cell r="I308">
            <v>0</v>
          </cell>
          <cell r="J308">
            <v>109064</v>
          </cell>
          <cell r="K308">
            <v>0</v>
          </cell>
          <cell r="L308">
            <v>30277</v>
          </cell>
          <cell r="M308">
            <v>0</v>
          </cell>
          <cell r="N308">
            <v>0</v>
          </cell>
          <cell r="O308">
            <v>0</v>
          </cell>
          <cell r="P308">
            <v>0</v>
          </cell>
          <cell r="Q308">
            <v>0</v>
          </cell>
          <cell r="R308">
            <v>696000</v>
          </cell>
          <cell r="S308">
            <v>174000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M308">
            <v>0</v>
          </cell>
          <cell r="AN308">
            <v>0</v>
          </cell>
          <cell r="AO308">
            <v>0</v>
          </cell>
          <cell r="AP308">
            <v>168157</v>
          </cell>
          <cell r="AQ308">
            <v>41925</v>
          </cell>
          <cell r="AR308">
            <v>0</v>
          </cell>
          <cell r="AS308">
            <v>-134010</v>
          </cell>
          <cell r="AT308">
            <v>-107208</v>
          </cell>
          <cell r="AU308">
            <v>-26802</v>
          </cell>
          <cell r="AV308">
            <v>0</v>
          </cell>
          <cell r="AW308">
            <v>-268020</v>
          </cell>
          <cell r="AX308">
            <v>-1313982.8</v>
          </cell>
          <cell r="AY308">
            <v>-1051186</v>
          </cell>
          <cell r="AZ308">
            <v>-262798</v>
          </cell>
          <cell r="BA308">
            <v>0</v>
          </cell>
          <cell r="BB308">
            <v>-2627966.7999999998</v>
          </cell>
          <cell r="BC308">
            <v>28160189</v>
          </cell>
          <cell r="BD308">
            <v>-2110602</v>
          </cell>
          <cell r="BE308">
            <v>794397</v>
          </cell>
          <cell r="BF308">
            <v>0</v>
          </cell>
          <cell r="BG308">
            <v>-1734797</v>
          </cell>
          <cell r="BH308">
            <v>-8429</v>
          </cell>
          <cell r="BI308">
            <v>-2547</v>
          </cell>
          <cell r="BJ308">
            <v>-287946</v>
          </cell>
          <cell r="BK308">
            <v>-931762</v>
          </cell>
          <cell r="BL308">
            <v>-91275</v>
          </cell>
          <cell r="BM308">
            <v>-11820</v>
          </cell>
          <cell r="BN308">
            <v>-378</v>
          </cell>
          <cell r="BO308">
            <v>0</v>
          </cell>
          <cell r="BP308">
            <v>0</v>
          </cell>
          <cell r="BQ308">
            <v>0</v>
          </cell>
          <cell r="BR308">
            <v>0</v>
          </cell>
          <cell r="BS308">
            <v>0</v>
          </cell>
          <cell r="BT308">
            <v>28740993</v>
          </cell>
          <cell r="BU308">
            <v>-43078</v>
          </cell>
          <cell r="BV308">
            <v>710535</v>
          </cell>
          <cell r="BW308">
            <v>-734908</v>
          </cell>
          <cell r="BX308">
            <v>-2997216</v>
          </cell>
          <cell r="BY308">
            <v>-2624627</v>
          </cell>
          <cell r="BZ308">
            <v>27910368</v>
          </cell>
          <cell r="CA308">
            <v>-1498609</v>
          </cell>
          <cell r="CB308">
            <v>-1198886</v>
          </cell>
          <cell r="CC308">
            <v>-299721</v>
          </cell>
          <cell r="CD308">
            <v>0</v>
          </cell>
          <cell r="CE308">
            <v>-1312313</v>
          </cell>
          <cell r="CF308">
            <v>-1049851</v>
          </cell>
          <cell r="CG308">
            <v>-262463</v>
          </cell>
          <cell r="CH308">
            <v>0</v>
          </cell>
        </row>
        <row r="309">
          <cell r="A309">
            <v>302</v>
          </cell>
          <cell r="B309" t="str">
            <v>Welwyn Hatfield</v>
          </cell>
          <cell r="C309" t="str">
            <v>E1940</v>
          </cell>
          <cell r="D309">
            <v>152235</v>
          </cell>
          <cell r="H309">
            <v>-513096</v>
          </cell>
          <cell r="I309">
            <v>0</v>
          </cell>
          <cell r="J309">
            <v>152235</v>
          </cell>
          <cell r="K309">
            <v>0</v>
          </cell>
          <cell r="L309">
            <v>0</v>
          </cell>
          <cell r="M309">
            <v>0</v>
          </cell>
          <cell r="N309">
            <v>0</v>
          </cell>
          <cell r="O309">
            <v>0</v>
          </cell>
          <cell r="P309">
            <v>0</v>
          </cell>
          <cell r="Q309">
            <v>0</v>
          </cell>
          <cell r="R309">
            <v>337529</v>
          </cell>
          <cell r="S309">
            <v>84382</v>
          </cell>
          <cell r="T309">
            <v>0</v>
          </cell>
          <cell r="U309">
            <v>0</v>
          </cell>
          <cell r="V309">
            <v>0</v>
          </cell>
          <cell r="W309">
            <v>0</v>
          </cell>
          <cell r="X309">
            <v>0</v>
          </cell>
          <cell r="Y309">
            <v>0</v>
          </cell>
          <cell r="Z309">
            <v>0</v>
          </cell>
          <cell r="AA309">
            <v>7245</v>
          </cell>
          <cell r="AB309">
            <v>1811</v>
          </cell>
          <cell r="AC309">
            <v>0</v>
          </cell>
          <cell r="AD309">
            <v>0</v>
          </cell>
          <cell r="AE309">
            <v>0</v>
          </cell>
          <cell r="AF309">
            <v>0</v>
          </cell>
          <cell r="AG309">
            <v>0</v>
          </cell>
          <cell r="AH309">
            <v>0</v>
          </cell>
          <cell r="AI309">
            <v>0</v>
          </cell>
          <cell r="AM309">
            <v>0</v>
          </cell>
          <cell r="AN309">
            <v>0</v>
          </cell>
          <cell r="AO309">
            <v>0</v>
          </cell>
          <cell r="AP309">
            <v>351915</v>
          </cell>
          <cell r="AQ309">
            <v>87979</v>
          </cell>
          <cell r="AR309">
            <v>0</v>
          </cell>
          <cell r="AS309">
            <v>-69510.070000000007</v>
          </cell>
          <cell r="AT309">
            <v>-55608</v>
          </cell>
          <cell r="AU309">
            <v>-13903</v>
          </cell>
          <cell r="AV309">
            <v>0</v>
          </cell>
          <cell r="AW309">
            <v>-139021.07</v>
          </cell>
          <cell r="AX309">
            <v>-2382622.7000000002</v>
          </cell>
          <cell r="AY309">
            <v>-1906096</v>
          </cell>
          <cell r="AZ309">
            <v>-476524</v>
          </cell>
          <cell r="BA309">
            <v>0</v>
          </cell>
          <cell r="BB309">
            <v>-4765242.7</v>
          </cell>
          <cell r="BC309">
            <v>56229304</v>
          </cell>
          <cell r="BD309">
            <v>-1409325</v>
          </cell>
          <cell r="BE309">
            <v>1687652</v>
          </cell>
          <cell r="BF309">
            <v>0</v>
          </cell>
          <cell r="BG309">
            <v>-5450010</v>
          </cell>
          <cell r="BH309">
            <v>-48010</v>
          </cell>
          <cell r="BI309">
            <v>0</v>
          </cell>
          <cell r="BJ309">
            <v>-381170</v>
          </cell>
          <cell r="BK309">
            <v>-1503379</v>
          </cell>
          <cell r="BL309">
            <v>-192841</v>
          </cell>
          <cell r="BM309">
            <v>-50078</v>
          </cell>
          <cell r="BN309">
            <v>-6020</v>
          </cell>
          <cell r="BO309">
            <v>0</v>
          </cell>
          <cell r="BP309">
            <v>0</v>
          </cell>
          <cell r="BQ309">
            <v>0</v>
          </cell>
          <cell r="BR309">
            <v>0</v>
          </cell>
          <cell r="BS309">
            <v>0</v>
          </cell>
          <cell r="BT309">
            <v>58180195</v>
          </cell>
          <cell r="BU309">
            <v>-141940</v>
          </cell>
          <cell r="BV309">
            <v>764946</v>
          </cell>
          <cell r="BW309">
            <v>-194322</v>
          </cell>
          <cell r="BX309">
            <v>-3783319</v>
          </cell>
          <cell r="BY309">
            <v>-1586171</v>
          </cell>
          <cell r="BZ309">
            <v>58568763</v>
          </cell>
          <cell r="CA309">
            <v>-1891660</v>
          </cell>
          <cell r="CB309">
            <v>-1513327</v>
          </cell>
          <cell r="CC309">
            <v>-378332</v>
          </cell>
          <cell r="CD309">
            <v>0</v>
          </cell>
          <cell r="CE309">
            <v>-793086</v>
          </cell>
          <cell r="CF309">
            <v>-634468</v>
          </cell>
          <cell r="CG309">
            <v>-158617</v>
          </cell>
          <cell r="CH309">
            <v>0</v>
          </cell>
        </row>
        <row r="310">
          <cell r="A310">
            <v>303</v>
          </cell>
          <cell r="B310" t="str">
            <v>West Berkshire</v>
          </cell>
          <cell r="C310" t="str">
            <v>E0302</v>
          </cell>
          <cell r="D310">
            <v>257198</v>
          </cell>
          <cell r="H310">
            <v>-1019381</v>
          </cell>
          <cell r="I310">
            <v>0</v>
          </cell>
          <cell r="J310">
            <v>257198</v>
          </cell>
          <cell r="K310">
            <v>0</v>
          </cell>
          <cell r="L310">
            <v>0</v>
          </cell>
          <cell r="M310">
            <v>0</v>
          </cell>
          <cell r="N310">
            <v>0</v>
          </cell>
          <cell r="O310">
            <v>0</v>
          </cell>
          <cell r="P310">
            <v>0</v>
          </cell>
          <cell r="Q310">
            <v>0</v>
          </cell>
          <cell r="R310">
            <v>825632</v>
          </cell>
          <cell r="S310">
            <v>0</v>
          </cell>
          <cell r="T310">
            <v>16850</v>
          </cell>
          <cell r="U310">
            <v>7815</v>
          </cell>
          <cell r="V310">
            <v>0</v>
          </cell>
          <cell r="W310">
            <v>160</v>
          </cell>
          <cell r="X310">
            <v>0</v>
          </cell>
          <cell r="Y310">
            <v>0</v>
          </cell>
          <cell r="Z310">
            <v>0</v>
          </cell>
          <cell r="AA310">
            <v>0</v>
          </cell>
          <cell r="AB310">
            <v>0</v>
          </cell>
          <cell r="AC310">
            <v>0</v>
          </cell>
          <cell r="AD310">
            <v>0</v>
          </cell>
          <cell r="AE310">
            <v>0</v>
          </cell>
          <cell r="AF310">
            <v>0</v>
          </cell>
          <cell r="AG310">
            <v>0</v>
          </cell>
          <cell r="AH310">
            <v>0</v>
          </cell>
          <cell r="AI310">
            <v>0</v>
          </cell>
          <cell r="AM310">
            <v>0</v>
          </cell>
          <cell r="AN310">
            <v>0</v>
          </cell>
          <cell r="AO310">
            <v>0</v>
          </cell>
          <cell r="AP310">
            <v>628669</v>
          </cell>
          <cell r="AQ310">
            <v>0</v>
          </cell>
          <cell r="AR310">
            <v>12830</v>
          </cell>
          <cell r="AS310">
            <v>-98292</v>
          </cell>
          <cell r="AT310">
            <v>-96326</v>
          </cell>
          <cell r="AU310">
            <v>0</v>
          </cell>
          <cell r="AV310">
            <v>-1966</v>
          </cell>
          <cell r="AW310">
            <v>-196584</v>
          </cell>
          <cell r="AX310">
            <v>-250000</v>
          </cell>
          <cell r="AY310">
            <v>-245000</v>
          </cell>
          <cell r="AZ310">
            <v>0</v>
          </cell>
          <cell r="BA310">
            <v>-5000</v>
          </cell>
          <cell r="BB310">
            <v>-500000</v>
          </cell>
          <cell r="BC310">
            <v>86689645</v>
          </cell>
          <cell r="BD310">
            <v>-2523698</v>
          </cell>
          <cell r="BE310">
            <v>2249077</v>
          </cell>
          <cell r="BF310">
            <v>0</v>
          </cell>
          <cell r="BG310">
            <v>-4341190</v>
          </cell>
          <cell r="BH310">
            <v>-73244</v>
          </cell>
          <cell r="BI310">
            <v>-33951</v>
          </cell>
          <cell r="BJ310">
            <v>0</v>
          </cell>
          <cell r="BK310">
            <v>-2530631</v>
          </cell>
          <cell r="BL310">
            <v>-41805</v>
          </cell>
          <cell r="BM310">
            <v>-28971</v>
          </cell>
          <cell r="BN310">
            <v>-6163</v>
          </cell>
          <cell r="BO310">
            <v>-7773</v>
          </cell>
          <cell r="BP310">
            <v>-39732</v>
          </cell>
          <cell r="BQ310">
            <v>0</v>
          </cell>
          <cell r="BR310">
            <v>0</v>
          </cell>
          <cell r="BS310">
            <v>0</v>
          </cell>
          <cell r="BT310">
            <v>85690602</v>
          </cell>
          <cell r="BU310">
            <v>-347502</v>
          </cell>
          <cell r="BV310">
            <v>2594126</v>
          </cell>
          <cell r="BW310">
            <v>-2366758</v>
          </cell>
          <cell r="BX310">
            <v>-2208885</v>
          </cell>
          <cell r="BY310">
            <v>-1235028</v>
          </cell>
          <cell r="BZ310">
            <v>85411066</v>
          </cell>
          <cell r="CA310">
            <v>-1104442</v>
          </cell>
          <cell r="CB310">
            <v>-1082353</v>
          </cell>
          <cell r="CC310">
            <v>0</v>
          </cell>
          <cell r="CD310">
            <v>-22090</v>
          </cell>
          <cell r="CE310">
            <v>-617514</v>
          </cell>
          <cell r="CF310">
            <v>-605164</v>
          </cell>
          <cell r="CG310">
            <v>0</v>
          </cell>
          <cell r="CH310">
            <v>-12350</v>
          </cell>
        </row>
        <row r="311">
          <cell r="A311">
            <v>304</v>
          </cell>
          <cell r="B311" t="str">
            <v>West Devon</v>
          </cell>
          <cell r="C311" t="str">
            <v>E1140</v>
          </cell>
          <cell r="D311">
            <v>83792</v>
          </cell>
          <cell r="H311">
            <v>339571</v>
          </cell>
          <cell r="I311">
            <v>0</v>
          </cell>
          <cell r="J311">
            <v>83792</v>
          </cell>
          <cell r="K311">
            <v>0</v>
          </cell>
          <cell r="L311">
            <v>0</v>
          </cell>
          <cell r="M311">
            <v>0</v>
          </cell>
          <cell r="N311">
            <v>0</v>
          </cell>
          <cell r="O311">
            <v>0</v>
          </cell>
          <cell r="P311">
            <v>0</v>
          </cell>
          <cell r="Q311">
            <v>0</v>
          </cell>
          <cell r="R311">
            <v>450134</v>
          </cell>
          <cell r="S311">
            <v>101280</v>
          </cell>
          <cell r="T311">
            <v>11253</v>
          </cell>
          <cell r="U311">
            <v>0</v>
          </cell>
          <cell r="V311">
            <v>0</v>
          </cell>
          <cell r="W311">
            <v>0</v>
          </cell>
          <cell r="X311">
            <v>812</v>
          </cell>
          <cell r="Y311">
            <v>183</v>
          </cell>
          <cell r="Z311">
            <v>20</v>
          </cell>
          <cell r="AA311">
            <v>0</v>
          </cell>
          <cell r="AB311">
            <v>0</v>
          </cell>
          <cell r="AC311">
            <v>0</v>
          </cell>
          <cell r="AD311">
            <v>0</v>
          </cell>
          <cell r="AE311">
            <v>0</v>
          </cell>
          <cell r="AF311">
            <v>0</v>
          </cell>
          <cell r="AG311">
            <v>0</v>
          </cell>
          <cell r="AH311">
            <v>0</v>
          </cell>
          <cell r="AI311">
            <v>0</v>
          </cell>
          <cell r="AM311">
            <v>0</v>
          </cell>
          <cell r="AN311">
            <v>0</v>
          </cell>
          <cell r="AO311">
            <v>0</v>
          </cell>
          <cell r="AP311">
            <v>61576</v>
          </cell>
          <cell r="AQ311">
            <v>13855</v>
          </cell>
          <cell r="AR311">
            <v>1539</v>
          </cell>
          <cell r="AS311">
            <v>-166103</v>
          </cell>
          <cell r="AT311">
            <v>-132882</v>
          </cell>
          <cell r="AU311">
            <v>-29899</v>
          </cell>
          <cell r="AV311">
            <v>-3322</v>
          </cell>
          <cell r="AW311">
            <v>-332206</v>
          </cell>
          <cell r="AX311">
            <v>-382249</v>
          </cell>
          <cell r="AY311">
            <v>-305799</v>
          </cell>
          <cell r="AZ311">
            <v>-68804</v>
          </cell>
          <cell r="BA311">
            <v>-7645</v>
          </cell>
          <cell r="BB311">
            <v>-764497</v>
          </cell>
          <cell r="BC311">
            <v>11196592</v>
          </cell>
          <cell r="BD311">
            <v>-1589659</v>
          </cell>
          <cell r="BE311">
            <v>253740</v>
          </cell>
          <cell r="BF311">
            <v>0</v>
          </cell>
          <cell r="BG311">
            <v>-799188</v>
          </cell>
          <cell r="BH311">
            <v>-68981</v>
          </cell>
          <cell r="BI311">
            <v>-44225</v>
          </cell>
          <cell r="BJ311">
            <v>0</v>
          </cell>
          <cell r="BK311">
            <v>-261829</v>
          </cell>
          <cell r="BL311">
            <v>-47660</v>
          </cell>
          <cell r="BM311">
            <v>-11243</v>
          </cell>
          <cell r="BN311">
            <v>-6434</v>
          </cell>
          <cell r="BO311">
            <v>-15933</v>
          </cell>
          <cell r="BP311">
            <v>0</v>
          </cell>
          <cell r="BQ311">
            <v>0</v>
          </cell>
          <cell r="BR311">
            <v>0</v>
          </cell>
          <cell r="BS311">
            <v>0</v>
          </cell>
          <cell r="BT311">
            <v>10737656</v>
          </cell>
          <cell r="BU311">
            <v>-23516</v>
          </cell>
          <cell r="BV311">
            <v>958220</v>
          </cell>
          <cell r="BW311">
            <v>-213251</v>
          </cell>
          <cell r="BX311">
            <v>402052</v>
          </cell>
          <cell r="BY311">
            <v>34654</v>
          </cell>
          <cell r="BZ311">
            <v>10247984</v>
          </cell>
          <cell r="CA311">
            <v>201027</v>
          </cell>
          <cell r="CB311">
            <v>160820</v>
          </cell>
          <cell r="CC311">
            <v>36185</v>
          </cell>
          <cell r="CD311">
            <v>4020</v>
          </cell>
          <cell r="CE311">
            <v>17326</v>
          </cell>
          <cell r="CF311">
            <v>13862</v>
          </cell>
          <cell r="CG311">
            <v>3119</v>
          </cell>
          <cell r="CH311">
            <v>347</v>
          </cell>
        </row>
        <row r="312">
          <cell r="A312">
            <v>305</v>
          </cell>
          <cell r="B312" t="str">
            <v>West Dorset</v>
          </cell>
          <cell r="C312" t="str">
            <v>E1237</v>
          </cell>
          <cell r="D312">
            <v>211340</v>
          </cell>
          <cell r="H312">
            <v>1704916</v>
          </cell>
          <cell r="I312">
            <v>0</v>
          </cell>
          <cell r="J312">
            <v>211340</v>
          </cell>
          <cell r="K312">
            <v>0</v>
          </cell>
          <cell r="L312">
            <v>96399</v>
          </cell>
          <cell r="M312">
            <v>0</v>
          </cell>
          <cell r="N312">
            <v>0</v>
          </cell>
          <cell r="O312">
            <v>0</v>
          </cell>
          <cell r="P312">
            <v>0</v>
          </cell>
          <cell r="Q312">
            <v>0</v>
          </cell>
          <cell r="R312">
            <v>1049864</v>
          </cell>
          <cell r="S312">
            <v>236220</v>
          </cell>
          <cell r="T312">
            <v>26247</v>
          </cell>
          <cell r="U312">
            <v>4339</v>
          </cell>
          <cell r="V312">
            <v>976</v>
          </cell>
          <cell r="W312">
            <v>108</v>
          </cell>
          <cell r="X312">
            <v>100964</v>
          </cell>
          <cell r="Y312">
            <v>22717</v>
          </cell>
          <cell r="Z312">
            <v>2524</v>
          </cell>
          <cell r="AA312">
            <v>3141</v>
          </cell>
          <cell r="AB312">
            <v>707</v>
          </cell>
          <cell r="AC312">
            <v>79</v>
          </cell>
          <cell r="AD312">
            <v>0</v>
          </cell>
          <cell r="AE312">
            <v>0</v>
          </cell>
          <cell r="AF312">
            <v>0</v>
          </cell>
          <cell r="AG312">
            <v>0</v>
          </cell>
          <cell r="AH312">
            <v>0</v>
          </cell>
          <cell r="AI312">
            <v>0</v>
          </cell>
          <cell r="AM312">
            <v>0</v>
          </cell>
          <cell r="AN312">
            <v>0</v>
          </cell>
          <cell r="AO312">
            <v>0</v>
          </cell>
          <cell r="AP312">
            <v>168526</v>
          </cell>
          <cell r="AQ312">
            <v>37593</v>
          </cell>
          <cell r="AR312">
            <v>4177</v>
          </cell>
          <cell r="AS312">
            <v>-338000</v>
          </cell>
          <cell r="AT312">
            <v>-270400</v>
          </cell>
          <cell r="AU312">
            <v>-60840</v>
          </cell>
          <cell r="AV312">
            <v>-6760</v>
          </cell>
          <cell r="AW312">
            <v>-676000</v>
          </cell>
          <cell r="AX312">
            <v>-3749700</v>
          </cell>
          <cell r="AY312">
            <v>-2999764</v>
          </cell>
          <cell r="AZ312">
            <v>-674948</v>
          </cell>
          <cell r="BA312">
            <v>-74994</v>
          </cell>
          <cell r="BB312">
            <v>-7499406</v>
          </cell>
          <cell r="BC312">
            <v>28132761</v>
          </cell>
          <cell r="BD312">
            <v>-4148278</v>
          </cell>
          <cell r="BE312">
            <v>781785</v>
          </cell>
          <cell r="BF312">
            <v>0</v>
          </cell>
          <cell r="BG312">
            <v>-3310053</v>
          </cell>
          <cell r="BH312">
            <v>-96862</v>
          </cell>
          <cell r="BI312">
            <v>-81473</v>
          </cell>
          <cell r="BJ312">
            <v>0</v>
          </cell>
          <cell r="BK312">
            <v>-1033470</v>
          </cell>
          <cell r="BL312">
            <v>-152666</v>
          </cell>
          <cell r="BM312">
            <v>-3227</v>
          </cell>
          <cell r="BN312">
            <v>-1320</v>
          </cell>
          <cell r="BO312">
            <v>-21778</v>
          </cell>
          <cell r="BP312">
            <v>0</v>
          </cell>
          <cell r="BQ312">
            <v>0</v>
          </cell>
          <cell r="BR312">
            <v>0</v>
          </cell>
          <cell r="BS312">
            <v>0</v>
          </cell>
          <cell r="BT312">
            <v>30486560</v>
          </cell>
          <cell r="BU312">
            <v>-500258</v>
          </cell>
          <cell r="BV312">
            <v>1281177</v>
          </cell>
          <cell r="BW312">
            <v>-657226</v>
          </cell>
          <cell r="BX312">
            <v>-753075</v>
          </cell>
          <cell r="BY312">
            <v>0</v>
          </cell>
          <cell r="BZ312">
            <v>27806544</v>
          </cell>
          <cell r="CA312">
            <v>-376538</v>
          </cell>
          <cell r="CB312">
            <v>-301230</v>
          </cell>
          <cell r="CC312">
            <v>-67777</v>
          </cell>
          <cell r="CD312">
            <v>-7530</v>
          </cell>
          <cell r="CE312">
            <v>0</v>
          </cell>
          <cell r="CF312">
            <v>0</v>
          </cell>
          <cell r="CG312">
            <v>0</v>
          </cell>
          <cell r="CH312">
            <v>0</v>
          </cell>
        </row>
        <row r="313">
          <cell r="A313">
            <v>306</v>
          </cell>
          <cell r="B313" t="str">
            <v>West Lancashire</v>
          </cell>
          <cell r="C313" t="str">
            <v>E2343</v>
          </cell>
          <cell r="D313">
            <v>128797</v>
          </cell>
          <cell r="H313">
            <v>-1920400</v>
          </cell>
          <cell r="I313">
            <v>0</v>
          </cell>
          <cell r="J313">
            <v>128797</v>
          </cell>
          <cell r="K313">
            <v>0</v>
          </cell>
          <cell r="L313">
            <v>0</v>
          </cell>
          <cell r="M313">
            <v>0</v>
          </cell>
          <cell r="N313">
            <v>0</v>
          </cell>
          <cell r="O313">
            <v>0</v>
          </cell>
          <cell r="P313">
            <v>0</v>
          </cell>
          <cell r="Q313">
            <v>0</v>
          </cell>
          <cell r="R313">
            <v>562225</v>
          </cell>
          <cell r="S313">
            <v>126501</v>
          </cell>
          <cell r="T313">
            <v>14056</v>
          </cell>
          <cell r="U313">
            <v>4429</v>
          </cell>
          <cell r="V313">
            <v>997</v>
          </cell>
          <cell r="W313">
            <v>111</v>
          </cell>
          <cell r="X313">
            <v>0</v>
          </cell>
          <cell r="Y313">
            <v>0</v>
          </cell>
          <cell r="Z313">
            <v>0</v>
          </cell>
          <cell r="AA313">
            <v>0</v>
          </cell>
          <cell r="AB313">
            <v>0</v>
          </cell>
          <cell r="AC313">
            <v>0</v>
          </cell>
          <cell r="AD313">
            <v>0</v>
          </cell>
          <cell r="AE313">
            <v>0</v>
          </cell>
          <cell r="AF313">
            <v>0</v>
          </cell>
          <cell r="AG313">
            <v>0</v>
          </cell>
          <cell r="AH313">
            <v>0</v>
          </cell>
          <cell r="AI313">
            <v>0</v>
          </cell>
          <cell r="AM313">
            <v>0</v>
          </cell>
          <cell r="AN313">
            <v>0</v>
          </cell>
          <cell r="AO313">
            <v>0</v>
          </cell>
          <cell r="AP313">
            <v>176046</v>
          </cell>
          <cell r="AQ313">
            <v>39610</v>
          </cell>
          <cell r="AR313">
            <v>4401</v>
          </cell>
          <cell r="AS313">
            <v>-529238</v>
          </cell>
          <cell r="AT313">
            <v>-423390</v>
          </cell>
          <cell r="AU313">
            <v>-95264</v>
          </cell>
          <cell r="AV313">
            <v>-10585</v>
          </cell>
          <cell r="AW313">
            <v>-1058477</v>
          </cell>
          <cell r="AX313">
            <v>-1254482</v>
          </cell>
          <cell r="AY313">
            <v>-1003587</v>
          </cell>
          <cell r="AZ313">
            <v>-225808</v>
          </cell>
          <cell r="BA313">
            <v>-25089</v>
          </cell>
          <cell r="BB313">
            <v>-2508966</v>
          </cell>
          <cell r="BC313">
            <v>32899117</v>
          </cell>
          <cell r="BD313">
            <v>-2241650</v>
          </cell>
          <cell r="BE313">
            <v>895116</v>
          </cell>
          <cell r="BF313">
            <v>0</v>
          </cell>
          <cell r="BG313">
            <v>-2628756</v>
          </cell>
          <cell r="BH313">
            <v>0</v>
          </cell>
          <cell r="BI313">
            <v>-2680</v>
          </cell>
          <cell r="BJ313">
            <v>0</v>
          </cell>
          <cell r="BK313">
            <v>-2147970</v>
          </cell>
          <cell r="BL313">
            <v>-14682</v>
          </cell>
          <cell r="BM313">
            <v>-40587</v>
          </cell>
          <cell r="BN313">
            <v>0</v>
          </cell>
          <cell r="BO313">
            <v>0</v>
          </cell>
          <cell r="BP313">
            <v>0</v>
          </cell>
          <cell r="BQ313">
            <v>0</v>
          </cell>
          <cell r="BR313">
            <v>0</v>
          </cell>
          <cell r="BS313">
            <v>0</v>
          </cell>
          <cell r="BT313">
            <v>31734201</v>
          </cell>
          <cell r="BU313">
            <v>-954894</v>
          </cell>
          <cell r="BV313">
            <v>3063333</v>
          </cell>
          <cell r="BW313">
            <v>-808490</v>
          </cell>
          <cell r="BX313">
            <v>-1562498</v>
          </cell>
          <cell r="BY313">
            <v>-2666668</v>
          </cell>
          <cell r="BZ313">
            <v>29299123</v>
          </cell>
          <cell r="CA313">
            <v>-781250</v>
          </cell>
          <cell r="CB313">
            <v>-624998</v>
          </cell>
          <cell r="CC313">
            <v>-140625</v>
          </cell>
          <cell r="CD313">
            <v>-15625</v>
          </cell>
          <cell r="CE313">
            <v>-1333334</v>
          </cell>
          <cell r="CF313">
            <v>-1066667</v>
          </cell>
          <cell r="CG313">
            <v>-240000</v>
          </cell>
          <cell r="CH313">
            <v>-26667</v>
          </cell>
        </row>
        <row r="314">
          <cell r="A314">
            <v>307</v>
          </cell>
          <cell r="B314" t="str">
            <v>West Lindsey</v>
          </cell>
          <cell r="C314" t="str">
            <v>E2537</v>
          </cell>
          <cell r="D314">
            <v>104972</v>
          </cell>
          <cell r="H314">
            <v>595030</v>
          </cell>
          <cell r="I314">
            <v>0</v>
          </cell>
          <cell r="J314">
            <v>104972</v>
          </cell>
          <cell r="K314">
            <v>0</v>
          </cell>
          <cell r="L314">
            <v>24558</v>
          </cell>
          <cell r="M314">
            <v>0</v>
          </cell>
          <cell r="N314">
            <v>0</v>
          </cell>
          <cell r="O314">
            <v>0</v>
          </cell>
          <cell r="P314">
            <v>0</v>
          </cell>
          <cell r="Q314">
            <v>0</v>
          </cell>
          <cell r="R314">
            <v>460135</v>
          </cell>
          <cell r="S314">
            <v>115034</v>
          </cell>
          <cell r="T314">
            <v>0</v>
          </cell>
          <cell r="U314">
            <v>3672</v>
          </cell>
          <cell r="V314">
            <v>918</v>
          </cell>
          <cell r="W314">
            <v>0</v>
          </cell>
          <cell r="X314">
            <v>5121</v>
          </cell>
          <cell r="Y314">
            <v>1280</v>
          </cell>
          <cell r="Z314">
            <v>0</v>
          </cell>
          <cell r="AA314">
            <v>1662</v>
          </cell>
          <cell r="AB314">
            <v>415</v>
          </cell>
          <cell r="AC314">
            <v>0</v>
          </cell>
          <cell r="AD314">
            <v>0</v>
          </cell>
          <cell r="AE314">
            <v>0</v>
          </cell>
          <cell r="AF314">
            <v>0</v>
          </cell>
          <cell r="AG314">
            <v>0</v>
          </cell>
          <cell r="AH314">
            <v>0</v>
          </cell>
          <cell r="AI314">
            <v>0</v>
          </cell>
          <cell r="AM314">
            <v>0</v>
          </cell>
          <cell r="AN314">
            <v>0</v>
          </cell>
          <cell r="AO314">
            <v>0</v>
          </cell>
          <cell r="AP314">
            <v>98723</v>
          </cell>
          <cell r="AQ314">
            <v>24589</v>
          </cell>
          <cell r="AR314">
            <v>0</v>
          </cell>
          <cell r="AS314">
            <v>-188561</v>
          </cell>
          <cell r="AT314">
            <v>-150847</v>
          </cell>
          <cell r="AU314">
            <v>-37712</v>
          </cell>
          <cell r="AV314">
            <v>0</v>
          </cell>
          <cell r="AW314">
            <v>-377120</v>
          </cell>
          <cell r="AX314">
            <v>-971155</v>
          </cell>
          <cell r="AY314">
            <v>-776923</v>
          </cell>
          <cell r="AZ314">
            <v>-194232</v>
          </cell>
          <cell r="BA314">
            <v>0</v>
          </cell>
          <cell r="BB314">
            <v>-1942310</v>
          </cell>
          <cell r="BC314">
            <v>15543570</v>
          </cell>
          <cell r="BD314">
            <v>-1870985</v>
          </cell>
          <cell r="BE314">
            <v>434802</v>
          </cell>
          <cell r="BF314">
            <v>0</v>
          </cell>
          <cell r="BG314">
            <v>-1578044</v>
          </cell>
          <cell r="BH314">
            <v>-27544</v>
          </cell>
          <cell r="BI314">
            <v>-34259</v>
          </cell>
          <cell r="BJ314">
            <v>0</v>
          </cell>
          <cell r="BK314">
            <v>-653235</v>
          </cell>
          <cell r="BL314">
            <v>-32535</v>
          </cell>
          <cell r="BM314">
            <v>-24658</v>
          </cell>
          <cell r="BN314">
            <v>-2266</v>
          </cell>
          <cell r="BO314">
            <v>-5927</v>
          </cell>
          <cell r="BP314">
            <v>-245</v>
          </cell>
          <cell r="BQ314">
            <v>0</v>
          </cell>
          <cell r="BR314">
            <v>0</v>
          </cell>
          <cell r="BS314">
            <v>0</v>
          </cell>
          <cell r="BT314">
            <v>16409831</v>
          </cell>
          <cell r="BU314">
            <v>-325228</v>
          </cell>
          <cell r="BV314">
            <v>1257818</v>
          </cell>
          <cell r="BW314">
            <v>-859168</v>
          </cell>
          <cell r="BX314">
            <v>-3863028</v>
          </cell>
          <cell r="BY314">
            <v>-463502</v>
          </cell>
          <cell r="BZ314">
            <v>16369007</v>
          </cell>
          <cell r="CA314">
            <v>-1931514</v>
          </cell>
          <cell r="CB314">
            <v>-1545211</v>
          </cell>
          <cell r="CC314">
            <v>-386303</v>
          </cell>
          <cell r="CD314">
            <v>0</v>
          </cell>
          <cell r="CE314">
            <v>-231751</v>
          </cell>
          <cell r="CF314">
            <v>-185401</v>
          </cell>
          <cell r="CG314">
            <v>-46350</v>
          </cell>
          <cell r="CH314">
            <v>0</v>
          </cell>
        </row>
        <row r="315">
          <cell r="A315">
            <v>308</v>
          </cell>
          <cell r="B315" t="str">
            <v>West Oxfordshire</v>
          </cell>
          <cell r="C315" t="str">
            <v>E3135</v>
          </cell>
          <cell r="D315">
            <v>163845</v>
          </cell>
          <cell r="H315">
            <v>2333653</v>
          </cell>
          <cell r="I315">
            <v>0</v>
          </cell>
          <cell r="J315">
            <v>163845</v>
          </cell>
          <cell r="K315">
            <v>0</v>
          </cell>
          <cell r="L315">
            <v>174866</v>
          </cell>
          <cell r="M315">
            <v>0</v>
          </cell>
          <cell r="N315">
            <v>0</v>
          </cell>
          <cell r="O315">
            <v>0</v>
          </cell>
          <cell r="P315">
            <v>0</v>
          </cell>
          <cell r="Q315">
            <v>0</v>
          </cell>
          <cell r="R315">
            <v>547729</v>
          </cell>
          <cell r="S315">
            <v>136932</v>
          </cell>
          <cell r="T315">
            <v>0</v>
          </cell>
          <cell r="U315">
            <v>7162</v>
          </cell>
          <cell r="V315">
            <v>1790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M315">
            <v>0</v>
          </cell>
          <cell r="AN315">
            <v>0</v>
          </cell>
          <cell r="AO315">
            <v>0</v>
          </cell>
          <cell r="AP315">
            <v>228303</v>
          </cell>
          <cell r="AQ315">
            <v>56419</v>
          </cell>
          <cell r="AR315">
            <v>0</v>
          </cell>
          <cell r="AS315">
            <v>-195606</v>
          </cell>
          <cell r="AT315">
            <v>-156483</v>
          </cell>
          <cell r="AU315">
            <v>-39122</v>
          </cell>
          <cell r="AV315">
            <v>0</v>
          </cell>
          <cell r="AW315">
            <v>-391211</v>
          </cell>
          <cell r="AX315">
            <v>-1345110</v>
          </cell>
          <cell r="AY315">
            <v>-1076086</v>
          </cell>
          <cell r="AZ315">
            <v>-269021</v>
          </cell>
          <cell r="BA315">
            <v>0</v>
          </cell>
          <cell r="BB315">
            <v>-2690217</v>
          </cell>
          <cell r="BC315">
            <v>34407453</v>
          </cell>
          <cell r="BD315">
            <v>-2388705</v>
          </cell>
          <cell r="BE315">
            <v>874260</v>
          </cell>
          <cell r="BF315">
            <v>0</v>
          </cell>
          <cell r="BG315">
            <v>-2621111</v>
          </cell>
          <cell r="BH315">
            <v>-53253</v>
          </cell>
          <cell r="BI315">
            <v>-42476</v>
          </cell>
          <cell r="BJ315">
            <v>-21903</v>
          </cell>
          <cell r="BK315">
            <v>-742451</v>
          </cell>
          <cell r="BL315">
            <v>-91573</v>
          </cell>
          <cell r="BM315">
            <v>-6704</v>
          </cell>
          <cell r="BN315">
            <v>0</v>
          </cell>
          <cell r="BO315">
            <v>-9927</v>
          </cell>
          <cell r="BP315">
            <v>0</v>
          </cell>
          <cell r="BQ315">
            <v>0</v>
          </cell>
          <cell r="BR315">
            <v>0</v>
          </cell>
          <cell r="BS315">
            <v>0</v>
          </cell>
          <cell r="BT315">
            <v>34711795</v>
          </cell>
          <cell r="BU315">
            <v>-101609</v>
          </cell>
          <cell r="BV315">
            <v>1512879</v>
          </cell>
          <cell r="BW315">
            <v>-227576</v>
          </cell>
          <cell r="BX315">
            <v>315555</v>
          </cell>
          <cell r="BY315">
            <v>-200876</v>
          </cell>
          <cell r="BZ315">
            <v>37558915</v>
          </cell>
          <cell r="CA315">
            <v>157778</v>
          </cell>
          <cell r="CB315">
            <v>126222</v>
          </cell>
          <cell r="CC315">
            <v>31555</v>
          </cell>
          <cell r="CD315">
            <v>0</v>
          </cell>
          <cell r="CE315">
            <v>-100438</v>
          </cell>
          <cell r="CF315">
            <v>-80350</v>
          </cell>
          <cell r="CG315">
            <v>-20088</v>
          </cell>
          <cell r="CH315">
            <v>0</v>
          </cell>
        </row>
        <row r="316">
          <cell r="A316">
            <v>309</v>
          </cell>
          <cell r="B316" t="str">
            <v>West Somerset</v>
          </cell>
          <cell r="C316" t="str">
            <v>E3335</v>
          </cell>
          <cell r="D316">
            <v>78132</v>
          </cell>
          <cell r="H316">
            <v>3509571</v>
          </cell>
          <cell r="I316">
            <v>0</v>
          </cell>
          <cell r="J316">
            <v>78132</v>
          </cell>
          <cell r="K316">
            <v>0</v>
          </cell>
          <cell r="L316">
            <v>50000</v>
          </cell>
          <cell r="M316">
            <v>0</v>
          </cell>
          <cell r="N316">
            <v>0</v>
          </cell>
          <cell r="O316">
            <v>0</v>
          </cell>
          <cell r="P316">
            <v>0</v>
          </cell>
          <cell r="Q316">
            <v>0</v>
          </cell>
          <cell r="R316">
            <v>340345</v>
          </cell>
          <cell r="S316">
            <v>76578</v>
          </cell>
          <cell r="T316">
            <v>8509</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M316">
            <v>0</v>
          </cell>
          <cell r="AN316">
            <v>0</v>
          </cell>
          <cell r="AO316">
            <v>0</v>
          </cell>
          <cell r="AP316">
            <v>100194</v>
          </cell>
          <cell r="AQ316">
            <v>22375</v>
          </cell>
          <cell r="AR316">
            <v>2486</v>
          </cell>
          <cell r="AS316">
            <v>-70000</v>
          </cell>
          <cell r="AT316">
            <v>-56000</v>
          </cell>
          <cell r="AU316">
            <v>-12600</v>
          </cell>
          <cell r="AV316">
            <v>-1400</v>
          </cell>
          <cell r="AW316">
            <v>-140000</v>
          </cell>
          <cell r="AX316">
            <v>-813722</v>
          </cell>
          <cell r="AY316">
            <v>-650980</v>
          </cell>
          <cell r="AZ316">
            <v>-146471</v>
          </cell>
          <cell r="BA316">
            <v>-16275</v>
          </cell>
          <cell r="BB316">
            <v>-1627448</v>
          </cell>
          <cell r="BC316">
            <v>13403061</v>
          </cell>
          <cell r="BD316">
            <v>-1459821</v>
          </cell>
          <cell r="BE316">
            <v>300717</v>
          </cell>
          <cell r="BF316">
            <v>0</v>
          </cell>
          <cell r="BG316">
            <v>-649941</v>
          </cell>
          <cell r="BH316">
            <v>-16172</v>
          </cell>
          <cell r="BI316">
            <v>-34142</v>
          </cell>
          <cell r="BJ316">
            <v>0</v>
          </cell>
          <cell r="BK316">
            <v>-133881</v>
          </cell>
          <cell r="BL316">
            <v>-25919</v>
          </cell>
          <cell r="BM316">
            <v>-13631</v>
          </cell>
          <cell r="BN316">
            <v>-1703</v>
          </cell>
          <cell r="BO316">
            <v>-33861</v>
          </cell>
          <cell r="BP316">
            <v>-45143</v>
          </cell>
          <cell r="BQ316">
            <v>0</v>
          </cell>
          <cell r="BR316">
            <v>0</v>
          </cell>
          <cell r="BS316">
            <v>0</v>
          </cell>
          <cell r="BT316">
            <v>13500368</v>
          </cell>
          <cell r="BU316">
            <v>-64238</v>
          </cell>
          <cell r="BV316">
            <v>1092041</v>
          </cell>
          <cell r="BW316">
            <v>-470155</v>
          </cell>
          <cell r="BX316">
            <v>1971943</v>
          </cell>
          <cell r="BY316">
            <v>1201588</v>
          </cell>
          <cell r="BZ316">
            <v>16550196</v>
          </cell>
          <cell r="CA316">
            <v>985973</v>
          </cell>
          <cell r="CB316">
            <v>788776</v>
          </cell>
          <cell r="CC316">
            <v>177474</v>
          </cell>
          <cell r="CD316">
            <v>19720</v>
          </cell>
          <cell r="CE316">
            <v>600794</v>
          </cell>
          <cell r="CF316">
            <v>480635</v>
          </cell>
          <cell r="CG316">
            <v>108143</v>
          </cell>
          <cell r="CH316">
            <v>12016</v>
          </cell>
        </row>
        <row r="317">
          <cell r="A317">
            <v>310</v>
          </cell>
          <cell r="B317" t="str">
            <v>Westminster</v>
          </cell>
          <cell r="C317" t="str">
            <v>E5022</v>
          </cell>
          <cell r="D317">
            <v>3306395</v>
          </cell>
          <cell r="H317">
            <v>111000928</v>
          </cell>
          <cell r="I317">
            <v>0</v>
          </cell>
          <cell r="J317">
            <v>3306395</v>
          </cell>
          <cell r="K317">
            <v>0</v>
          </cell>
          <cell r="L317">
            <v>0</v>
          </cell>
          <cell r="M317">
            <v>0</v>
          </cell>
          <cell r="N317">
            <v>0</v>
          </cell>
          <cell r="O317">
            <v>0</v>
          </cell>
          <cell r="P317">
            <v>0</v>
          </cell>
          <cell r="Q317">
            <v>0</v>
          </cell>
          <cell r="R317">
            <v>510853</v>
          </cell>
          <cell r="S317">
            <v>630051</v>
          </cell>
          <cell r="T317">
            <v>0</v>
          </cell>
          <cell r="U317">
            <v>0</v>
          </cell>
          <cell r="V317">
            <v>0</v>
          </cell>
          <cell r="W317">
            <v>0</v>
          </cell>
          <cell r="X317">
            <v>71544</v>
          </cell>
          <cell r="Y317">
            <v>88237</v>
          </cell>
          <cell r="Z317">
            <v>0</v>
          </cell>
          <cell r="AA317">
            <v>8946</v>
          </cell>
          <cell r="AB317">
            <v>11034</v>
          </cell>
          <cell r="AC317">
            <v>0</v>
          </cell>
          <cell r="AD317">
            <v>0</v>
          </cell>
          <cell r="AE317">
            <v>0</v>
          </cell>
          <cell r="AF317">
            <v>0</v>
          </cell>
          <cell r="AG317">
            <v>0</v>
          </cell>
          <cell r="AH317">
            <v>0</v>
          </cell>
          <cell r="AI317">
            <v>0</v>
          </cell>
          <cell r="AM317">
            <v>0</v>
          </cell>
          <cell r="AN317">
            <v>0</v>
          </cell>
          <cell r="AO317">
            <v>0</v>
          </cell>
          <cell r="AP317">
            <v>9251374</v>
          </cell>
          <cell r="AQ317">
            <v>11410028</v>
          </cell>
          <cell r="AR317">
            <v>0</v>
          </cell>
          <cell r="AS317">
            <v>-13349822</v>
          </cell>
          <cell r="AT317">
            <v>-8009894</v>
          </cell>
          <cell r="AU317">
            <v>-5339929</v>
          </cell>
          <cell r="AV317">
            <v>0</v>
          </cell>
          <cell r="AW317">
            <v>-26699645</v>
          </cell>
          <cell r="AX317">
            <v>-124000000</v>
          </cell>
          <cell r="AY317">
            <v>-74400000</v>
          </cell>
          <cell r="AZ317">
            <v>-49600000</v>
          </cell>
          <cell r="BA317">
            <v>0</v>
          </cell>
          <cell r="BB317">
            <v>-248000000</v>
          </cell>
          <cell r="BC317">
            <v>1894884934</v>
          </cell>
          <cell r="BD317">
            <v>-2316872</v>
          </cell>
          <cell r="BE317">
            <v>51689854</v>
          </cell>
          <cell r="BF317">
            <v>0</v>
          </cell>
          <cell r="BG317">
            <v>-65650541</v>
          </cell>
          <cell r="BH317">
            <v>-23458</v>
          </cell>
          <cell r="BI317">
            <v>0</v>
          </cell>
          <cell r="BJ317">
            <v>-7700459</v>
          </cell>
          <cell r="BK317">
            <v>-126409237</v>
          </cell>
          <cell r="BL317">
            <v>-264706</v>
          </cell>
          <cell r="BM317">
            <v>-12563</v>
          </cell>
          <cell r="BN317">
            <v>-1466</v>
          </cell>
          <cell r="BO317">
            <v>0</v>
          </cell>
          <cell r="BP317">
            <v>0</v>
          </cell>
          <cell r="BQ317">
            <v>0</v>
          </cell>
          <cell r="BR317">
            <v>0</v>
          </cell>
          <cell r="BS317">
            <v>0</v>
          </cell>
          <cell r="BT317">
            <v>1778967485</v>
          </cell>
          <cell r="BU317">
            <v>0</v>
          </cell>
          <cell r="BV317">
            <v>47419610</v>
          </cell>
          <cell r="BW317">
            <v>-129672279</v>
          </cell>
          <cell r="BX317">
            <v>17693110</v>
          </cell>
          <cell r="BY317">
            <v>-151020543</v>
          </cell>
          <cell r="BZ317">
            <v>2052923929</v>
          </cell>
          <cell r="CA317">
            <v>8846556</v>
          </cell>
          <cell r="CB317">
            <v>5307932</v>
          </cell>
          <cell r="CC317">
            <v>3538622</v>
          </cell>
          <cell r="CD317">
            <v>0</v>
          </cell>
          <cell r="CE317">
            <v>-75510271</v>
          </cell>
          <cell r="CF317">
            <v>-45306163</v>
          </cell>
          <cell r="CG317">
            <v>-30204109</v>
          </cell>
          <cell r="CH317">
            <v>0</v>
          </cell>
        </row>
        <row r="318">
          <cell r="A318">
            <v>311</v>
          </cell>
          <cell r="B318" t="str">
            <v>Weymouth and Portland</v>
          </cell>
          <cell r="C318" t="str">
            <v>E1238</v>
          </cell>
          <cell r="D318">
            <v>106013</v>
          </cell>
          <cell r="H318">
            <v>-475114</v>
          </cell>
          <cell r="I318">
            <v>0</v>
          </cell>
          <cell r="J318">
            <v>106013</v>
          </cell>
          <cell r="K318">
            <v>0</v>
          </cell>
          <cell r="L318">
            <v>0</v>
          </cell>
          <cell r="M318">
            <v>0</v>
          </cell>
          <cell r="N318">
            <v>0</v>
          </cell>
          <cell r="O318">
            <v>0</v>
          </cell>
          <cell r="P318">
            <v>0</v>
          </cell>
          <cell r="Q318">
            <v>0</v>
          </cell>
          <cell r="R318">
            <v>420316</v>
          </cell>
          <cell r="S318">
            <v>94571</v>
          </cell>
          <cell r="T318">
            <v>10508</v>
          </cell>
          <cell r="U318">
            <v>1098</v>
          </cell>
          <cell r="V318">
            <v>247</v>
          </cell>
          <cell r="W318">
            <v>27</v>
          </cell>
          <cell r="X318">
            <v>0</v>
          </cell>
          <cell r="Y318">
            <v>0</v>
          </cell>
          <cell r="Z318">
            <v>0</v>
          </cell>
          <cell r="AA318">
            <v>0</v>
          </cell>
          <cell r="AB318">
            <v>0</v>
          </cell>
          <cell r="AC318">
            <v>0</v>
          </cell>
          <cell r="AD318">
            <v>0</v>
          </cell>
          <cell r="AE318">
            <v>0</v>
          </cell>
          <cell r="AF318">
            <v>0</v>
          </cell>
          <cell r="AG318">
            <v>0</v>
          </cell>
          <cell r="AH318">
            <v>0</v>
          </cell>
          <cell r="AI318">
            <v>0</v>
          </cell>
          <cell r="AM318">
            <v>0</v>
          </cell>
          <cell r="AN318">
            <v>0</v>
          </cell>
          <cell r="AO318">
            <v>0</v>
          </cell>
          <cell r="AP318">
            <v>88104</v>
          </cell>
          <cell r="AQ318">
            <v>19824</v>
          </cell>
          <cell r="AR318">
            <v>2203</v>
          </cell>
          <cell r="AS318">
            <v>-492500</v>
          </cell>
          <cell r="AT318">
            <v>-394000</v>
          </cell>
          <cell r="AU318">
            <v>-88650</v>
          </cell>
          <cell r="AV318">
            <v>-9850</v>
          </cell>
          <cell r="AW318">
            <v>-985000</v>
          </cell>
          <cell r="AX318">
            <v>-2590413</v>
          </cell>
          <cell r="AY318">
            <v>-2072330</v>
          </cell>
          <cell r="AZ318">
            <v>-466275</v>
          </cell>
          <cell r="BA318">
            <v>-51808</v>
          </cell>
          <cell r="BB318">
            <v>-5180826</v>
          </cell>
          <cell r="BC318">
            <v>15735315</v>
          </cell>
          <cell r="BD318">
            <v>-1696833</v>
          </cell>
          <cell r="BE318">
            <v>466750</v>
          </cell>
          <cell r="BF318">
            <v>0</v>
          </cell>
          <cell r="BG318">
            <v>-1246632</v>
          </cell>
          <cell r="BH318">
            <v>-38140</v>
          </cell>
          <cell r="BI318">
            <v>0</v>
          </cell>
          <cell r="BJ318">
            <v>0</v>
          </cell>
          <cell r="BK318">
            <v>-492415</v>
          </cell>
          <cell r="BL318">
            <v>-27187</v>
          </cell>
          <cell r="BM318">
            <v>-98300</v>
          </cell>
          <cell r="BN318">
            <v>0</v>
          </cell>
          <cell r="BO318">
            <v>0</v>
          </cell>
          <cell r="BP318">
            <v>0</v>
          </cell>
          <cell r="BQ318">
            <v>0</v>
          </cell>
          <cell r="BR318">
            <v>0</v>
          </cell>
          <cell r="BS318">
            <v>0</v>
          </cell>
          <cell r="BT318">
            <v>17650980</v>
          </cell>
          <cell r="BU318">
            <v>-516393</v>
          </cell>
          <cell r="BV318">
            <v>1626727</v>
          </cell>
          <cell r="BW318">
            <v>-700550</v>
          </cell>
          <cell r="BX318">
            <v>-140162</v>
          </cell>
          <cell r="BY318">
            <v>181531</v>
          </cell>
          <cell r="BZ318">
            <v>14663102</v>
          </cell>
          <cell r="CA318">
            <v>-70081</v>
          </cell>
          <cell r="CB318">
            <v>-56065</v>
          </cell>
          <cell r="CC318">
            <v>-12615</v>
          </cell>
          <cell r="CD318">
            <v>-1401</v>
          </cell>
          <cell r="CE318">
            <v>90766</v>
          </cell>
          <cell r="CF318">
            <v>72612</v>
          </cell>
          <cell r="CG318">
            <v>16338</v>
          </cell>
          <cell r="CH318">
            <v>1815</v>
          </cell>
        </row>
        <row r="319">
          <cell r="A319">
            <v>312</v>
          </cell>
          <cell r="B319" t="str">
            <v>Wigan</v>
          </cell>
          <cell r="C319" t="str">
            <v>E4210</v>
          </cell>
          <cell r="D319">
            <v>379246</v>
          </cell>
          <cell r="H319">
            <v>-3151753</v>
          </cell>
          <cell r="I319">
            <v>0</v>
          </cell>
          <cell r="J319">
            <v>379246</v>
          </cell>
          <cell r="K319">
            <v>0</v>
          </cell>
          <cell r="L319">
            <v>0</v>
          </cell>
          <cell r="M319">
            <v>0</v>
          </cell>
          <cell r="N319">
            <v>0</v>
          </cell>
          <cell r="O319">
            <v>0</v>
          </cell>
          <cell r="P319">
            <v>0</v>
          </cell>
          <cell r="Q319">
            <v>0</v>
          </cell>
          <cell r="R319">
            <v>4758992</v>
          </cell>
          <cell r="S319">
            <v>0</v>
          </cell>
          <cell r="T319">
            <v>48071</v>
          </cell>
          <cell r="U319">
            <v>9733</v>
          </cell>
          <cell r="V319">
            <v>0</v>
          </cell>
          <cell r="W319">
            <v>98</v>
          </cell>
          <cell r="X319">
            <v>237557</v>
          </cell>
          <cell r="Y319">
            <v>0</v>
          </cell>
          <cell r="Z319">
            <v>2400</v>
          </cell>
          <cell r="AA319">
            <v>14855</v>
          </cell>
          <cell r="AB319">
            <v>0</v>
          </cell>
          <cell r="AC319">
            <v>150</v>
          </cell>
          <cell r="AD319">
            <v>0</v>
          </cell>
          <cell r="AE319">
            <v>0</v>
          </cell>
          <cell r="AF319">
            <v>0</v>
          </cell>
          <cell r="AG319">
            <v>0</v>
          </cell>
          <cell r="AH319">
            <v>0</v>
          </cell>
          <cell r="AI319">
            <v>0</v>
          </cell>
          <cell r="AM319">
            <v>0</v>
          </cell>
          <cell r="AN319">
            <v>0</v>
          </cell>
          <cell r="AO319">
            <v>0</v>
          </cell>
          <cell r="AP319">
            <v>1084523</v>
          </cell>
          <cell r="AQ319">
            <v>0</v>
          </cell>
          <cell r="AR319">
            <v>10955</v>
          </cell>
          <cell r="AS319">
            <v>-4394066</v>
          </cell>
          <cell r="AT319">
            <v>-1502651</v>
          </cell>
          <cell r="AU319">
            <v>0</v>
          </cell>
          <cell r="AV319">
            <v>-59564</v>
          </cell>
          <cell r="AW319">
            <v>-5956281</v>
          </cell>
          <cell r="AX319">
            <v>-1805268</v>
          </cell>
          <cell r="AY319">
            <v>-1769163</v>
          </cell>
          <cell r="AZ319">
            <v>0</v>
          </cell>
          <cell r="BA319">
            <v>-36105</v>
          </cell>
          <cell r="BB319">
            <v>-3610536</v>
          </cell>
          <cell r="BC319">
            <v>79001553</v>
          </cell>
          <cell r="BD319">
            <v>-7360897</v>
          </cell>
          <cell r="BE319">
            <v>2225945</v>
          </cell>
          <cell r="BF319">
            <v>0</v>
          </cell>
          <cell r="BG319">
            <v>-5377420</v>
          </cell>
          <cell r="BH319">
            <v>-142281</v>
          </cell>
          <cell r="BI319">
            <v>0</v>
          </cell>
          <cell r="BJ319">
            <v>-98459</v>
          </cell>
          <cell r="BK319">
            <v>-4153675</v>
          </cell>
          <cell r="BL319">
            <v>-701298</v>
          </cell>
          <cell r="BM319">
            <v>-477640</v>
          </cell>
          <cell r="BN319">
            <v>-28538</v>
          </cell>
          <cell r="BO319">
            <v>0</v>
          </cell>
          <cell r="BP319">
            <v>0</v>
          </cell>
          <cell r="BQ319">
            <v>0</v>
          </cell>
          <cell r="BR319">
            <v>0</v>
          </cell>
          <cell r="BS319">
            <v>0</v>
          </cell>
          <cell r="BT319">
            <v>81721946</v>
          </cell>
          <cell r="BU319">
            <v>-1263510</v>
          </cell>
          <cell r="BV319">
            <v>7143762</v>
          </cell>
          <cell r="BW319">
            <v>-523472</v>
          </cell>
          <cell r="BX319">
            <v>-7275149</v>
          </cell>
          <cell r="BY319">
            <v>-6872013</v>
          </cell>
          <cell r="BZ319">
            <v>72927546</v>
          </cell>
          <cell r="CA319">
            <v>-3637576</v>
          </cell>
          <cell r="CB319">
            <v>-3564823</v>
          </cell>
          <cell r="CC319">
            <v>0</v>
          </cell>
          <cell r="CD319">
            <v>-72750</v>
          </cell>
          <cell r="CE319">
            <v>-3436007</v>
          </cell>
          <cell r="CF319">
            <v>-3367286</v>
          </cell>
          <cell r="CG319">
            <v>0</v>
          </cell>
          <cell r="CH319">
            <v>-68720</v>
          </cell>
        </row>
        <row r="320">
          <cell r="A320">
            <v>313</v>
          </cell>
          <cell r="B320" t="str">
            <v>Wiltshire UA</v>
          </cell>
          <cell r="C320" t="str">
            <v>E3902</v>
          </cell>
          <cell r="D320">
            <v>621868</v>
          </cell>
          <cell r="H320">
            <v>-2920722</v>
          </cell>
          <cell r="I320">
            <v>0</v>
          </cell>
          <cell r="J320">
            <v>621868</v>
          </cell>
          <cell r="K320">
            <v>0</v>
          </cell>
          <cell r="L320">
            <v>797648</v>
          </cell>
          <cell r="M320">
            <v>0</v>
          </cell>
          <cell r="N320">
            <v>0</v>
          </cell>
          <cell r="O320">
            <v>0</v>
          </cell>
          <cell r="P320">
            <v>0</v>
          </cell>
          <cell r="Q320">
            <v>0</v>
          </cell>
          <cell r="R320">
            <v>3368850</v>
          </cell>
          <cell r="S320">
            <v>0</v>
          </cell>
          <cell r="T320">
            <v>68752</v>
          </cell>
          <cell r="U320">
            <v>37840</v>
          </cell>
          <cell r="V320">
            <v>0</v>
          </cell>
          <cell r="W320">
            <v>772</v>
          </cell>
          <cell r="X320">
            <v>46441</v>
          </cell>
          <cell r="Y320">
            <v>0</v>
          </cell>
          <cell r="Z320">
            <v>948</v>
          </cell>
          <cell r="AA320">
            <v>10936</v>
          </cell>
          <cell r="AB320">
            <v>0</v>
          </cell>
          <cell r="AC320">
            <v>223</v>
          </cell>
          <cell r="AD320">
            <v>0</v>
          </cell>
          <cell r="AE320">
            <v>0</v>
          </cell>
          <cell r="AF320">
            <v>0</v>
          </cell>
          <cell r="AG320">
            <v>0</v>
          </cell>
          <cell r="AH320">
            <v>0</v>
          </cell>
          <cell r="AI320">
            <v>0</v>
          </cell>
          <cell r="AM320">
            <v>0</v>
          </cell>
          <cell r="AN320">
            <v>0</v>
          </cell>
          <cell r="AO320">
            <v>0</v>
          </cell>
          <cell r="AP320">
            <v>1093429</v>
          </cell>
          <cell r="AQ320">
            <v>0</v>
          </cell>
          <cell r="AR320">
            <v>22070</v>
          </cell>
          <cell r="AS320">
            <v>-324450</v>
          </cell>
          <cell r="AT320">
            <v>-317961</v>
          </cell>
          <cell r="AU320">
            <v>0</v>
          </cell>
          <cell r="AV320">
            <v>-6489</v>
          </cell>
          <cell r="AW320">
            <v>-648900</v>
          </cell>
          <cell r="AX320">
            <v>-1920051</v>
          </cell>
          <cell r="AY320">
            <v>-1881649</v>
          </cell>
          <cell r="AZ320">
            <v>0</v>
          </cell>
          <cell r="BA320">
            <v>-38400</v>
          </cell>
          <cell r="BB320">
            <v>-3840100</v>
          </cell>
          <cell r="BC320">
            <v>150240366</v>
          </cell>
          <cell r="BD320">
            <v>-10624918</v>
          </cell>
          <cell r="BE320">
            <v>4002798</v>
          </cell>
          <cell r="BF320">
            <v>0</v>
          </cell>
          <cell r="BG320">
            <v>-11061815</v>
          </cell>
          <cell r="BH320">
            <v>-112855</v>
          </cell>
          <cell r="BI320">
            <v>-251960</v>
          </cell>
          <cell r="BJ320">
            <v>-26356</v>
          </cell>
          <cell r="BK320">
            <v>-4633629</v>
          </cell>
          <cell r="BL320">
            <v>-250901</v>
          </cell>
          <cell r="BM320">
            <v>-53585</v>
          </cell>
          <cell r="BN320">
            <v>-1071</v>
          </cell>
          <cell r="BO320">
            <v>-264079</v>
          </cell>
          <cell r="BP320">
            <v>0</v>
          </cell>
          <cell r="BQ320">
            <v>0</v>
          </cell>
          <cell r="BR320">
            <v>0</v>
          </cell>
          <cell r="BS320">
            <v>0</v>
          </cell>
          <cell r="BT320">
            <v>153602395</v>
          </cell>
          <cell r="BU320">
            <v>-769476</v>
          </cell>
          <cell r="BV320">
            <v>4718389</v>
          </cell>
          <cell r="BW320">
            <v>-1860706</v>
          </cell>
          <cell r="BX320">
            <v>4834059</v>
          </cell>
          <cell r="BY320">
            <v>6260944</v>
          </cell>
          <cell r="BZ320">
            <v>146925452</v>
          </cell>
          <cell r="CA320">
            <v>2417029</v>
          </cell>
          <cell r="CB320">
            <v>2368689</v>
          </cell>
          <cell r="CC320">
            <v>0</v>
          </cell>
          <cell r="CD320">
            <v>48341</v>
          </cell>
          <cell r="CE320">
            <v>3130472</v>
          </cell>
          <cell r="CF320">
            <v>3067863</v>
          </cell>
          <cell r="CG320">
            <v>0</v>
          </cell>
          <cell r="CH320">
            <v>62609</v>
          </cell>
        </row>
        <row r="321">
          <cell r="A321">
            <v>314</v>
          </cell>
          <cell r="B321" t="str">
            <v>Winchester</v>
          </cell>
          <cell r="C321" t="str">
            <v>E1743</v>
          </cell>
          <cell r="D321">
            <v>198201</v>
          </cell>
          <cell r="H321">
            <v>1527982</v>
          </cell>
          <cell r="I321">
            <v>0</v>
          </cell>
          <cell r="J321">
            <v>198201</v>
          </cell>
          <cell r="K321">
            <v>0</v>
          </cell>
          <cell r="L321">
            <v>285000</v>
          </cell>
          <cell r="M321">
            <v>0</v>
          </cell>
          <cell r="N321">
            <v>0</v>
          </cell>
          <cell r="O321">
            <v>0</v>
          </cell>
          <cell r="P321">
            <v>0</v>
          </cell>
          <cell r="Q321">
            <v>0</v>
          </cell>
          <cell r="R321">
            <v>696171</v>
          </cell>
          <cell r="S321">
            <v>156639</v>
          </cell>
          <cell r="T321">
            <v>17404</v>
          </cell>
          <cell r="U321">
            <v>8120</v>
          </cell>
          <cell r="V321">
            <v>1827</v>
          </cell>
          <cell r="W321">
            <v>203</v>
          </cell>
          <cell r="X321">
            <v>0</v>
          </cell>
          <cell r="Y321">
            <v>0</v>
          </cell>
          <cell r="Z321">
            <v>0</v>
          </cell>
          <cell r="AA321">
            <v>0</v>
          </cell>
          <cell r="AB321">
            <v>0</v>
          </cell>
          <cell r="AC321">
            <v>0</v>
          </cell>
          <cell r="AD321">
            <v>0</v>
          </cell>
          <cell r="AE321">
            <v>0</v>
          </cell>
          <cell r="AF321">
            <v>0</v>
          </cell>
          <cell r="AG321">
            <v>0</v>
          </cell>
          <cell r="AH321">
            <v>0</v>
          </cell>
          <cell r="AI321">
            <v>0</v>
          </cell>
          <cell r="AM321">
            <v>0</v>
          </cell>
          <cell r="AN321">
            <v>0</v>
          </cell>
          <cell r="AO321">
            <v>0</v>
          </cell>
          <cell r="AP321">
            <v>354437</v>
          </cell>
          <cell r="AQ321">
            <v>78785</v>
          </cell>
          <cell r="AR321">
            <v>8754</v>
          </cell>
          <cell r="AS321">
            <v>-548595</v>
          </cell>
          <cell r="AT321">
            <v>-438880</v>
          </cell>
          <cell r="AU321">
            <v>-98748</v>
          </cell>
          <cell r="AV321">
            <v>-10973</v>
          </cell>
          <cell r="AW321">
            <v>-1097196</v>
          </cell>
          <cell r="AX321">
            <v>-1904467</v>
          </cell>
          <cell r="AY321">
            <v>-1523573</v>
          </cell>
          <cell r="AZ321">
            <v>-342806</v>
          </cell>
          <cell r="BA321">
            <v>-38089</v>
          </cell>
          <cell r="BB321">
            <v>-3808935</v>
          </cell>
          <cell r="BC321">
            <v>57183490</v>
          </cell>
          <cell r="BD321">
            <v>-2744170</v>
          </cell>
          <cell r="BE321">
            <v>1529446</v>
          </cell>
          <cell r="BF321">
            <v>0</v>
          </cell>
          <cell r="BG321">
            <v>-3623328</v>
          </cell>
          <cell r="BH321">
            <v>-44917</v>
          </cell>
          <cell r="BI321">
            <v>-11680</v>
          </cell>
          <cell r="BJ321">
            <v>0</v>
          </cell>
          <cell r="BK321">
            <v>-1393833</v>
          </cell>
          <cell r="BL321">
            <v>-66150</v>
          </cell>
          <cell r="BM321">
            <v>-188052</v>
          </cell>
          <cell r="BN321">
            <v>-4120</v>
          </cell>
          <cell r="BO321">
            <v>-6156</v>
          </cell>
          <cell r="BP321">
            <v>-6840</v>
          </cell>
          <cell r="BQ321">
            <v>0</v>
          </cell>
          <cell r="BR321">
            <v>0</v>
          </cell>
          <cell r="BS321">
            <v>0</v>
          </cell>
          <cell r="BT321">
            <v>55548343</v>
          </cell>
          <cell r="BU321">
            <v>-577231</v>
          </cell>
          <cell r="BV321">
            <v>1957722</v>
          </cell>
          <cell r="BW321">
            <v>-1054366</v>
          </cell>
          <cell r="BX321">
            <v>884838</v>
          </cell>
          <cell r="BY321">
            <v>1489006</v>
          </cell>
          <cell r="BZ321">
            <v>58276011</v>
          </cell>
          <cell r="CA321">
            <v>442419</v>
          </cell>
          <cell r="CB321">
            <v>353936</v>
          </cell>
          <cell r="CC321">
            <v>79635</v>
          </cell>
          <cell r="CD321">
            <v>8848</v>
          </cell>
          <cell r="CE321">
            <v>744503</v>
          </cell>
          <cell r="CF321">
            <v>595602</v>
          </cell>
          <cell r="CG321">
            <v>134011</v>
          </cell>
          <cell r="CH321">
            <v>14890</v>
          </cell>
        </row>
        <row r="322">
          <cell r="A322">
            <v>315</v>
          </cell>
          <cell r="B322" t="str">
            <v>Windsor and Maidenhead</v>
          </cell>
          <cell r="C322" t="str">
            <v>E0305</v>
          </cell>
          <cell r="D322">
            <v>249199</v>
          </cell>
          <cell r="H322">
            <v>4761580</v>
          </cell>
          <cell r="I322">
            <v>0</v>
          </cell>
          <cell r="J322">
            <v>249199</v>
          </cell>
          <cell r="K322">
            <v>0</v>
          </cell>
          <cell r="L322">
            <v>9261</v>
          </cell>
          <cell r="M322">
            <v>0</v>
          </cell>
          <cell r="N322">
            <v>0</v>
          </cell>
          <cell r="O322">
            <v>0</v>
          </cell>
          <cell r="P322">
            <v>0</v>
          </cell>
          <cell r="Q322">
            <v>0</v>
          </cell>
          <cell r="R322">
            <v>684248</v>
          </cell>
          <cell r="S322">
            <v>0</v>
          </cell>
          <cell r="T322">
            <v>13964</v>
          </cell>
          <cell r="U322">
            <v>0</v>
          </cell>
          <cell r="V322">
            <v>0</v>
          </cell>
          <cell r="W322">
            <v>0</v>
          </cell>
          <cell r="X322">
            <v>0</v>
          </cell>
          <cell r="Y322">
            <v>0</v>
          </cell>
          <cell r="Z322">
            <v>0</v>
          </cell>
          <cell r="AA322">
            <v>9017</v>
          </cell>
          <cell r="AB322">
            <v>0</v>
          </cell>
          <cell r="AC322">
            <v>184</v>
          </cell>
          <cell r="AD322">
            <v>0</v>
          </cell>
          <cell r="AE322">
            <v>0</v>
          </cell>
          <cell r="AF322">
            <v>0</v>
          </cell>
          <cell r="AG322">
            <v>0</v>
          </cell>
          <cell r="AH322">
            <v>0</v>
          </cell>
          <cell r="AI322">
            <v>0</v>
          </cell>
          <cell r="AM322">
            <v>0</v>
          </cell>
          <cell r="AN322">
            <v>0</v>
          </cell>
          <cell r="AO322">
            <v>0</v>
          </cell>
          <cell r="AP322">
            <v>680999</v>
          </cell>
          <cell r="AQ322">
            <v>0</v>
          </cell>
          <cell r="AR322">
            <v>13895</v>
          </cell>
          <cell r="AS322">
            <v>-514254.1</v>
          </cell>
          <cell r="AT322">
            <v>-503969</v>
          </cell>
          <cell r="AU322">
            <v>0</v>
          </cell>
          <cell r="AV322">
            <v>-10286</v>
          </cell>
          <cell r="AW322">
            <v>-1028509.1000000001</v>
          </cell>
          <cell r="AX322">
            <v>-1956108</v>
          </cell>
          <cell r="AY322">
            <v>-1916986</v>
          </cell>
          <cell r="AZ322">
            <v>0</v>
          </cell>
          <cell r="BA322">
            <v>-39121</v>
          </cell>
          <cell r="BB322">
            <v>-3912215</v>
          </cell>
          <cell r="BC322">
            <v>80609864</v>
          </cell>
          <cell r="BD322">
            <v>-1967722</v>
          </cell>
          <cell r="BE322">
            <v>2252145</v>
          </cell>
          <cell r="BF322">
            <v>0</v>
          </cell>
          <cell r="BG322">
            <v>-6402224</v>
          </cell>
          <cell r="BH322">
            <v>0</v>
          </cell>
          <cell r="BI322">
            <v>-6188</v>
          </cell>
          <cell r="BJ322">
            <v>-64274</v>
          </cell>
          <cell r="BK322">
            <v>-4136756</v>
          </cell>
          <cell r="BL322">
            <v>-386003</v>
          </cell>
          <cell r="BM322">
            <v>-132055</v>
          </cell>
          <cell r="BN322">
            <v>0</v>
          </cell>
          <cell r="BO322">
            <v>0</v>
          </cell>
          <cell r="BP322">
            <v>-32126</v>
          </cell>
          <cell r="BQ322">
            <v>-93164</v>
          </cell>
          <cell r="BR322">
            <v>0</v>
          </cell>
          <cell r="BS322">
            <v>0</v>
          </cell>
          <cell r="BT322">
            <v>81393858</v>
          </cell>
          <cell r="BU322">
            <v>0</v>
          </cell>
          <cell r="BV322">
            <v>3356295</v>
          </cell>
          <cell r="BW322">
            <v>-1292358</v>
          </cell>
          <cell r="BX322">
            <v>-5091185</v>
          </cell>
          <cell r="BY322">
            <v>-2043554</v>
          </cell>
          <cell r="BZ322">
            <v>92501622</v>
          </cell>
          <cell r="CA322">
            <v>-2545593</v>
          </cell>
          <cell r="CB322">
            <v>-2494680</v>
          </cell>
          <cell r="CC322">
            <v>0</v>
          </cell>
          <cell r="CD322">
            <v>-50912</v>
          </cell>
          <cell r="CE322">
            <v>-1021777</v>
          </cell>
          <cell r="CF322">
            <v>-1001341</v>
          </cell>
          <cell r="CG322">
            <v>0</v>
          </cell>
          <cell r="CH322">
            <v>-20436</v>
          </cell>
        </row>
        <row r="323">
          <cell r="A323">
            <v>316</v>
          </cell>
          <cell r="B323" t="str">
            <v>Wirral</v>
          </cell>
          <cell r="C323" t="str">
            <v>E4305</v>
          </cell>
          <cell r="D323">
            <v>334347</v>
          </cell>
          <cell r="H323">
            <v>-1413821</v>
          </cell>
          <cell r="I323">
            <v>-29571</v>
          </cell>
          <cell r="J323">
            <v>334347</v>
          </cell>
          <cell r="K323">
            <v>228652</v>
          </cell>
          <cell r="L323">
            <v>0</v>
          </cell>
          <cell r="M323">
            <v>0</v>
          </cell>
          <cell r="N323">
            <v>0</v>
          </cell>
          <cell r="O323">
            <v>0</v>
          </cell>
          <cell r="P323">
            <v>0</v>
          </cell>
          <cell r="Q323">
            <v>0</v>
          </cell>
          <cell r="R323">
            <v>4598117</v>
          </cell>
          <cell r="S323">
            <v>0</v>
          </cell>
          <cell r="T323">
            <v>46324</v>
          </cell>
          <cell r="U323">
            <v>17978</v>
          </cell>
          <cell r="V323">
            <v>0</v>
          </cell>
          <cell r="W323">
            <v>182</v>
          </cell>
          <cell r="X323">
            <v>0</v>
          </cell>
          <cell r="Y323">
            <v>0</v>
          </cell>
          <cell r="Z323">
            <v>0</v>
          </cell>
          <cell r="AA323">
            <v>9224</v>
          </cell>
          <cell r="AB323">
            <v>0</v>
          </cell>
          <cell r="AC323">
            <v>93</v>
          </cell>
          <cell r="AD323">
            <v>0</v>
          </cell>
          <cell r="AE323">
            <v>0</v>
          </cell>
          <cell r="AF323">
            <v>0</v>
          </cell>
          <cell r="AG323">
            <v>0</v>
          </cell>
          <cell r="AH323">
            <v>0</v>
          </cell>
          <cell r="AI323">
            <v>0</v>
          </cell>
          <cell r="AM323">
            <v>0</v>
          </cell>
          <cell r="AN323">
            <v>0</v>
          </cell>
          <cell r="AO323">
            <v>0</v>
          </cell>
          <cell r="AP323">
            <v>1023267</v>
          </cell>
          <cell r="AQ323">
            <v>0</v>
          </cell>
          <cell r="AR323">
            <v>10301</v>
          </cell>
          <cell r="AS323">
            <v>-1616270</v>
          </cell>
          <cell r="AT323">
            <v>-1583946</v>
          </cell>
          <cell r="AU323">
            <v>0</v>
          </cell>
          <cell r="AV323">
            <v>-32324</v>
          </cell>
          <cell r="AW323">
            <v>-3232540</v>
          </cell>
          <cell r="AX323">
            <v>-6251873</v>
          </cell>
          <cell r="AY323">
            <v>-6126835</v>
          </cell>
          <cell r="AZ323">
            <v>0</v>
          </cell>
          <cell r="BA323">
            <v>-125037</v>
          </cell>
          <cell r="BB323">
            <v>-12503745</v>
          </cell>
          <cell r="BC323">
            <v>71720223</v>
          </cell>
          <cell r="BD323">
            <v>-6655074</v>
          </cell>
          <cell r="BE323">
            <v>1995376</v>
          </cell>
          <cell r="BF323">
            <v>0</v>
          </cell>
          <cell r="BG323">
            <v>-5055610</v>
          </cell>
          <cell r="BH323">
            <v>-29721</v>
          </cell>
          <cell r="BI323">
            <v>0</v>
          </cell>
          <cell r="BJ323">
            <v>-81434</v>
          </cell>
          <cell r="BK323">
            <v>-3710356</v>
          </cell>
          <cell r="BL323">
            <v>-578666</v>
          </cell>
          <cell r="BM323">
            <v>-99647</v>
          </cell>
          <cell r="BN323">
            <v>-7430</v>
          </cell>
          <cell r="BO323">
            <v>0</v>
          </cell>
          <cell r="BP323">
            <v>0</v>
          </cell>
          <cell r="BQ323">
            <v>-78015</v>
          </cell>
          <cell r="BR323">
            <v>-134162</v>
          </cell>
          <cell r="BS323">
            <v>0</v>
          </cell>
          <cell r="BT323">
            <v>80535314</v>
          </cell>
          <cell r="BU323">
            <v>-1774166</v>
          </cell>
          <cell r="BV323">
            <v>4925494</v>
          </cell>
          <cell r="BW323">
            <v>-1441230</v>
          </cell>
          <cell r="BX323">
            <v>1452539</v>
          </cell>
          <cell r="BY323">
            <v>1473864</v>
          </cell>
          <cell r="BZ323">
            <v>68577464</v>
          </cell>
          <cell r="CA323">
            <v>726270</v>
          </cell>
          <cell r="CB323">
            <v>711744</v>
          </cell>
          <cell r="CC323">
            <v>0</v>
          </cell>
          <cell r="CD323">
            <v>14525</v>
          </cell>
          <cell r="CE323">
            <v>736932</v>
          </cell>
          <cell r="CF323">
            <v>722193</v>
          </cell>
          <cell r="CG323">
            <v>0</v>
          </cell>
          <cell r="CH323">
            <v>14739</v>
          </cell>
        </row>
        <row r="324">
          <cell r="A324">
            <v>317</v>
          </cell>
          <cell r="B324" t="str">
            <v>Woking</v>
          </cell>
          <cell r="C324" t="str">
            <v>E3641</v>
          </cell>
          <cell r="D324">
            <v>134878</v>
          </cell>
          <cell r="H324">
            <v>-700535</v>
          </cell>
          <cell r="I324">
            <v>0</v>
          </cell>
          <cell r="J324">
            <v>134878</v>
          </cell>
          <cell r="K324">
            <v>0</v>
          </cell>
          <cell r="L324">
            <v>0</v>
          </cell>
          <cell r="M324">
            <v>0</v>
          </cell>
          <cell r="N324">
            <v>0</v>
          </cell>
          <cell r="O324">
            <v>0</v>
          </cell>
          <cell r="P324">
            <v>0</v>
          </cell>
          <cell r="Q324">
            <v>0</v>
          </cell>
          <cell r="R324">
            <v>339755</v>
          </cell>
          <cell r="S324">
            <v>84939</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M324">
            <v>0</v>
          </cell>
          <cell r="AN324">
            <v>0</v>
          </cell>
          <cell r="AO324">
            <v>0</v>
          </cell>
          <cell r="AP324">
            <v>282548</v>
          </cell>
          <cell r="AQ324">
            <v>70637</v>
          </cell>
          <cell r="AR324">
            <v>0</v>
          </cell>
          <cell r="AS324">
            <v>-502000</v>
          </cell>
          <cell r="AT324">
            <v>-401600</v>
          </cell>
          <cell r="AU324">
            <v>-100400</v>
          </cell>
          <cell r="AV324">
            <v>0</v>
          </cell>
          <cell r="AW324">
            <v>-1004000</v>
          </cell>
          <cell r="AX324">
            <v>-1779660</v>
          </cell>
          <cell r="AY324">
            <v>-1423729</v>
          </cell>
          <cell r="AZ324">
            <v>-355933</v>
          </cell>
          <cell r="BA324">
            <v>0</v>
          </cell>
          <cell r="BB324">
            <v>-3559322</v>
          </cell>
          <cell r="BC324">
            <v>49872479</v>
          </cell>
          <cell r="BD324">
            <v>-1138160</v>
          </cell>
          <cell r="BE324">
            <v>1323383</v>
          </cell>
          <cell r="BF324">
            <v>0</v>
          </cell>
          <cell r="BG324">
            <v>-2774188</v>
          </cell>
          <cell r="BH324">
            <v>0</v>
          </cell>
          <cell r="BI324">
            <v>-721</v>
          </cell>
          <cell r="BJ324">
            <v>-9521</v>
          </cell>
          <cell r="BK324">
            <v>-1926396</v>
          </cell>
          <cell r="BL324">
            <v>-322244</v>
          </cell>
          <cell r="BM324">
            <v>-86322</v>
          </cell>
          <cell r="BN324">
            <v>0</v>
          </cell>
          <cell r="BO324">
            <v>0</v>
          </cell>
          <cell r="BP324">
            <v>0</v>
          </cell>
          <cell r="BQ324">
            <v>-61613</v>
          </cell>
          <cell r="BR324">
            <v>0</v>
          </cell>
          <cell r="BS324">
            <v>0</v>
          </cell>
          <cell r="BT324">
            <v>47656028</v>
          </cell>
          <cell r="BU324">
            <v>0</v>
          </cell>
          <cell r="BV324">
            <v>2408223</v>
          </cell>
          <cell r="BW324">
            <v>-993815</v>
          </cell>
          <cell r="BX324">
            <v>4865914</v>
          </cell>
          <cell r="BY324">
            <v>4590780</v>
          </cell>
          <cell r="BZ324">
            <v>47024067</v>
          </cell>
          <cell r="CA324">
            <v>2432956</v>
          </cell>
          <cell r="CB324">
            <v>1946366</v>
          </cell>
          <cell r="CC324">
            <v>486592</v>
          </cell>
          <cell r="CD324">
            <v>0</v>
          </cell>
          <cell r="CE324">
            <v>2295390</v>
          </cell>
          <cell r="CF324">
            <v>1836312</v>
          </cell>
          <cell r="CG324">
            <v>459078</v>
          </cell>
          <cell r="CH324">
            <v>0</v>
          </cell>
        </row>
        <row r="325">
          <cell r="A325">
            <v>318</v>
          </cell>
          <cell r="B325" t="str">
            <v>Wokingham</v>
          </cell>
          <cell r="C325" t="str">
            <v>E0306</v>
          </cell>
          <cell r="D325">
            <v>190537</v>
          </cell>
          <cell r="H325">
            <v>5244154</v>
          </cell>
          <cell r="I325">
            <v>0</v>
          </cell>
          <cell r="J325">
            <v>190537</v>
          </cell>
          <cell r="K325">
            <v>0</v>
          </cell>
          <cell r="L325">
            <v>17772</v>
          </cell>
          <cell r="M325">
            <v>0</v>
          </cell>
          <cell r="N325">
            <v>0</v>
          </cell>
          <cell r="O325">
            <v>0</v>
          </cell>
          <cell r="P325">
            <v>0</v>
          </cell>
          <cell r="Q325">
            <v>0</v>
          </cell>
          <cell r="R325">
            <v>642841</v>
          </cell>
          <cell r="S325">
            <v>0</v>
          </cell>
          <cell r="T325">
            <v>13119</v>
          </cell>
          <cell r="U325">
            <v>249</v>
          </cell>
          <cell r="V325">
            <v>0</v>
          </cell>
          <cell r="W325">
            <v>5</v>
          </cell>
          <cell r="X325">
            <v>56199</v>
          </cell>
          <cell r="Y325">
            <v>0</v>
          </cell>
          <cell r="Z325">
            <v>1147</v>
          </cell>
          <cell r="AA325">
            <v>1785</v>
          </cell>
          <cell r="AB325">
            <v>0</v>
          </cell>
          <cell r="AC325">
            <v>36</v>
          </cell>
          <cell r="AD325">
            <v>0</v>
          </cell>
          <cell r="AE325">
            <v>0</v>
          </cell>
          <cell r="AF325">
            <v>0</v>
          </cell>
          <cell r="AG325">
            <v>0</v>
          </cell>
          <cell r="AH325">
            <v>0</v>
          </cell>
          <cell r="AI325">
            <v>0</v>
          </cell>
          <cell r="AM325">
            <v>0</v>
          </cell>
          <cell r="AN325">
            <v>0</v>
          </cell>
          <cell r="AO325">
            <v>0</v>
          </cell>
          <cell r="AP325">
            <v>451495</v>
          </cell>
          <cell r="AQ325">
            <v>0</v>
          </cell>
          <cell r="AR325">
            <v>9209</v>
          </cell>
          <cell r="AS325">
            <v>-448029</v>
          </cell>
          <cell r="AT325">
            <v>-439070</v>
          </cell>
          <cell r="AU325">
            <v>0</v>
          </cell>
          <cell r="AV325">
            <v>-8961</v>
          </cell>
          <cell r="AW325">
            <v>-896060</v>
          </cell>
          <cell r="AX325">
            <v>-2428686</v>
          </cell>
          <cell r="AY325">
            <v>-2380112</v>
          </cell>
          <cell r="AZ325">
            <v>0</v>
          </cell>
          <cell r="BA325">
            <v>-48574</v>
          </cell>
          <cell r="BB325">
            <v>-4857372</v>
          </cell>
          <cell r="BC325">
            <v>55073329</v>
          </cell>
          <cell r="BD325">
            <v>-2007000</v>
          </cell>
          <cell r="BE325">
            <v>1654848</v>
          </cell>
          <cell r="BF325">
            <v>0</v>
          </cell>
          <cell r="BG325">
            <v>-5141371</v>
          </cell>
          <cell r="BH325">
            <v>-65365</v>
          </cell>
          <cell r="BI325">
            <v>-4964</v>
          </cell>
          <cell r="BJ325">
            <v>-204395</v>
          </cell>
          <cell r="BK325">
            <v>-3143055</v>
          </cell>
          <cell r="BL325">
            <v>-7044</v>
          </cell>
          <cell r="BM325">
            <v>-46226</v>
          </cell>
          <cell r="BN325">
            <v>-452</v>
          </cell>
          <cell r="BO325">
            <v>-845</v>
          </cell>
          <cell r="BP325">
            <v>0</v>
          </cell>
          <cell r="BQ325">
            <v>-6036</v>
          </cell>
          <cell r="BR325">
            <v>0</v>
          </cell>
          <cell r="BS325">
            <v>0</v>
          </cell>
          <cell r="BT325">
            <v>59165666</v>
          </cell>
          <cell r="BU325">
            <v>-200307</v>
          </cell>
          <cell r="BV325">
            <v>2348491</v>
          </cell>
          <cell r="BW325">
            <v>-2133143</v>
          </cell>
          <cell r="BX325">
            <v>3812940</v>
          </cell>
          <cell r="BY325">
            <v>1125542</v>
          </cell>
          <cell r="BZ325">
            <v>61303866</v>
          </cell>
          <cell r="CA325">
            <v>1906470</v>
          </cell>
          <cell r="CB325">
            <v>1868341</v>
          </cell>
          <cell r="CC325">
            <v>0</v>
          </cell>
          <cell r="CD325">
            <v>38129</v>
          </cell>
          <cell r="CE325">
            <v>562771</v>
          </cell>
          <cell r="CF325">
            <v>551516</v>
          </cell>
          <cell r="CG325">
            <v>0</v>
          </cell>
          <cell r="CH325">
            <v>11255</v>
          </cell>
        </row>
        <row r="326">
          <cell r="A326">
            <v>319</v>
          </cell>
          <cell r="B326" t="str">
            <v>Wolverhampton</v>
          </cell>
          <cell r="C326" t="str">
            <v>E4607</v>
          </cell>
          <cell r="D326">
            <v>337306</v>
          </cell>
          <cell r="H326">
            <v>-1176463</v>
          </cell>
          <cell r="I326">
            <v>0</v>
          </cell>
          <cell r="J326">
            <v>337306</v>
          </cell>
          <cell r="K326">
            <v>59532</v>
          </cell>
          <cell r="L326">
            <v>0</v>
          </cell>
          <cell r="M326">
            <v>0</v>
          </cell>
          <cell r="N326">
            <v>0</v>
          </cell>
          <cell r="O326">
            <v>0</v>
          </cell>
          <cell r="P326">
            <v>0</v>
          </cell>
          <cell r="Q326">
            <v>0</v>
          </cell>
          <cell r="R326">
            <v>3694422</v>
          </cell>
          <cell r="S326">
            <v>0</v>
          </cell>
          <cell r="T326">
            <v>37317</v>
          </cell>
          <cell r="U326">
            <v>13683</v>
          </cell>
          <cell r="V326">
            <v>0</v>
          </cell>
          <cell r="W326">
            <v>138</v>
          </cell>
          <cell r="X326">
            <v>0</v>
          </cell>
          <cell r="Y326">
            <v>0</v>
          </cell>
          <cell r="Z326">
            <v>0</v>
          </cell>
          <cell r="AA326">
            <v>42424</v>
          </cell>
          <cell r="AB326">
            <v>0</v>
          </cell>
          <cell r="AC326">
            <v>429</v>
          </cell>
          <cell r="AD326">
            <v>0</v>
          </cell>
          <cell r="AE326">
            <v>0</v>
          </cell>
          <cell r="AF326">
            <v>0</v>
          </cell>
          <cell r="AG326">
            <v>0</v>
          </cell>
          <cell r="AH326">
            <v>0</v>
          </cell>
          <cell r="AI326">
            <v>0</v>
          </cell>
          <cell r="AM326">
            <v>0</v>
          </cell>
          <cell r="AN326">
            <v>0</v>
          </cell>
          <cell r="AO326">
            <v>0</v>
          </cell>
          <cell r="AP326">
            <v>1059299</v>
          </cell>
          <cell r="AQ326">
            <v>0</v>
          </cell>
          <cell r="AR326">
            <v>10691</v>
          </cell>
          <cell r="AS326">
            <v>-2844728</v>
          </cell>
          <cell r="AT326">
            <v>-2787833</v>
          </cell>
          <cell r="AU326">
            <v>0</v>
          </cell>
          <cell r="AV326">
            <v>-56894</v>
          </cell>
          <cell r="AW326">
            <v>-5689455</v>
          </cell>
          <cell r="AX326">
            <v>-6308691</v>
          </cell>
          <cell r="AY326">
            <v>-6182517</v>
          </cell>
          <cell r="AZ326">
            <v>0</v>
          </cell>
          <cell r="BA326">
            <v>-126174</v>
          </cell>
          <cell r="BB326">
            <v>-12617382</v>
          </cell>
          <cell r="BC326">
            <v>69518410</v>
          </cell>
          <cell r="BD326">
            <v>-5861815</v>
          </cell>
          <cell r="BE326">
            <v>2057360</v>
          </cell>
          <cell r="BF326">
            <v>0</v>
          </cell>
          <cell r="BG326">
            <v>-5465987</v>
          </cell>
          <cell r="BH326">
            <v>-12017</v>
          </cell>
          <cell r="BI326">
            <v>0</v>
          </cell>
          <cell r="BJ326">
            <v>0</v>
          </cell>
          <cell r="BK326">
            <v>-3335121</v>
          </cell>
          <cell r="BL326">
            <v>-259065</v>
          </cell>
          <cell r="BM326">
            <v>-375034</v>
          </cell>
          <cell r="BN326">
            <v>-1600</v>
          </cell>
          <cell r="BO326">
            <v>0</v>
          </cell>
          <cell r="BP326">
            <v>0</v>
          </cell>
          <cell r="BQ326">
            <v>0</v>
          </cell>
          <cell r="BR326">
            <v>0</v>
          </cell>
          <cell r="BS326">
            <v>0</v>
          </cell>
          <cell r="BT326">
            <v>75259780</v>
          </cell>
          <cell r="BU326">
            <v>-1808399</v>
          </cell>
          <cell r="BV326">
            <v>7482855.7000000002</v>
          </cell>
          <cell r="BW326">
            <v>-1384240.55</v>
          </cell>
          <cell r="BX326">
            <v>-11963455.699999999</v>
          </cell>
          <cell r="BY326">
            <v>-8643897</v>
          </cell>
          <cell r="BZ326">
            <v>71171210</v>
          </cell>
          <cell r="CA326">
            <v>-5981728.6999999993</v>
          </cell>
          <cell r="CB326">
            <v>-5862093</v>
          </cell>
          <cell r="CC326">
            <v>0</v>
          </cell>
          <cell r="CD326">
            <v>-119634</v>
          </cell>
          <cell r="CE326">
            <v>-4321948</v>
          </cell>
          <cell r="CF326">
            <v>-4235510</v>
          </cell>
          <cell r="CG326">
            <v>0</v>
          </cell>
          <cell r="CH326">
            <v>-86439</v>
          </cell>
        </row>
        <row r="327">
          <cell r="A327">
            <v>320</v>
          </cell>
          <cell r="B327" t="str">
            <v>Worcester</v>
          </cell>
          <cell r="C327" t="str">
            <v>E1837</v>
          </cell>
          <cell r="D327">
            <v>133156</v>
          </cell>
          <cell r="H327">
            <v>-1606560</v>
          </cell>
          <cell r="I327">
            <v>0</v>
          </cell>
          <cell r="J327">
            <v>133156</v>
          </cell>
          <cell r="K327">
            <v>0</v>
          </cell>
          <cell r="L327">
            <v>0</v>
          </cell>
          <cell r="M327">
            <v>0</v>
          </cell>
          <cell r="N327">
            <v>0</v>
          </cell>
          <cell r="O327">
            <v>0</v>
          </cell>
          <cell r="P327">
            <v>0</v>
          </cell>
          <cell r="Q327">
            <v>0</v>
          </cell>
          <cell r="R327">
            <v>511407</v>
          </cell>
          <cell r="S327">
            <v>115066</v>
          </cell>
          <cell r="T327">
            <v>12785</v>
          </cell>
          <cell r="U327">
            <v>2480</v>
          </cell>
          <cell r="V327">
            <v>558</v>
          </cell>
          <cell r="W327">
            <v>62</v>
          </cell>
          <cell r="X327">
            <v>0</v>
          </cell>
          <cell r="Y327">
            <v>0</v>
          </cell>
          <cell r="Z327">
            <v>0</v>
          </cell>
          <cell r="AA327">
            <v>4779</v>
          </cell>
          <cell r="AB327">
            <v>1075</v>
          </cell>
          <cell r="AC327">
            <v>119</v>
          </cell>
          <cell r="AD327">
            <v>0</v>
          </cell>
          <cell r="AE327">
            <v>0</v>
          </cell>
          <cell r="AF327">
            <v>0</v>
          </cell>
          <cell r="AG327">
            <v>0</v>
          </cell>
          <cell r="AH327">
            <v>0</v>
          </cell>
          <cell r="AI327">
            <v>0</v>
          </cell>
          <cell r="AM327">
            <v>0</v>
          </cell>
          <cell r="AN327">
            <v>0</v>
          </cell>
          <cell r="AO327">
            <v>0</v>
          </cell>
          <cell r="AP327">
            <v>230043</v>
          </cell>
          <cell r="AQ327">
            <v>51760</v>
          </cell>
          <cell r="AR327">
            <v>5751</v>
          </cell>
          <cell r="AS327">
            <v>-147384</v>
          </cell>
          <cell r="AT327">
            <v>-117907</v>
          </cell>
          <cell r="AU327">
            <v>-26529</v>
          </cell>
          <cell r="AV327">
            <v>-2948</v>
          </cell>
          <cell r="AW327">
            <v>-294768</v>
          </cell>
          <cell r="AX327">
            <v>-1861330</v>
          </cell>
          <cell r="AY327">
            <v>-1489063</v>
          </cell>
          <cell r="AZ327">
            <v>-335039</v>
          </cell>
          <cell r="BA327">
            <v>-37226</v>
          </cell>
          <cell r="BB327">
            <v>-3722658</v>
          </cell>
          <cell r="BC327">
            <v>41599098</v>
          </cell>
          <cell r="BD327">
            <v>-1927867</v>
          </cell>
          <cell r="BE327">
            <v>1165952</v>
          </cell>
          <cell r="BF327">
            <v>0</v>
          </cell>
          <cell r="BG327">
            <v>-3887787</v>
          </cell>
          <cell r="BH327">
            <v>-18190</v>
          </cell>
          <cell r="BI327">
            <v>0</v>
          </cell>
          <cell r="BJ327">
            <v>-2662</v>
          </cell>
          <cell r="BK327">
            <v>-1783605</v>
          </cell>
          <cell r="BL327">
            <v>-191929</v>
          </cell>
          <cell r="BM327">
            <v>-20060</v>
          </cell>
          <cell r="BN327">
            <v>-4548</v>
          </cell>
          <cell r="BO327">
            <v>0</v>
          </cell>
          <cell r="BP327">
            <v>0</v>
          </cell>
          <cell r="BQ327">
            <v>0</v>
          </cell>
          <cell r="BR327">
            <v>0</v>
          </cell>
          <cell r="BS327">
            <v>0</v>
          </cell>
          <cell r="BT327">
            <v>42367813</v>
          </cell>
          <cell r="BU327">
            <v>-188892</v>
          </cell>
          <cell r="BV327">
            <v>463934</v>
          </cell>
          <cell r="BW327">
            <v>-501363</v>
          </cell>
          <cell r="BX327">
            <v>223492</v>
          </cell>
          <cell r="BY327">
            <v>839734</v>
          </cell>
          <cell r="BZ327">
            <v>38285729</v>
          </cell>
          <cell r="CA327">
            <v>111746</v>
          </cell>
          <cell r="CB327">
            <v>89397</v>
          </cell>
          <cell r="CC327">
            <v>20114</v>
          </cell>
          <cell r="CD327">
            <v>2235</v>
          </cell>
          <cell r="CE327">
            <v>419867</v>
          </cell>
          <cell r="CF327">
            <v>335894</v>
          </cell>
          <cell r="CG327">
            <v>75576</v>
          </cell>
          <cell r="CH327">
            <v>8397</v>
          </cell>
        </row>
        <row r="328">
          <cell r="A328">
            <v>321</v>
          </cell>
          <cell r="B328" t="str">
            <v>Worthing</v>
          </cell>
          <cell r="C328" t="str">
            <v>E3837</v>
          </cell>
          <cell r="D328">
            <v>128590</v>
          </cell>
          <cell r="H328">
            <v>-439244</v>
          </cell>
          <cell r="I328">
            <v>0</v>
          </cell>
          <cell r="J328">
            <v>128590</v>
          </cell>
          <cell r="K328">
            <v>0</v>
          </cell>
          <cell r="L328">
            <v>0</v>
          </cell>
          <cell r="M328">
            <v>0</v>
          </cell>
          <cell r="N328">
            <v>0</v>
          </cell>
          <cell r="O328">
            <v>0</v>
          </cell>
          <cell r="P328">
            <v>0</v>
          </cell>
          <cell r="Q328">
            <v>0</v>
          </cell>
          <cell r="R328">
            <v>592840</v>
          </cell>
          <cell r="S328">
            <v>148210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M328">
            <v>0</v>
          </cell>
          <cell r="AN328">
            <v>0</v>
          </cell>
          <cell r="AO328">
            <v>0</v>
          </cell>
          <cell r="AP328">
            <v>187488</v>
          </cell>
          <cell r="AQ328">
            <v>46872</v>
          </cell>
          <cell r="AR328">
            <v>0</v>
          </cell>
          <cell r="AS328">
            <v>-647127</v>
          </cell>
          <cell r="AT328">
            <v>-517702</v>
          </cell>
          <cell r="AU328">
            <v>-129425</v>
          </cell>
          <cell r="AV328">
            <v>0</v>
          </cell>
          <cell r="AW328">
            <v>-1294254</v>
          </cell>
          <cell r="AX328">
            <v>-1132818</v>
          </cell>
          <cell r="AY328">
            <v>-906254</v>
          </cell>
          <cell r="AZ328">
            <v>-226563</v>
          </cell>
          <cell r="BA328">
            <v>0</v>
          </cell>
          <cell r="BB328">
            <v>-2265635</v>
          </cell>
          <cell r="BC328">
            <v>32497960</v>
          </cell>
          <cell r="BD328">
            <v>-2209407</v>
          </cell>
          <cell r="BE328">
            <v>865618</v>
          </cell>
          <cell r="BF328">
            <v>0</v>
          </cell>
          <cell r="BG328">
            <v>-2550296</v>
          </cell>
          <cell r="BH328">
            <v>-40118</v>
          </cell>
          <cell r="BI328">
            <v>0</v>
          </cell>
          <cell r="BJ328">
            <v>0</v>
          </cell>
          <cell r="BK328">
            <v>-885086</v>
          </cell>
          <cell r="BL328">
            <v>-186704</v>
          </cell>
          <cell r="BM328">
            <v>-4234</v>
          </cell>
          <cell r="BN328">
            <v>0</v>
          </cell>
          <cell r="BO328">
            <v>0</v>
          </cell>
          <cell r="BP328">
            <v>0</v>
          </cell>
          <cell r="BQ328">
            <v>0</v>
          </cell>
          <cell r="BR328">
            <v>0</v>
          </cell>
          <cell r="BS328">
            <v>0</v>
          </cell>
          <cell r="BT328">
            <v>32648044</v>
          </cell>
          <cell r="BU328">
            <v>-165751</v>
          </cell>
          <cell r="BV328">
            <v>654495</v>
          </cell>
          <cell r="BW328">
            <v>-618284</v>
          </cell>
          <cell r="BX328">
            <v>-37400</v>
          </cell>
          <cell r="BY328">
            <v>65026</v>
          </cell>
          <cell r="BZ328">
            <v>31203375</v>
          </cell>
          <cell r="CA328">
            <v>-18699</v>
          </cell>
          <cell r="CB328">
            <v>-14960</v>
          </cell>
          <cell r="CC328">
            <v>-3741</v>
          </cell>
          <cell r="CD328">
            <v>0</v>
          </cell>
          <cell r="CE328">
            <v>32513</v>
          </cell>
          <cell r="CF328">
            <v>26010</v>
          </cell>
          <cell r="CG328">
            <v>6503</v>
          </cell>
          <cell r="CH328">
            <v>0</v>
          </cell>
        </row>
        <row r="329">
          <cell r="A329">
            <v>322</v>
          </cell>
          <cell r="B329" t="str">
            <v>Wychavon</v>
          </cell>
          <cell r="C329" t="str">
            <v>E1838</v>
          </cell>
          <cell r="D329">
            <v>185069</v>
          </cell>
          <cell r="H329">
            <v>-378048</v>
          </cell>
          <cell r="I329">
            <v>0</v>
          </cell>
          <cell r="J329">
            <v>185069</v>
          </cell>
          <cell r="K329">
            <v>0</v>
          </cell>
          <cell r="L329">
            <v>204803</v>
          </cell>
          <cell r="M329">
            <v>0</v>
          </cell>
          <cell r="N329">
            <v>0</v>
          </cell>
          <cell r="O329">
            <v>0</v>
          </cell>
          <cell r="P329">
            <v>0</v>
          </cell>
          <cell r="Q329">
            <v>0</v>
          </cell>
          <cell r="R329">
            <v>839569</v>
          </cell>
          <cell r="S329">
            <v>188903</v>
          </cell>
          <cell r="T329">
            <v>20989</v>
          </cell>
          <cell r="U329">
            <v>0</v>
          </cell>
          <cell r="V329">
            <v>0</v>
          </cell>
          <cell r="W329">
            <v>0</v>
          </cell>
          <cell r="X329">
            <v>0</v>
          </cell>
          <cell r="Y329">
            <v>0</v>
          </cell>
          <cell r="Z329">
            <v>0</v>
          </cell>
          <cell r="AA329">
            <v>4303</v>
          </cell>
          <cell r="AB329">
            <v>968</v>
          </cell>
          <cell r="AC329">
            <v>108</v>
          </cell>
          <cell r="AD329">
            <v>0</v>
          </cell>
          <cell r="AE329">
            <v>0</v>
          </cell>
          <cell r="AF329">
            <v>0</v>
          </cell>
          <cell r="AG329">
            <v>0</v>
          </cell>
          <cell r="AH329">
            <v>0</v>
          </cell>
          <cell r="AI329">
            <v>0</v>
          </cell>
          <cell r="AM329">
            <v>0</v>
          </cell>
          <cell r="AN329">
            <v>0</v>
          </cell>
          <cell r="AO329">
            <v>0</v>
          </cell>
          <cell r="AP329">
            <v>235570</v>
          </cell>
          <cell r="AQ329">
            <v>52311</v>
          </cell>
          <cell r="AR329">
            <v>5812</v>
          </cell>
          <cell r="AS329">
            <v>-97500</v>
          </cell>
          <cell r="AT329">
            <v>-78000</v>
          </cell>
          <cell r="AU329">
            <v>-17550</v>
          </cell>
          <cell r="AV329">
            <v>-1950</v>
          </cell>
          <cell r="AW329">
            <v>-195000</v>
          </cell>
          <cell r="AX329">
            <v>-1412733</v>
          </cell>
          <cell r="AY329">
            <v>-1130185</v>
          </cell>
          <cell r="AZ329">
            <v>-254290</v>
          </cell>
          <cell r="BA329">
            <v>-28254</v>
          </cell>
          <cell r="BB329">
            <v>-2825462</v>
          </cell>
          <cell r="BC329">
            <v>40905376</v>
          </cell>
          <cell r="BD329">
            <v>-3355503</v>
          </cell>
          <cell r="BE329">
            <v>1078847</v>
          </cell>
          <cell r="BF329">
            <v>0</v>
          </cell>
          <cell r="BG329">
            <v>-2032789</v>
          </cell>
          <cell r="BH329">
            <v>-57318</v>
          </cell>
          <cell r="BI329">
            <v>-61661</v>
          </cell>
          <cell r="BJ329">
            <v>-94677</v>
          </cell>
          <cell r="BK329">
            <v>-1383393</v>
          </cell>
          <cell r="BL329">
            <v>-202433</v>
          </cell>
          <cell r="BM329">
            <v>-64865</v>
          </cell>
          <cell r="BN329">
            <v>-11465</v>
          </cell>
          <cell r="BO329">
            <v>-49822</v>
          </cell>
          <cell r="BP329">
            <v>-29751</v>
          </cell>
          <cell r="BQ329">
            <v>0</v>
          </cell>
          <cell r="BR329">
            <v>0</v>
          </cell>
          <cell r="BS329">
            <v>0</v>
          </cell>
          <cell r="BT329">
            <v>41668329</v>
          </cell>
          <cell r="BU329">
            <v>-162930</v>
          </cell>
          <cell r="BV329">
            <v>518958</v>
          </cell>
          <cell r="BW329">
            <v>-320751</v>
          </cell>
          <cell r="BX329">
            <v>525637</v>
          </cell>
          <cell r="BY329">
            <v>750157</v>
          </cell>
          <cell r="BZ329">
            <v>38693653</v>
          </cell>
          <cell r="CA329">
            <v>262818</v>
          </cell>
          <cell r="CB329">
            <v>210254</v>
          </cell>
          <cell r="CC329">
            <v>47308</v>
          </cell>
          <cell r="CD329">
            <v>5257</v>
          </cell>
          <cell r="CE329">
            <v>375078</v>
          </cell>
          <cell r="CF329">
            <v>300063</v>
          </cell>
          <cell r="CG329">
            <v>67514</v>
          </cell>
          <cell r="CH329">
            <v>7502</v>
          </cell>
        </row>
        <row r="330">
          <cell r="A330">
            <v>323</v>
          </cell>
          <cell r="B330" t="str">
            <v>Wycombe</v>
          </cell>
          <cell r="C330" t="str">
            <v>E0435</v>
          </cell>
          <cell r="D330">
            <v>234376</v>
          </cell>
          <cell r="H330">
            <v>580119</v>
          </cell>
          <cell r="I330">
            <v>0</v>
          </cell>
          <cell r="J330">
            <v>234376</v>
          </cell>
          <cell r="K330">
            <v>0</v>
          </cell>
          <cell r="L330">
            <v>0</v>
          </cell>
          <cell r="M330">
            <v>0</v>
          </cell>
          <cell r="N330">
            <v>0</v>
          </cell>
          <cell r="O330">
            <v>0</v>
          </cell>
          <cell r="P330">
            <v>0</v>
          </cell>
          <cell r="Q330">
            <v>0</v>
          </cell>
          <cell r="R330">
            <v>698336</v>
          </cell>
          <cell r="S330">
            <v>157125</v>
          </cell>
          <cell r="T330">
            <v>17458</v>
          </cell>
          <cell r="U330">
            <v>5148</v>
          </cell>
          <cell r="V330">
            <v>1158</v>
          </cell>
          <cell r="W330">
            <v>129</v>
          </cell>
          <cell r="X330">
            <v>0</v>
          </cell>
          <cell r="Y330">
            <v>0</v>
          </cell>
          <cell r="Z330">
            <v>0</v>
          </cell>
          <cell r="AA330">
            <v>14969</v>
          </cell>
          <cell r="AB330">
            <v>3368</v>
          </cell>
          <cell r="AC330">
            <v>374</v>
          </cell>
          <cell r="AD330">
            <v>0</v>
          </cell>
          <cell r="AE330">
            <v>0</v>
          </cell>
          <cell r="AF330">
            <v>0</v>
          </cell>
          <cell r="AG330">
            <v>0</v>
          </cell>
          <cell r="AH330">
            <v>0</v>
          </cell>
          <cell r="AI330">
            <v>0</v>
          </cell>
          <cell r="AM330">
            <v>0</v>
          </cell>
          <cell r="AN330">
            <v>0</v>
          </cell>
          <cell r="AO330">
            <v>0</v>
          </cell>
          <cell r="AP330">
            <v>416852</v>
          </cell>
          <cell r="AQ330">
            <v>93792</v>
          </cell>
          <cell r="AR330">
            <v>10421</v>
          </cell>
          <cell r="AS330">
            <v>-1156999</v>
          </cell>
          <cell r="AT330">
            <v>-925600</v>
          </cell>
          <cell r="AU330">
            <v>-208260</v>
          </cell>
          <cell r="AV330">
            <v>-23141</v>
          </cell>
          <cell r="AW330">
            <v>-2314000</v>
          </cell>
          <cell r="AX330">
            <v>-3123398</v>
          </cell>
          <cell r="AY330">
            <v>-2498719</v>
          </cell>
          <cell r="AZ330">
            <v>-562213</v>
          </cell>
          <cell r="BA330">
            <v>-62468</v>
          </cell>
          <cell r="BB330">
            <v>-6246798</v>
          </cell>
          <cell r="BC330">
            <v>72163216</v>
          </cell>
          <cell r="BD330">
            <v>-2576757</v>
          </cell>
          <cell r="BE330">
            <v>1970699</v>
          </cell>
          <cell r="BF330">
            <v>0</v>
          </cell>
          <cell r="BG330">
            <v>-4665469</v>
          </cell>
          <cell r="BH330">
            <v>-60612</v>
          </cell>
          <cell r="BI330">
            <v>-14774</v>
          </cell>
          <cell r="BJ330">
            <v>-7658</v>
          </cell>
          <cell r="BK330">
            <v>-2842230</v>
          </cell>
          <cell r="BL330">
            <v>-190888</v>
          </cell>
          <cell r="BM330">
            <v>-57031</v>
          </cell>
          <cell r="BN330">
            <v>-8068</v>
          </cell>
          <cell r="BO330">
            <v>-11232</v>
          </cell>
          <cell r="BP330">
            <v>-24399</v>
          </cell>
          <cell r="BQ330">
            <v>0</v>
          </cell>
          <cell r="BR330">
            <v>0</v>
          </cell>
          <cell r="BS330">
            <v>0</v>
          </cell>
          <cell r="BT330">
            <v>71897592</v>
          </cell>
          <cell r="BU330">
            <v>-316338</v>
          </cell>
          <cell r="BV330">
            <v>2689875</v>
          </cell>
          <cell r="BW330">
            <v>-3557087</v>
          </cell>
          <cell r="BX330">
            <v>-4549102</v>
          </cell>
          <cell r="BY330">
            <v>-3816087</v>
          </cell>
          <cell r="BZ330">
            <v>69376131</v>
          </cell>
          <cell r="CA330">
            <v>-2274551</v>
          </cell>
          <cell r="CB330">
            <v>-1819641</v>
          </cell>
          <cell r="CC330">
            <v>-409419</v>
          </cell>
          <cell r="CD330">
            <v>-45491</v>
          </cell>
          <cell r="CE330">
            <v>-1908043</v>
          </cell>
          <cell r="CF330">
            <v>-1526435</v>
          </cell>
          <cell r="CG330">
            <v>-343448</v>
          </cell>
          <cell r="CH330">
            <v>-38161</v>
          </cell>
        </row>
        <row r="331">
          <cell r="A331">
            <v>324</v>
          </cell>
          <cell r="B331" t="str">
            <v>Wyre</v>
          </cell>
          <cell r="C331" t="str">
            <v>E2344</v>
          </cell>
          <cell r="D331">
            <v>149805</v>
          </cell>
          <cell r="H331">
            <v>-1300157</v>
          </cell>
          <cell r="I331">
            <v>-174327</v>
          </cell>
          <cell r="J331">
            <v>149805</v>
          </cell>
          <cell r="K331">
            <v>0</v>
          </cell>
          <cell r="L331">
            <v>0</v>
          </cell>
          <cell r="M331">
            <v>0</v>
          </cell>
          <cell r="N331">
            <v>0</v>
          </cell>
          <cell r="O331">
            <v>0</v>
          </cell>
          <cell r="P331">
            <v>0</v>
          </cell>
          <cell r="Q331">
            <v>0</v>
          </cell>
          <cell r="R331">
            <v>802425</v>
          </cell>
          <cell r="S331">
            <v>177468</v>
          </cell>
          <cell r="T331">
            <v>19719</v>
          </cell>
          <cell r="U331">
            <v>13888</v>
          </cell>
          <cell r="V331">
            <v>2092</v>
          </cell>
          <cell r="W331">
            <v>232</v>
          </cell>
          <cell r="X331">
            <v>0</v>
          </cell>
          <cell r="Y331">
            <v>0</v>
          </cell>
          <cell r="Z331">
            <v>0</v>
          </cell>
          <cell r="AA331">
            <v>0</v>
          </cell>
          <cell r="AB331">
            <v>0</v>
          </cell>
          <cell r="AC331">
            <v>0</v>
          </cell>
          <cell r="AD331">
            <v>0</v>
          </cell>
          <cell r="AE331">
            <v>0</v>
          </cell>
          <cell r="AF331">
            <v>0</v>
          </cell>
          <cell r="AG331">
            <v>0</v>
          </cell>
          <cell r="AH331">
            <v>0</v>
          </cell>
          <cell r="AI331">
            <v>0</v>
          </cell>
          <cell r="AM331">
            <v>0</v>
          </cell>
          <cell r="AN331">
            <v>0</v>
          </cell>
          <cell r="AO331">
            <v>0</v>
          </cell>
          <cell r="AP331">
            <v>146729</v>
          </cell>
          <cell r="AQ331">
            <v>33014</v>
          </cell>
          <cell r="AR331">
            <v>3668</v>
          </cell>
          <cell r="AS331">
            <v>-306089.84999999998</v>
          </cell>
          <cell r="AT331">
            <v>-244871</v>
          </cell>
          <cell r="AU331">
            <v>-55095</v>
          </cell>
          <cell r="AV331">
            <v>-6122</v>
          </cell>
          <cell r="AW331">
            <v>-612177.85</v>
          </cell>
          <cell r="AX331">
            <v>-1737962.6800000002</v>
          </cell>
          <cell r="AY331">
            <v>-1390371</v>
          </cell>
          <cell r="AZ331">
            <v>-312834</v>
          </cell>
          <cell r="BA331">
            <v>-34759</v>
          </cell>
          <cell r="BB331">
            <v>-3475926.6</v>
          </cell>
          <cell r="BC331">
            <v>26237030</v>
          </cell>
          <cell r="BD331">
            <v>-3064865</v>
          </cell>
          <cell r="BE331">
            <v>689591</v>
          </cell>
          <cell r="BF331">
            <v>0</v>
          </cell>
          <cell r="BG331">
            <v>-1831296</v>
          </cell>
          <cell r="BH331">
            <v>-28832</v>
          </cell>
          <cell r="BI331">
            <v>-2101</v>
          </cell>
          <cell r="BJ331">
            <v>0</v>
          </cell>
          <cell r="BK331">
            <v>-625207</v>
          </cell>
          <cell r="BL331">
            <v>-3298</v>
          </cell>
          <cell r="BM331">
            <v>-65138</v>
          </cell>
          <cell r="BN331">
            <v>0</v>
          </cell>
          <cell r="BO331">
            <v>0</v>
          </cell>
          <cell r="BP331">
            <v>-40</v>
          </cell>
          <cell r="BQ331">
            <v>0</v>
          </cell>
          <cell r="BR331">
            <v>0</v>
          </cell>
          <cell r="BS331">
            <v>0</v>
          </cell>
          <cell r="BT331">
            <v>27077593</v>
          </cell>
          <cell r="BU331">
            <v>-231908</v>
          </cell>
          <cell r="BV331">
            <v>1111214</v>
          </cell>
          <cell r="BW331">
            <v>-1305080</v>
          </cell>
          <cell r="BX331">
            <v>-3570963</v>
          </cell>
          <cell r="BY331">
            <v>-3700524</v>
          </cell>
          <cell r="BZ331">
            <v>24419864</v>
          </cell>
          <cell r="CA331">
            <v>-1785483</v>
          </cell>
          <cell r="CB331">
            <v>-1428385</v>
          </cell>
          <cell r="CC331">
            <v>-321386</v>
          </cell>
          <cell r="CD331">
            <v>-35709</v>
          </cell>
          <cell r="CE331">
            <v>-1850262</v>
          </cell>
          <cell r="CF331">
            <v>-1480210</v>
          </cell>
          <cell r="CG331">
            <v>-333047</v>
          </cell>
          <cell r="CH331">
            <v>-37005</v>
          </cell>
        </row>
        <row r="332">
          <cell r="A332">
            <v>325</v>
          </cell>
          <cell r="B332" t="str">
            <v>Wyre Forest</v>
          </cell>
          <cell r="C332" t="str">
            <v>E1839</v>
          </cell>
          <cell r="D332">
            <v>130713</v>
          </cell>
          <cell r="H332">
            <v>-1111031</v>
          </cell>
          <cell r="I332">
            <v>0</v>
          </cell>
          <cell r="J332">
            <v>130713</v>
          </cell>
          <cell r="K332">
            <v>0</v>
          </cell>
          <cell r="L332">
            <v>0</v>
          </cell>
          <cell r="M332">
            <v>0</v>
          </cell>
          <cell r="N332">
            <v>0</v>
          </cell>
          <cell r="O332">
            <v>0</v>
          </cell>
          <cell r="P332">
            <v>0</v>
          </cell>
          <cell r="Q332">
            <v>0</v>
          </cell>
          <cell r="R332">
            <v>591860</v>
          </cell>
          <cell r="S332">
            <v>133168</v>
          </cell>
          <cell r="T332">
            <v>14796</v>
          </cell>
          <cell r="U332">
            <v>0</v>
          </cell>
          <cell r="V332">
            <v>0</v>
          </cell>
          <cell r="W332">
            <v>0</v>
          </cell>
          <cell r="X332">
            <v>0</v>
          </cell>
          <cell r="Y332">
            <v>0</v>
          </cell>
          <cell r="Z332">
            <v>0</v>
          </cell>
          <cell r="AA332">
            <v>3856</v>
          </cell>
          <cell r="AB332">
            <v>867</v>
          </cell>
          <cell r="AC332">
            <v>96</v>
          </cell>
          <cell r="AD332">
            <v>0</v>
          </cell>
          <cell r="AE332">
            <v>0</v>
          </cell>
          <cell r="AF332">
            <v>0</v>
          </cell>
          <cell r="AG332">
            <v>0</v>
          </cell>
          <cell r="AH332">
            <v>0</v>
          </cell>
          <cell r="AI332">
            <v>0</v>
          </cell>
          <cell r="AM332">
            <v>0</v>
          </cell>
          <cell r="AN332">
            <v>0</v>
          </cell>
          <cell r="AO332">
            <v>0</v>
          </cell>
          <cell r="AP332">
            <v>157918</v>
          </cell>
          <cell r="AQ332">
            <v>35532</v>
          </cell>
          <cell r="AR332">
            <v>3948</v>
          </cell>
          <cell r="AS332">
            <v>-515547</v>
          </cell>
          <cell r="AT332">
            <v>-412438</v>
          </cell>
          <cell r="AU332">
            <v>-92798</v>
          </cell>
          <cell r="AV332">
            <v>-10311</v>
          </cell>
          <cell r="AW332">
            <v>-1031094</v>
          </cell>
          <cell r="AX332">
            <v>-1630259</v>
          </cell>
          <cell r="AY332">
            <v>-1304205</v>
          </cell>
          <cell r="AZ332">
            <v>-293445</v>
          </cell>
          <cell r="BA332">
            <v>-32605</v>
          </cell>
          <cell r="BB332">
            <v>-3260514</v>
          </cell>
          <cell r="BC332">
            <v>29216492</v>
          </cell>
          <cell r="BD332">
            <v>-2337453</v>
          </cell>
          <cell r="BE332">
            <v>802197</v>
          </cell>
          <cell r="BF332">
            <v>0</v>
          </cell>
          <cell r="BG332">
            <v>-1979054</v>
          </cell>
          <cell r="BH332">
            <v>-49551</v>
          </cell>
          <cell r="BI332">
            <v>-9656</v>
          </cell>
          <cell r="BJ332">
            <v>-51172</v>
          </cell>
          <cell r="BK332">
            <v>-1357703</v>
          </cell>
          <cell r="BL332">
            <v>-81077</v>
          </cell>
          <cell r="BM332">
            <v>-111711</v>
          </cell>
          <cell r="BN332">
            <v>0</v>
          </cell>
          <cell r="BO332">
            <v>-2840</v>
          </cell>
          <cell r="BP332">
            <v>0</v>
          </cell>
          <cell r="BQ332">
            <v>0</v>
          </cell>
          <cell r="BR332">
            <v>0</v>
          </cell>
          <cell r="BS332">
            <v>0</v>
          </cell>
          <cell r="BT332">
            <v>30526026</v>
          </cell>
          <cell r="BU332">
            <v>-957565</v>
          </cell>
          <cell r="BV332">
            <v>2199552</v>
          </cell>
          <cell r="BW332">
            <v>-166059</v>
          </cell>
          <cell r="BX332">
            <v>985803</v>
          </cell>
          <cell r="BY332">
            <v>1863493</v>
          </cell>
          <cell r="BZ332">
            <v>26282066</v>
          </cell>
          <cell r="CA332">
            <v>492902</v>
          </cell>
          <cell r="CB332">
            <v>394321</v>
          </cell>
          <cell r="CC332">
            <v>88722</v>
          </cell>
          <cell r="CD332">
            <v>9858</v>
          </cell>
          <cell r="CE332">
            <v>931747</v>
          </cell>
          <cell r="CF332">
            <v>745397</v>
          </cell>
          <cell r="CG332">
            <v>167714</v>
          </cell>
          <cell r="CH332">
            <v>18635</v>
          </cell>
        </row>
        <row r="333">
          <cell r="A333">
            <v>326</v>
          </cell>
          <cell r="B333" t="str">
            <v>York</v>
          </cell>
          <cell r="C333" t="str">
            <v>E2701</v>
          </cell>
          <cell r="D333">
            <v>291989</v>
          </cell>
          <cell r="H333">
            <v>-2698161</v>
          </cell>
          <cell r="I333">
            <v>432696</v>
          </cell>
          <cell r="J333">
            <v>291989</v>
          </cell>
          <cell r="K333">
            <v>515803</v>
          </cell>
          <cell r="L333">
            <v>0</v>
          </cell>
          <cell r="M333">
            <v>0</v>
          </cell>
          <cell r="N333">
            <v>0</v>
          </cell>
          <cell r="O333">
            <v>0</v>
          </cell>
          <cell r="P333">
            <v>0</v>
          </cell>
          <cell r="Q333">
            <v>0</v>
          </cell>
          <cell r="R333">
            <v>1140857</v>
          </cell>
          <cell r="S333">
            <v>0</v>
          </cell>
          <cell r="T333">
            <v>23230</v>
          </cell>
          <cell r="U333">
            <v>0</v>
          </cell>
          <cell r="V333">
            <v>0</v>
          </cell>
          <cell r="W333">
            <v>0</v>
          </cell>
          <cell r="X333">
            <v>24868</v>
          </cell>
          <cell r="Y333">
            <v>0</v>
          </cell>
          <cell r="Z333">
            <v>508</v>
          </cell>
          <cell r="AA333">
            <v>52223</v>
          </cell>
          <cell r="AB333">
            <v>0</v>
          </cell>
          <cell r="AC333">
            <v>1066</v>
          </cell>
          <cell r="AD333">
            <v>0</v>
          </cell>
          <cell r="AE333">
            <v>0</v>
          </cell>
          <cell r="AF333">
            <v>0</v>
          </cell>
          <cell r="AG333">
            <v>0</v>
          </cell>
          <cell r="AH333">
            <v>0</v>
          </cell>
          <cell r="AI333">
            <v>0</v>
          </cell>
          <cell r="AM333">
            <v>0</v>
          </cell>
          <cell r="AN333">
            <v>0</v>
          </cell>
          <cell r="AO333">
            <v>0</v>
          </cell>
          <cell r="AP333">
            <v>746427</v>
          </cell>
          <cell r="AQ333">
            <v>0</v>
          </cell>
          <cell r="AR333">
            <v>15075</v>
          </cell>
          <cell r="AS333">
            <v>-898291</v>
          </cell>
          <cell r="AT333">
            <v>-880324</v>
          </cell>
          <cell r="AU333">
            <v>0</v>
          </cell>
          <cell r="AV333">
            <v>-17965</v>
          </cell>
          <cell r="AW333">
            <v>-1796580</v>
          </cell>
          <cell r="AX333">
            <v>-3650000</v>
          </cell>
          <cell r="AY333">
            <v>-3577000</v>
          </cell>
          <cell r="AZ333">
            <v>0</v>
          </cell>
          <cell r="BA333">
            <v>-73000</v>
          </cell>
          <cell r="BB333">
            <v>-7300000</v>
          </cell>
          <cell r="BC333">
            <v>104647670</v>
          </cell>
          <cell r="BD333">
            <v>-3593670</v>
          </cell>
          <cell r="BE333">
            <v>2886547</v>
          </cell>
          <cell r="BF333">
            <v>0</v>
          </cell>
          <cell r="BG333">
            <v>-9085775</v>
          </cell>
          <cell r="BH333">
            <v>-94554</v>
          </cell>
          <cell r="BI333">
            <v>-8089</v>
          </cell>
          <cell r="BJ333">
            <v>-52468</v>
          </cell>
          <cell r="BK333">
            <v>-3205404</v>
          </cell>
          <cell r="BL333">
            <v>-74333</v>
          </cell>
          <cell r="BM333">
            <v>-9713</v>
          </cell>
          <cell r="BN333">
            <v>-13212</v>
          </cell>
          <cell r="BO333">
            <v>-2808</v>
          </cell>
          <cell r="BP333">
            <v>-32633</v>
          </cell>
          <cell r="BQ333">
            <v>-22343</v>
          </cell>
          <cell r="BR333">
            <v>0</v>
          </cell>
          <cell r="BS333">
            <v>0</v>
          </cell>
          <cell r="BT333">
            <v>101252249</v>
          </cell>
          <cell r="BU333">
            <v>-81676</v>
          </cell>
          <cell r="BV333">
            <v>2830121</v>
          </cell>
          <cell r="BW333">
            <v>-2804234</v>
          </cell>
          <cell r="BX333">
            <v>-2331393</v>
          </cell>
          <cell r="BY333">
            <v>-2946969</v>
          </cell>
          <cell r="BZ333">
            <v>100356963</v>
          </cell>
          <cell r="CA333">
            <v>-1165696</v>
          </cell>
          <cell r="CB333">
            <v>-1142383</v>
          </cell>
          <cell r="CC333">
            <v>0</v>
          </cell>
          <cell r="CD333">
            <v>-23314</v>
          </cell>
          <cell r="CE333">
            <v>-1473484</v>
          </cell>
          <cell r="CF333">
            <v>-1444015</v>
          </cell>
          <cell r="CG333">
            <v>0</v>
          </cell>
          <cell r="CH333">
            <v>-29470</v>
          </cell>
        </row>
        <row r="334">
          <cell r="A334">
            <v>327</v>
          </cell>
          <cell r="B334" t="str">
            <v>ZZZZ</v>
          </cell>
          <cell r="C334" t="str">
            <v>EZZZZ</v>
          </cell>
          <cell r="AD334" t="e">
            <v>#N/A</v>
          </cell>
          <cell r="AE334" t="e">
            <v>#N/A</v>
          </cell>
          <cell r="AF334" t="e">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 val="Billing_Table"/>
      <sheetName val="Local_Flump"/>
      <sheetName val="The_Local_Story"/>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 sheetId="5">
        <row r="10">
          <cell r="A10" t="str">
            <v>E5010</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42"/>
  <sheetViews>
    <sheetView tabSelected="1" workbookViewId="0"/>
  </sheetViews>
  <sheetFormatPr defaultRowHeight="12.75" x14ac:dyDescent="0.2"/>
  <cols>
    <col min="1" max="1" width="2.28515625" style="238" customWidth="1"/>
    <col min="2" max="2" width="2.7109375" style="238" customWidth="1"/>
    <col min="3" max="3" width="18" style="238" customWidth="1"/>
    <col min="4" max="16" width="9.140625" style="238"/>
    <col min="17" max="17" width="3.5703125" style="238" customWidth="1"/>
    <col min="18" max="16384" width="9.140625" style="238"/>
  </cols>
  <sheetData>
    <row r="1" spans="2:17" ht="13.5" thickBot="1" x14ac:dyDescent="0.25"/>
    <row r="2" spans="2:17" x14ac:dyDescent="0.2">
      <c r="B2" s="641"/>
      <c r="C2" s="642"/>
      <c r="D2" s="642"/>
      <c r="E2" s="642"/>
      <c r="F2" s="642"/>
      <c r="G2" s="642"/>
      <c r="H2" s="642"/>
      <c r="I2" s="642"/>
      <c r="J2" s="642"/>
      <c r="K2" s="642"/>
      <c r="L2" s="642"/>
      <c r="M2" s="642"/>
      <c r="N2" s="642"/>
      <c r="O2" s="642"/>
      <c r="P2" s="642"/>
      <c r="Q2" s="643"/>
    </row>
    <row r="3" spans="2:17" x14ac:dyDescent="0.2">
      <c r="B3" s="644"/>
      <c r="C3" s="237"/>
      <c r="D3" s="237"/>
      <c r="E3" s="237"/>
      <c r="F3" s="237"/>
      <c r="G3" s="237"/>
      <c r="H3" s="237"/>
      <c r="I3" s="237"/>
      <c r="J3" s="237"/>
      <c r="K3" s="237"/>
      <c r="L3" s="237"/>
      <c r="M3" s="237"/>
      <c r="N3" s="237"/>
      <c r="O3" s="237"/>
      <c r="P3" s="237"/>
      <c r="Q3" s="645"/>
    </row>
    <row r="4" spans="2:17" x14ac:dyDescent="0.2">
      <c r="B4" s="644"/>
      <c r="C4" s="237"/>
      <c r="D4" s="237"/>
      <c r="E4" s="237"/>
      <c r="F4" s="237"/>
      <c r="G4" s="237"/>
      <c r="H4" s="237"/>
      <c r="I4" s="237"/>
      <c r="J4" s="237"/>
      <c r="K4" s="237"/>
      <c r="L4" s="237"/>
      <c r="M4" s="237"/>
      <c r="N4" s="237"/>
      <c r="O4" s="237"/>
      <c r="P4" s="237"/>
      <c r="Q4" s="645"/>
    </row>
    <row r="5" spans="2:17" x14ac:dyDescent="0.2">
      <c r="B5" s="644"/>
      <c r="C5" s="237"/>
      <c r="D5" s="237"/>
      <c r="E5" s="237"/>
      <c r="F5" s="237"/>
      <c r="G5" s="237"/>
      <c r="H5" s="237"/>
      <c r="I5" s="237"/>
      <c r="J5" s="237"/>
      <c r="K5" s="237"/>
      <c r="L5" s="237"/>
      <c r="M5" s="237"/>
      <c r="N5" s="237"/>
      <c r="O5" s="237"/>
      <c r="P5" s="237"/>
      <c r="Q5" s="645"/>
    </row>
    <row r="6" spans="2:17" x14ac:dyDescent="0.2">
      <c r="B6" s="644"/>
      <c r="C6" s="237"/>
      <c r="D6" s="237"/>
      <c r="E6" s="237"/>
      <c r="F6" s="237"/>
      <c r="G6" s="237"/>
      <c r="H6" s="237"/>
      <c r="I6" s="237"/>
      <c r="J6" s="237"/>
      <c r="K6" s="237"/>
      <c r="L6" s="237"/>
      <c r="M6" s="237"/>
      <c r="N6" s="237"/>
      <c r="O6" s="237"/>
      <c r="P6" s="237"/>
      <c r="Q6" s="645"/>
    </row>
    <row r="7" spans="2:17" x14ac:dyDescent="0.2">
      <c r="B7" s="644"/>
      <c r="C7" s="237"/>
      <c r="D7" s="237"/>
      <c r="E7" s="237"/>
      <c r="F7" s="237"/>
      <c r="G7" s="237"/>
      <c r="H7" s="237"/>
      <c r="I7" s="237"/>
      <c r="J7" s="237"/>
      <c r="K7" s="237"/>
      <c r="L7" s="237"/>
      <c r="M7" s="237"/>
      <c r="N7" s="237"/>
      <c r="O7" s="237"/>
      <c r="P7" s="237"/>
      <c r="Q7" s="645"/>
    </row>
    <row r="8" spans="2:17" x14ac:dyDescent="0.2">
      <c r="B8" s="644"/>
      <c r="C8" s="237"/>
      <c r="D8" s="237"/>
      <c r="E8" s="237"/>
      <c r="F8" s="237"/>
      <c r="G8" s="237"/>
      <c r="H8" s="237"/>
      <c r="I8" s="237"/>
      <c r="J8" s="237"/>
      <c r="K8" s="237"/>
      <c r="L8" s="237"/>
      <c r="M8" s="237"/>
      <c r="N8" s="237"/>
      <c r="O8" s="237"/>
      <c r="P8" s="237"/>
      <c r="Q8" s="645"/>
    </row>
    <row r="9" spans="2:17" x14ac:dyDescent="0.2">
      <c r="B9" s="644"/>
      <c r="C9" s="237"/>
      <c r="D9" s="237"/>
      <c r="E9" s="237"/>
      <c r="F9" s="237"/>
      <c r="G9" s="237"/>
      <c r="H9" s="237"/>
      <c r="I9" s="237"/>
      <c r="J9" s="237"/>
      <c r="K9" s="237"/>
      <c r="L9" s="237"/>
      <c r="M9" s="237"/>
      <c r="N9" s="237"/>
      <c r="O9" s="237"/>
      <c r="P9" s="237"/>
      <c r="Q9" s="645"/>
    </row>
    <row r="10" spans="2:17" x14ac:dyDescent="0.2">
      <c r="B10" s="644"/>
      <c r="C10" s="237"/>
      <c r="D10" s="237"/>
      <c r="E10" s="237"/>
      <c r="F10" s="237"/>
      <c r="G10" s="237"/>
      <c r="H10" s="237"/>
      <c r="I10" s="237"/>
      <c r="J10" s="237"/>
      <c r="K10" s="237"/>
      <c r="L10" s="237"/>
      <c r="M10" s="237"/>
      <c r="N10" s="237"/>
      <c r="O10" s="237"/>
      <c r="P10" s="237"/>
      <c r="Q10" s="645"/>
    </row>
    <row r="11" spans="2:17" x14ac:dyDescent="0.2">
      <c r="B11" s="644"/>
      <c r="C11" s="492" t="s">
        <v>1473</v>
      </c>
      <c r="D11" s="237"/>
      <c r="E11" s="237"/>
      <c r="F11" s="237"/>
      <c r="G11" s="237"/>
      <c r="H11" s="237"/>
      <c r="I11" s="237"/>
      <c r="J11" s="237"/>
      <c r="K11" s="237"/>
      <c r="L11" s="237"/>
      <c r="M11" s="237"/>
      <c r="N11" s="237"/>
      <c r="O11" s="237"/>
      <c r="P11" s="237"/>
      <c r="Q11" s="645"/>
    </row>
    <row r="12" spans="2:17" ht="56.25" customHeight="1" x14ac:dyDescent="0.2">
      <c r="B12" s="644"/>
      <c r="C12" s="835" t="s">
        <v>1653</v>
      </c>
      <c r="D12" s="835"/>
      <c r="E12" s="835"/>
      <c r="F12" s="835"/>
      <c r="G12" s="835"/>
      <c r="H12" s="835"/>
      <c r="I12" s="835"/>
      <c r="J12" s="835"/>
      <c r="K12" s="835"/>
      <c r="L12" s="835"/>
      <c r="M12" s="835"/>
      <c r="N12" s="835"/>
      <c r="O12" s="835"/>
      <c r="P12" s="835"/>
      <c r="Q12" s="646"/>
    </row>
    <row r="13" spans="2:17" ht="55.5" customHeight="1" x14ac:dyDescent="0.2">
      <c r="B13" s="644"/>
      <c r="C13" s="838" t="s">
        <v>1973</v>
      </c>
      <c r="D13" s="838"/>
      <c r="E13" s="838"/>
      <c r="F13" s="838"/>
      <c r="G13" s="838"/>
      <c r="H13" s="838"/>
      <c r="I13" s="838"/>
      <c r="J13" s="838"/>
      <c r="K13" s="838"/>
      <c r="L13" s="838"/>
      <c r="M13" s="838"/>
      <c r="N13" s="838"/>
      <c r="O13" s="838"/>
      <c r="P13" s="838"/>
      <c r="Q13" s="646"/>
    </row>
    <row r="14" spans="2:17" hidden="1" x14ac:dyDescent="0.2">
      <c r="B14" s="644"/>
      <c r="C14" s="647"/>
      <c r="D14" s="648"/>
      <c r="E14" s="648"/>
      <c r="F14" s="648"/>
      <c r="G14" s="648"/>
      <c r="H14" s="648"/>
      <c r="I14" s="648"/>
      <c r="J14" s="648"/>
      <c r="K14" s="648"/>
      <c r="L14" s="648"/>
      <c r="M14" s="648"/>
      <c r="N14" s="648"/>
      <c r="O14" s="648"/>
      <c r="P14" s="648"/>
      <c r="Q14" s="649"/>
    </row>
    <row r="15" spans="2:17" x14ac:dyDescent="0.2">
      <c r="B15" s="644"/>
      <c r="C15" s="835" t="s">
        <v>1474</v>
      </c>
      <c r="D15" s="835"/>
      <c r="E15" s="835"/>
      <c r="F15" s="835"/>
      <c r="G15" s="835"/>
      <c r="H15" s="835"/>
      <c r="I15" s="835"/>
      <c r="J15" s="835"/>
      <c r="K15" s="835"/>
      <c r="L15" s="835"/>
      <c r="M15" s="835"/>
      <c r="N15" s="835"/>
      <c r="O15" s="835"/>
      <c r="P15" s="650"/>
      <c r="Q15" s="649"/>
    </row>
    <row r="16" spans="2:17" x14ac:dyDescent="0.2">
      <c r="B16" s="644"/>
      <c r="C16" s="837" t="s">
        <v>1475</v>
      </c>
      <c r="D16" s="837"/>
      <c r="E16" s="837"/>
      <c r="F16" s="837"/>
      <c r="G16" s="837"/>
      <c r="H16" s="837"/>
      <c r="I16" s="837"/>
      <c r="J16" s="837"/>
      <c r="K16" s="837"/>
      <c r="L16" s="837"/>
      <c r="M16" s="837"/>
      <c r="N16" s="837"/>
      <c r="O16" s="837"/>
      <c r="P16" s="651"/>
      <c r="Q16" s="649"/>
    </row>
    <row r="17" spans="2:17" x14ac:dyDescent="0.2">
      <c r="B17" s="644"/>
      <c r="C17" s="651"/>
      <c r="D17" s="651"/>
      <c r="E17" s="651"/>
      <c r="F17" s="651"/>
      <c r="G17" s="651"/>
      <c r="H17" s="651"/>
      <c r="I17" s="651"/>
      <c r="J17" s="651"/>
      <c r="K17" s="651"/>
      <c r="L17" s="651"/>
      <c r="M17" s="651"/>
      <c r="N17" s="651"/>
      <c r="O17" s="651"/>
      <c r="P17" s="651"/>
      <c r="Q17" s="649"/>
    </row>
    <row r="18" spans="2:17" ht="21.75" customHeight="1" x14ac:dyDescent="0.2">
      <c r="B18" s="644"/>
      <c r="C18" s="835" t="s">
        <v>1476</v>
      </c>
      <c r="D18" s="835"/>
      <c r="E18" s="835"/>
      <c r="F18" s="835"/>
      <c r="G18" s="835"/>
      <c r="H18" s="835"/>
      <c r="I18" s="835"/>
      <c r="J18" s="835"/>
      <c r="K18" s="835"/>
      <c r="L18" s="835"/>
      <c r="M18" s="835"/>
      <c r="N18" s="835"/>
      <c r="O18" s="835"/>
      <c r="P18" s="650"/>
      <c r="Q18" s="649"/>
    </row>
    <row r="19" spans="2:17" ht="18.75" customHeight="1" x14ac:dyDescent="0.2">
      <c r="B19" s="644"/>
      <c r="C19" s="652" t="s">
        <v>1477</v>
      </c>
      <c r="D19" s="835" t="s">
        <v>1478</v>
      </c>
      <c r="E19" s="835"/>
      <c r="F19" s="835"/>
      <c r="G19" s="835"/>
      <c r="H19" s="835"/>
      <c r="I19" s="835"/>
      <c r="J19" s="835"/>
      <c r="K19" s="835"/>
      <c r="L19" s="835"/>
      <c r="M19" s="835"/>
      <c r="N19" s="835"/>
      <c r="O19" s="835"/>
      <c r="P19" s="650"/>
      <c r="Q19" s="649"/>
    </row>
    <row r="20" spans="2:17" x14ac:dyDescent="0.2">
      <c r="B20" s="644"/>
      <c r="C20" s="648"/>
      <c r="D20" s="648"/>
      <c r="E20" s="648"/>
      <c r="F20" s="648"/>
      <c r="G20" s="648"/>
      <c r="H20" s="648"/>
      <c r="I20" s="648"/>
      <c r="J20" s="648"/>
      <c r="K20" s="648"/>
      <c r="L20" s="648"/>
      <c r="M20" s="648"/>
      <c r="N20" s="648"/>
      <c r="O20" s="648"/>
      <c r="P20" s="648"/>
      <c r="Q20" s="649"/>
    </row>
    <row r="21" spans="2:17" ht="30" customHeight="1" x14ac:dyDescent="0.2">
      <c r="B21" s="644"/>
      <c r="C21" s="652" t="s">
        <v>1479</v>
      </c>
      <c r="D21" s="835" t="s">
        <v>1486</v>
      </c>
      <c r="E21" s="835"/>
      <c r="F21" s="835"/>
      <c r="G21" s="835"/>
      <c r="H21" s="835"/>
      <c r="I21" s="835"/>
      <c r="J21" s="835"/>
      <c r="K21" s="835"/>
      <c r="L21" s="835"/>
      <c r="M21" s="835"/>
      <c r="N21" s="835"/>
      <c r="O21" s="835"/>
      <c r="P21" s="650"/>
      <c r="Q21" s="649"/>
    </row>
    <row r="22" spans="2:17" x14ac:dyDescent="0.2">
      <c r="B22" s="644"/>
      <c r="C22" s="648"/>
      <c r="D22" s="648"/>
      <c r="E22" s="648"/>
      <c r="F22" s="648"/>
      <c r="G22" s="648"/>
      <c r="H22" s="648"/>
      <c r="I22" s="648"/>
      <c r="J22" s="648"/>
      <c r="K22" s="648"/>
      <c r="L22" s="648"/>
      <c r="M22" s="648"/>
      <c r="N22" s="648"/>
      <c r="O22" s="648"/>
      <c r="P22" s="648"/>
      <c r="Q22" s="649"/>
    </row>
    <row r="23" spans="2:17" ht="30" customHeight="1" x14ac:dyDescent="0.2">
      <c r="B23" s="644"/>
      <c r="C23" s="652" t="s">
        <v>1480</v>
      </c>
      <c r="D23" s="835" t="s">
        <v>1487</v>
      </c>
      <c r="E23" s="835"/>
      <c r="F23" s="835"/>
      <c r="G23" s="835"/>
      <c r="H23" s="835"/>
      <c r="I23" s="835"/>
      <c r="J23" s="835"/>
      <c r="K23" s="835"/>
      <c r="L23" s="835"/>
      <c r="M23" s="835"/>
      <c r="N23" s="835"/>
      <c r="O23" s="835"/>
      <c r="P23" s="650"/>
      <c r="Q23" s="649"/>
    </row>
    <row r="24" spans="2:17" x14ac:dyDescent="0.2">
      <c r="B24" s="644"/>
      <c r="C24" s="648"/>
      <c r="D24" s="648"/>
      <c r="E24" s="648"/>
      <c r="F24" s="648"/>
      <c r="G24" s="648"/>
      <c r="H24" s="648"/>
      <c r="I24" s="648"/>
      <c r="J24" s="648"/>
      <c r="K24" s="648"/>
      <c r="L24" s="648"/>
      <c r="M24" s="648"/>
      <c r="N24" s="648"/>
      <c r="O24" s="648"/>
      <c r="P24" s="648"/>
      <c r="Q24" s="649"/>
    </row>
    <row r="25" spans="2:17" x14ac:dyDescent="0.2">
      <c r="B25" s="644"/>
      <c r="C25" s="652" t="s">
        <v>1481</v>
      </c>
      <c r="D25" s="835" t="s">
        <v>1660</v>
      </c>
      <c r="E25" s="835"/>
      <c r="F25" s="835"/>
      <c r="G25" s="835"/>
      <c r="H25" s="835"/>
      <c r="I25" s="835"/>
      <c r="J25" s="835"/>
      <c r="K25" s="835"/>
      <c r="L25" s="835"/>
      <c r="M25" s="835"/>
      <c r="N25" s="835"/>
      <c r="O25" s="835"/>
      <c r="P25" s="650"/>
      <c r="Q25" s="649"/>
    </row>
    <row r="26" spans="2:17" x14ac:dyDescent="0.2">
      <c r="B26" s="644"/>
      <c r="C26" s="648"/>
      <c r="D26" s="648"/>
      <c r="E26" s="648"/>
      <c r="F26" s="648"/>
      <c r="G26" s="648"/>
      <c r="H26" s="648"/>
      <c r="I26" s="648"/>
      <c r="J26" s="648"/>
      <c r="K26" s="648"/>
      <c r="L26" s="648"/>
      <c r="M26" s="648"/>
      <c r="N26" s="648"/>
      <c r="O26" s="648"/>
      <c r="P26" s="648"/>
      <c r="Q26" s="649"/>
    </row>
    <row r="27" spans="2:17" x14ac:dyDescent="0.2">
      <c r="B27" s="644"/>
      <c r="C27" s="648"/>
      <c r="D27" s="648"/>
      <c r="E27" s="648"/>
      <c r="F27" s="648"/>
      <c r="G27" s="648"/>
      <c r="H27" s="648"/>
      <c r="I27" s="648"/>
      <c r="J27" s="648"/>
      <c r="K27" s="648"/>
      <c r="L27" s="648"/>
      <c r="M27" s="648"/>
      <c r="N27" s="648"/>
      <c r="O27" s="648"/>
      <c r="P27" s="648"/>
      <c r="Q27" s="649"/>
    </row>
    <row r="28" spans="2:17" x14ac:dyDescent="0.2">
      <c r="B28" s="644"/>
      <c r="C28" s="653" t="s">
        <v>1482</v>
      </c>
      <c r="D28" s="647"/>
      <c r="E28" s="647"/>
      <c r="F28" s="647"/>
      <c r="G28" s="647"/>
      <c r="H28" s="647"/>
      <c r="I28" s="647"/>
      <c r="J28" s="647"/>
      <c r="K28" s="647"/>
      <c r="L28" s="647"/>
      <c r="M28" s="647"/>
      <c r="N28" s="647"/>
      <c r="O28" s="647"/>
      <c r="P28" s="647"/>
      <c r="Q28" s="646"/>
    </row>
    <row r="29" spans="2:17" ht="12.75" customHeight="1" x14ac:dyDescent="0.2">
      <c r="B29" s="644"/>
      <c r="C29" s="835" t="s">
        <v>1656</v>
      </c>
      <c r="D29" s="835"/>
      <c r="E29" s="835"/>
      <c r="F29" s="835"/>
      <c r="G29" s="835"/>
      <c r="H29" s="835"/>
      <c r="I29" s="835"/>
      <c r="J29" s="835"/>
      <c r="K29" s="835"/>
      <c r="L29" s="835"/>
      <c r="M29" s="835"/>
      <c r="N29" s="835"/>
      <c r="O29" s="835"/>
      <c r="P29" s="650"/>
      <c r="Q29" s="646"/>
    </row>
    <row r="30" spans="2:17" ht="21" customHeight="1" x14ac:dyDescent="0.2">
      <c r="B30" s="644"/>
      <c r="C30" s="654"/>
      <c r="D30" s="654"/>
      <c r="E30" s="654"/>
      <c r="F30" s="654"/>
      <c r="G30" s="654"/>
      <c r="H30" s="654"/>
      <c r="I30" s="654"/>
      <c r="J30" s="654"/>
      <c r="K30" s="654"/>
      <c r="L30" s="654"/>
      <c r="M30" s="654"/>
      <c r="N30" s="654"/>
      <c r="O30" s="647"/>
      <c r="P30" s="647"/>
      <c r="Q30" s="646"/>
    </row>
    <row r="31" spans="2:17" x14ac:dyDescent="0.2">
      <c r="B31" s="644"/>
      <c r="C31" s="653" t="s">
        <v>1988</v>
      </c>
      <c r="D31" s="647"/>
      <c r="E31" s="647"/>
      <c r="F31" s="647"/>
      <c r="G31" s="647"/>
      <c r="H31" s="647"/>
      <c r="I31" s="647"/>
      <c r="J31" s="647"/>
      <c r="K31" s="647"/>
      <c r="L31" s="647"/>
      <c r="M31" s="647"/>
      <c r="N31" s="647"/>
      <c r="O31" s="647"/>
      <c r="P31" s="647"/>
      <c r="Q31" s="646"/>
    </row>
    <row r="32" spans="2:17" ht="31.5" customHeight="1" x14ac:dyDescent="0.2">
      <c r="B32" s="644"/>
      <c r="C32" s="835" t="s">
        <v>1654</v>
      </c>
      <c r="D32" s="835"/>
      <c r="E32" s="835"/>
      <c r="F32" s="835"/>
      <c r="G32" s="835"/>
      <c r="H32" s="835"/>
      <c r="I32" s="835"/>
      <c r="J32" s="835"/>
      <c r="K32" s="835"/>
      <c r="L32" s="835"/>
      <c r="M32" s="835"/>
      <c r="N32" s="835"/>
      <c r="O32" s="835"/>
      <c r="P32" s="835"/>
      <c r="Q32" s="655"/>
    </row>
    <row r="33" spans="2:17" x14ac:dyDescent="0.2">
      <c r="B33" s="644"/>
      <c r="C33" s="647"/>
      <c r="D33" s="647"/>
      <c r="E33" s="647"/>
      <c r="F33" s="647"/>
      <c r="G33" s="647"/>
      <c r="H33" s="647"/>
      <c r="I33" s="647"/>
      <c r="J33" s="647"/>
      <c r="K33" s="647"/>
      <c r="L33" s="647"/>
      <c r="M33" s="647"/>
      <c r="N33" s="647"/>
      <c r="O33" s="647"/>
      <c r="P33" s="647"/>
      <c r="Q33" s="646"/>
    </row>
    <row r="34" spans="2:17" x14ac:dyDescent="0.2">
      <c r="B34" s="644"/>
      <c r="C34" s="653" t="s">
        <v>1483</v>
      </c>
      <c r="D34" s="647"/>
      <c r="E34" s="647"/>
      <c r="F34" s="647"/>
      <c r="G34" s="647"/>
      <c r="H34" s="647"/>
      <c r="I34" s="647"/>
      <c r="J34" s="647"/>
      <c r="K34" s="647"/>
      <c r="L34" s="647"/>
      <c r="M34" s="647"/>
      <c r="N34" s="647"/>
      <c r="O34" s="647"/>
      <c r="P34" s="647"/>
      <c r="Q34" s="646"/>
    </row>
    <row r="35" spans="2:17" x14ac:dyDescent="0.2">
      <c r="B35" s="644"/>
      <c r="C35" s="656" t="s">
        <v>1485</v>
      </c>
      <c r="D35" s="647"/>
      <c r="E35" s="647"/>
      <c r="F35" s="647"/>
      <c r="G35" s="647"/>
      <c r="H35" s="647"/>
      <c r="I35" s="647"/>
      <c r="J35" s="647"/>
      <c r="K35" s="647"/>
      <c r="L35" s="647"/>
      <c r="M35" s="647"/>
      <c r="N35" s="647"/>
      <c r="O35" s="647"/>
      <c r="P35" s="647"/>
      <c r="Q35" s="646"/>
    </row>
    <row r="36" spans="2:17" x14ac:dyDescent="0.2">
      <c r="B36" s="644"/>
      <c r="C36" s="647"/>
      <c r="D36" s="647"/>
      <c r="E36" s="647"/>
      <c r="F36" s="647"/>
      <c r="G36" s="647"/>
      <c r="H36" s="647"/>
      <c r="I36" s="647"/>
      <c r="J36" s="647"/>
      <c r="K36" s="647"/>
      <c r="L36" s="647"/>
      <c r="M36" s="647"/>
      <c r="N36" s="647"/>
      <c r="O36" s="647"/>
      <c r="P36" s="647"/>
      <c r="Q36" s="646"/>
    </row>
    <row r="37" spans="2:17" x14ac:dyDescent="0.2">
      <c r="B37" s="644"/>
      <c r="C37" s="653" t="s">
        <v>1484</v>
      </c>
      <c r="D37" s="647"/>
      <c r="E37" s="647"/>
      <c r="F37" s="647"/>
      <c r="G37" s="647"/>
      <c r="H37" s="647"/>
      <c r="I37" s="647"/>
      <c r="J37" s="647"/>
      <c r="K37" s="647"/>
      <c r="L37" s="647"/>
      <c r="M37" s="647"/>
      <c r="N37" s="647"/>
      <c r="O37" s="647"/>
      <c r="P37" s="647"/>
      <c r="Q37" s="646"/>
    </row>
    <row r="38" spans="2:17" ht="31.5" customHeight="1" x14ac:dyDescent="0.2">
      <c r="B38" s="644"/>
      <c r="C38" s="835" t="s">
        <v>1989</v>
      </c>
      <c r="D38" s="835"/>
      <c r="E38" s="835"/>
      <c r="F38" s="835"/>
      <c r="G38" s="835"/>
      <c r="H38" s="835"/>
      <c r="I38" s="835"/>
      <c r="J38" s="835"/>
      <c r="K38" s="835"/>
      <c r="L38" s="835"/>
      <c r="M38" s="835"/>
      <c r="N38" s="835"/>
      <c r="O38" s="835"/>
      <c r="P38" s="835"/>
      <c r="Q38" s="646"/>
    </row>
    <row r="39" spans="2:17" ht="15.75" customHeight="1" x14ac:dyDescent="0.2">
      <c r="B39" s="644"/>
      <c r="C39" s="835" t="s">
        <v>1990</v>
      </c>
      <c r="D39" s="835"/>
      <c r="E39" s="835"/>
      <c r="F39" s="835"/>
      <c r="G39" s="835"/>
      <c r="H39" s="835"/>
      <c r="I39" s="835"/>
      <c r="J39" s="835"/>
      <c r="K39" s="835"/>
      <c r="L39" s="835"/>
      <c r="M39" s="835"/>
      <c r="N39" s="835"/>
      <c r="O39" s="835"/>
      <c r="P39" s="835"/>
      <c r="Q39" s="649"/>
    </row>
    <row r="40" spans="2:17" ht="15.75" customHeight="1" x14ac:dyDescent="0.2">
      <c r="B40" s="644"/>
      <c r="C40" s="650"/>
      <c r="D40" s="650"/>
      <c r="E40" s="650"/>
      <c r="F40" s="650"/>
      <c r="G40" s="650"/>
      <c r="H40" s="650"/>
      <c r="I40" s="650"/>
      <c r="J40" s="650"/>
      <c r="K40" s="650"/>
      <c r="L40" s="650"/>
      <c r="M40" s="650"/>
      <c r="N40" s="650"/>
      <c r="O40" s="650"/>
      <c r="P40" s="650"/>
      <c r="Q40" s="649"/>
    </row>
    <row r="41" spans="2:17" ht="15.75" customHeight="1" x14ac:dyDescent="0.2">
      <c r="B41" s="644"/>
      <c r="C41" s="835" t="s">
        <v>1655</v>
      </c>
      <c r="D41" s="836"/>
      <c r="E41" s="836"/>
      <c r="F41" s="836"/>
      <c r="G41" s="836"/>
      <c r="H41" s="836"/>
      <c r="I41" s="836"/>
      <c r="J41" s="836"/>
      <c r="K41" s="836"/>
      <c r="L41" s="836"/>
      <c r="M41" s="836"/>
      <c r="N41" s="836"/>
      <c r="O41" s="836"/>
      <c r="P41" s="836"/>
      <c r="Q41" s="649"/>
    </row>
    <row r="42" spans="2:17" ht="13.5" thickBot="1" x14ac:dyDescent="0.25">
      <c r="B42" s="657"/>
      <c r="C42" s="404"/>
      <c r="D42" s="404"/>
      <c r="E42" s="404"/>
      <c r="F42" s="404"/>
      <c r="G42" s="404"/>
      <c r="H42" s="404"/>
      <c r="I42" s="404"/>
      <c r="J42" s="404"/>
      <c r="K42" s="404"/>
      <c r="L42" s="404"/>
      <c r="M42" s="404"/>
      <c r="N42" s="404"/>
      <c r="O42" s="404"/>
      <c r="P42" s="404"/>
      <c r="Q42" s="658"/>
    </row>
  </sheetData>
  <mergeCells count="14">
    <mergeCell ref="C41:P41"/>
    <mergeCell ref="C12:P12"/>
    <mergeCell ref="C15:O15"/>
    <mergeCell ref="C16:O16"/>
    <mergeCell ref="C18:O18"/>
    <mergeCell ref="D19:O19"/>
    <mergeCell ref="D21:O21"/>
    <mergeCell ref="D23:O23"/>
    <mergeCell ref="D25:O25"/>
    <mergeCell ref="C29:O29"/>
    <mergeCell ref="C32:P32"/>
    <mergeCell ref="C39:P39"/>
    <mergeCell ref="C13:P13"/>
    <mergeCell ref="C38:P38"/>
  </mergeCells>
  <hyperlinks>
    <hyperlink ref="C16" r:id="rId1" xr:uid="{00000000-0004-0000-0000-000000000000}"/>
    <hyperlink ref="C25" location="'Part 4'!A1" display="Part 4 –" xr:uid="{00000000-0004-0000-0000-000001000000}"/>
    <hyperlink ref="C23" location="'Part 3'!A1" display="Part 3 –" xr:uid="{00000000-0004-0000-0000-000002000000}"/>
    <hyperlink ref="C21" location="'Part 2'!A1" display="Part 2 –" xr:uid="{00000000-0004-0000-0000-000003000000}"/>
    <hyperlink ref="C19" location="'Part 1'!A1" display="Part 1 – " xr:uid="{00000000-0004-0000-0000-000004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324"/>
  <sheetViews>
    <sheetView workbookViewId="0"/>
  </sheetViews>
  <sheetFormatPr defaultColWidth="9.140625" defaultRowHeight="12.75" x14ac:dyDescent="0.2"/>
  <cols>
    <col min="1" max="1" width="9.140625" style="237"/>
    <col min="2" max="2" width="6.5703125" style="223" customWidth="1"/>
    <col min="3" max="3" width="12.28515625" style="223" customWidth="1"/>
    <col min="4" max="4" width="25.7109375" style="51" bestFit="1" customWidth="1"/>
    <col min="5" max="5" width="51.140625" style="51" customWidth="1"/>
    <col min="6" max="6" width="54.85546875" style="51" customWidth="1"/>
    <col min="7" max="10" width="12.140625" style="319" customWidth="1"/>
    <col min="11" max="26" width="12.140625" style="237" customWidth="1"/>
    <col min="27" max="27" width="16" style="237" customWidth="1"/>
    <col min="28" max="28" width="12.140625" style="237" customWidth="1"/>
    <col min="29" max="35" width="9.140625" style="237"/>
    <col min="36" max="16384" width="9.140625" style="51"/>
  </cols>
  <sheetData>
    <row r="1" spans="1:35" ht="19.5" customHeight="1" x14ac:dyDescent="0.2">
      <c r="D1" s="223"/>
      <c r="E1" s="223"/>
      <c r="F1" s="223"/>
      <c r="G1" s="223"/>
      <c r="H1" s="223"/>
      <c r="AB1" s="51"/>
      <c r="AC1" s="51"/>
      <c r="AD1" s="51"/>
      <c r="AE1" s="51"/>
      <c r="AF1" s="51"/>
      <c r="AG1" s="51"/>
      <c r="AH1" s="51"/>
      <c r="AI1" s="51"/>
    </row>
    <row r="2" spans="1:35" ht="18.75" customHeight="1" x14ac:dyDescent="0.2">
      <c r="D2" s="407"/>
      <c r="E2" s="407"/>
      <c r="F2" s="319">
        <v>4</v>
      </c>
      <c r="G2" s="319">
        <v>5</v>
      </c>
      <c r="H2" s="406"/>
      <c r="I2" s="319">
        <v>6</v>
      </c>
      <c r="J2" s="406"/>
      <c r="K2" s="319">
        <v>7</v>
      </c>
      <c r="L2" s="406"/>
      <c r="M2" s="319">
        <v>8</v>
      </c>
      <c r="N2" s="406"/>
      <c r="O2" s="319">
        <v>9</v>
      </c>
      <c r="P2" s="319"/>
      <c r="Q2" s="406">
        <v>10</v>
      </c>
      <c r="R2" s="406"/>
      <c r="S2" s="319">
        <v>11</v>
      </c>
      <c r="T2" s="406"/>
      <c r="U2" s="319">
        <v>12</v>
      </c>
      <c r="V2" s="406"/>
      <c r="W2" s="319">
        <v>13</v>
      </c>
      <c r="X2" s="406"/>
      <c r="Y2" s="319">
        <v>14</v>
      </c>
      <c r="Z2" s="406"/>
      <c r="AA2" s="319">
        <v>14</v>
      </c>
      <c r="AB2" s="51"/>
      <c r="AC2" s="51"/>
      <c r="AD2" s="51"/>
      <c r="AE2" s="51"/>
      <c r="AF2" s="51"/>
      <c r="AG2" s="51"/>
      <c r="AH2" s="51"/>
      <c r="AI2" s="51"/>
    </row>
    <row r="3" spans="1:35" ht="87" customHeight="1" x14ac:dyDescent="0.2">
      <c r="B3" s="319" t="s">
        <v>890</v>
      </c>
      <c r="C3" s="319" t="s">
        <v>889</v>
      </c>
      <c r="D3" s="637" t="s">
        <v>672</v>
      </c>
      <c r="E3" s="637" t="s">
        <v>888</v>
      </c>
      <c r="F3" s="637" t="s">
        <v>888</v>
      </c>
      <c r="G3" s="638" t="s">
        <v>894</v>
      </c>
      <c r="H3" s="638"/>
      <c r="I3" s="638" t="s">
        <v>896</v>
      </c>
      <c r="J3" s="638"/>
      <c r="K3" s="638" t="s">
        <v>898</v>
      </c>
      <c r="L3" s="638"/>
      <c r="M3" s="638" t="s">
        <v>899</v>
      </c>
      <c r="N3" s="638"/>
      <c r="O3" s="638" t="s">
        <v>900</v>
      </c>
      <c r="P3" s="638"/>
      <c r="Q3" s="638" t="s">
        <v>1121</v>
      </c>
      <c r="R3" s="638"/>
      <c r="S3" s="638" t="s">
        <v>1091</v>
      </c>
      <c r="T3" s="638"/>
      <c r="U3" s="638" t="s">
        <v>887</v>
      </c>
      <c r="V3" s="638"/>
      <c r="W3" s="638" t="s">
        <v>901</v>
      </c>
      <c r="X3" s="638"/>
      <c r="Y3" s="638" t="s">
        <v>1088</v>
      </c>
      <c r="Z3" s="638"/>
      <c r="AA3" s="638" t="s">
        <v>1090</v>
      </c>
      <c r="AB3" s="51"/>
      <c r="AC3" s="51"/>
      <c r="AD3" s="51"/>
      <c r="AE3" s="51"/>
      <c r="AF3" s="51"/>
      <c r="AG3" s="51"/>
      <c r="AH3" s="51"/>
      <c r="AI3" s="51"/>
    </row>
    <row r="4" spans="1:35" x14ac:dyDescent="0.2">
      <c r="A4" s="223">
        <v>1</v>
      </c>
      <c r="B4" s="405" t="s">
        <v>1488</v>
      </c>
      <c r="C4" s="405" t="s">
        <v>1568</v>
      </c>
      <c r="D4" s="491" t="s">
        <v>1490</v>
      </c>
      <c r="E4" s="237" t="s">
        <v>920</v>
      </c>
      <c r="F4" s="51" t="s">
        <v>920</v>
      </c>
      <c r="G4" s="51">
        <v>321844</v>
      </c>
      <c r="H4" s="51"/>
      <c r="I4" s="51">
        <v>0</v>
      </c>
      <c r="J4" s="51"/>
      <c r="K4" s="51">
        <v>0</v>
      </c>
      <c r="L4" s="51"/>
      <c r="M4" s="818">
        <v>321844</v>
      </c>
      <c r="N4" s="51"/>
      <c r="O4" s="51">
        <v>0</v>
      </c>
      <c r="P4" s="51"/>
      <c r="Q4" s="51">
        <v>0</v>
      </c>
      <c r="R4" s="51"/>
      <c r="S4" s="51">
        <v>0</v>
      </c>
      <c r="T4" s="51"/>
      <c r="U4" s="51">
        <v>0</v>
      </c>
      <c r="V4" s="51"/>
      <c r="W4" s="51">
        <v>321844</v>
      </c>
      <c r="X4" s="51"/>
      <c r="Y4" s="51">
        <v>357184</v>
      </c>
      <c r="Z4" s="51"/>
      <c r="AA4" s="51">
        <v>357184</v>
      </c>
      <c r="AB4" s="51" t="s">
        <v>1114</v>
      </c>
      <c r="AC4" s="51"/>
      <c r="AD4" s="51"/>
      <c r="AE4" s="51"/>
      <c r="AF4" s="51"/>
      <c r="AG4" s="51"/>
      <c r="AH4" s="51"/>
      <c r="AI4" s="51"/>
    </row>
    <row r="5" spans="1:35" x14ac:dyDescent="0.2">
      <c r="A5" s="223">
        <v>2</v>
      </c>
      <c r="B5" s="405" t="s">
        <v>1488</v>
      </c>
      <c r="C5" s="405" t="s">
        <v>1569</v>
      </c>
      <c r="D5" s="491" t="s">
        <v>1490</v>
      </c>
      <c r="E5" s="237" t="s">
        <v>921</v>
      </c>
      <c r="F5" s="51" t="s">
        <v>921</v>
      </c>
      <c r="G5" s="51">
        <v>0</v>
      </c>
      <c r="H5" s="51"/>
      <c r="I5" s="51">
        <v>0</v>
      </c>
      <c r="J5" s="51"/>
      <c r="K5" s="51">
        <v>0</v>
      </c>
      <c r="L5" s="51"/>
      <c r="M5" s="818">
        <v>0</v>
      </c>
      <c r="N5" s="51"/>
      <c r="O5" s="51">
        <v>0</v>
      </c>
      <c r="P5" s="51"/>
      <c r="Q5" s="51">
        <v>0</v>
      </c>
      <c r="R5" s="51"/>
      <c r="S5" s="51">
        <v>0</v>
      </c>
      <c r="T5" s="51"/>
      <c r="U5" s="51">
        <v>0</v>
      </c>
      <c r="V5" s="51"/>
      <c r="W5" s="51">
        <v>0</v>
      </c>
      <c r="X5" s="51"/>
      <c r="Y5" s="51">
        <v>0</v>
      </c>
      <c r="Z5" s="51"/>
      <c r="AA5" s="51">
        <v>0</v>
      </c>
      <c r="AB5" s="51" t="s">
        <v>1114</v>
      </c>
      <c r="AC5" s="51"/>
      <c r="AD5" s="51"/>
      <c r="AE5" s="51"/>
      <c r="AF5" s="51"/>
      <c r="AG5" s="51"/>
      <c r="AH5" s="51"/>
      <c r="AI5" s="51"/>
    </row>
    <row r="6" spans="1:35" x14ac:dyDescent="0.2">
      <c r="A6" s="223">
        <v>3</v>
      </c>
      <c r="B6" s="405" t="s">
        <v>1488</v>
      </c>
      <c r="C6" s="405" t="s">
        <v>1570</v>
      </c>
      <c r="D6" s="491" t="s">
        <v>1490</v>
      </c>
      <c r="E6" s="237" t="s">
        <v>922</v>
      </c>
      <c r="F6" s="51" t="s">
        <v>922</v>
      </c>
      <c r="G6" s="51">
        <v>190299</v>
      </c>
      <c r="H6" s="51"/>
      <c r="I6" s="51">
        <v>0</v>
      </c>
      <c r="J6" s="51"/>
      <c r="K6" s="51">
        <v>0</v>
      </c>
      <c r="L6" s="51"/>
      <c r="M6" s="818">
        <v>190299</v>
      </c>
      <c r="N6" s="51"/>
      <c r="O6" s="51">
        <v>0</v>
      </c>
      <c r="P6" s="51"/>
      <c r="Q6" s="51">
        <v>0</v>
      </c>
      <c r="R6" s="51"/>
      <c r="S6" s="51">
        <v>0</v>
      </c>
      <c r="T6" s="51"/>
      <c r="U6" s="51">
        <v>26680</v>
      </c>
      <c r="V6" s="51"/>
      <c r="W6" s="51">
        <v>163619</v>
      </c>
      <c r="X6" s="51"/>
      <c r="Y6" s="51">
        <v>0</v>
      </c>
      <c r="Z6" s="51"/>
      <c r="AA6" s="51">
        <v>0</v>
      </c>
      <c r="AB6" s="51" t="s">
        <v>1114</v>
      </c>
      <c r="AC6" s="51"/>
      <c r="AD6" s="51"/>
      <c r="AE6" s="51"/>
      <c r="AF6" s="51"/>
      <c r="AG6" s="51"/>
      <c r="AH6" s="51"/>
      <c r="AI6" s="51"/>
    </row>
    <row r="7" spans="1:35" x14ac:dyDescent="0.2">
      <c r="A7" s="223">
        <v>1</v>
      </c>
      <c r="B7" s="405" t="s">
        <v>693</v>
      </c>
      <c r="C7" s="405" t="s">
        <v>1242</v>
      </c>
      <c r="D7" s="237" t="s">
        <v>692</v>
      </c>
      <c r="E7" s="237" t="s">
        <v>1108</v>
      </c>
      <c r="F7" s="51" t="s">
        <v>1108</v>
      </c>
      <c r="G7" s="51">
        <v>20687085</v>
      </c>
      <c r="H7" s="51"/>
      <c r="I7" s="51">
        <v>-309858</v>
      </c>
      <c r="J7" s="51"/>
      <c r="K7" s="51">
        <v>-970889</v>
      </c>
      <c r="L7" s="51"/>
      <c r="M7" s="818">
        <v>19406338</v>
      </c>
      <c r="N7" s="51"/>
      <c r="O7" s="51">
        <v>0</v>
      </c>
      <c r="P7" s="51"/>
      <c r="Q7" s="51">
        <v>0</v>
      </c>
      <c r="R7" s="51"/>
      <c r="S7" s="51">
        <v>-473345</v>
      </c>
      <c r="T7" s="51"/>
      <c r="U7" s="51">
        <v>21053943</v>
      </c>
      <c r="V7" s="51"/>
      <c r="W7" s="51">
        <v>0</v>
      </c>
      <c r="X7" s="51"/>
      <c r="Y7" s="51">
        <v>0</v>
      </c>
      <c r="Z7" s="51"/>
      <c r="AA7" s="51">
        <v>0</v>
      </c>
      <c r="AB7" s="51" t="s">
        <v>1114</v>
      </c>
      <c r="AC7" s="51"/>
      <c r="AD7" s="51"/>
      <c r="AE7" s="51"/>
      <c r="AF7" s="51"/>
      <c r="AG7" s="51"/>
      <c r="AH7" s="51"/>
      <c r="AI7" s="51"/>
    </row>
    <row r="8" spans="1:35" x14ac:dyDescent="0.2">
      <c r="A8" s="223">
        <v>1</v>
      </c>
      <c r="B8" s="405" t="s">
        <v>695</v>
      </c>
      <c r="C8" s="405" t="s">
        <v>1243</v>
      </c>
      <c r="D8" s="237" t="s">
        <v>694</v>
      </c>
      <c r="E8" s="237" t="s">
        <v>792</v>
      </c>
      <c r="F8" s="51" t="s">
        <v>792</v>
      </c>
      <c r="G8" s="51">
        <v>775866</v>
      </c>
      <c r="H8" s="51"/>
      <c r="I8" s="51">
        <v>0</v>
      </c>
      <c r="J8" s="51"/>
      <c r="K8" s="51">
        <v>0</v>
      </c>
      <c r="L8" s="51"/>
      <c r="M8" s="818">
        <v>775866</v>
      </c>
      <c r="N8" s="51"/>
      <c r="O8" s="51">
        <v>0</v>
      </c>
      <c r="P8" s="51"/>
      <c r="Q8" s="51">
        <v>0</v>
      </c>
      <c r="R8" s="51"/>
      <c r="S8" s="51">
        <v>0</v>
      </c>
      <c r="T8" s="51"/>
      <c r="U8" s="51">
        <v>94500</v>
      </c>
      <c r="V8" s="51"/>
      <c r="W8" s="51">
        <v>681366</v>
      </c>
      <c r="X8" s="51"/>
      <c r="Y8" s="51">
        <v>129306</v>
      </c>
      <c r="Z8" s="51"/>
      <c r="AA8" s="51">
        <v>129306</v>
      </c>
      <c r="AB8" s="51" t="s">
        <v>1114</v>
      </c>
      <c r="AC8" s="51"/>
      <c r="AD8" s="51"/>
      <c r="AE8" s="51"/>
      <c r="AF8" s="51"/>
      <c r="AG8" s="51"/>
      <c r="AH8" s="51"/>
      <c r="AI8" s="51"/>
    </row>
    <row r="9" spans="1:35" x14ac:dyDescent="0.2">
      <c r="A9" s="223">
        <v>1</v>
      </c>
      <c r="B9" s="405" t="s">
        <v>701</v>
      </c>
      <c r="C9" s="405" t="s">
        <v>1244</v>
      </c>
      <c r="D9" s="237" t="s">
        <v>700</v>
      </c>
      <c r="E9" s="237" t="s">
        <v>923</v>
      </c>
      <c r="F9" s="51" t="s">
        <v>923</v>
      </c>
      <c r="G9" s="51">
        <v>1258072</v>
      </c>
      <c r="H9" s="51"/>
      <c r="I9" s="51">
        <v>-50000</v>
      </c>
      <c r="J9" s="51"/>
      <c r="K9" s="51">
        <v>-50000</v>
      </c>
      <c r="L9" s="51"/>
      <c r="M9" s="818">
        <v>1158072</v>
      </c>
      <c r="N9" s="51"/>
      <c r="O9" s="51">
        <v>0</v>
      </c>
      <c r="P9" s="51"/>
      <c r="Q9" s="51">
        <v>0</v>
      </c>
      <c r="R9" s="51"/>
      <c r="S9" s="51">
        <v>2342</v>
      </c>
      <c r="T9" s="51"/>
      <c r="U9" s="51">
        <v>2282546</v>
      </c>
      <c r="V9" s="51"/>
      <c r="W9" s="51">
        <v>0</v>
      </c>
      <c r="X9" s="51"/>
      <c r="Y9" s="51">
        <v>600000</v>
      </c>
      <c r="Z9" s="51"/>
      <c r="AA9" s="51">
        <v>600000</v>
      </c>
      <c r="AB9" s="51" t="s">
        <v>1114</v>
      </c>
      <c r="AC9" s="51"/>
      <c r="AD9" s="51"/>
      <c r="AE9" s="51"/>
      <c r="AF9" s="51"/>
      <c r="AG9" s="51"/>
      <c r="AH9" s="51"/>
      <c r="AI9" s="51"/>
    </row>
    <row r="10" spans="1:35" x14ac:dyDescent="0.2">
      <c r="A10" s="223">
        <v>2</v>
      </c>
      <c r="B10" s="405" t="s">
        <v>705</v>
      </c>
      <c r="C10" s="405" t="s">
        <v>1245</v>
      </c>
      <c r="D10" s="237" t="s">
        <v>704</v>
      </c>
      <c r="E10" s="237" t="s">
        <v>793</v>
      </c>
      <c r="F10" s="51" t="s">
        <v>793</v>
      </c>
      <c r="G10" s="51">
        <v>5962871</v>
      </c>
      <c r="H10" s="51"/>
      <c r="I10" s="51">
        <v>-63634</v>
      </c>
      <c r="J10" s="51"/>
      <c r="K10" s="51">
        <v>-268175</v>
      </c>
      <c r="L10" s="51"/>
      <c r="M10" s="818">
        <v>5631062</v>
      </c>
      <c r="N10" s="51"/>
      <c r="O10" s="51">
        <v>0</v>
      </c>
      <c r="P10" s="51"/>
      <c r="Q10" s="51">
        <v>0</v>
      </c>
      <c r="R10" s="51"/>
      <c r="S10" s="51">
        <v>18870</v>
      </c>
      <c r="T10" s="51"/>
      <c r="U10" s="51">
        <v>5555713</v>
      </c>
      <c r="V10" s="51"/>
      <c r="W10" s="51">
        <v>94219</v>
      </c>
      <c r="X10" s="51"/>
      <c r="Y10" s="51">
        <v>37000</v>
      </c>
      <c r="Z10" s="51"/>
      <c r="AA10" s="51">
        <v>37000</v>
      </c>
      <c r="AB10" s="51" t="s">
        <v>1114</v>
      </c>
      <c r="AC10" s="51"/>
      <c r="AD10" s="51"/>
      <c r="AE10" s="51"/>
      <c r="AF10" s="51"/>
      <c r="AG10" s="51"/>
      <c r="AH10" s="51"/>
      <c r="AI10" s="51"/>
    </row>
    <row r="11" spans="1:35" x14ac:dyDescent="0.2">
      <c r="A11" s="223">
        <v>3</v>
      </c>
      <c r="B11" s="405" t="s">
        <v>705</v>
      </c>
      <c r="C11" s="405" t="s">
        <v>1246</v>
      </c>
      <c r="D11" s="237" t="s">
        <v>704</v>
      </c>
      <c r="E11" s="237" t="s">
        <v>924</v>
      </c>
      <c r="F11" s="51" t="s">
        <v>924</v>
      </c>
      <c r="G11" s="51">
        <v>0</v>
      </c>
      <c r="H11" s="51"/>
      <c r="I11" s="51">
        <v>0</v>
      </c>
      <c r="J11" s="51"/>
      <c r="K11" s="51">
        <v>0</v>
      </c>
      <c r="L11" s="51"/>
      <c r="M11" s="818">
        <v>0</v>
      </c>
      <c r="N11" s="51"/>
      <c r="O11" s="51">
        <v>0</v>
      </c>
      <c r="P11" s="51"/>
      <c r="Q11" s="51">
        <v>0</v>
      </c>
      <c r="R11" s="51"/>
      <c r="S11" s="51">
        <v>0</v>
      </c>
      <c r="T11" s="51"/>
      <c r="U11" s="51">
        <v>0</v>
      </c>
      <c r="V11" s="51"/>
      <c r="W11" s="51">
        <v>0</v>
      </c>
      <c r="X11" s="51"/>
      <c r="Y11" s="51">
        <v>0</v>
      </c>
      <c r="Z11" s="51"/>
      <c r="AA11" s="51">
        <v>0</v>
      </c>
      <c r="AB11" s="51" t="s">
        <v>1114</v>
      </c>
      <c r="AC11" s="51"/>
      <c r="AD11" s="51"/>
      <c r="AE11" s="51"/>
      <c r="AF11" s="51"/>
      <c r="AG11" s="51"/>
      <c r="AH11" s="51"/>
      <c r="AI11" s="51"/>
    </row>
    <row r="12" spans="1:35" x14ac:dyDescent="0.2">
      <c r="A12" s="223">
        <v>4</v>
      </c>
      <c r="B12" s="405" t="s">
        <v>705</v>
      </c>
      <c r="C12" s="405" t="s">
        <v>1247</v>
      </c>
      <c r="D12" s="237" t="s">
        <v>704</v>
      </c>
      <c r="E12" s="237" t="s">
        <v>925</v>
      </c>
      <c r="F12" s="51" t="s">
        <v>925</v>
      </c>
      <c r="G12" s="51">
        <v>0</v>
      </c>
      <c r="H12" s="51"/>
      <c r="I12" s="51">
        <v>0</v>
      </c>
      <c r="J12" s="51"/>
      <c r="K12" s="51">
        <v>0</v>
      </c>
      <c r="L12" s="51"/>
      <c r="M12" s="818">
        <v>0</v>
      </c>
      <c r="N12" s="51"/>
      <c r="O12" s="51">
        <v>0</v>
      </c>
      <c r="P12" s="51"/>
      <c r="Q12" s="51">
        <v>0</v>
      </c>
      <c r="R12" s="51"/>
      <c r="S12" s="51">
        <v>0</v>
      </c>
      <c r="T12" s="51"/>
      <c r="U12" s="51">
        <v>16524</v>
      </c>
      <c r="V12" s="51"/>
      <c r="W12" s="51">
        <v>0</v>
      </c>
      <c r="X12" s="51"/>
      <c r="Y12" s="51">
        <v>0</v>
      </c>
      <c r="Z12" s="51"/>
      <c r="AA12" s="51">
        <v>0</v>
      </c>
      <c r="AB12" s="51" t="s">
        <v>1114</v>
      </c>
      <c r="AC12" s="51"/>
      <c r="AD12" s="51"/>
      <c r="AE12" s="51"/>
      <c r="AF12" s="51"/>
      <c r="AG12" s="51"/>
      <c r="AH12" s="51"/>
      <c r="AI12" s="51"/>
    </row>
    <row r="13" spans="1:35" x14ac:dyDescent="0.2">
      <c r="A13" s="223">
        <v>1</v>
      </c>
      <c r="B13" s="405" t="s">
        <v>705</v>
      </c>
      <c r="C13" s="405" t="s">
        <v>1248</v>
      </c>
      <c r="D13" s="237" t="s">
        <v>704</v>
      </c>
      <c r="E13" s="237" t="s">
        <v>926</v>
      </c>
      <c r="F13" s="51" t="s">
        <v>926</v>
      </c>
      <c r="G13" s="51">
        <v>0</v>
      </c>
      <c r="H13" s="51"/>
      <c r="I13" s="51">
        <v>0</v>
      </c>
      <c r="J13" s="51"/>
      <c r="K13" s="51">
        <v>0</v>
      </c>
      <c r="L13" s="51"/>
      <c r="M13" s="818">
        <v>0</v>
      </c>
      <c r="N13" s="51"/>
      <c r="O13" s="51">
        <v>0</v>
      </c>
      <c r="P13" s="51"/>
      <c r="Q13" s="51">
        <v>0</v>
      </c>
      <c r="R13" s="51"/>
      <c r="S13" s="51">
        <v>0</v>
      </c>
      <c r="T13" s="51"/>
      <c r="U13" s="51">
        <v>0</v>
      </c>
      <c r="V13" s="51"/>
      <c r="W13" s="51">
        <v>0</v>
      </c>
      <c r="X13" s="51"/>
      <c r="Y13" s="51">
        <v>0</v>
      </c>
      <c r="Z13" s="51"/>
      <c r="AA13" s="51">
        <v>0</v>
      </c>
      <c r="AB13" s="51" t="s">
        <v>1114</v>
      </c>
      <c r="AC13" s="51"/>
      <c r="AD13" s="51"/>
      <c r="AE13" s="51"/>
      <c r="AF13" s="51"/>
      <c r="AG13" s="51"/>
      <c r="AH13" s="51"/>
      <c r="AI13" s="51"/>
    </row>
    <row r="14" spans="1:35" x14ac:dyDescent="0.2">
      <c r="A14" s="223">
        <v>2</v>
      </c>
      <c r="B14" s="405" t="s">
        <v>711</v>
      </c>
      <c r="C14" s="405" t="s">
        <v>1249</v>
      </c>
      <c r="D14" s="237" t="s">
        <v>710</v>
      </c>
      <c r="E14" s="237" t="s">
        <v>826</v>
      </c>
      <c r="F14" s="51" t="s">
        <v>826</v>
      </c>
      <c r="G14" s="51">
        <v>15425031</v>
      </c>
      <c r="H14" s="51"/>
      <c r="I14" s="51">
        <v>-220967</v>
      </c>
      <c r="J14" s="51"/>
      <c r="K14" s="51">
        <v>-644275</v>
      </c>
      <c r="L14" s="51"/>
      <c r="M14" s="818">
        <v>14559789</v>
      </c>
      <c r="N14" s="51"/>
      <c r="O14" s="51">
        <v>0</v>
      </c>
      <c r="P14" s="51"/>
      <c r="Q14" s="51">
        <v>0</v>
      </c>
      <c r="R14" s="51"/>
      <c r="S14" s="51">
        <v>0</v>
      </c>
      <c r="T14" s="51"/>
      <c r="U14" s="51">
        <v>4376671</v>
      </c>
      <c r="V14" s="51"/>
      <c r="W14" s="51">
        <v>10183118</v>
      </c>
      <c r="X14" s="51"/>
      <c r="Y14" s="51">
        <v>872371</v>
      </c>
      <c r="Z14" s="51"/>
      <c r="AA14" s="51">
        <v>872371</v>
      </c>
      <c r="AB14" s="51" t="s">
        <v>1114</v>
      </c>
      <c r="AC14" s="51"/>
      <c r="AD14" s="51"/>
      <c r="AE14" s="51"/>
      <c r="AF14" s="51"/>
      <c r="AG14" s="51"/>
      <c r="AH14" s="51"/>
      <c r="AI14" s="51"/>
    </row>
    <row r="15" spans="1:35" x14ac:dyDescent="0.2">
      <c r="A15" s="223">
        <v>1</v>
      </c>
      <c r="B15" s="405" t="s">
        <v>711</v>
      </c>
      <c r="C15" s="405" t="s">
        <v>1250</v>
      </c>
      <c r="D15" s="237" t="s">
        <v>710</v>
      </c>
      <c r="E15" s="237" t="s">
        <v>927</v>
      </c>
      <c r="F15" s="51" t="s">
        <v>927</v>
      </c>
      <c r="G15" s="51">
        <v>7155241</v>
      </c>
      <c r="H15" s="51"/>
      <c r="I15" s="51">
        <v>0</v>
      </c>
      <c r="J15" s="51"/>
      <c r="K15" s="51">
        <v>0</v>
      </c>
      <c r="L15" s="51"/>
      <c r="M15" s="818">
        <v>7155241</v>
      </c>
      <c r="N15" s="51"/>
      <c r="O15" s="51">
        <v>0</v>
      </c>
      <c r="P15" s="51"/>
      <c r="Q15" s="51">
        <v>0</v>
      </c>
      <c r="R15" s="51"/>
      <c r="S15" s="51">
        <v>0</v>
      </c>
      <c r="T15" s="51"/>
      <c r="U15" s="51">
        <v>7155241</v>
      </c>
      <c r="V15" s="51"/>
      <c r="W15" s="51">
        <v>0</v>
      </c>
      <c r="X15" s="51"/>
      <c r="Y15" s="51">
        <v>0</v>
      </c>
      <c r="Z15" s="51"/>
      <c r="AA15" s="51">
        <v>0</v>
      </c>
      <c r="AB15" s="51" t="s">
        <v>1114</v>
      </c>
      <c r="AC15" s="51"/>
      <c r="AD15" s="51"/>
      <c r="AE15" s="51"/>
      <c r="AF15" s="51"/>
      <c r="AG15" s="51"/>
      <c r="AH15" s="51"/>
      <c r="AI15" s="51"/>
    </row>
    <row r="16" spans="1:35" x14ac:dyDescent="0.2">
      <c r="A16" s="223">
        <v>1</v>
      </c>
      <c r="B16" s="405" t="s">
        <v>717</v>
      </c>
      <c r="C16" s="405" t="s">
        <v>1251</v>
      </c>
      <c r="D16" s="237" t="s">
        <v>716</v>
      </c>
      <c r="E16" s="237" t="s">
        <v>928</v>
      </c>
      <c r="F16" s="51" t="s">
        <v>928</v>
      </c>
      <c r="G16" s="51">
        <v>1573522</v>
      </c>
      <c r="H16" s="51"/>
      <c r="I16" s="51">
        <v>-58000</v>
      </c>
      <c r="J16" s="51"/>
      <c r="K16" s="51">
        <v>-65000</v>
      </c>
      <c r="L16" s="51"/>
      <c r="M16" s="818">
        <v>1450522</v>
      </c>
      <c r="N16" s="51"/>
      <c r="O16" s="51">
        <v>0</v>
      </c>
      <c r="P16" s="51"/>
      <c r="Q16" s="51">
        <v>0</v>
      </c>
      <c r="R16" s="51"/>
      <c r="S16" s="51">
        <v>0</v>
      </c>
      <c r="T16" s="51"/>
      <c r="U16" s="51">
        <v>1609437</v>
      </c>
      <c r="V16" s="51"/>
      <c r="W16" s="51">
        <v>0</v>
      </c>
      <c r="X16" s="51"/>
      <c r="Y16" s="51">
        <v>323998</v>
      </c>
      <c r="Z16" s="51"/>
      <c r="AA16" s="51">
        <v>323998</v>
      </c>
      <c r="AB16" s="51" t="s">
        <v>1114</v>
      </c>
      <c r="AC16" s="51"/>
      <c r="AD16" s="51"/>
      <c r="AE16" s="51"/>
      <c r="AF16" s="51"/>
      <c r="AG16" s="51"/>
      <c r="AH16" s="51"/>
      <c r="AI16" s="51"/>
    </row>
    <row r="17" spans="1:35" x14ac:dyDescent="0.2">
      <c r="A17" s="223">
        <v>2</v>
      </c>
      <c r="B17" s="405" t="s">
        <v>727</v>
      </c>
      <c r="C17" s="405" t="s">
        <v>1252</v>
      </c>
      <c r="D17" s="237" t="s">
        <v>726</v>
      </c>
      <c r="E17" s="237" t="s">
        <v>929</v>
      </c>
      <c r="F17" s="51" t="s">
        <v>929</v>
      </c>
      <c r="G17" s="51">
        <v>0</v>
      </c>
      <c r="H17" s="51"/>
      <c r="I17" s="51">
        <v>0</v>
      </c>
      <c r="J17" s="51"/>
      <c r="K17" s="51">
        <v>0</v>
      </c>
      <c r="L17" s="51"/>
      <c r="M17" s="818">
        <v>0</v>
      </c>
      <c r="N17" s="51"/>
      <c r="O17" s="51">
        <v>0</v>
      </c>
      <c r="P17" s="51"/>
      <c r="Q17" s="51">
        <v>0</v>
      </c>
      <c r="R17" s="51"/>
      <c r="S17" s="51">
        <v>0</v>
      </c>
      <c r="T17" s="51"/>
      <c r="U17" s="51">
        <v>0</v>
      </c>
      <c r="V17" s="51"/>
      <c r="W17" s="51">
        <v>0</v>
      </c>
      <c r="X17" s="51"/>
      <c r="Y17" s="51">
        <v>0</v>
      </c>
      <c r="Z17" s="51"/>
      <c r="AA17" s="51">
        <v>0</v>
      </c>
      <c r="AB17" s="51" t="s">
        <v>1114</v>
      </c>
      <c r="AC17" s="51"/>
      <c r="AD17" s="51"/>
      <c r="AE17" s="51"/>
      <c r="AF17" s="51"/>
      <c r="AG17" s="51"/>
      <c r="AH17" s="51"/>
      <c r="AI17" s="51"/>
    </row>
    <row r="18" spans="1:35" x14ac:dyDescent="0.2">
      <c r="A18" s="223">
        <v>3</v>
      </c>
      <c r="B18" s="405" t="s">
        <v>727</v>
      </c>
      <c r="C18" s="405" t="s">
        <v>1253</v>
      </c>
      <c r="D18" s="237" t="s">
        <v>726</v>
      </c>
      <c r="E18" s="237" t="s">
        <v>930</v>
      </c>
      <c r="F18" s="51" t="s">
        <v>930</v>
      </c>
      <c r="G18" s="51">
        <v>0</v>
      </c>
      <c r="H18" s="51"/>
      <c r="I18" s="51">
        <v>0</v>
      </c>
      <c r="J18" s="51"/>
      <c r="K18" s="51">
        <v>0</v>
      </c>
      <c r="L18" s="51"/>
      <c r="M18" s="818">
        <v>0</v>
      </c>
      <c r="N18" s="51"/>
      <c r="O18" s="51">
        <v>0</v>
      </c>
      <c r="P18" s="51"/>
      <c r="Q18" s="51">
        <v>0</v>
      </c>
      <c r="R18" s="51"/>
      <c r="S18" s="51">
        <v>0</v>
      </c>
      <c r="T18" s="51"/>
      <c r="U18" s="51">
        <v>0</v>
      </c>
      <c r="V18" s="51"/>
      <c r="W18" s="51">
        <v>0</v>
      </c>
      <c r="X18" s="51"/>
      <c r="Y18" s="51">
        <v>0</v>
      </c>
      <c r="Z18" s="51"/>
      <c r="AA18" s="51">
        <v>0</v>
      </c>
      <c r="AB18" s="51" t="s">
        <v>1114</v>
      </c>
      <c r="AC18" s="51"/>
      <c r="AD18" s="51"/>
      <c r="AE18" s="51"/>
      <c r="AF18" s="51"/>
      <c r="AG18" s="51"/>
      <c r="AH18" s="51"/>
      <c r="AI18" s="51"/>
    </row>
    <row r="19" spans="1:35" x14ac:dyDescent="0.2">
      <c r="A19" s="223">
        <v>1</v>
      </c>
      <c r="B19" s="405" t="s">
        <v>727</v>
      </c>
      <c r="C19" s="405" t="s">
        <v>1254</v>
      </c>
      <c r="D19" s="237" t="s">
        <v>726</v>
      </c>
      <c r="E19" s="237" t="s">
        <v>931</v>
      </c>
      <c r="F19" s="51" t="s">
        <v>931</v>
      </c>
      <c r="G19" s="51">
        <v>0</v>
      </c>
      <c r="H19" s="51"/>
      <c r="I19" s="51">
        <v>0</v>
      </c>
      <c r="J19" s="51"/>
      <c r="K19" s="51">
        <v>0</v>
      </c>
      <c r="L19" s="51"/>
      <c r="M19" s="818">
        <v>0</v>
      </c>
      <c r="N19" s="51"/>
      <c r="O19" s="51">
        <v>0</v>
      </c>
      <c r="P19" s="51"/>
      <c r="Q19" s="51">
        <v>0</v>
      </c>
      <c r="R19" s="51"/>
      <c r="S19" s="51">
        <v>0</v>
      </c>
      <c r="T19" s="51"/>
      <c r="U19" s="51">
        <v>0</v>
      </c>
      <c r="V19" s="51"/>
      <c r="W19" s="51">
        <v>0</v>
      </c>
      <c r="X19" s="51"/>
      <c r="Y19" s="51">
        <v>0</v>
      </c>
      <c r="Z19" s="51"/>
      <c r="AA19" s="51">
        <v>0</v>
      </c>
      <c r="AB19" s="51" t="s">
        <v>1114</v>
      </c>
      <c r="AC19" s="51"/>
      <c r="AD19" s="51"/>
      <c r="AE19" s="51"/>
      <c r="AF19" s="51"/>
      <c r="AG19" s="51"/>
      <c r="AH19" s="51"/>
      <c r="AI19" s="51"/>
    </row>
    <row r="20" spans="1:35" x14ac:dyDescent="0.2">
      <c r="A20" s="223">
        <v>2</v>
      </c>
      <c r="B20" s="405" t="s">
        <v>739</v>
      </c>
      <c r="C20" s="405" t="s">
        <v>1255</v>
      </c>
      <c r="D20" s="237" t="s">
        <v>738</v>
      </c>
      <c r="E20" s="237" t="s">
        <v>794</v>
      </c>
      <c r="F20" s="51" t="s">
        <v>794</v>
      </c>
      <c r="G20" s="51">
        <v>18227597</v>
      </c>
      <c r="H20" s="51"/>
      <c r="I20" s="51">
        <v>-318983</v>
      </c>
      <c r="J20" s="51"/>
      <c r="K20" s="51">
        <v>-856697</v>
      </c>
      <c r="L20" s="51"/>
      <c r="M20" s="818">
        <v>17051917</v>
      </c>
      <c r="N20" s="51"/>
      <c r="O20" s="51">
        <v>0</v>
      </c>
      <c r="P20" s="51"/>
      <c r="Q20" s="51">
        <v>0</v>
      </c>
      <c r="R20" s="51"/>
      <c r="S20" s="51">
        <v>4141</v>
      </c>
      <c r="T20" s="51"/>
      <c r="U20" s="51">
        <v>15095524</v>
      </c>
      <c r="V20" s="51"/>
      <c r="W20" s="51">
        <v>1960534</v>
      </c>
      <c r="X20" s="51"/>
      <c r="Y20" s="51">
        <v>914490</v>
      </c>
      <c r="Z20" s="51"/>
      <c r="AA20" s="51">
        <v>914490</v>
      </c>
      <c r="AB20" s="51" t="s">
        <v>1114</v>
      </c>
      <c r="AC20" s="51"/>
      <c r="AD20" s="51"/>
      <c r="AE20" s="51"/>
      <c r="AF20" s="51"/>
      <c r="AG20" s="51"/>
      <c r="AH20" s="51"/>
      <c r="AI20" s="51"/>
    </row>
    <row r="21" spans="1:35" x14ac:dyDescent="0.2">
      <c r="A21" s="223">
        <v>3</v>
      </c>
      <c r="B21" s="405" t="s">
        <v>739</v>
      </c>
      <c r="C21" s="405" t="s">
        <v>1256</v>
      </c>
      <c r="D21" s="237" t="s">
        <v>738</v>
      </c>
      <c r="E21" s="237" t="s">
        <v>793</v>
      </c>
      <c r="F21" s="51" t="s">
        <v>793</v>
      </c>
      <c r="G21" s="51">
        <v>13838475</v>
      </c>
      <c r="H21" s="51"/>
      <c r="I21" s="51">
        <v>-242173</v>
      </c>
      <c r="J21" s="51"/>
      <c r="K21" s="51">
        <v>-650409</v>
      </c>
      <c r="L21" s="51"/>
      <c r="M21" s="818">
        <v>12945893</v>
      </c>
      <c r="N21" s="51"/>
      <c r="O21" s="51">
        <v>153088</v>
      </c>
      <c r="P21" s="51"/>
      <c r="Q21" s="51">
        <v>0</v>
      </c>
      <c r="R21" s="51"/>
      <c r="S21" s="51">
        <v>2410</v>
      </c>
      <c r="T21" s="51"/>
      <c r="U21" s="51">
        <v>7415105</v>
      </c>
      <c r="V21" s="51"/>
      <c r="W21" s="51">
        <v>5380110</v>
      </c>
      <c r="X21" s="51"/>
      <c r="Y21" s="51">
        <v>0</v>
      </c>
      <c r="Z21" s="51"/>
      <c r="AA21" s="51">
        <v>0</v>
      </c>
      <c r="AB21" s="51" t="s">
        <v>1114</v>
      </c>
      <c r="AC21" s="51"/>
      <c r="AD21" s="51"/>
      <c r="AE21" s="51"/>
      <c r="AF21" s="51"/>
      <c r="AG21" s="51"/>
      <c r="AH21" s="51"/>
      <c r="AI21" s="51"/>
    </row>
    <row r="22" spans="1:35" x14ac:dyDescent="0.2">
      <c r="A22" s="223">
        <v>1</v>
      </c>
      <c r="B22" s="405" t="s">
        <v>739</v>
      </c>
      <c r="C22" s="405" t="s">
        <v>1257</v>
      </c>
      <c r="D22" s="237" t="s">
        <v>738</v>
      </c>
      <c r="E22" s="237" t="s">
        <v>932</v>
      </c>
      <c r="F22" s="51" t="s">
        <v>932</v>
      </c>
      <c r="G22" s="51">
        <v>4769622</v>
      </c>
      <c r="H22" s="51"/>
      <c r="I22" s="51">
        <v>-83468</v>
      </c>
      <c r="J22" s="51"/>
      <c r="K22" s="51">
        <v>-224171</v>
      </c>
      <c r="L22" s="51"/>
      <c r="M22" s="818">
        <v>4461983</v>
      </c>
      <c r="N22" s="51"/>
      <c r="O22" s="51">
        <v>0</v>
      </c>
      <c r="P22" s="51"/>
      <c r="Q22" s="51">
        <v>0</v>
      </c>
      <c r="R22" s="51"/>
      <c r="S22" s="51">
        <v>-109935</v>
      </c>
      <c r="T22" s="51"/>
      <c r="U22" s="51">
        <v>4082788</v>
      </c>
      <c r="V22" s="51"/>
      <c r="W22" s="51">
        <v>269260</v>
      </c>
      <c r="X22" s="51"/>
      <c r="Y22" s="51">
        <v>700000</v>
      </c>
      <c r="Z22" s="51"/>
      <c r="AA22" s="51">
        <v>700000</v>
      </c>
      <c r="AB22" s="51" t="s">
        <v>1114</v>
      </c>
      <c r="AC22" s="51"/>
      <c r="AD22" s="51"/>
      <c r="AE22" s="51"/>
      <c r="AF22" s="51"/>
      <c r="AG22" s="51"/>
      <c r="AH22" s="51"/>
      <c r="AI22" s="51"/>
    </row>
    <row r="23" spans="1:35" x14ac:dyDescent="0.2">
      <c r="A23" s="223">
        <v>1</v>
      </c>
      <c r="B23" s="405" t="s">
        <v>749</v>
      </c>
      <c r="C23" s="405" t="s">
        <v>1258</v>
      </c>
      <c r="D23" s="237" t="s">
        <v>748</v>
      </c>
      <c r="E23" s="237" t="s">
        <v>795</v>
      </c>
      <c r="F23" s="51" t="s">
        <v>795</v>
      </c>
      <c r="G23" s="51">
        <v>430417</v>
      </c>
      <c r="H23" s="51"/>
      <c r="I23" s="51">
        <v>0</v>
      </c>
      <c r="J23" s="51"/>
      <c r="K23" s="51">
        <v>0</v>
      </c>
      <c r="L23" s="51"/>
      <c r="M23" s="818">
        <v>430417</v>
      </c>
      <c r="N23" s="51"/>
      <c r="O23" s="51">
        <v>0</v>
      </c>
      <c r="P23" s="51"/>
      <c r="Q23" s="51">
        <v>0</v>
      </c>
      <c r="R23" s="51"/>
      <c r="S23" s="51">
        <v>0</v>
      </c>
      <c r="T23" s="51"/>
      <c r="U23" s="51">
        <v>1266763</v>
      </c>
      <c r="V23" s="51"/>
      <c r="W23" s="51">
        <v>0</v>
      </c>
      <c r="X23" s="51"/>
      <c r="Y23" s="51">
        <v>110000</v>
      </c>
      <c r="Z23" s="51"/>
      <c r="AA23" s="51">
        <v>110000</v>
      </c>
      <c r="AB23" s="51" t="s">
        <v>1114</v>
      </c>
      <c r="AC23" s="51"/>
      <c r="AD23" s="51"/>
      <c r="AE23" s="51"/>
      <c r="AF23" s="51"/>
      <c r="AG23" s="51"/>
      <c r="AH23" s="51"/>
      <c r="AI23" s="51"/>
    </row>
    <row r="24" spans="1:35" x14ac:dyDescent="0.2">
      <c r="A24" s="223">
        <v>1</v>
      </c>
      <c r="B24" s="405" t="s">
        <v>755</v>
      </c>
      <c r="C24" s="405" t="s">
        <v>1259</v>
      </c>
      <c r="D24" s="237" t="s">
        <v>754</v>
      </c>
      <c r="E24" s="237" t="s">
        <v>933</v>
      </c>
      <c r="F24" s="51" t="s">
        <v>933</v>
      </c>
      <c r="G24" s="51">
        <v>0</v>
      </c>
      <c r="H24" s="51"/>
      <c r="I24" s="51">
        <v>0</v>
      </c>
      <c r="J24" s="51"/>
      <c r="K24" s="51">
        <v>0</v>
      </c>
      <c r="L24" s="51"/>
      <c r="M24" s="818">
        <v>0</v>
      </c>
      <c r="N24" s="51"/>
      <c r="O24" s="51">
        <v>0</v>
      </c>
      <c r="P24" s="51"/>
      <c r="Q24" s="51">
        <v>0</v>
      </c>
      <c r="R24" s="51"/>
      <c r="S24" s="51">
        <v>0</v>
      </c>
      <c r="T24" s="51"/>
      <c r="U24" s="51">
        <v>0</v>
      </c>
      <c r="V24" s="51"/>
      <c r="W24" s="51">
        <v>0</v>
      </c>
      <c r="X24" s="51"/>
      <c r="Y24" s="51">
        <v>0</v>
      </c>
      <c r="Z24" s="51"/>
      <c r="AA24" s="51">
        <v>0</v>
      </c>
      <c r="AB24" s="51" t="s">
        <v>1114</v>
      </c>
      <c r="AC24" s="51"/>
      <c r="AD24" s="51"/>
      <c r="AE24" s="51"/>
      <c r="AF24" s="51"/>
      <c r="AG24" s="51"/>
      <c r="AH24" s="51"/>
      <c r="AI24" s="51"/>
    </row>
    <row r="25" spans="1:35" x14ac:dyDescent="0.2">
      <c r="A25" s="223">
        <v>1</v>
      </c>
      <c r="B25" s="405" t="s">
        <v>765</v>
      </c>
      <c r="C25" s="405" t="s">
        <v>1260</v>
      </c>
      <c r="D25" s="237" t="s">
        <v>764</v>
      </c>
      <c r="E25" s="237" t="s">
        <v>934</v>
      </c>
      <c r="F25" s="51" t="s">
        <v>934</v>
      </c>
      <c r="G25" s="51">
        <v>1740697</v>
      </c>
      <c r="H25" s="51"/>
      <c r="I25" s="51">
        <v>-812</v>
      </c>
      <c r="J25" s="51"/>
      <c r="K25" s="51">
        <v>-36485</v>
      </c>
      <c r="L25" s="51"/>
      <c r="M25" s="818">
        <v>1703400</v>
      </c>
      <c r="N25" s="51"/>
      <c r="O25" s="51">
        <v>5476</v>
      </c>
      <c r="P25" s="51"/>
      <c r="Q25" s="51">
        <v>0</v>
      </c>
      <c r="R25" s="51"/>
      <c r="S25" s="51">
        <v>426</v>
      </c>
      <c r="T25" s="51"/>
      <c r="U25" s="51">
        <v>1743197</v>
      </c>
      <c r="V25" s="51"/>
      <c r="W25" s="51">
        <v>0</v>
      </c>
      <c r="X25" s="51"/>
      <c r="Y25" s="51">
        <v>297594</v>
      </c>
      <c r="Z25" s="51"/>
      <c r="AA25" s="51">
        <v>297594</v>
      </c>
      <c r="AB25" s="51" t="s">
        <v>1114</v>
      </c>
      <c r="AC25" s="51"/>
      <c r="AD25" s="51"/>
      <c r="AE25" s="51"/>
      <c r="AF25" s="51"/>
      <c r="AG25" s="51"/>
      <c r="AH25" s="51"/>
      <c r="AI25" s="51"/>
    </row>
    <row r="26" spans="1:35" x14ac:dyDescent="0.2">
      <c r="A26" s="223">
        <v>2</v>
      </c>
      <c r="B26" s="405" t="s">
        <v>771</v>
      </c>
      <c r="C26" s="405" t="s">
        <v>1261</v>
      </c>
      <c r="D26" s="237" t="s">
        <v>770</v>
      </c>
      <c r="E26" s="237" t="s">
        <v>935</v>
      </c>
      <c r="F26" s="51" t="s">
        <v>935</v>
      </c>
      <c r="G26" s="51">
        <v>0</v>
      </c>
      <c r="H26" s="51"/>
      <c r="I26" s="51">
        <v>0</v>
      </c>
      <c r="J26" s="51"/>
      <c r="K26" s="51">
        <v>0</v>
      </c>
      <c r="L26" s="51"/>
      <c r="M26" s="818">
        <v>0</v>
      </c>
      <c r="N26" s="51"/>
      <c r="O26" s="51">
        <v>0</v>
      </c>
      <c r="P26" s="51"/>
      <c r="Q26" s="51">
        <v>0</v>
      </c>
      <c r="R26" s="51"/>
      <c r="S26" s="51">
        <v>0</v>
      </c>
      <c r="T26" s="51"/>
      <c r="U26" s="51">
        <v>0</v>
      </c>
      <c r="V26" s="51"/>
      <c r="W26" s="51">
        <v>0</v>
      </c>
      <c r="X26" s="51"/>
      <c r="Y26" s="51">
        <v>0</v>
      </c>
      <c r="Z26" s="51"/>
      <c r="AA26" s="51">
        <v>0</v>
      </c>
      <c r="AB26" s="51" t="s">
        <v>1114</v>
      </c>
      <c r="AC26" s="51"/>
      <c r="AD26" s="51"/>
      <c r="AE26" s="51"/>
      <c r="AF26" s="51"/>
      <c r="AG26" s="51"/>
      <c r="AH26" s="51"/>
      <c r="AI26" s="51"/>
    </row>
    <row r="27" spans="1:35" x14ac:dyDescent="0.2">
      <c r="A27" s="223">
        <v>1</v>
      </c>
      <c r="B27" s="405" t="s">
        <v>771</v>
      </c>
      <c r="C27" s="405" t="s">
        <v>1262</v>
      </c>
      <c r="D27" s="237" t="s">
        <v>770</v>
      </c>
      <c r="E27" s="237" t="s">
        <v>936</v>
      </c>
      <c r="F27" s="51" t="s">
        <v>936</v>
      </c>
      <c r="G27" s="51">
        <v>871680</v>
      </c>
      <c r="H27" s="51"/>
      <c r="I27" s="51">
        <v>-4358</v>
      </c>
      <c r="J27" s="51"/>
      <c r="K27" s="51">
        <v>-34867</v>
      </c>
      <c r="L27" s="51"/>
      <c r="M27" s="818">
        <v>832455</v>
      </c>
      <c r="N27" s="51"/>
      <c r="O27" s="51">
        <v>0</v>
      </c>
      <c r="P27" s="51"/>
      <c r="Q27" s="51">
        <v>0</v>
      </c>
      <c r="R27" s="51"/>
      <c r="S27" s="51">
        <v>0</v>
      </c>
      <c r="T27" s="51"/>
      <c r="U27" s="51">
        <v>127427</v>
      </c>
      <c r="V27" s="51"/>
      <c r="W27" s="51">
        <v>705028</v>
      </c>
      <c r="X27" s="51"/>
      <c r="Y27" s="51">
        <v>6400</v>
      </c>
      <c r="Z27" s="51"/>
      <c r="AA27" s="51">
        <v>6400</v>
      </c>
      <c r="AB27" s="51" t="s">
        <v>1114</v>
      </c>
      <c r="AC27" s="51"/>
      <c r="AD27" s="51"/>
      <c r="AE27" s="51"/>
      <c r="AF27" s="51"/>
      <c r="AG27" s="51"/>
      <c r="AH27" s="51"/>
      <c r="AI27" s="51"/>
    </row>
    <row r="28" spans="1:35" x14ac:dyDescent="0.2">
      <c r="A28" s="223">
        <v>1</v>
      </c>
      <c r="B28" s="405" t="s">
        <v>779</v>
      </c>
      <c r="C28" s="405" t="s">
        <v>1263</v>
      </c>
      <c r="D28" s="237" t="s">
        <v>778</v>
      </c>
      <c r="E28" s="237" t="s">
        <v>937</v>
      </c>
      <c r="F28" s="51" t="s">
        <v>937</v>
      </c>
      <c r="G28" s="51">
        <v>2935043</v>
      </c>
      <c r="H28" s="51"/>
      <c r="I28" s="51">
        <v>-25766</v>
      </c>
      <c r="J28" s="51"/>
      <c r="K28" s="51">
        <v>0</v>
      </c>
      <c r="L28" s="51"/>
      <c r="M28" s="818">
        <v>2909277</v>
      </c>
      <c r="N28" s="51"/>
      <c r="O28" s="51">
        <v>0</v>
      </c>
      <c r="P28" s="51"/>
      <c r="Q28" s="51">
        <v>0</v>
      </c>
      <c r="R28" s="51"/>
      <c r="S28" s="51">
        <v>20490</v>
      </c>
      <c r="T28" s="51"/>
      <c r="U28" s="51">
        <v>2413001</v>
      </c>
      <c r="V28" s="51"/>
      <c r="W28" s="51">
        <v>516766</v>
      </c>
      <c r="X28" s="51"/>
      <c r="Y28" s="51">
        <v>356784</v>
      </c>
      <c r="Z28" s="51"/>
      <c r="AA28" s="51">
        <v>356784</v>
      </c>
      <c r="AB28" s="51" t="s">
        <v>1114</v>
      </c>
      <c r="AC28" s="51"/>
      <c r="AD28" s="51"/>
      <c r="AE28" s="51"/>
      <c r="AF28" s="51"/>
      <c r="AG28" s="51"/>
      <c r="AH28" s="51"/>
      <c r="AI28" s="51"/>
    </row>
    <row r="29" spans="1:35" x14ac:dyDescent="0.2">
      <c r="A29" s="223">
        <v>2</v>
      </c>
      <c r="B29" s="405" t="s">
        <v>780</v>
      </c>
      <c r="C29" s="405" t="s">
        <v>1264</v>
      </c>
      <c r="D29" s="237" t="s">
        <v>546</v>
      </c>
      <c r="E29" s="237" t="s">
        <v>938</v>
      </c>
      <c r="F29" s="51" t="s">
        <v>938</v>
      </c>
      <c r="G29" s="51">
        <v>168448</v>
      </c>
      <c r="H29" s="51"/>
      <c r="I29" s="51">
        <v>0</v>
      </c>
      <c r="J29" s="51"/>
      <c r="K29" s="51">
        <v>0</v>
      </c>
      <c r="L29" s="51"/>
      <c r="M29" s="818">
        <v>168448</v>
      </c>
      <c r="N29" s="51"/>
      <c r="O29" s="51">
        <v>0</v>
      </c>
      <c r="P29" s="51"/>
      <c r="Q29" s="51">
        <v>0</v>
      </c>
      <c r="R29" s="51"/>
      <c r="S29" s="51">
        <v>0</v>
      </c>
      <c r="T29" s="51"/>
      <c r="U29" s="51">
        <v>153684</v>
      </c>
      <c r="V29" s="51"/>
      <c r="W29" s="51">
        <v>14764</v>
      </c>
      <c r="X29" s="51"/>
      <c r="Y29" s="51">
        <v>0</v>
      </c>
      <c r="Z29" s="51"/>
      <c r="AA29" s="51">
        <v>0</v>
      </c>
      <c r="AB29" s="51" t="s">
        <v>1114</v>
      </c>
      <c r="AC29" s="51"/>
      <c r="AD29" s="51"/>
      <c r="AE29" s="51"/>
      <c r="AF29" s="51"/>
      <c r="AG29" s="51"/>
      <c r="AH29" s="51"/>
      <c r="AI29" s="51"/>
    </row>
    <row r="30" spans="1:35" x14ac:dyDescent="0.2">
      <c r="A30" s="223">
        <v>3</v>
      </c>
      <c r="B30" s="405" t="s">
        <v>780</v>
      </c>
      <c r="C30" s="405" t="s">
        <v>1265</v>
      </c>
      <c r="D30" s="237" t="s">
        <v>546</v>
      </c>
      <c r="E30" s="237" t="s">
        <v>939</v>
      </c>
      <c r="F30" s="51" t="s">
        <v>939</v>
      </c>
      <c r="G30" s="51">
        <v>0</v>
      </c>
      <c r="H30" s="51"/>
      <c r="I30" s="51">
        <v>0</v>
      </c>
      <c r="J30" s="51"/>
      <c r="K30" s="51">
        <v>0</v>
      </c>
      <c r="L30" s="51"/>
      <c r="M30" s="818">
        <v>0</v>
      </c>
      <c r="N30" s="51"/>
      <c r="O30" s="51">
        <v>0</v>
      </c>
      <c r="P30" s="51"/>
      <c r="Q30" s="51">
        <v>0</v>
      </c>
      <c r="R30" s="51"/>
      <c r="S30" s="51">
        <v>0</v>
      </c>
      <c r="T30" s="51"/>
      <c r="U30" s="51">
        <v>0</v>
      </c>
      <c r="V30" s="51"/>
      <c r="W30" s="51">
        <v>0</v>
      </c>
      <c r="X30" s="51"/>
      <c r="Y30" s="51">
        <v>75264</v>
      </c>
      <c r="Z30" s="51"/>
      <c r="AA30" s="51">
        <v>75264</v>
      </c>
      <c r="AB30" s="51" t="s">
        <v>1114</v>
      </c>
      <c r="AC30" s="51"/>
      <c r="AD30" s="51"/>
      <c r="AE30" s="51"/>
      <c r="AF30" s="51"/>
      <c r="AG30" s="51"/>
      <c r="AH30" s="51"/>
      <c r="AI30" s="51"/>
    </row>
    <row r="31" spans="1:35" x14ac:dyDescent="0.2">
      <c r="A31" s="223">
        <v>4</v>
      </c>
      <c r="B31" s="405" t="s">
        <v>780</v>
      </c>
      <c r="C31" s="405" t="s">
        <v>1266</v>
      </c>
      <c r="D31" s="237" t="s">
        <v>546</v>
      </c>
      <c r="E31" s="237" t="s">
        <v>940</v>
      </c>
      <c r="F31" s="51" t="s">
        <v>940</v>
      </c>
      <c r="G31" s="51">
        <v>0</v>
      </c>
      <c r="H31" s="51"/>
      <c r="I31" s="51">
        <v>0</v>
      </c>
      <c r="J31" s="51"/>
      <c r="K31" s="51">
        <v>0</v>
      </c>
      <c r="L31" s="51"/>
      <c r="M31" s="818">
        <v>0</v>
      </c>
      <c r="N31" s="51"/>
      <c r="O31" s="51">
        <v>0</v>
      </c>
      <c r="P31" s="51"/>
      <c r="Q31" s="51">
        <v>0</v>
      </c>
      <c r="R31" s="51"/>
      <c r="S31" s="51">
        <v>0</v>
      </c>
      <c r="T31" s="51"/>
      <c r="U31" s="51">
        <v>0</v>
      </c>
      <c r="V31" s="51"/>
      <c r="W31" s="51">
        <v>0</v>
      </c>
      <c r="X31" s="51"/>
      <c r="Y31" s="51">
        <v>0</v>
      </c>
      <c r="Z31" s="51"/>
      <c r="AA31" s="51">
        <v>0</v>
      </c>
      <c r="AB31" s="51" t="s">
        <v>1114</v>
      </c>
      <c r="AC31" s="51"/>
      <c r="AD31" s="51"/>
      <c r="AE31" s="51"/>
      <c r="AF31" s="51"/>
      <c r="AG31" s="51"/>
      <c r="AH31" s="51"/>
      <c r="AI31" s="51"/>
    </row>
    <row r="32" spans="1:35" x14ac:dyDescent="0.2">
      <c r="A32" s="223">
        <v>5</v>
      </c>
      <c r="B32" s="405" t="s">
        <v>780</v>
      </c>
      <c r="C32" s="405" t="s">
        <v>1267</v>
      </c>
      <c r="D32" s="237" t="s">
        <v>546</v>
      </c>
      <c r="E32" s="237" t="s">
        <v>941</v>
      </c>
      <c r="F32" s="51" t="s">
        <v>941</v>
      </c>
      <c r="G32" s="51">
        <v>0</v>
      </c>
      <c r="H32" s="51"/>
      <c r="I32" s="51">
        <v>0</v>
      </c>
      <c r="J32" s="51"/>
      <c r="K32" s="51">
        <v>0</v>
      </c>
      <c r="L32" s="51"/>
      <c r="M32" s="818">
        <v>0</v>
      </c>
      <c r="N32" s="51"/>
      <c r="O32" s="51">
        <v>0</v>
      </c>
      <c r="P32" s="51"/>
      <c r="Q32" s="51">
        <v>0</v>
      </c>
      <c r="R32" s="51"/>
      <c r="S32" s="51">
        <v>0</v>
      </c>
      <c r="T32" s="51"/>
      <c r="U32" s="51">
        <v>0</v>
      </c>
      <c r="V32" s="51"/>
      <c r="W32" s="51">
        <v>0</v>
      </c>
      <c r="X32" s="51"/>
      <c r="Y32" s="51">
        <v>0</v>
      </c>
      <c r="Z32" s="51"/>
      <c r="AA32" s="51">
        <v>0</v>
      </c>
      <c r="AB32" s="51" t="s">
        <v>1114</v>
      </c>
      <c r="AC32" s="51"/>
      <c r="AD32" s="51"/>
      <c r="AE32" s="51"/>
      <c r="AF32" s="51"/>
      <c r="AG32" s="51"/>
      <c r="AH32" s="51"/>
      <c r="AI32" s="51"/>
    </row>
    <row r="33" spans="1:35" x14ac:dyDescent="0.2">
      <c r="A33" s="223">
        <v>6</v>
      </c>
      <c r="B33" s="405" t="s">
        <v>780</v>
      </c>
      <c r="C33" s="405" t="s">
        <v>1268</v>
      </c>
      <c r="D33" s="237" t="s">
        <v>546</v>
      </c>
      <c r="E33" s="237" t="s">
        <v>942</v>
      </c>
      <c r="F33" s="51" t="s">
        <v>942</v>
      </c>
      <c r="G33" s="51">
        <v>0</v>
      </c>
      <c r="H33" s="51"/>
      <c r="I33" s="51">
        <v>0</v>
      </c>
      <c r="J33" s="51"/>
      <c r="K33" s="51">
        <v>0</v>
      </c>
      <c r="L33" s="51"/>
      <c r="M33" s="818">
        <v>0</v>
      </c>
      <c r="N33" s="51"/>
      <c r="O33" s="51">
        <v>0</v>
      </c>
      <c r="P33" s="51"/>
      <c r="Q33" s="51">
        <v>0</v>
      </c>
      <c r="R33" s="51"/>
      <c r="S33" s="51">
        <v>0</v>
      </c>
      <c r="T33" s="51"/>
      <c r="U33" s="51">
        <v>0</v>
      </c>
      <c r="V33" s="51"/>
      <c r="W33" s="51">
        <v>0</v>
      </c>
      <c r="X33" s="51"/>
      <c r="Y33" s="51">
        <v>109882</v>
      </c>
      <c r="Z33" s="51"/>
      <c r="AA33" s="51">
        <v>109882</v>
      </c>
      <c r="AB33" s="51" t="s">
        <v>1114</v>
      </c>
      <c r="AC33" s="51"/>
      <c r="AD33" s="51"/>
      <c r="AE33" s="51"/>
      <c r="AF33" s="51"/>
      <c r="AG33" s="51"/>
      <c r="AH33" s="51"/>
      <c r="AI33" s="51"/>
    </row>
    <row r="34" spans="1:35" x14ac:dyDescent="0.2">
      <c r="A34" s="223">
        <v>7</v>
      </c>
      <c r="B34" s="405" t="s">
        <v>780</v>
      </c>
      <c r="C34" s="405" t="s">
        <v>1269</v>
      </c>
      <c r="D34" s="237" t="s">
        <v>546</v>
      </c>
      <c r="E34" s="237" t="s">
        <v>943</v>
      </c>
      <c r="F34" s="51" t="s">
        <v>943</v>
      </c>
      <c r="G34" s="51">
        <v>0</v>
      </c>
      <c r="H34" s="51"/>
      <c r="I34" s="51">
        <v>0</v>
      </c>
      <c r="J34" s="51"/>
      <c r="K34" s="51">
        <v>0</v>
      </c>
      <c r="L34" s="51"/>
      <c r="M34" s="818">
        <v>0</v>
      </c>
      <c r="N34" s="51"/>
      <c r="O34" s="51">
        <v>0</v>
      </c>
      <c r="P34" s="51"/>
      <c r="Q34" s="51">
        <v>0</v>
      </c>
      <c r="R34" s="51"/>
      <c r="S34" s="51">
        <v>0</v>
      </c>
      <c r="T34" s="51"/>
      <c r="U34" s="51">
        <v>0</v>
      </c>
      <c r="V34" s="51"/>
      <c r="W34" s="51">
        <v>0</v>
      </c>
      <c r="X34" s="51"/>
      <c r="Y34" s="51">
        <v>0</v>
      </c>
      <c r="Z34" s="51"/>
      <c r="AA34" s="51">
        <v>0</v>
      </c>
      <c r="AB34" s="51" t="s">
        <v>1114</v>
      </c>
      <c r="AC34" s="51"/>
      <c r="AD34" s="51"/>
      <c r="AE34" s="51"/>
      <c r="AF34" s="51"/>
      <c r="AG34" s="51"/>
      <c r="AH34" s="51"/>
      <c r="AI34" s="51"/>
    </row>
    <row r="35" spans="1:35" x14ac:dyDescent="0.2">
      <c r="A35" s="223">
        <v>8</v>
      </c>
      <c r="B35" s="405" t="s">
        <v>780</v>
      </c>
      <c r="C35" s="405" t="s">
        <v>1270</v>
      </c>
      <c r="D35" s="237" t="s">
        <v>546</v>
      </c>
      <c r="E35" s="237" t="s">
        <v>944</v>
      </c>
      <c r="F35" s="51" t="s">
        <v>944</v>
      </c>
      <c r="G35" s="51">
        <v>0</v>
      </c>
      <c r="H35" s="51"/>
      <c r="I35" s="51">
        <v>0</v>
      </c>
      <c r="J35" s="51"/>
      <c r="K35" s="51">
        <v>0</v>
      </c>
      <c r="L35" s="51"/>
      <c r="M35" s="818">
        <v>0</v>
      </c>
      <c r="N35" s="51"/>
      <c r="O35" s="51">
        <v>0</v>
      </c>
      <c r="P35" s="51"/>
      <c r="Q35" s="51">
        <v>0</v>
      </c>
      <c r="R35" s="51"/>
      <c r="S35" s="51">
        <v>0</v>
      </c>
      <c r="T35" s="51"/>
      <c r="U35" s="51">
        <v>0</v>
      </c>
      <c r="V35" s="51"/>
      <c r="W35" s="51">
        <v>0</v>
      </c>
      <c r="X35" s="51"/>
      <c r="Y35" s="51">
        <v>0</v>
      </c>
      <c r="Z35" s="51"/>
      <c r="AA35" s="51">
        <v>0</v>
      </c>
      <c r="AB35" s="51" t="s">
        <v>1114</v>
      </c>
      <c r="AC35" s="51"/>
      <c r="AD35" s="51"/>
      <c r="AE35" s="51"/>
      <c r="AF35" s="51"/>
      <c r="AG35" s="51"/>
      <c r="AH35" s="51"/>
      <c r="AI35" s="51"/>
    </row>
    <row r="36" spans="1:35" x14ac:dyDescent="0.2">
      <c r="A36" s="223">
        <v>9</v>
      </c>
      <c r="B36" s="405" t="s">
        <v>780</v>
      </c>
      <c r="C36" s="405" t="s">
        <v>1271</v>
      </c>
      <c r="D36" s="237" t="s">
        <v>546</v>
      </c>
      <c r="E36" s="237" t="s">
        <v>945</v>
      </c>
      <c r="F36" s="51" t="s">
        <v>945</v>
      </c>
      <c r="G36" s="51">
        <v>35145</v>
      </c>
      <c r="H36" s="51"/>
      <c r="I36" s="51">
        <v>0</v>
      </c>
      <c r="J36" s="51"/>
      <c r="K36" s="51">
        <v>0</v>
      </c>
      <c r="L36" s="51"/>
      <c r="M36" s="818">
        <v>35145</v>
      </c>
      <c r="N36" s="51"/>
      <c r="O36" s="51">
        <v>0</v>
      </c>
      <c r="P36" s="51"/>
      <c r="Q36" s="51">
        <v>0</v>
      </c>
      <c r="R36" s="51"/>
      <c r="S36" s="51">
        <v>0</v>
      </c>
      <c r="T36" s="51"/>
      <c r="U36" s="51">
        <v>25593</v>
      </c>
      <c r="V36" s="51"/>
      <c r="W36" s="51">
        <v>9552</v>
      </c>
      <c r="X36" s="51"/>
      <c r="Y36" s="51">
        <v>67000</v>
      </c>
      <c r="Z36" s="51"/>
      <c r="AA36" s="51">
        <v>67000</v>
      </c>
      <c r="AB36" s="51" t="s">
        <v>1114</v>
      </c>
      <c r="AC36" s="51"/>
      <c r="AD36" s="51"/>
      <c r="AE36" s="51"/>
      <c r="AF36" s="51"/>
      <c r="AG36" s="51"/>
      <c r="AH36" s="51"/>
      <c r="AI36" s="51"/>
    </row>
    <row r="37" spans="1:35" x14ac:dyDescent="0.2">
      <c r="A37" s="223">
        <v>10</v>
      </c>
      <c r="B37" s="405" t="s">
        <v>780</v>
      </c>
      <c r="C37" s="405" t="s">
        <v>1272</v>
      </c>
      <c r="D37" s="237" t="s">
        <v>546</v>
      </c>
      <c r="E37" s="237" t="s">
        <v>946</v>
      </c>
      <c r="F37" s="51" t="s">
        <v>946</v>
      </c>
      <c r="G37" s="51">
        <v>0</v>
      </c>
      <c r="H37" s="51"/>
      <c r="I37" s="51">
        <v>0</v>
      </c>
      <c r="J37" s="51"/>
      <c r="K37" s="51">
        <v>0</v>
      </c>
      <c r="L37" s="51"/>
      <c r="M37" s="818">
        <v>0</v>
      </c>
      <c r="N37" s="51"/>
      <c r="O37" s="51">
        <v>0</v>
      </c>
      <c r="P37" s="51"/>
      <c r="Q37" s="51">
        <v>0</v>
      </c>
      <c r="R37" s="51"/>
      <c r="S37" s="51">
        <v>0</v>
      </c>
      <c r="T37" s="51"/>
      <c r="U37" s="51">
        <v>0</v>
      </c>
      <c r="V37" s="51"/>
      <c r="W37" s="51">
        <v>0</v>
      </c>
      <c r="X37" s="51"/>
      <c r="Y37" s="51">
        <v>0</v>
      </c>
      <c r="Z37" s="51"/>
      <c r="AA37" s="51">
        <v>0</v>
      </c>
      <c r="AB37" s="51" t="s">
        <v>1114</v>
      </c>
      <c r="AC37" s="51"/>
      <c r="AD37" s="51"/>
      <c r="AE37" s="51"/>
      <c r="AF37" s="51"/>
      <c r="AG37" s="51"/>
      <c r="AH37" s="51"/>
      <c r="AI37" s="51"/>
    </row>
    <row r="38" spans="1:35" x14ac:dyDescent="0.2">
      <c r="A38" s="223">
        <v>1</v>
      </c>
      <c r="B38" s="405" t="s">
        <v>780</v>
      </c>
      <c r="C38" s="405" t="s">
        <v>1273</v>
      </c>
      <c r="D38" s="237" t="s">
        <v>546</v>
      </c>
      <c r="E38" s="237" t="s">
        <v>947</v>
      </c>
      <c r="F38" s="51" t="s">
        <v>947</v>
      </c>
      <c r="G38" s="51">
        <v>0</v>
      </c>
      <c r="H38" s="51"/>
      <c r="I38" s="51">
        <v>0</v>
      </c>
      <c r="J38" s="51"/>
      <c r="K38" s="51">
        <v>0</v>
      </c>
      <c r="L38" s="51"/>
      <c r="M38" s="818">
        <v>0</v>
      </c>
      <c r="N38" s="51"/>
      <c r="O38" s="51">
        <v>0</v>
      </c>
      <c r="P38" s="51"/>
      <c r="Q38" s="51">
        <v>0</v>
      </c>
      <c r="R38" s="51"/>
      <c r="S38" s="51">
        <v>0</v>
      </c>
      <c r="T38" s="51"/>
      <c r="U38" s="51">
        <v>0</v>
      </c>
      <c r="V38" s="51"/>
      <c r="W38" s="51">
        <v>0</v>
      </c>
      <c r="X38" s="51"/>
      <c r="Y38" s="51">
        <v>0</v>
      </c>
      <c r="Z38" s="51"/>
      <c r="AA38" s="51">
        <v>0</v>
      </c>
      <c r="AB38" s="51" t="s">
        <v>1114</v>
      </c>
      <c r="AC38" s="51"/>
      <c r="AD38" s="51"/>
      <c r="AE38" s="51"/>
      <c r="AF38" s="51"/>
      <c r="AG38" s="51"/>
      <c r="AH38" s="51"/>
      <c r="AI38" s="51"/>
    </row>
    <row r="39" spans="1:35" x14ac:dyDescent="0.2">
      <c r="A39" s="223">
        <v>1</v>
      </c>
      <c r="B39" s="405" t="s">
        <v>782</v>
      </c>
      <c r="C39" s="405" t="s">
        <v>1274</v>
      </c>
      <c r="D39" s="237" t="s">
        <v>781</v>
      </c>
      <c r="E39" s="237" t="s">
        <v>796</v>
      </c>
      <c r="F39" s="51" t="s">
        <v>796</v>
      </c>
      <c r="G39" s="51">
        <v>1919832</v>
      </c>
      <c r="H39" s="51"/>
      <c r="I39" s="51">
        <v>0</v>
      </c>
      <c r="J39" s="51"/>
      <c r="K39" s="51">
        <v>0</v>
      </c>
      <c r="L39" s="51"/>
      <c r="M39" s="818">
        <v>1919832</v>
      </c>
      <c r="N39" s="51"/>
      <c r="O39" s="51">
        <v>0</v>
      </c>
      <c r="P39" s="51"/>
      <c r="Q39" s="51">
        <v>0</v>
      </c>
      <c r="R39" s="51"/>
      <c r="S39" s="51">
        <v>0</v>
      </c>
      <c r="T39" s="51"/>
      <c r="U39" s="51">
        <v>0</v>
      </c>
      <c r="V39" s="51"/>
      <c r="W39" s="51">
        <v>1919832</v>
      </c>
      <c r="X39" s="51"/>
      <c r="Y39" s="51">
        <v>0</v>
      </c>
      <c r="Z39" s="51"/>
      <c r="AA39" s="51">
        <v>0</v>
      </c>
      <c r="AB39" s="51" t="s">
        <v>1114</v>
      </c>
      <c r="AC39" s="51"/>
      <c r="AD39" s="51"/>
      <c r="AE39" s="51"/>
      <c r="AF39" s="51"/>
      <c r="AG39" s="51"/>
      <c r="AH39" s="51"/>
      <c r="AI39" s="51"/>
    </row>
    <row r="40" spans="1:35" x14ac:dyDescent="0.2">
      <c r="A40" s="223">
        <v>2</v>
      </c>
      <c r="B40" s="405" t="s">
        <v>8</v>
      </c>
      <c r="C40" s="405" t="s">
        <v>1275</v>
      </c>
      <c r="D40" s="237" t="s">
        <v>7</v>
      </c>
      <c r="E40" s="237" t="s">
        <v>797</v>
      </c>
      <c r="F40" s="51" t="s">
        <v>797</v>
      </c>
      <c r="G40" s="51">
        <v>758557</v>
      </c>
      <c r="H40" s="51"/>
      <c r="I40" s="51">
        <v>0</v>
      </c>
      <c r="J40" s="51"/>
      <c r="K40" s="51">
        <v>0</v>
      </c>
      <c r="L40" s="51"/>
      <c r="M40" s="818">
        <v>758557</v>
      </c>
      <c r="N40" s="51"/>
      <c r="O40" s="51">
        <v>0</v>
      </c>
      <c r="P40" s="51"/>
      <c r="Q40" s="51">
        <v>0</v>
      </c>
      <c r="R40" s="51"/>
      <c r="S40" s="51">
        <v>0</v>
      </c>
      <c r="T40" s="51"/>
      <c r="U40" s="51">
        <v>542579</v>
      </c>
      <c r="V40" s="51"/>
      <c r="W40" s="51">
        <v>215978</v>
      </c>
      <c r="X40" s="51"/>
      <c r="Y40" s="51">
        <v>176286</v>
      </c>
      <c r="Z40" s="51"/>
      <c r="AA40" s="51">
        <v>176286</v>
      </c>
      <c r="AB40" s="51" t="s">
        <v>1114</v>
      </c>
      <c r="AC40" s="51"/>
      <c r="AD40" s="51"/>
      <c r="AE40" s="51"/>
      <c r="AF40" s="51"/>
      <c r="AG40" s="51"/>
      <c r="AH40" s="51"/>
      <c r="AI40" s="51"/>
    </row>
    <row r="41" spans="1:35" x14ac:dyDescent="0.2">
      <c r="A41" s="223">
        <v>3</v>
      </c>
      <c r="B41" s="405" t="s">
        <v>8</v>
      </c>
      <c r="C41" s="405" t="s">
        <v>1276</v>
      </c>
      <c r="D41" s="237" t="s">
        <v>7</v>
      </c>
      <c r="E41" s="237" t="s">
        <v>948</v>
      </c>
      <c r="F41" s="51" t="s">
        <v>948</v>
      </c>
      <c r="G41" s="51">
        <v>35642</v>
      </c>
      <c r="H41" s="51"/>
      <c r="I41" s="51">
        <v>0</v>
      </c>
      <c r="J41" s="51"/>
      <c r="K41" s="51">
        <v>0</v>
      </c>
      <c r="L41" s="51"/>
      <c r="M41" s="818">
        <v>35642</v>
      </c>
      <c r="N41" s="51"/>
      <c r="O41" s="51">
        <v>0</v>
      </c>
      <c r="P41" s="51"/>
      <c r="Q41" s="51">
        <v>0</v>
      </c>
      <c r="R41" s="51"/>
      <c r="S41" s="51">
        <v>0</v>
      </c>
      <c r="T41" s="51"/>
      <c r="U41" s="51">
        <v>73550</v>
      </c>
      <c r="V41" s="51"/>
      <c r="W41" s="51">
        <v>0</v>
      </c>
      <c r="X41" s="51"/>
      <c r="Y41" s="51">
        <v>37563</v>
      </c>
      <c r="Z41" s="51"/>
      <c r="AA41" s="51">
        <v>37563</v>
      </c>
      <c r="AB41" s="51" t="s">
        <v>1114</v>
      </c>
      <c r="AC41" s="51"/>
      <c r="AD41" s="51"/>
      <c r="AE41" s="51"/>
      <c r="AF41" s="51"/>
      <c r="AG41" s="51"/>
      <c r="AH41" s="51"/>
      <c r="AI41" s="51"/>
    </row>
    <row r="42" spans="1:35" x14ac:dyDescent="0.2">
      <c r="A42" s="223">
        <v>4</v>
      </c>
      <c r="B42" s="405" t="s">
        <v>8</v>
      </c>
      <c r="C42" s="405" t="s">
        <v>1277</v>
      </c>
      <c r="D42" s="237" t="s">
        <v>7</v>
      </c>
      <c r="E42" s="237" t="s">
        <v>949</v>
      </c>
      <c r="F42" s="51" t="s">
        <v>949</v>
      </c>
      <c r="G42" s="51">
        <v>45890</v>
      </c>
      <c r="H42" s="51"/>
      <c r="I42" s="51">
        <v>0</v>
      </c>
      <c r="J42" s="51"/>
      <c r="K42" s="51">
        <v>0</v>
      </c>
      <c r="L42" s="51"/>
      <c r="M42" s="818">
        <v>45890</v>
      </c>
      <c r="N42" s="51"/>
      <c r="O42" s="51">
        <v>0</v>
      </c>
      <c r="P42" s="51"/>
      <c r="Q42" s="51">
        <v>0</v>
      </c>
      <c r="R42" s="51"/>
      <c r="S42" s="51">
        <v>0</v>
      </c>
      <c r="T42" s="51"/>
      <c r="U42" s="51">
        <v>79119</v>
      </c>
      <c r="V42" s="51"/>
      <c r="W42" s="51">
        <v>0</v>
      </c>
      <c r="X42" s="51"/>
      <c r="Y42" s="51">
        <v>28194</v>
      </c>
      <c r="Z42" s="51"/>
      <c r="AA42" s="51">
        <v>28194</v>
      </c>
      <c r="AB42" s="51" t="s">
        <v>1114</v>
      </c>
      <c r="AC42" s="51"/>
      <c r="AD42" s="51"/>
      <c r="AE42" s="51"/>
      <c r="AF42" s="51"/>
      <c r="AG42" s="51"/>
      <c r="AH42" s="51"/>
      <c r="AI42" s="51"/>
    </row>
    <row r="43" spans="1:35" x14ac:dyDescent="0.2">
      <c r="A43" s="223">
        <v>5</v>
      </c>
      <c r="B43" s="405" t="s">
        <v>8</v>
      </c>
      <c r="C43" s="405" t="s">
        <v>1278</v>
      </c>
      <c r="D43" s="237" t="s">
        <v>7</v>
      </c>
      <c r="E43" s="237" t="s">
        <v>950</v>
      </c>
      <c r="F43" s="51" t="s">
        <v>950</v>
      </c>
      <c r="G43" s="51">
        <v>0</v>
      </c>
      <c r="H43" s="51"/>
      <c r="I43" s="51">
        <v>0</v>
      </c>
      <c r="J43" s="51"/>
      <c r="K43" s="51">
        <v>0</v>
      </c>
      <c r="L43" s="51"/>
      <c r="M43" s="818">
        <v>0</v>
      </c>
      <c r="N43" s="51"/>
      <c r="O43" s="51">
        <v>0</v>
      </c>
      <c r="P43" s="51"/>
      <c r="Q43" s="51">
        <v>0</v>
      </c>
      <c r="R43" s="51"/>
      <c r="S43" s="51">
        <v>0</v>
      </c>
      <c r="T43" s="51"/>
      <c r="U43" s="51">
        <v>0</v>
      </c>
      <c r="V43" s="51"/>
      <c r="W43" s="51">
        <v>0</v>
      </c>
      <c r="X43" s="51"/>
      <c r="Y43" s="51">
        <v>0</v>
      </c>
      <c r="Z43" s="51"/>
      <c r="AA43" s="51">
        <v>0</v>
      </c>
      <c r="AB43" s="51" t="s">
        <v>1114</v>
      </c>
      <c r="AC43" s="51"/>
      <c r="AD43" s="51"/>
      <c r="AE43" s="51"/>
      <c r="AF43" s="51"/>
      <c r="AG43" s="51"/>
      <c r="AH43" s="51"/>
      <c r="AI43" s="51"/>
    </row>
    <row r="44" spans="1:35" x14ac:dyDescent="0.2">
      <c r="A44" s="223">
        <v>1</v>
      </c>
      <c r="B44" s="405" t="s">
        <v>8</v>
      </c>
      <c r="C44" s="405" t="s">
        <v>1279</v>
      </c>
      <c r="D44" s="237" t="s">
        <v>7</v>
      </c>
      <c r="E44" s="237" t="s">
        <v>951</v>
      </c>
      <c r="F44" s="51" t="s">
        <v>951</v>
      </c>
      <c r="G44" s="51">
        <v>12672</v>
      </c>
      <c r="H44" s="51"/>
      <c r="I44" s="51">
        <v>0</v>
      </c>
      <c r="J44" s="51"/>
      <c r="K44" s="51">
        <v>0</v>
      </c>
      <c r="L44" s="51"/>
      <c r="M44" s="818">
        <v>12672</v>
      </c>
      <c r="N44" s="51"/>
      <c r="O44" s="51">
        <v>0</v>
      </c>
      <c r="P44" s="51"/>
      <c r="Q44" s="51">
        <v>0</v>
      </c>
      <c r="R44" s="51"/>
      <c r="S44" s="51">
        <v>0</v>
      </c>
      <c r="T44" s="51"/>
      <c r="U44" s="51">
        <v>12695</v>
      </c>
      <c r="V44" s="51"/>
      <c r="W44" s="51">
        <v>0</v>
      </c>
      <c r="X44" s="51"/>
      <c r="Y44" s="51">
        <v>0</v>
      </c>
      <c r="Z44" s="51"/>
      <c r="AA44" s="51">
        <v>0</v>
      </c>
      <c r="AB44" s="51" t="s">
        <v>1114</v>
      </c>
      <c r="AC44" s="51"/>
      <c r="AD44" s="51"/>
      <c r="AE44" s="51"/>
      <c r="AF44" s="51"/>
      <c r="AG44" s="51"/>
      <c r="AH44" s="51"/>
      <c r="AI44" s="51"/>
    </row>
    <row r="45" spans="1:35" x14ac:dyDescent="0.2">
      <c r="A45" s="223">
        <v>2</v>
      </c>
      <c r="B45" s="405" t="s">
        <v>18</v>
      </c>
      <c r="C45" s="405" t="s">
        <v>1280</v>
      </c>
      <c r="D45" s="237" t="s">
        <v>17</v>
      </c>
      <c r="E45" s="237" t="s">
        <v>1109</v>
      </c>
      <c r="F45" s="51" t="s">
        <v>1109</v>
      </c>
      <c r="G45" s="51">
        <v>23234111</v>
      </c>
      <c r="H45" s="51"/>
      <c r="I45" s="51">
        <v>-250000</v>
      </c>
      <c r="J45" s="51"/>
      <c r="K45" s="51">
        <v>-750000</v>
      </c>
      <c r="L45" s="51"/>
      <c r="M45" s="818">
        <v>22234111</v>
      </c>
      <c r="N45" s="51"/>
      <c r="O45" s="51">
        <v>0</v>
      </c>
      <c r="P45" s="51"/>
      <c r="Q45" s="51">
        <v>0</v>
      </c>
      <c r="R45" s="51"/>
      <c r="S45" s="51">
        <v>-154713</v>
      </c>
      <c r="T45" s="51"/>
      <c r="U45" s="51">
        <v>20741893</v>
      </c>
      <c r="V45" s="51"/>
      <c r="W45" s="51">
        <v>1337505</v>
      </c>
      <c r="X45" s="51"/>
      <c r="Y45" s="51">
        <v>0</v>
      </c>
      <c r="Z45" s="51"/>
      <c r="AA45" s="51">
        <v>0</v>
      </c>
      <c r="AB45" s="51" t="s">
        <v>1114</v>
      </c>
      <c r="AC45" s="51"/>
      <c r="AD45" s="51"/>
      <c r="AE45" s="51"/>
      <c r="AF45" s="51"/>
      <c r="AG45" s="51"/>
      <c r="AH45" s="51"/>
      <c r="AI45" s="51"/>
    </row>
    <row r="46" spans="1:35" x14ac:dyDescent="0.2">
      <c r="A46" s="223">
        <v>3</v>
      </c>
      <c r="B46" s="405" t="s">
        <v>20</v>
      </c>
      <c r="C46" s="405" t="s">
        <v>1281</v>
      </c>
      <c r="D46" s="237" t="s">
        <v>19</v>
      </c>
      <c r="E46" s="237" t="s">
        <v>952</v>
      </c>
      <c r="F46" s="51" t="s">
        <v>952</v>
      </c>
      <c r="G46" s="51">
        <v>89600</v>
      </c>
      <c r="H46" s="51"/>
      <c r="I46" s="51">
        <v>-896</v>
      </c>
      <c r="J46" s="51"/>
      <c r="K46" s="51">
        <v>0</v>
      </c>
      <c r="L46" s="51"/>
      <c r="M46" s="818">
        <v>88704</v>
      </c>
      <c r="N46" s="51"/>
      <c r="O46" s="51">
        <v>0</v>
      </c>
      <c r="P46" s="51"/>
      <c r="Q46" s="51">
        <v>0</v>
      </c>
      <c r="R46" s="51"/>
      <c r="S46" s="51">
        <v>0</v>
      </c>
      <c r="T46" s="51"/>
      <c r="U46" s="51">
        <v>0</v>
      </c>
      <c r="V46" s="51"/>
      <c r="W46" s="51">
        <v>88704</v>
      </c>
      <c r="X46" s="51"/>
      <c r="Y46" s="51">
        <v>0</v>
      </c>
      <c r="Z46" s="51"/>
      <c r="AA46" s="51">
        <v>0</v>
      </c>
      <c r="AB46" s="51" t="s">
        <v>1114</v>
      </c>
      <c r="AC46" s="51"/>
      <c r="AD46" s="51"/>
      <c r="AE46" s="51"/>
      <c r="AF46" s="51"/>
      <c r="AG46" s="51"/>
      <c r="AH46" s="51"/>
      <c r="AI46" s="51"/>
    </row>
    <row r="47" spans="1:35" x14ac:dyDescent="0.2">
      <c r="A47" s="223">
        <v>4</v>
      </c>
      <c r="B47" s="405" t="s">
        <v>20</v>
      </c>
      <c r="C47" s="405" t="s">
        <v>1282</v>
      </c>
      <c r="D47" s="237" t="s">
        <v>19</v>
      </c>
      <c r="E47" s="237" t="s">
        <v>953</v>
      </c>
      <c r="F47" s="51" t="s">
        <v>953</v>
      </c>
      <c r="G47" s="51">
        <v>0</v>
      </c>
      <c r="H47" s="51"/>
      <c r="I47" s="51">
        <v>0</v>
      </c>
      <c r="J47" s="51"/>
      <c r="K47" s="51">
        <v>0</v>
      </c>
      <c r="L47" s="51"/>
      <c r="M47" s="818">
        <v>0</v>
      </c>
      <c r="N47" s="51"/>
      <c r="O47" s="51">
        <v>0</v>
      </c>
      <c r="P47" s="51"/>
      <c r="Q47" s="51">
        <v>0</v>
      </c>
      <c r="R47" s="51"/>
      <c r="S47" s="51">
        <v>0</v>
      </c>
      <c r="T47" s="51"/>
      <c r="U47" s="51">
        <v>0</v>
      </c>
      <c r="V47" s="51"/>
      <c r="W47" s="51">
        <v>0</v>
      </c>
      <c r="X47" s="51"/>
      <c r="Y47" s="51">
        <v>0</v>
      </c>
      <c r="Z47" s="51"/>
      <c r="AA47" s="51">
        <v>0</v>
      </c>
      <c r="AB47" s="51" t="s">
        <v>1114</v>
      </c>
      <c r="AC47" s="51"/>
      <c r="AD47" s="51"/>
      <c r="AE47" s="51"/>
      <c r="AF47" s="51"/>
      <c r="AG47" s="51"/>
      <c r="AH47" s="51"/>
      <c r="AI47" s="51"/>
    </row>
    <row r="48" spans="1:35" x14ac:dyDescent="0.2">
      <c r="A48" s="223">
        <v>1</v>
      </c>
      <c r="B48" s="405" t="s">
        <v>20</v>
      </c>
      <c r="C48" s="405" t="s">
        <v>1283</v>
      </c>
      <c r="D48" s="237" t="s">
        <v>19</v>
      </c>
      <c r="E48" s="237" t="s">
        <v>954</v>
      </c>
      <c r="F48" s="51" t="s">
        <v>954</v>
      </c>
      <c r="G48" s="51">
        <v>1128765</v>
      </c>
      <c r="H48" s="51"/>
      <c r="I48" s="51">
        <v>-11287.65</v>
      </c>
      <c r="J48" s="51"/>
      <c r="K48" s="51">
        <v>0</v>
      </c>
      <c r="L48" s="51"/>
      <c r="M48" s="818">
        <v>1117477.3500000001</v>
      </c>
      <c r="N48" s="51"/>
      <c r="O48" s="51">
        <v>0</v>
      </c>
      <c r="P48" s="51"/>
      <c r="Q48" s="51">
        <v>0</v>
      </c>
      <c r="R48" s="51"/>
      <c r="S48" s="51">
        <v>0</v>
      </c>
      <c r="T48" s="51"/>
      <c r="U48" s="51">
        <v>0</v>
      </c>
      <c r="V48" s="51"/>
      <c r="W48" s="51">
        <v>1117477.3500000001</v>
      </c>
      <c r="X48" s="51"/>
      <c r="Y48" s="51">
        <v>40000</v>
      </c>
      <c r="Z48" s="51"/>
      <c r="AA48" s="51">
        <v>40000</v>
      </c>
      <c r="AB48" s="51" t="s">
        <v>1114</v>
      </c>
      <c r="AC48" s="51"/>
      <c r="AD48" s="51"/>
      <c r="AE48" s="51"/>
      <c r="AF48" s="51"/>
      <c r="AG48" s="51"/>
      <c r="AH48" s="51"/>
      <c r="AI48" s="51"/>
    </row>
    <row r="49" spans="1:35" x14ac:dyDescent="0.2">
      <c r="A49" s="223">
        <v>1</v>
      </c>
      <c r="B49" s="405" t="s">
        <v>20</v>
      </c>
      <c r="C49" s="405" t="s">
        <v>1284</v>
      </c>
      <c r="D49" s="237" t="s">
        <v>19</v>
      </c>
      <c r="E49" s="237" t="s">
        <v>955</v>
      </c>
      <c r="F49" s="51" t="s">
        <v>955</v>
      </c>
      <c r="G49" s="51">
        <v>28416</v>
      </c>
      <c r="H49" s="51"/>
      <c r="I49" s="51">
        <v>-284.16000000000003</v>
      </c>
      <c r="J49" s="51"/>
      <c r="K49" s="51">
        <v>0</v>
      </c>
      <c r="L49" s="51"/>
      <c r="M49" s="818">
        <v>28131.84</v>
      </c>
      <c r="N49" s="51"/>
      <c r="O49" s="51">
        <v>0</v>
      </c>
      <c r="P49" s="51"/>
      <c r="Q49" s="51">
        <v>0</v>
      </c>
      <c r="R49" s="51"/>
      <c r="S49" s="51">
        <v>0</v>
      </c>
      <c r="T49" s="51"/>
      <c r="U49" s="51">
        <v>65623</v>
      </c>
      <c r="V49" s="51"/>
      <c r="W49" s="51">
        <v>0</v>
      </c>
      <c r="X49" s="51"/>
      <c r="Y49" s="51">
        <v>0</v>
      </c>
      <c r="Z49" s="51"/>
      <c r="AA49" s="51">
        <v>0</v>
      </c>
      <c r="AB49" s="51" t="s">
        <v>1114</v>
      </c>
      <c r="AC49" s="51"/>
      <c r="AD49" s="51"/>
      <c r="AE49" s="51"/>
      <c r="AF49" s="51"/>
      <c r="AG49" s="51"/>
      <c r="AH49" s="51"/>
      <c r="AI49" s="51"/>
    </row>
    <row r="50" spans="1:35" x14ac:dyDescent="0.2">
      <c r="A50" s="223">
        <v>1</v>
      </c>
      <c r="B50" s="405" t="s">
        <v>22</v>
      </c>
      <c r="C50" s="405" t="s">
        <v>1285</v>
      </c>
      <c r="D50" s="237" t="s">
        <v>21</v>
      </c>
      <c r="E50" s="237" t="s">
        <v>956</v>
      </c>
      <c r="F50" s="51" t="s">
        <v>956</v>
      </c>
      <c r="G50" s="51">
        <v>250409</v>
      </c>
      <c r="H50" s="51"/>
      <c r="I50" s="51">
        <v>0</v>
      </c>
      <c r="J50" s="51"/>
      <c r="K50" s="51">
        <v>0</v>
      </c>
      <c r="L50" s="51"/>
      <c r="M50" s="818">
        <v>250409</v>
      </c>
      <c r="N50" s="51"/>
      <c r="O50" s="51">
        <v>0</v>
      </c>
      <c r="P50" s="51"/>
      <c r="Q50" s="51">
        <v>0</v>
      </c>
      <c r="R50" s="51"/>
      <c r="S50" s="51">
        <v>0</v>
      </c>
      <c r="T50" s="51"/>
      <c r="U50" s="51">
        <v>30601</v>
      </c>
      <c r="V50" s="51"/>
      <c r="W50" s="51">
        <v>219808</v>
      </c>
      <c r="X50" s="51"/>
      <c r="Y50" s="51">
        <v>22056</v>
      </c>
      <c r="Z50" s="51"/>
      <c r="AA50" s="51">
        <v>22056</v>
      </c>
      <c r="AB50" s="51" t="s">
        <v>1114</v>
      </c>
      <c r="AC50" s="51"/>
      <c r="AD50" s="51"/>
      <c r="AE50" s="51"/>
      <c r="AF50" s="51"/>
      <c r="AG50" s="51"/>
      <c r="AH50" s="51"/>
      <c r="AI50" s="51"/>
    </row>
    <row r="51" spans="1:35" x14ac:dyDescent="0.2">
      <c r="A51" s="223">
        <v>2</v>
      </c>
      <c r="B51" s="405" t="s">
        <v>24</v>
      </c>
      <c r="C51" s="405" t="s">
        <v>1286</v>
      </c>
      <c r="D51" s="237" t="s">
        <v>23</v>
      </c>
      <c r="E51" s="237" t="s">
        <v>957</v>
      </c>
      <c r="F51" s="51" t="s">
        <v>957</v>
      </c>
      <c r="G51" s="51">
        <v>0</v>
      </c>
      <c r="H51" s="51"/>
      <c r="I51" s="51">
        <v>0</v>
      </c>
      <c r="J51" s="51"/>
      <c r="K51" s="51">
        <v>0</v>
      </c>
      <c r="L51" s="51"/>
      <c r="M51" s="818">
        <v>0</v>
      </c>
      <c r="N51" s="51"/>
      <c r="O51" s="51">
        <v>0</v>
      </c>
      <c r="P51" s="51"/>
      <c r="Q51" s="51">
        <v>0</v>
      </c>
      <c r="R51" s="51"/>
      <c r="S51" s="51">
        <v>0</v>
      </c>
      <c r="T51" s="51"/>
      <c r="U51" s="51">
        <v>0</v>
      </c>
      <c r="V51" s="51"/>
      <c r="W51" s="51">
        <v>0</v>
      </c>
      <c r="X51" s="51"/>
      <c r="Y51" s="51">
        <v>0</v>
      </c>
      <c r="Z51" s="51"/>
      <c r="AA51" s="51">
        <v>0</v>
      </c>
      <c r="AB51" s="51" t="s">
        <v>1114</v>
      </c>
      <c r="AC51" s="51"/>
      <c r="AD51" s="51"/>
      <c r="AE51" s="51"/>
      <c r="AF51" s="51"/>
      <c r="AG51" s="51"/>
      <c r="AH51" s="51"/>
      <c r="AI51" s="51"/>
    </row>
    <row r="52" spans="1:35" x14ac:dyDescent="0.2">
      <c r="A52" s="223">
        <v>1</v>
      </c>
      <c r="B52" s="405" t="s">
        <v>28</v>
      </c>
      <c r="C52" s="405" t="s">
        <v>1287</v>
      </c>
      <c r="D52" s="237" t="s">
        <v>27</v>
      </c>
      <c r="E52" s="237" t="s">
        <v>838</v>
      </c>
      <c r="F52" s="51" t="s">
        <v>838</v>
      </c>
      <c r="G52" s="51">
        <v>126856</v>
      </c>
      <c r="H52" s="51"/>
      <c r="I52" s="51">
        <v>0</v>
      </c>
      <c r="J52" s="51"/>
      <c r="K52" s="51">
        <v>0</v>
      </c>
      <c r="L52" s="51"/>
      <c r="M52" s="818">
        <v>126856</v>
      </c>
      <c r="N52" s="51"/>
      <c r="O52" s="51">
        <v>0</v>
      </c>
      <c r="P52" s="51"/>
      <c r="Q52" s="51">
        <v>0</v>
      </c>
      <c r="R52" s="51"/>
      <c r="S52" s="51">
        <v>0</v>
      </c>
      <c r="T52" s="51"/>
      <c r="U52" s="51">
        <v>0</v>
      </c>
      <c r="V52" s="51"/>
      <c r="W52" s="51">
        <v>126856</v>
      </c>
      <c r="X52" s="51"/>
      <c r="Y52" s="51">
        <v>38623</v>
      </c>
      <c r="Z52" s="51"/>
      <c r="AA52" s="51">
        <v>38623</v>
      </c>
      <c r="AB52" s="51" t="s">
        <v>1114</v>
      </c>
      <c r="AC52" s="51"/>
      <c r="AD52" s="51"/>
      <c r="AE52" s="51"/>
      <c r="AF52" s="51"/>
      <c r="AG52" s="51"/>
      <c r="AH52" s="51"/>
      <c r="AI52" s="51"/>
    </row>
    <row r="53" spans="1:35" x14ac:dyDescent="0.2">
      <c r="A53" s="223">
        <v>2</v>
      </c>
      <c r="B53" s="405" t="s">
        <v>28</v>
      </c>
      <c r="C53" s="405" t="s">
        <v>1288</v>
      </c>
      <c r="D53" s="237" t="s">
        <v>27</v>
      </c>
      <c r="E53" s="237" t="s">
        <v>859</v>
      </c>
      <c r="F53" s="51" t="s">
        <v>859</v>
      </c>
      <c r="G53" s="51">
        <v>0</v>
      </c>
      <c r="H53" s="51"/>
      <c r="I53" s="51">
        <v>0</v>
      </c>
      <c r="J53" s="51"/>
      <c r="K53" s="51">
        <v>0</v>
      </c>
      <c r="L53" s="51"/>
      <c r="M53" s="818">
        <v>0</v>
      </c>
      <c r="N53" s="51"/>
      <c r="O53" s="51">
        <v>0</v>
      </c>
      <c r="P53" s="51"/>
      <c r="Q53" s="51">
        <v>0</v>
      </c>
      <c r="R53" s="51"/>
      <c r="S53" s="51">
        <v>0</v>
      </c>
      <c r="T53" s="51"/>
      <c r="U53" s="51">
        <v>0</v>
      </c>
      <c r="V53" s="51"/>
      <c r="W53" s="51">
        <v>0</v>
      </c>
      <c r="X53" s="51"/>
      <c r="Y53" s="51">
        <v>0</v>
      </c>
      <c r="Z53" s="51"/>
      <c r="AA53" s="51">
        <v>0</v>
      </c>
      <c r="AB53" s="51" t="s">
        <v>1114</v>
      </c>
      <c r="AC53" s="51"/>
      <c r="AD53" s="51"/>
      <c r="AE53" s="51"/>
      <c r="AF53" s="51"/>
      <c r="AG53" s="51"/>
      <c r="AH53" s="51"/>
      <c r="AI53" s="51"/>
    </row>
    <row r="54" spans="1:35" x14ac:dyDescent="0.2">
      <c r="A54" s="223">
        <v>3</v>
      </c>
      <c r="B54" s="405" t="s">
        <v>44</v>
      </c>
      <c r="C54" s="405" t="s">
        <v>1289</v>
      </c>
      <c r="D54" s="237" t="s">
        <v>43</v>
      </c>
      <c r="E54" s="237" t="s">
        <v>958</v>
      </c>
      <c r="F54" s="51" t="s">
        <v>958</v>
      </c>
      <c r="G54" s="51">
        <v>0</v>
      </c>
      <c r="H54" s="51"/>
      <c r="I54" s="51">
        <v>0</v>
      </c>
      <c r="J54" s="51"/>
      <c r="K54" s="51">
        <v>0</v>
      </c>
      <c r="L54" s="51"/>
      <c r="M54" s="818">
        <v>0</v>
      </c>
      <c r="N54" s="51"/>
      <c r="O54" s="51">
        <v>0</v>
      </c>
      <c r="P54" s="51"/>
      <c r="Q54" s="51">
        <v>0</v>
      </c>
      <c r="R54" s="51"/>
      <c r="S54" s="51">
        <v>0</v>
      </c>
      <c r="T54" s="51"/>
      <c r="U54" s="51">
        <v>0</v>
      </c>
      <c r="V54" s="51"/>
      <c r="W54" s="51">
        <v>0</v>
      </c>
      <c r="X54" s="51"/>
      <c r="Y54" s="51">
        <v>0</v>
      </c>
      <c r="Z54" s="51"/>
      <c r="AA54" s="51">
        <v>0</v>
      </c>
      <c r="AB54" s="51" t="s">
        <v>1114</v>
      </c>
      <c r="AC54" s="51"/>
      <c r="AD54" s="51"/>
      <c r="AE54" s="51"/>
      <c r="AF54" s="51"/>
      <c r="AG54" s="51"/>
      <c r="AH54" s="51"/>
      <c r="AI54" s="51"/>
    </row>
    <row r="55" spans="1:35" x14ac:dyDescent="0.2">
      <c r="A55" s="223">
        <v>4</v>
      </c>
      <c r="B55" s="405" t="s">
        <v>44</v>
      </c>
      <c r="C55" s="405" t="s">
        <v>1290</v>
      </c>
      <c r="D55" s="237" t="s">
        <v>43</v>
      </c>
      <c r="E55" s="237" t="s">
        <v>959</v>
      </c>
      <c r="F55" s="51" t="s">
        <v>959</v>
      </c>
      <c r="G55" s="51">
        <v>1547</v>
      </c>
      <c r="H55" s="51"/>
      <c r="I55" s="51">
        <v>0</v>
      </c>
      <c r="J55" s="51"/>
      <c r="K55" s="51">
        <v>0</v>
      </c>
      <c r="L55" s="51"/>
      <c r="M55" s="818">
        <v>1547</v>
      </c>
      <c r="N55" s="51"/>
      <c r="O55" s="51">
        <v>0</v>
      </c>
      <c r="P55" s="51"/>
      <c r="Q55" s="51">
        <v>0</v>
      </c>
      <c r="R55" s="51"/>
      <c r="S55" s="51">
        <v>0</v>
      </c>
      <c r="T55" s="51"/>
      <c r="U55" s="51">
        <v>15769</v>
      </c>
      <c r="V55" s="51"/>
      <c r="W55" s="51">
        <v>0</v>
      </c>
      <c r="X55" s="51"/>
      <c r="Y55" s="51">
        <v>14221</v>
      </c>
      <c r="Z55" s="51"/>
      <c r="AA55" s="51">
        <v>14221</v>
      </c>
      <c r="AB55" s="51" t="s">
        <v>1114</v>
      </c>
      <c r="AC55" s="51"/>
      <c r="AD55" s="51"/>
      <c r="AE55" s="51"/>
      <c r="AF55" s="51"/>
      <c r="AG55" s="51"/>
      <c r="AH55" s="51"/>
      <c r="AI55" s="51"/>
    </row>
    <row r="56" spans="1:35" x14ac:dyDescent="0.2">
      <c r="A56" s="223">
        <v>5</v>
      </c>
      <c r="B56" s="405" t="s">
        <v>44</v>
      </c>
      <c r="C56" s="405" t="s">
        <v>1291</v>
      </c>
      <c r="D56" s="237" t="s">
        <v>43</v>
      </c>
      <c r="E56" s="237" t="s">
        <v>960</v>
      </c>
      <c r="F56" s="51" t="s">
        <v>960</v>
      </c>
      <c r="G56" s="51">
        <v>18834</v>
      </c>
      <c r="H56" s="51"/>
      <c r="I56" s="51">
        <v>0</v>
      </c>
      <c r="J56" s="51"/>
      <c r="K56" s="51">
        <v>0</v>
      </c>
      <c r="L56" s="51"/>
      <c r="M56" s="818">
        <v>18834</v>
      </c>
      <c r="N56" s="51"/>
      <c r="O56" s="51">
        <v>0</v>
      </c>
      <c r="P56" s="51"/>
      <c r="Q56" s="51">
        <v>0</v>
      </c>
      <c r="R56" s="51"/>
      <c r="S56" s="51">
        <v>608</v>
      </c>
      <c r="T56" s="51"/>
      <c r="U56" s="51">
        <v>20583</v>
      </c>
      <c r="V56" s="51"/>
      <c r="W56" s="51">
        <v>0</v>
      </c>
      <c r="X56" s="51"/>
      <c r="Y56" s="51">
        <v>0</v>
      </c>
      <c r="Z56" s="51"/>
      <c r="AA56" s="51">
        <v>0</v>
      </c>
      <c r="AB56" s="51" t="s">
        <v>1114</v>
      </c>
      <c r="AC56" s="51"/>
      <c r="AD56" s="51"/>
      <c r="AE56" s="51"/>
      <c r="AF56" s="51"/>
      <c r="AG56" s="51"/>
      <c r="AH56" s="51"/>
      <c r="AI56" s="51"/>
    </row>
    <row r="57" spans="1:35" x14ac:dyDescent="0.2">
      <c r="A57" s="223">
        <v>6</v>
      </c>
      <c r="B57" s="405" t="s">
        <v>44</v>
      </c>
      <c r="C57" s="405" t="s">
        <v>1292</v>
      </c>
      <c r="D57" s="237" t="s">
        <v>43</v>
      </c>
      <c r="E57" s="237" t="s">
        <v>961</v>
      </c>
      <c r="F57" s="51" t="s">
        <v>961</v>
      </c>
      <c r="G57" s="51">
        <v>0</v>
      </c>
      <c r="H57" s="51"/>
      <c r="I57" s="51">
        <v>0</v>
      </c>
      <c r="J57" s="51"/>
      <c r="K57" s="51">
        <v>0</v>
      </c>
      <c r="L57" s="51"/>
      <c r="M57" s="818">
        <v>0</v>
      </c>
      <c r="N57" s="51"/>
      <c r="O57" s="51">
        <v>0</v>
      </c>
      <c r="P57" s="51"/>
      <c r="Q57" s="51">
        <v>0</v>
      </c>
      <c r="R57" s="51"/>
      <c r="S57" s="51">
        <v>0</v>
      </c>
      <c r="T57" s="51"/>
      <c r="U57" s="51">
        <v>0</v>
      </c>
      <c r="V57" s="51"/>
      <c r="W57" s="51">
        <v>0</v>
      </c>
      <c r="X57" s="51"/>
      <c r="Y57" s="51">
        <v>0</v>
      </c>
      <c r="Z57" s="51"/>
      <c r="AA57" s="51">
        <v>0</v>
      </c>
      <c r="AB57" s="51" t="s">
        <v>1114</v>
      </c>
      <c r="AC57" s="51"/>
      <c r="AD57" s="51"/>
      <c r="AE57" s="51"/>
      <c r="AF57" s="51"/>
      <c r="AG57" s="51"/>
      <c r="AH57" s="51"/>
      <c r="AI57" s="51"/>
    </row>
    <row r="58" spans="1:35" x14ac:dyDescent="0.2">
      <c r="A58" s="223">
        <v>1</v>
      </c>
      <c r="B58" s="405" t="s">
        <v>44</v>
      </c>
      <c r="C58" s="405" t="s">
        <v>1293</v>
      </c>
      <c r="D58" s="237" t="s">
        <v>43</v>
      </c>
      <c r="E58" s="237" t="s">
        <v>962</v>
      </c>
      <c r="F58" s="51" t="s">
        <v>962</v>
      </c>
      <c r="G58" s="51">
        <v>0</v>
      </c>
      <c r="H58" s="51"/>
      <c r="I58" s="51">
        <v>0</v>
      </c>
      <c r="J58" s="51"/>
      <c r="K58" s="51">
        <v>0</v>
      </c>
      <c r="L58" s="51"/>
      <c r="M58" s="818">
        <v>0</v>
      </c>
      <c r="N58" s="51"/>
      <c r="O58" s="51">
        <v>0</v>
      </c>
      <c r="P58" s="51"/>
      <c r="Q58" s="51">
        <v>0</v>
      </c>
      <c r="R58" s="51"/>
      <c r="S58" s="51">
        <v>0</v>
      </c>
      <c r="T58" s="51"/>
      <c r="U58" s="51">
        <v>17748</v>
      </c>
      <c r="V58" s="51"/>
      <c r="W58" s="51">
        <v>0</v>
      </c>
      <c r="X58" s="51"/>
      <c r="Y58" s="51">
        <v>0</v>
      </c>
      <c r="Z58" s="51"/>
      <c r="AA58" s="51">
        <v>0</v>
      </c>
      <c r="AB58" s="51" t="s">
        <v>1114</v>
      </c>
      <c r="AC58" s="51"/>
      <c r="AD58" s="51"/>
      <c r="AE58" s="51"/>
      <c r="AF58" s="51"/>
      <c r="AG58" s="51"/>
      <c r="AH58" s="51"/>
      <c r="AI58" s="51"/>
    </row>
    <row r="59" spans="1:35" x14ac:dyDescent="0.2">
      <c r="A59" s="223">
        <v>1</v>
      </c>
      <c r="B59" s="405" t="s">
        <v>44</v>
      </c>
      <c r="C59" s="405" t="s">
        <v>1294</v>
      </c>
      <c r="D59" s="237" t="s">
        <v>43</v>
      </c>
      <c r="E59" s="237" t="s">
        <v>963</v>
      </c>
      <c r="F59" s="51" t="s">
        <v>963</v>
      </c>
      <c r="G59" s="51">
        <v>190186</v>
      </c>
      <c r="H59" s="51"/>
      <c r="I59" s="51">
        <v>0</v>
      </c>
      <c r="J59" s="51"/>
      <c r="K59" s="51">
        <v>0</v>
      </c>
      <c r="L59" s="51"/>
      <c r="M59" s="818">
        <v>190186</v>
      </c>
      <c r="N59" s="51"/>
      <c r="O59" s="51">
        <v>0</v>
      </c>
      <c r="P59" s="51"/>
      <c r="Q59" s="51">
        <v>0</v>
      </c>
      <c r="R59" s="51"/>
      <c r="S59" s="51">
        <v>0</v>
      </c>
      <c r="T59" s="51"/>
      <c r="U59" s="51">
        <v>99384</v>
      </c>
      <c r="V59" s="51"/>
      <c r="W59" s="51">
        <v>90802</v>
      </c>
      <c r="X59" s="51"/>
      <c r="Y59" s="51">
        <v>272022</v>
      </c>
      <c r="Z59" s="51"/>
      <c r="AA59" s="51">
        <v>272022</v>
      </c>
      <c r="AB59" s="51" t="s">
        <v>1114</v>
      </c>
      <c r="AC59" s="51"/>
      <c r="AD59" s="51"/>
      <c r="AE59" s="51"/>
      <c r="AF59" s="51"/>
      <c r="AG59" s="51"/>
      <c r="AH59" s="51"/>
      <c r="AI59" s="51"/>
    </row>
    <row r="60" spans="1:35" x14ac:dyDescent="0.2">
      <c r="A60" s="223">
        <v>1</v>
      </c>
      <c r="B60" s="405" t="s">
        <v>46</v>
      </c>
      <c r="C60" s="405" t="s">
        <v>1295</v>
      </c>
      <c r="D60" s="237" t="s">
        <v>45</v>
      </c>
      <c r="E60" s="237" t="s">
        <v>964</v>
      </c>
      <c r="F60" s="51" t="s">
        <v>964</v>
      </c>
      <c r="G60" s="51">
        <v>35685</v>
      </c>
      <c r="H60" s="51"/>
      <c r="I60" s="51">
        <v>0</v>
      </c>
      <c r="J60" s="51"/>
      <c r="K60" s="51">
        <v>0</v>
      </c>
      <c r="L60" s="51"/>
      <c r="M60" s="818">
        <v>35685</v>
      </c>
      <c r="N60" s="51"/>
      <c r="O60" s="51">
        <v>0</v>
      </c>
      <c r="P60" s="51"/>
      <c r="Q60" s="51">
        <v>0</v>
      </c>
      <c r="R60" s="51"/>
      <c r="S60" s="51">
        <v>0</v>
      </c>
      <c r="T60" s="51"/>
      <c r="U60" s="51">
        <v>0</v>
      </c>
      <c r="V60" s="51"/>
      <c r="W60" s="51">
        <v>35685</v>
      </c>
      <c r="X60" s="51"/>
      <c r="Y60" s="51">
        <v>0</v>
      </c>
      <c r="Z60" s="51"/>
      <c r="AA60" s="51">
        <v>0</v>
      </c>
      <c r="AB60" s="51" t="s">
        <v>1114</v>
      </c>
      <c r="AC60" s="51"/>
      <c r="AD60" s="51"/>
      <c r="AE60" s="51"/>
      <c r="AF60" s="51"/>
      <c r="AG60" s="51"/>
      <c r="AH60" s="51"/>
      <c r="AI60" s="51"/>
    </row>
    <row r="61" spans="1:35" x14ac:dyDescent="0.2">
      <c r="A61" s="223">
        <v>2</v>
      </c>
      <c r="B61" s="405" t="s">
        <v>50</v>
      </c>
      <c r="C61" s="405" t="s">
        <v>1296</v>
      </c>
      <c r="D61" s="237" t="s">
        <v>49</v>
      </c>
      <c r="E61" s="237" t="s">
        <v>965</v>
      </c>
      <c r="F61" s="51" t="s">
        <v>965</v>
      </c>
      <c r="G61" s="51">
        <v>276220</v>
      </c>
      <c r="H61" s="51"/>
      <c r="I61" s="51">
        <v>0</v>
      </c>
      <c r="J61" s="51"/>
      <c r="K61" s="51">
        <v>0</v>
      </c>
      <c r="L61" s="51"/>
      <c r="M61" s="818">
        <v>276220</v>
      </c>
      <c r="N61" s="51"/>
      <c r="O61" s="51">
        <v>0</v>
      </c>
      <c r="P61" s="51"/>
      <c r="Q61" s="51">
        <v>0</v>
      </c>
      <c r="R61" s="51"/>
      <c r="S61" s="51">
        <v>0</v>
      </c>
      <c r="T61" s="51"/>
      <c r="U61" s="51">
        <v>209271</v>
      </c>
      <c r="V61" s="51"/>
      <c r="W61" s="51">
        <v>66949</v>
      </c>
      <c r="X61" s="51"/>
      <c r="Y61" s="51">
        <v>87812</v>
      </c>
      <c r="Z61" s="51"/>
      <c r="AA61" s="51">
        <v>87812</v>
      </c>
      <c r="AB61" s="51" t="s">
        <v>1114</v>
      </c>
      <c r="AC61" s="51"/>
      <c r="AD61" s="51"/>
      <c r="AE61" s="51"/>
      <c r="AF61" s="51"/>
      <c r="AG61" s="51"/>
      <c r="AH61" s="51"/>
      <c r="AI61" s="51"/>
    </row>
    <row r="62" spans="1:35" x14ac:dyDescent="0.2">
      <c r="A62" s="223">
        <v>3</v>
      </c>
      <c r="B62" s="405" t="s">
        <v>52</v>
      </c>
      <c r="C62" s="405" t="s">
        <v>1297</v>
      </c>
      <c r="D62" s="237" t="s">
        <v>51</v>
      </c>
      <c r="E62" s="237" t="s">
        <v>966</v>
      </c>
      <c r="F62" s="51" t="s">
        <v>966</v>
      </c>
      <c r="G62" s="51">
        <v>422668</v>
      </c>
      <c r="H62" s="51"/>
      <c r="I62" s="51">
        <v>0</v>
      </c>
      <c r="J62" s="51"/>
      <c r="K62" s="51">
        <v>-23153</v>
      </c>
      <c r="L62" s="51"/>
      <c r="M62" s="818">
        <v>399515</v>
      </c>
      <c r="N62" s="51"/>
      <c r="O62" s="51">
        <v>0</v>
      </c>
      <c r="P62" s="51"/>
      <c r="Q62" s="51">
        <v>0</v>
      </c>
      <c r="R62" s="51"/>
      <c r="S62" s="51">
        <v>1905</v>
      </c>
      <c r="T62" s="51"/>
      <c r="U62" s="51">
        <v>254282</v>
      </c>
      <c r="V62" s="51"/>
      <c r="W62" s="51">
        <v>147138</v>
      </c>
      <c r="X62" s="51"/>
      <c r="Y62" s="51">
        <v>191540</v>
      </c>
      <c r="Z62" s="51"/>
      <c r="AA62" s="51">
        <v>191540</v>
      </c>
      <c r="AB62" s="51" t="s">
        <v>1114</v>
      </c>
      <c r="AC62" s="51"/>
      <c r="AD62" s="51"/>
      <c r="AE62" s="51"/>
      <c r="AF62" s="51"/>
      <c r="AG62" s="51"/>
      <c r="AH62" s="51"/>
      <c r="AI62" s="51"/>
    </row>
    <row r="63" spans="1:35" x14ac:dyDescent="0.2">
      <c r="A63" s="223">
        <v>4</v>
      </c>
      <c r="B63" s="405" t="s">
        <v>52</v>
      </c>
      <c r="C63" s="405" t="s">
        <v>1298</v>
      </c>
      <c r="D63" s="237" t="s">
        <v>51</v>
      </c>
      <c r="E63" s="237" t="s">
        <v>967</v>
      </c>
      <c r="F63" s="51" t="s">
        <v>967</v>
      </c>
      <c r="G63" s="51">
        <v>523622</v>
      </c>
      <c r="H63" s="51"/>
      <c r="I63" s="51">
        <v>0</v>
      </c>
      <c r="J63" s="51"/>
      <c r="K63" s="51">
        <v>-29133</v>
      </c>
      <c r="L63" s="51"/>
      <c r="M63" s="818">
        <v>494489</v>
      </c>
      <c r="N63" s="51"/>
      <c r="O63" s="51">
        <v>0</v>
      </c>
      <c r="P63" s="51"/>
      <c r="Q63" s="51">
        <v>0</v>
      </c>
      <c r="R63" s="51"/>
      <c r="S63" s="51">
        <v>0</v>
      </c>
      <c r="T63" s="51"/>
      <c r="U63" s="51">
        <v>429907</v>
      </c>
      <c r="V63" s="51"/>
      <c r="W63" s="51">
        <v>64582</v>
      </c>
      <c r="X63" s="51"/>
      <c r="Y63" s="51">
        <v>158699</v>
      </c>
      <c r="Z63" s="51"/>
      <c r="AA63" s="51">
        <v>158699</v>
      </c>
      <c r="AB63" s="51" t="s">
        <v>1114</v>
      </c>
      <c r="AC63" s="51"/>
      <c r="AD63" s="51"/>
      <c r="AE63" s="51"/>
      <c r="AF63" s="51"/>
      <c r="AG63" s="51"/>
      <c r="AH63" s="51"/>
      <c r="AI63" s="51"/>
    </row>
    <row r="64" spans="1:35" x14ac:dyDescent="0.2">
      <c r="A64" s="223">
        <v>1</v>
      </c>
      <c r="B64" s="405" t="s">
        <v>52</v>
      </c>
      <c r="C64" s="405" t="s">
        <v>1299</v>
      </c>
      <c r="D64" s="237" t="s">
        <v>51</v>
      </c>
      <c r="E64" s="237" t="s">
        <v>968</v>
      </c>
      <c r="F64" s="51" t="s">
        <v>968</v>
      </c>
      <c r="G64" s="51">
        <v>0</v>
      </c>
      <c r="H64" s="51"/>
      <c r="I64" s="51">
        <v>0</v>
      </c>
      <c r="J64" s="51"/>
      <c r="K64" s="51">
        <v>0</v>
      </c>
      <c r="L64" s="51"/>
      <c r="M64" s="818">
        <v>0</v>
      </c>
      <c r="N64" s="51"/>
      <c r="O64" s="51">
        <v>0</v>
      </c>
      <c r="P64" s="51"/>
      <c r="Q64" s="51">
        <v>0</v>
      </c>
      <c r="R64" s="51"/>
      <c r="S64" s="51">
        <v>0</v>
      </c>
      <c r="T64" s="51"/>
      <c r="U64" s="51">
        <v>0</v>
      </c>
      <c r="V64" s="51"/>
      <c r="W64" s="51">
        <v>0</v>
      </c>
      <c r="X64" s="51"/>
      <c r="Y64" s="51">
        <v>0</v>
      </c>
      <c r="Z64" s="51"/>
      <c r="AA64" s="51">
        <v>0</v>
      </c>
      <c r="AB64" s="51" t="s">
        <v>1114</v>
      </c>
      <c r="AC64" s="51"/>
      <c r="AD64" s="51"/>
      <c r="AE64" s="51"/>
      <c r="AF64" s="51"/>
      <c r="AG64" s="51"/>
      <c r="AH64" s="51"/>
      <c r="AI64" s="51"/>
    </row>
    <row r="65" spans="1:35" x14ac:dyDescent="0.2">
      <c r="A65" s="223">
        <v>1</v>
      </c>
      <c r="B65" s="405" t="s">
        <v>52</v>
      </c>
      <c r="C65" s="405" t="s">
        <v>1300</v>
      </c>
      <c r="D65" s="237" t="s">
        <v>51</v>
      </c>
      <c r="E65" s="237" t="s">
        <v>969</v>
      </c>
      <c r="F65" s="51" t="s">
        <v>969</v>
      </c>
      <c r="G65" s="51">
        <v>46336</v>
      </c>
      <c r="H65" s="51"/>
      <c r="I65" s="51">
        <v>0</v>
      </c>
      <c r="J65" s="51"/>
      <c r="K65" s="51">
        <v>-2578</v>
      </c>
      <c r="L65" s="51"/>
      <c r="M65" s="818">
        <v>43758</v>
      </c>
      <c r="N65" s="51"/>
      <c r="O65" s="51">
        <v>0</v>
      </c>
      <c r="P65" s="51"/>
      <c r="Q65" s="51">
        <v>0</v>
      </c>
      <c r="R65" s="51"/>
      <c r="S65" s="51">
        <v>0</v>
      </c>
      <c r="T65" s="51"/>
      <c r="U65" s="51">
        <v>0</v>
      </c>
      <c r="V65" s="51"/>
      <c r="W65" s="51">
        <v>43758</v>
      </c>
      <c r="X65" s="51"/>
      <c r="Y65" s="51">
        <v>0</v>
      </c>
      <c r="Z65" s="51"/>
      <c r="AA65" s="51">
        <v>0</v>
      </c>
      <c r="AB65" s="51" t="s">
        <v>1114</v>
      </c>
      <c r="AC65" s="51"/>
      <c r="AD65" s="51"/>
      <c r="AE65" s="51"/>
      <c r="AF65" s="51"/>
      <c r="AG65" s="51"/>
      <c r="AH65" s="51"/>
      <c r="AI65" s="51"/>
    </row>
    <row r="66" spans="1:35" x14ac:dyDescent="0.2">
      <c r="A66" s="223">
        <v>2</v>
      </c>
      <c r="B66" s="405" t="s">
        <v>54</v>
      </c>
      <c r="C66" s="405" t="s">
        <v>1301</v>
      </c>
      <c r="D66" s="237" t="s">
        <v>53</v>
      </c>
      <c r="E66" s="237" t="s">
        <v>970</v>
      </c>
      <c r="F66" s="51" t="s">
        <v>970</v>
      </c>
      <c r="G66" s="51">
        <v>27874</v>
      </c>
      <c r="H66" s="51"/>
      <c r="I66" s="51">
        <v>0</v>
      </c>
      <c r="J66" s="51"/>
      <c r="K66" s="51">
        <v>0</v>
      </c>
      <c r="L66" s="51"/>
      <c r="M66" s="818">
        <v>27874</v>
      </c>
      <c r="N66" s="51"/>
      <c r="O66" s="51">
        <v>0</v>
      </c>
      <c r="P66" s="51"/>
      <c r="Q66" s="51">
        <v>0</v>
      </c>
      <c r="R66" s="51"/>
      <c r="S66" s="51">
        <v>0</v>
      </c>
      <c r="T66" s="51"/>
      <c r="U66" s="51">
        <v>0</v>
      </c>
      <c r="V66" s="51"/>
      <c r="W66" s="51">
        <v>27874</v>
      </c>
      <c r="X66" s="51"/>
      <c r="Y66" s="51">
        <v>21014</v>
      </c>
      <c r="Z66" s="51"/>
      <c r="AA66" s="51">
        <v>21014</v>
      </c>
      <c r="AB66" s="51" t="s">
        <v>1114</v>
      </c>
      <c r="AC66" s="51"/>
      <c r="AD66" s="51"/>
      <c r="AE66" s="51"/>
      <c r="AF66" s="51"/>
      <c r="AG66" s="51"/>
      <c r="AH66" s="51"/>
      <c r="AI66" s="51"/>
    </row>
    <row r="67" spans="1:35" x14ac:dyDescent="0.2">
      <c r="A67" s="223">
        <v>3</v>
      </c>
      <c r="B67" s="405" t="s">
        <v>62</v>
      </c>
      <c r="C67" s="405" t="s">
        <v>1302</v>
      </c>
      <c r="D67" s="237" t="s">
        <v>61</v>
      </c>
      <c r="E67" s="237" t="s">
        <v>798</v>
      </c>
      <c r="F67" s="51" t="s">
        <v>798</v>
      </c>
      <c r="G67" s="51">
        <v>0</v>
      </c>
      <c r="H67" s="51"/>
      <c r="I67" s="51">
        <v>0</v>
      </c>
      <c r="J67" s="51"/>
      <c r="K67" s="51">
        <v>0</v>
      </c>
      <c r="L67" s="51"/>
      <c r="M67" s="818">
        <v>0</v>
      </c>
      <c r="N67" s="51"/>
      <c r="O67" s="51">
        <v>0</v>
      </c>
      <c r="P67" s="51"/>
      <c r="Q67" s="51">
        <v>0</v>
      </c>
      <c r="R67" s="51"/>
      <c r="S67" s="51">
        <v>0</v>
      </c>
      <c r="T67" s="51"/>
      <c r="U67" s="51">
        <v>0</v>
      </c>
      <c r="V67" s="51"/>
      <c r="W67" s="51">
        <v>0</v>
      </c>
      <c r="X67" s="51"/>
      <c r="Y67" s="51">
        <v>0</v>
      </c>
      <c r="Z67" s="51"/>
      <c r="AA67" s="51">
        <v>0</v>
      </c>
      <c r="AB67" s="51" t="s">
        <v>1114</v>
      </c>
      <c r="AC67" s="51"/>
      <c r="AD67" s="51"/>
      <c r="AE67" s="51"/>
      <c r="AF67" s="51"/>
      <c r="AG67" s="51"/>
      <c r="AH67" s="51"/>
      <c r="AI67" s="51"/>
    </row>
    <row r="68" spans="1:35" x14ac:dyDescent="0.2">
      <c r="A68" s="223">
        <v>4</v>
      </c>
      <c r="B68" s="405" t="s">
        <v>62</v>
      </c>
      <c r="C68" s="405" t="s">
        <v>1303</v>
      </c>
      <c r="D68" s="237" t="s">
        <v>61</v>
      </c>
      <c r="E68" s="237" t="s">
        <v>799</v>
      </c>
      <c r="F68" s="51" t="s">
        <v>799</v>
      </c>
      <c r="G68" s="51">
        <v>113152</v>
      </c>
      <c r="H68" s="51"/>
      <c r="I68" s="51">
        <v>0</v>
      </c>
      <c r="J68" s="51"/>
      <c r="K68" s="51">
        <v>0</v>
      </c>
      <c r="L68" s="51"/>
      <c r="M68" s="818">
        <v>113152</v>
      </c>
      <c r="N68" s="51"/>
      <c r="O68" s="51">
        <v>0</v>
      </c>
      <c r="P68" s="51"/>
      <c r="Q68" s="51">
        <v>0</v>
      </c>
      <c r="R68" s="51"/>
      <c r="S68" s="51">
        <v>0</v>
      </c>
      <c r="T68" s="51"/>
      <c r="U68" s="51">
        <v>146006</v>
      </c>
      <c r="V68" s="51"/>
      <c r="W68" s="51">
        <v>0</v>
      </c>
      <c r="X68" s="51"/>
      <c r="Y68" s="51">
        <v>0</v>
      </c>
      <c r="Z68" s="51"/>
      <c r="AA68" s="51">
        <v>0</v>
      </c>
      <c r="AB68" s="51" t="s">
        <v>1114</v>
      </c>
      <c r="AC68" s="51"/>
      <c r="AD68" s="51"/>
      <c r="AE68" s="51"/>
      <c r="AF68" s="51"/>
      <c r="AG68" s="51"/>
      <c r="AH68" s="51"/>
      <c r="AI68" s="51"/>
    </row>
    <row r="69" spans="1:35" x14ac:dyDescent="0.2">
      <c r="A69" s="223">
        <v>5</v>
      </c>
      <c r="B69" s="405" t="s">
        <v>62</v>
      </c>
      <c r="C69" s="405" t="s">
        <v>1304</v>
      </c>
      <c r="D69" s="237" t="s">
        <v>61</v>
      </c>
      <c r="E69" s="237" t="s">
        <v>971</v>
      </c>
      <c r="F69" s="51" t="s">
        <v>971</v>
      </c>
      <c r="G69" s="51">
        <v>0</v>
      </c>
      <c r="H69" s="51"/>
      <c r="I69" s="51">
        <v>0</v>
      </c>
      <c r="J69" s="51"/>
      <c r="K69" s="51">
        <v>0</v>
      </c>
      <c r="L69" s="51"/>
      <c r="M69" s="818">
        <v>0</v>
      </c>
      <c r="N69" s="51"/>
      <c r="O69" s="51">
        <v>0</v>
      </c>
      <c r="P69" s="51"/>
      <c r="Q69" s="51">
        <v>0</v>
      </c>
      <c r="R69" s="51"/>
      <c r="S69" s="51">
        <v>0</v>
      </c>
      <c r="T69" s="51"/>
      <c r="U69" s="51">
        <v>0</v>
      </c>
      <c r="V69" s="51"/>
      <c r="W69" s="51">
        <v>0</v>
      </c>
      <c r="X69" s="51"/>
      <c r="Y69" s="51">
        <v>0</v>
      </c>
      <c r="Z69" s="51"/>
      <c r="AA69" s="51">
        <v>0</v>
      </c>
      <c r="AB69" s="51" t="s">
        <v>1114</v>
      </c>
      <c r="AC69" s="51"/>
      <c r="AD69" s="51"/>
      <c r="AE69" s="51"/>
      <c r="AF69" s="51"/>
      <c r="AG69" s="51"/>
      <c r="AH69" s="51"/>
      <c r="AI69" s="51"/>
    </row>
    <row r="70" spans="1:35" x14ac:dyDescent="0.2">
      <c r="A70" s="223">
        <v>6</v>
      </c>
      <c r="B70" s="405" t="s">
        <v>62</v>
      </c>
      <c r="C70" s="405" t="s">
        <v>1305</v>
      </c>
      <c r="D70" s="237" t="s">
        <v>61</v>
      </c>
      <c r="E70" s="237" t="s">
        <v>972</v>
      </c>
      <c r="F70" s="51" t="s">
        <v>972</v>
      </c>
      <c r="G70" s="51">
        <v>0</v>
      </c>
      <c r="H70" s="51"/>
      <c r="I70" s="51">
        <v>0</v>
      </c>
      <c r="J70" s="51"/>
      <c r="K70" s="51">
        <v>0</v>
      </c>
      <c r="L70" s="51"/>
      <c r="M70" s="818">
        <v>0</v>
      </c>
      <c r="N70" s="51"/>
      <c r="O70" s="51">
        <v>0</v>
      </c>
      <c r="P70" s="51"/>
      <c r="Q70" s="51">
        <v>0</v>
      </c>
      <c r="R70" s="51"/>
      <c r="S70" s="51">
        <v>0</v>
      </c>
      <c r="T70" s="51"/>
      <c r="U70" s="51">
        <v>0</v>
      </c>
      <c r="V70" s="51"/>
      <c r="W70" s="51">
        <v>0</v>
      </c>
      <c r="X70" s="51"/>
      <c r="Y70" s="51">
        <v>0</v>
      </c>
      <c r="Z70" s="51"/>
      <c r="AA70" s="51">
        <v>0</v>
      </c>
      <c r="AB70" s="51" t="s">
        <v>1114</v>
      </c>
      <c r="AC70" s="51"/>
      <c r="AD70" s="51"/>
      <c r="AE70" s="51"/>
      <c r="AF70" s="51"/>
      <c r="AG70" s="51"/>
      <c r="AH70" s="51"/>
      <c r="AI70" s="51"/>
    </row>
    <row r="71" spans="1:35" x14ac:dyDescent="0.2">
      <c r="A71" s="223">
        <v>7</v>
      </c>
      <c r="B71" s="405" t="s">
        <v>62</v>
      </c>
      <c r="C71" s="405" t="s">
        <v>1306</v>
      </c>
      <c r="D71" s="237" t="s">
        <v>61</v>
      </c>
      <c r="E71" s="237" t="s">
        <v>973</v>
      </c>
      <c r="F71" s="51" t="s">
        <v>973</v>
      </c>
      <c r="G71" s="51">
        <v>0</v>
      </c>
      <c r="H71" s="51"/>
      <c r="I71" s="51">
        <v>0</v>
      </c>
      <c r="J71" s="51"/>
      <c r="K71" s="51">
        <v>0</v>
      </c>
      <c r="L71" s="51"/>
      <c r="M71" s="818">
        <v>0</v>
      </c>
      <c r="N71" s="51"/>
      <c r="O71" s="51">
        <v>0</v>
      </c>
      <c r="P71" s="51"/>
      <c r="Q71" s="51">
        <v>0</v>
      </c>
      <c r="R71" s="51"/>
      <c r="S71" s="51">
        <v>0</v>
      </c>
      <c r="T71" s="51"/>
      <c r="U71" s="51">
        <v>0</v>
      </c>
      <c r="V71" s="51"/>
      <c r="W71" s="51">
        <v>0</v>
      </c>
      <c r="X71" s="51"/>
      <c r="Y71" s="51">
        <v>0</v>
      </c>
      <c r="Z71" s="51"/>
      <c r="AA71" s="51">
        <v>0</v>
      </c>
      <c r="AB71" s="51" t="s">
        <v>1114</v>
      </c>
      <c r="AC71" s="51"/>
      <c r="AD71" s="51"/>
      <c r="AE71" s="51"/>
      <c r="AF71" s="51"/>
      <c r="AG71" s="51"/>
      <c r="AH71" s="51"/>
      <c r="AI71" s="51"/>
    </row>
    <row r="72" spans="1:35" x14ac:dyDescent="0.2">
      <c r="A72" s="223">
        <v>1</v>
      </c>
      <c r="B72" s="405" t="s">
        <v>62</v>
      </c>
      <c r="C72" s="405" t="s">
        <v>1307</v>
      </c>
      <c r="D72" s="237" t="s">
        <v>61</v>
      </c>
      <c r="E72" s="237" t="s">
        <v>974</v>
      </c>
      <c r="F72" s="51" t="s">
        <v>974</v>
      </c>
      <c r="G72" s="51">
        <v>0</v>
      </c>
      <c r="H72" s="51"/>
      <c r="I72" s="51">
        <v>0</v>
      </c>
      <c r="J72" s="51"/>
      <c r="K72" s="51">
        <v>0</v>
      </c>
      <c r="L72" s="51"/>
      <c r="M72" s="818">
        <v>0</v>
      </c>
      <c r="N72" s="51"/>
      <c r="O72" s="51">
        <v>0</v>
      </c>
      <c r="P72" s="51"/>
      <c r="Q72" s="51">
        <v>0</v>
      </c>
      <c r="R72" s="51"/>
      <c r="S72" s="51">
        <v>0</v>
      </c>
      <c r="T72" s="51"/>
      <c r="U72" s="51">
        <v>0</v>
      </c>
      <c r="V72" s="51"/>
      <c r="W72" s="51">
        <v>0</v>
      </c>
      <c r="X72" s="51"/>
      <c r="Y72" s="51">
        <v>0</v>
      </c>
      <c r="Z72" s="51"/>
      <c r="AA72" s="51">
        <v>0</v>
      </c>
      <c r="AB72" s="51" t="s">
        <v>1114</v>
      </c>
      <c r="AC72" s="51"/>
      <c r="AD72" s="51"/>
      <c r="AE72" s="51"/>
      <c r="AF72" s="51"/>
      <c r="AG72" s="51"/>
      <c r="AH72" s="51"/>
      <c r="AI72" s="51"/>
    </row>
    <row r="73" spans="1:35" x14ac:dyDescent="0.2">
      <c r="A73" s="223">
        <v>1</v>
      </c>
      <c r="B73" s="405" t="s">
        <v>62</v>
      </c>
      <c r="C73" s="405" t="s">
        <v>1308</v>
      </c>
      <c r="D73" s="237" t="s">
        <v>61</v>
      </c>
      <c r="E73" s="237" t="s">
        <v>975</v>
      </c>
      <c r="F73" s="51" t="s">
        <v>975</v>
      </c>
      <c r="G73" s="51">
        <v>0</v>
      </c>
      <c r="H73" s="51"/>
      <c r="I73" s="51">
        <v>0</v>
      </c>
      <c r="J73" s="51"/>
      <c r="K73" s="51">
        <v>0</v>
      </c>
      <c r="L73" s="51"/>
      <c r="M73" s="818">
        <v>0</v>
      </c>
      <c r="N73" s="51"/>
      <c r="O73" s="51">
        <v>0</v>
      </c>
      <c r="P73" s="51"/>
      <c r="Q73" s="51">
        <v>0</v>
      </c>
      <c r="R73" s="51"/>
      <c r="S73" s="51">
        <v>0</v>
      </c>
      <c r="T73" s="51"/>
      <c r="U73" s="51">
        <v>0</v>
      </c>
      <c r="V73" s="51"/>
      <c r="W73" s="51">
        <v>0</v>
      </c>
      <c r="X73" s="51"/>
      <c r="Y73" s="51">
        <v>0</v>
      </c>
      <c r="Z73" s="51"/>
      <c r="AA73" s="51">
        <v>0</v>
      </c>
      <c r="AB73" s="51" t="s">
        <v>1114</v>
      </c>
      <c r="AC73" s="51"/>
      <c r="AD73" s="51"/>
      <c r="AE73" s="51"/>
      <c r="AF73" s="51"/>
      <c r="AG73" s="51"/>
      <c r="AH73" s="51"/>
      <c r="AI73" s="51"/>
    </row>
    <row r="74" spans="1:35" x14ac:dyDescent="0.2">
      <c r="A74" s="223">
        <v>2</v>
      </c>
      <c r="B74" s="405" t="s">
        <v>84</v>
      </c>
      <c r="C74" s="405" t="s">
        <v>1309</v>
      </c>
      <c r="D74" s="237" t="s">
        <v>83</v>
      </c>
      <c r="E74" s="237" t="s">
        <v>800</v>
      </c>
      <c r="F74" s="51" t="s">
        <v>800</v>
      </c>
      <c r="G74" s="51">
        <v>442345</v>
      </c>
      <c r="H74" s="51"/>
      <c r="I74" s="51">
        <v>-2875</v>
      </c>
      <c r="J74" s="51"/>
      <c r="K74" s="51">
        <v>-19456</v>
      </c>
      <c r="L74" s="51"/>
      <c r="M74" s="818">
        <v>420014</v>
      </c>
      <c r="N74" s="51"/>
      <c r="O74" s="51">
        <v>0</v>
      </c>
      <c r="P74" s="51"/>
      <c r="Q74" s="51">
        <v>0</v>
      </c>
      <c r="R74" s="51"/>
      <c r="S74" s="51">
        <v>0</v>
      </c>
      <c r="T74" s="51"/>
      <c r="U74" s="51">
        <v>115871</v>
      </c>
      <c r="V74" s="51"/>
      <c r="W74" s="51">
        <v>304143</v>
      </c>
      <c r="X74" s="51"/>
      <c r="Y74" s="51">
        <v>246620</v>
      </c>
      <c r="Z74" s="51"/>
      <c r="AA74" s="51">
        <v>246620</v>
      </c>
      <c r="AB74" s="51" t="s">
        <v>1114</v>
      </c>
      <c r="AC74" s="51"/>
      <c r="AD74" s="51"/>
      <c r="AE74" s="51"/>
      <c r="AF74" s="51"/>
      <c r="AG74" s="51"/>
      <c r="AH74" s="51"/>
      <c r="AI74" s="51"/>
    </row>
    <row r="75" spans="1:35" x14ac:dyDescent="0.2">
      <c r="A75" s="223">
        <v>1</v>
      </c>
      <c r="B75" s="405" t="s">
        <v>90</v>
      </c>
      <c r="C75" s="405" t="s">
        <v>1310</v>
      </c>
      <c r="D75" s="237" t="s">
        <v>89</v>
      </c>
      <c r="E75" s="237" t="s">
        <v>801</v>
      </c>
      <c r="F75" s="51" t="s">
        <v>801</v>
      </c>
      <c r="G75" s="51">
        <v>2114808</v>
      </c>
      <c r="H75" s="51"/>
      <c r="I75" s="51">
        <v>0</v>
      </c>
      <c r="J75" s="51"/>
      <c r="K75" s="51">
        <v>0</v>
      </c>
      <c r="L75" s="51"/>
      <c r="M75" s="818">
        <v>2114808</v>
      </c>
      <c r="N75" s="51"/>
      <c r="O75" s="51">
        <v>0</v>
      </c>
      <c r="P75" s="51"/>
      <c r="Q75" s="51">
        <v>0</v>
      </c>
      <c r="R75" s="51"/>
      <c r="S75" s="51">
        <v>0</v>
      </c>
      <c r="T75" s="51"/>
      <c r="U75" s="51">
        <v>2134803</v>
      </c>
      <c r="V75" s="51"/>
      <c r="W75" s="51">
        <v>0</v>
      </c>
      <c r="X75" s="51"/>
      <c r="Y75" s="51">
        <v>0</v>
      </c>
      <c r="Z75" s="51"/>
      <c r="AA75" s="51">
        <v>0</v>
      </c>
      <c r="AB75" s="51" t="s">
        <v>1114</v>
      </c>
      <c r="AC75" s="51"/>
      <c r="AD75" s="51"/>
      <c r="AE75" s="51"/>
      <c r="AF75" s="51"/>
      <c r="AG75" s="51"/>
      <c r="AH75" s="51"/>
      <c r="AI75" s="51"/>
    </row>
    <row r="76" spans="1:35" x14ac:dyDescent="0.2">
      <c r="A76" s="223">
        <v>2</v>
      </c>
      <c r="B76" s="405" t="s">
        <v>90</v>
      </c>
      <c r="C76" s="405" t="s">
        <v>1311</v>
      </c>
      <c r="D76" s="237" t="s">
        <v>89</v>
      </c>
      <c r="E76" s="237" t="s">
        <v>928</v>
      </c>
      <c r="F76" s="51" t="s">
        <v>928</v>
      </c>
      <c r="G76" s="51">
        <v>788920</v>
      </c>
      <c r="H76" s="51"/>
      <c r="I76" s="51">
        <v>-50000</v>
      </c>
      <c r="J76" s="51"/>
      <c r="K76" s="51">
        <v>-136710</v>
      </c>
      <c r="L76" s="51"/>
      <c r="M76" s="818">
        <v>602210</v>
      </c>
      <c r="N76" s="51"/>
      <c r="O76" s="51">
        <v>0</v>
      </c>
      <c r="P76" s="51"/>
      <c r="Q76" s="51">
        <v>0</v>
      </c>
      <c r="R76" s="51"/>
      <c r="S76" s="51">
        <v>-26037</v>
      </c>
      <c r="T76" s="51"/>
      <c r="U76" s="51">
        <v>931609</v>
      </c>
      <c r="V76" s="51"/>
      <c r="W76" s="51">
        <v>0</v>
      </c>
      <c r="X76" s="51"/>
      <c r="Y76" s="51">
        <v>292339</v>
      </c>
      <c r="Z76" s="51"/>
      <c r="AA76" s="51">
        <v>292339</v>
      </c>
      <c r="AB76" s="51" t="s">
        <v>1114</v>
      </c>
      <c r="AC76" s="51"/>
      <c r="AD76" s="51"/>
      <c r="AE76" s="51"/>
      <c r="AF76" s="51"/>
      <c r="AG76" s="51"/>
      <c r="AH76" s="51"/>
      <c r="AI76" s="51"/>
    </row>
    <row r="77" spans="1:35" x14ac:dyDescent="0.2">
      <c r="A77" s="223">
        <v>1</v>
      </c>
      <c r="B77" s="405" t="s">
        <v>92</v>
      </c>
      <c r="C77" s="405" t="s">
        <v>1312</v>
      </c>
      <c r="D77" s="237" t="s">
        <v>91</v>
      </c>
      <c r="E77" s="237" t="s">
        <v>1102</v>
      </c>
      <c r="F77" s="51" t="s">
        <v>1102</v>
      </c>
      <c r="G77" s="51">
        <v>2258399</v>
      </c>
      <c r="H77" s="51"/>
      <c r="I77" s="51">
        <v>-1000</v>
      </c>
      <c r="J77" s="51"/>
      <c r="K77" s="51">
        <v>-101838</v>
      </c>
      <c r="L77" s="51"/>
      <c r="M77" s="818">
        <v>2155561</v>
      </c>
      <c r="N77" s="51"/>
      <c r="O77" s="51">
        <v>0</v>
      </c>
      <c r="P77" s="51"/>
      <c r="Q77" s="51">
        <v>0</v>
      </c>
      <c r="R77" s="51"/>
      <c r="S77" s="51">
        <v>-9018</v>
      </c>
      <c r="T77" s="51"/>
      <c r="U77" s="51">
        <v>1434114</v>
      </c>
      <c r="V77" s="51"/>
      <c r="W77" s="51">
        <v>712429</v>
      </c>
      <c r="X77" s="51"/>
      <c r="Y77" s="51">
        <v>0</v>
      </c>
      <c r="Z77" s="51"/>
      <c r="AA77" s="51">
        <v>0</v>
      </c>
      <c r="AB77" s="51" t="s">
        <v>1114</v>
      </c>
      <c r="AC77" s="51"/>
      <c r="AD77" s="51"/>
      <c r="AE77" s="51"/>
      <c r="AF77" s="51"/>
      <c r="AG77" s="51"/>
      <c r="AH77" s="51"/>
      <c r="AI77" s="51"/>
    </row>
    <row r="78" spans="1:35" x14ac:dyDescent="0.2">
      <c r="A78" s="223">
        <v>1</v>
      </c>
      <c r="B78" s="405" t="s">
        <v>92</v>
      </c>
      <c r="C78" s="405" t="s">
        <v>1313</v>
      </c>
      <c r="D78" s="237" t="s">
        <v>91</v>
      </c>
      <c r="E78" s="237" t="s">
        <v>976</v>
      </c>
      <c r="F78" s="51" t="s">
        <v>976</v>
      </c>
      <c r="G78" s="51">
        <v>245760</v>
      </c>
      <c r="H78" s="51"/>
      <c r="I78" s="51">
        <v>0</v>
      </c>
      <c r="J78" s="51"/>
      <c r="K78" s="51">
        <v>0</v>
      </c>
      <c r="L78" s="51"/>
      <c r="M78" s="818">
        <v>245760</v>
      </c>
      <c r="N78" s="51"/>
      <c r="O78" s="51">
        <v>0</v>
      </c>
      <c r="P78" s="51"/>
      <c r="Q78" s="51">
        <v>0</v>
      </c>
      <c r="R78" s="51"/>
      <c r="S78" s="51">
        <v>0</v>
      </c>
      <c r="T78" s="51"/>
      <c r="U78" s="51">
        <v>0</v>
      </c>
      <c r="V78" s="51"/>
      <c r="W78" s="51">
        <v>245760</v>
      </c>
      <c r="X78" s="51"/>
      <c r="Y78" s="51">
        <v>0</v>
      </c>
      <c r="Z78" s="51"/>
      <c r="AA78" s="51">
        <v>0</v>
      </c>
      <c r="AB78" s="51" t="s">
        <v>1114</v>
      </c>
      <c r="AC78" s="51"/>
      <c r="AD78" s="51"/>
      <c r="AE78" s="51"/>
      <c r="AF78" s="51"/>
      <c r="AG78" s="51"/>
      <c r="AH78" s="51"/>
      <c r="AI78" s="51"/>
    </row>
    <row r="79" spans="1:35" x14ac:dyDescent="0.2">
      <c r="A79" s="223">
        <v>2</v>
      </c>
      <c r="B79" s="405" t="s">
        <v>98</v>
      </c>
      <c r="C79" s="405" t="s">
        <v>1314</v>
      </c>
      <c r="D79" s="237" t="s">
        <v>97</v>
      </c>
      <c r="E79" s="237" t="s">
        <v>800</v>
      </c>
      <c r="F79" s="51" t="s">
        <v>800</v>
      </c>
      <c r="G79" s="51">
        <v>430344</v>
      </c>
      <c r="H79" s="51"/>
      <c r="I79" s="51">
        <v>-4800</v>
      </c>
      <c r="J79" s="51"/>
      <c r="K79" s="51">
        <v>-22600</v>
      </c>
      <c r="L79" s="51"/>
      <c r="M79" s="818">
        <v>402944</v>
      </c>
      <c r="N79" s="51"/>
      <c r="O79" s="51">
        <v>0</v>
      </c>
      <c r="P79" s="51"/>
      <c r="Q79" s="51">
        <v>0</v>
      </c>
      <c r="R79" s="51"/>
      <c r="S79" s="51">
        <v>-16338</v>
      </c>
      <c r="T79" s="51"/>
      <c r="U79" s="51">
        <v>425046</v>
      </c>
      <c r="V79" s="51"/>
      <c r="W79" s="51">
        <v>0</v>
      </c>
      <c r="X79" s="51"/>
      <c r="Y79" s="51">
        <v>401730</v>
      </c>
      <c r="Z79" s="51"/>
      <c r="AA79" s="51">
        <v>401730</v>
      </c>
      <c r="AB79" s="51" t="s">
        <v>1114</v>
      </c>
      <c r="AC79" s="51"/>
      <c r="AD79" s="51"/>
      <c r="AE79" s="51"/>
      <c r="AF79" s="51"/>
      <c r="AG79" s="51"/>
      <c r="AH79" s="51"/>
      <c r="AI79" s="51"/>
    </row>
    <row r="80" spans="1:35" x14ac:dyDescent="0.2">
      <c r="A80" s="223">
        <v>3</v>
      </c>
      <c r="B80" s="405" t="s">
        <v>100</v>
      </c>
      <c r="C80" s="405" t="s">
        <v>1315</v>
      </c>
      <c r="D80" s="237" t="s">
        <v>99</v>
      </c>
      <c r="E80" s="237" t="s">
        <v>977</v>
      </c>
      <c r="F80" s="51" t="s">
        <v>977</v>
      </c>
      <c r="G80" s="51">
        <v>0</v>
      </c>
      <c r="H80" s="51"/>
      <c r="I80" s="51">
        <v>0</v>
      </c>
      <c r="J80" s="51"/>
      <c r="K80" s="51">
        <v>0</v>
      </c>
      <c r="L80" s="51"/>
      <c r="M80" s="818">
        <v>0</v>
      </c>
      <c r="N80" s="51"/>
      <c r="O80" s="51">
        <v>0</v>
      </c>
      <c r="P80" s="51"/>
      <c r="Q80" s="51">
        <v>0</v>
      </c>
      <c r="R80" s="51"/>
      <c r="S80" s="51">
        <v>0</v>
      </c>
      <c r="T80" s="51"/>
      <c r="U80" s="51">
        <v>0</v>
      </c>
      <c r="V80" s="51"/>
      <c r="W80" s="51">
        <v>0</v>
      </c>
      <c r="X80" s="51"/>
      <c r="Y80" s="51">
        <v>0</v>
      </c>
      <c r="Z80" s="51"/>
      <c r="AA80" s="51">
        <v>0</v>
      </c>
      <c r="AB80" s="51" t="s">
        <v>1114</v>
      </c>
      <c r="AC80" s="51"/>
      <c r="AD80" s="51"/>
      <c r="AE80" s="51"/>
      <c r="AF80" s="51"/>
      <c r="AG80" s="51"/>
      <c r="AH80" s="51"/>
      <c r="AI80" s="51"/>
    </row>
    <row r="81" spans="1:35" x14ac:dyDescent="0.2">
      <c r="A81" s="223">
        <v>1</v>
      </c>
      <c r="B81" s="405" t="s">
        <v>100</v>
      </c>
      <c r="C81" s="405" t="s">
        <v>1316</v>
      </c>
      <c r="D81" s="237" t="s">
        <v>99</v>
      </c>
      <c r="E81" s="237" t="s">
        <v>978</v>
      </c>
      <c r="F81" s="51" t="s">
        <v>978</v>
      </c>
      <c r="G81" s="51">
        <v>445000</v>
      </c>
      <c r="H81" s="51"/>
      <c r="I81" s="51">
        <v>0</v>
      </c>
      <c r="J81" s="51"/>
      <c r="K81" s="51">
        <v>0</v>
      </c>
      <c r="L81" s="51"/>
      <c r="M81" s="818">
        <v>445000</v>
      </c>
      <c r="N81" s="51"/>
      <c r="O81" s="51">
        <v>0</v>
      </c>
      <c r="P81" s="51"/>
      <c r="Q81" s="51">
        <v>0</v>
      </c>
      <c r="R81" s="51"/>
      <c r="S81" s="51">
        <v>0</v>
      </c>
      <c r="T81" s="51"/>
      <c r="U81" s="51">
        <v>0</v>
      </c>
      <c r="V81" s="51"/>
      <c r="W81" s="51">
        <v>445000</v>
      </c>
      <c r="X81" s="51"/>
      <c r="Y81" s="51">
        <v>55000</v>
      </c>
      <c r="Z81" s="51"/>
      <c r="AA81" s="51">
        <v>55000</v>
      </c>
      <c r="AB81" s="51" t="s">
        <v>1114</v>
      </c>
      <c r="AC81" s="51"/>
      <c r="AD81" s="51"/>
      <c r="AE81" s="51"/>
      <c r="AF81" s="51"/>
      <c r="AG81" s="51"/>
      <c r="AH81" s="51"/>
      <c r="AI81" s="51"/>
    </row>
    <row r="82" spans="1:35" x14ac:dyDescent="0.2">
      <c r="A82" s="223">
        <v>2</v>
      </c>
      <c r="B82" s="405" t="s">
        <v>100</v>
      </c>
      <c r="C82" s="405" t="s">
        <v>1317</v>
      </c>
      <c r="D82" s="237" t="s">
        <v>99</v>
      </c>
      <c r="E82" s="237" t="s">
        <v>957</v>
      </c>
      <c r="F82" s="51" t="s">
        <v>957</v>
      </c>
      <c r="G82" s="51">
        <v>0</v>
      </c>
      <c r="H82" s="51"/>
      <c r="I82" s="51">
        <v>0</v>
      </c>
      <c r="J82" s="51"/>
      <c r="K82" s="51">
        <v>0</v>
      </c>
      <c r="L82" s="51"/>
      <c r="M82" s="818">
        <v>0</v>
      </c>
      <c r="N82" s="51"/>
      <c r="O82" s="51">
        <v>0</v>
      </c>
      <c r="P82" s="51"/>
      <c r="Q82" s="51">
        <v>0</v>
      </c>
      <c r="R82" s="51"/>
      <c r="S82" s="51">
        <v>0</v>
      </c>
      <c r="T82" s="51"/>
      <c r="U82" s="51">
        <v>0</v>
      </c>
      <c r="V82" s="51"/>
      <c r="W82" s="51">
        <v>0</v>
      </c>
      <c r="X82" s="51"/>
      <c r="Y82" s="51">
        <v>0</v>
      </c>
      <c r="Z82" s="51"/>
      <c r="AA82" s="51">
        <v>0</v>
      </c>
      <c r="AB82" s="51" t="s">
        <v>1114</v>
      </c>
      <c r="AC82" s="51"/>
      <c r="AD82" s="51"/>
      <c r="AE82" s="51"/>
      <c r="AF82" s="51"/>
      <c r="AG82" s="51"/>
      <c r="AH82" s="51"/>
      <c r="AI82" s="51"/>
    </row>
    <row r="83" spans="1:35" x14ac:dyDescent="0.2">
      <c r="A83" s="223">
        <v>3</v>
      </c>
      <c r="B83" s="405" t="s">
        <v>102</v>
      </c>
      <c r="C83" s="405" t="s">
        <v>1318</v>
      </c>
      <c r="D83" s="237" t="s">
        <v>101</v>
      </c>
      <c r="E83" s="237" t="s">
        <v>803</v>
      </c>
      <c r="F83" s="51" t="s">
        <v>803</v>
      </c>
      <c r="G83" s="51">
        <v>1278640</v>
      </c>
      <c r="H83" s="51"/>
      <c r="I83" s="51">
        <v>0</v>
      </c>
      <c r="J83" s="51"/>
      <c r="K83" s="51">
        <v>0</v>
      </c>
      <c r="L83" s="51"/>
      <c r="M83" s="818">
        <v>1278640</v>
      </c>
      <c r="N83" s="51"/>
      <c r="O83" s="51">
        <v>0</v>
      </c>
      <c r="P83" s="51"/>
      <c r="Q83" s="51">
        <v>0</v>
      </c>
      <c r="R83" s="51"/>
      <c r="S83" s="51">
        <v>1033</v>
      </c>
      <c r="T83" s="51"/>
      <c r="U83" s="51">
        <v>314506</v>
      </c>
      <c r="V83" s="51"/>
      <c r="W83" s="51">
        <v>965167</v>
      </c>
      <c r="X83" s="51"/>
      <c r="Y83" s="51">
        <v>350643</v>
      </c>
      <c r="Z83" s="51"/>
      <c r="AA83" s="51">
        <v>350643</v>
      </c>
      <c r="AB83" s="51" t="s">
        <v>1114</v>
      </c>
      <c r="AC83" s="51"/>
      <c r="AD83" s="51"/>
      <c r="AE83" s="51"/>
      <c r="AF83" s="51"/>
      <c r="AG83" s="51"/>
      <c r="AH83" s="51"/>
      <c r="AI83" s="51"/>
    </row>
    <row r="84" spans="1:35" x14ac:dyDescent="0.2">
      <c r="A84" s="223">
        <v>4</v>
      </c>
      <c r="B84" s="405" t="s">
        <v>102</v>
      </c>
      <c r="C84" s="405" t="s">
        <v>1319</v>
      </c>
      <c r="D84" s="237" t="s">
        <v>101</v>
      </c>
      <c r="E84" s="237" t="s">
        <v>979</v>
      </c>
      <c r="F84" s="51" t="s">
        <v>979</v>
      </c>
      <c r="G84" s="51">
        <v>0</v>
      </c>
      <c r="H84" s="51"/>
      <c r="I84" s="51">
        <v>0</v>
      </c>
      <c r="J84" s="51"/>
      <c r="K84" s="51">
        <v>0</v>
      </c>
      <c r="L84" s="51"/>
      <c r="M84" s="818">
        <v>0</v>
      </c>
      <c r="N84" s="51"/>
      <c r="O84" s="51">
        <v>0</v>
      </c>
      <c r="P84" s="51"/>
      <c r="Q84" s="51">
        <v>0</v>
      </c>
      <c r="R84" s="51"/>
      <c r="S84" s="51">
        <v>0</v>
      </c>
      <c r="T84" s="51"/>
      <c r="U84" s="51">
        <v>0</v>
      </c>
      <c r="V84" s="51"/>
      <c r="W84" s="51">
        <v>0</v>
      </c>
      <c r="X84" s="51"/>
      <c r="Y84" s="51">
        <v>0</v>
      </c>
      <c r="Z84" s="51"/>
      <c r="AA84" s="51">
        <v>0</v>
      </c>
      <c r="AB84" s="51" t="s">
        <v>1114</v>
      </c>
      <c r="AC84" s="51"/>
      <c r="AD84" s="51"/>
      <c r="AE84" s="51"/>
      <c r="AF84" s="51"/>
      <c r="AG84" s="51"/>
      <c r="AH84" s="51"/>
      <c r="AI84" s="51"/>
    </row>
    <row r="85" spans="1:35" x14ac:dyDescent="0.2">
      <c r="A85" s="223">
        <v>5</v>
      </c>
      <c r="B85" s="405" t="s">
        <v>102</v>
      </c>
      <c r="C85" s="405" t="s">
        <v>1320</v>
      </c>
      <c r="D85" s="237" t="s">
        <v>101</v>
      </c>
      <c r="E85" s="237" t="s">
        <v>980</v>
      </c>
      <c r="F85" s="51" t="s">
        <v>980</v>
      </c>
      <c r="G85" s="51">
        <v>144640</v>
      </c>
      <c r="H85" s="51"/>
      <c r="I85" s="51">
        <v>0</v>
      </c>
      <c r="J85" s="51"/>
      <c r="K85" s="51">
        <v>0</v>
      </c>
      <c r="L85" s="51"/>
      <c r="M85" s="818">
        <v>144640</v>
      </c>
      <c r="N85" s="51"/>
      <c r="O85" s="51">
        <v>0</v>
      </c>
      <c r="P85" s="51"/>
      <c r="Q85" s="51">
        <v>0</v>
      </c>
      <c r="R85" s="51"/>
      <c r="S85" s="51">
        <v>0</v>
      </c>
      <c r="T85" s="51"/>
      <c r="U85" s="51">
        <v>6997</v>
      </c>
      <c r="V85" s="51"/>
      <c r="W85" s="51">
        <v>137643</v>
      </c>
      <c r="X85" s="51"/>
      <c r="Y85" s="51">
        <v>0</v>
      </c>
      <c r="Z85" s="51"/>
      <c r="AA85" s="51">
        <v>0</v>
      </c>
      <c r="AB85" s="51" t="s">
        <v>1114</v>
      </c>
      <c r="AC85" s="51"/>
      <c r="AD85" s="51"/>
      <c r="AE85" s="51"/>
      <c r="AF85" s="51"/>
      <c r="AG85" s="51"/>
      <c r="AH85" s="51"/>
      <c r="AI85" s="51"/>
    </row>
    <row r="86" spans="1:35" x14ac:dyDescent="0.2">
      <c r="A86" s="223">
        <v>1</v>
      </c>
      <c r="B86" s="405" t="s">
        <v>102</v>
      </c>
      <c r="C86" s="405" t="s">
        <v>1321</v>
      </c>
      <c r="D86" s="237" t="s">
        <v>101</v>
      </c>
      <c r="E86" s="237" t="s">
        <v>981</v>
      </c>
      <c r="F86" s="51" t="s">
        <v>981</v>
      </c>
      <c r="G86" s="51">
        <v>0</v>
      </c>
      <c r="H86" s="51"/>
      <c r="I86" s="51">
        <v>0</v>
      </c>
      <c r="J86" s="51"/>
      <c r="K86" s="51">
        <v>0</v>
      </c>
      <c r="L86" s="51"/>
      <c r="M86" s="818">
        <v>0</v>
      </c>
      <c r="N86" s="51"/>
      <c r="O86" s="51">
        <v>0</v>
      </c>
      <c r="P86" s="51"/>
      <c r="Q86" s="51">
        <v>0</v>
      </c>
      <c r="R86" s="51"/>
      <c r="S86" s="51">
        <v>0</v>
      </c>
      <c r="T86" s="51"/>
      <c r="U86" s="51">
        <v>2901</v>
      </c>
      <c r="V86" s="51"/>
      <c r="W86" s="51">
        <v>0</v>
      </c>
      <c r="X86" s="51"/>
      <c r="Y86" s="51">
        <v>0</v>
      </c>
      <c r="Z86" s="51"/>
      <c r="AA86" s="51">
        <v>0</v>
      </c>
      <c r="AB86" s="51" t="s">
        <v>1114</v>
      </c>
      <c r="AC86" s="51"/>
      <c r="AD86" s="51"/>
      <c r="AE86" s="51"/>
      <c r="AF86" s="51"/>
      <c r="AG86" s="51"/>
      <c r="AH86" s="51"/>
      <c r="AI86" s="51"/>
    </row>
    <row r="87" spans="1:35" x14ac:dyDescent="0.2">
      <c r="A87" s="223">
        <v>1</v>
      </c>
      <c r="B87" s="405" t="s">
        <v>102</v>
      </c>
      <c r="C87" s="405" t="s">
        <v>1322</v>
      </c>
      <c r="D87" s="237" t="s">
        <v>101</v>
      </c>
      <c r="E87" s="237" t="s">
        <v>982</v>
      </c>
      <c r="F87" s="51" t="s">
        <v>982</v>
      </c>
      <c r="G87" s="51">
        <v>0</v>
      </c>
      <c r="H87" s="51"/>
      <c r="I87" s="51">
        <v>0</v>
      </c>
      <c r="J87" s="51"/>
      <c r="K87" s="51">
        <v>0</v>
      </c>
      <c r="L87" s="51"/>
      <c r="M87" s="818">
        <v>0</v>
      </c>
      <c r="N87" s="51"/>
      <c r="O87" s="51">
        <v>0</v>
      </c>
      <c r="P87" s="51"/>
      <c r="Q87" s="51">
        <v>0</v>
      </c>
      <c r="R87" s="51"/>
      <c r="S87" s="51">
        <v>0</v>
      </c>
      <c r="T87" s="51"/>
      <c r="U87" s="51">
        <v>2265</v>
      </c>
      <c r="V87" s="51"/>
      <c r="W87" s="51">
        <v>0</v>
      </c>
      <c r="X87" s="51"/>
      <c r="Y87" s="51">
        <v>0</v>
      </c>
      <c r="Z87" s="51"/>
      <c r="AA87" s="51">
        <v>0</v>
      </c>
      <c r="AB87" s="51" t="s">
        <v>1114</v>
      </c>
      <c r="AC87" s="51"/>
      <c r="AD87" s="51"/>
      <c r="AE87" s="51"/>
      <c r="AF87" s="51"/>
      <c r="AG87" s="51"/>
      <c r="AH87" s="51"/>
      <c r="AI87" s="51"/>
    </row>
    <row r="88" spans="1:35" x14ac:dyDescent="0.2">
      <c r="A88" s="223">
        <v>1</v>
      </c>
      <c r="B88" s="405" t="s">
        <v>110</v>
      </c>
      <c r="C88" s="405" t="s">
        <v>1323</v>
      </c>
      <c r="D88" s="237" t="s">
        <v>109</v>
      </c>
      <c r="E88" s="237" t="s">
        <v>804</v>
      </c>
      <c r="F88" s="51" t="s">
        <v>804</v>
      </c>
      <c r="G88" s="51">
        <v>196544</v>
      </c>
      <c r="H88" s="51"/>
      <c r="I88" s="51">
        <v>0</v>
      </c>
      <c r="J88" s="51"/>
      <c r="K88" s="51">
        <v>0</v>
      </c>
      <c r="L88" s="51"/>
      <c r="M88" s="818">
        <v>196544</v>
      </c>
      <c r="N88" s="51"/>
      <c r="O88" s="51">
        <v>0</v>
      </c>
      <c r="P88" s="51"/>
      <c r="Q88" s="51">
        <v>0</v>
      </c>
      <c r="R88" s="51"/>
      <c r="S88" s="51">
        <v>0</v>
      </c>
      <c r="T88" s="51"/>
      <c r="U88" s="51">
        <v>34568</v>
      </c>
      <c r="V88" s="51"/>
      <c r="W88" s="51">
        <v>161976</v>
      </c>
      <c r="X88" s="51"/>
      <c r="Y88" s="51">
        <v>188869</v>
      </c>
      <c r="Z88" s="51"/>
      <c r="AA88" s="51">
        <v>188869</v>
      </c>
      <c r="AB88" s="51" t="s">
        <v>1114</v>
      </c>
      <c r="AC88" s="51"/>
      <c r="AD88" s="51"/>
      <c r="AE88" s="51"/>
      <c r="AF88" s="51"/>
      <c r="AG88" s="51"/>
      <c r="AH88" s="51"/>
      <c r="AI88" s="51"/>
    </row>
    <row r="89" spans="1:35" x14ac:dyDescent="0.2">
      <c r="A89" s="223">
        <v>1</v>
      </c>
      <c r="B89" s="405" t="s">
        <v>120</v>
      </c>
      <c r="C89" s="405" t="s">
        <v>1324</v>
      </c>
      <c r="D89" s="237" t="s">
        <v>119</v>
      </c>
      <c r="E89" s="237" t="s">
        <v>119</v>
      </c>
      <c r="F89" s="51" t="s">
        <v>119</v>
      </c>
      <c r="G89" s="51">
        <v>4319244</v>
      </c>
      <c r="H89" s="51"/>
      <c r="I89" s="51">
        <v>-110000</v>
      </c>
      <c r="J89" s="51"/>
      <c r="K89" s="51">
        <v>-273924</v>
      </c>
      <c r="L89" s="51"/>
      <c r="M89" s="818">
        <v>3935320</v>
      </c>
      <c r="N89" s="51"/>
      <c r="O89" s="51">
        <v>0</v>
      </c>
      <c r="P89" s="51"/>
      <c r="Q89" s="51">
        <v>0</v>
      </c>
      <c r="R89" s="51"/>
      <c r="S89" s="51">
        <v>903</v>
      </c>
      <c r="T89" s="51"/>
      <c r="U89" s="51">
        <v>3394318</v>
      </c>
      <c r="V89" s="51"/>
      <c r="W89" s="51">
        <v>541905</v>
      </c>
      <c r="X89" s="51"/>
      <c r="Y89" s="51">
        <v>0</v>
      </c>
      <c r="Z89" s="51"/>
      <c r="AA89" s="51">
        <v>0</v>
      </c>
      <c r="AB89" s="51" t="s">
        <v>1114</v>
      </c>
      <c r="AC89" s="51"/>
      <c r="AD89" s="51"/>
      <c r="AE89" s="51"/>
      <c r="AF89" s="51"/>
      <c r="AG89" s="51"/>
      <c r="AH89" s="51"/>
      <c r="AI89" s="51"/>
    </row>
    <row r="90" spans="1:35" x14ac:dyDescent="0.2">
      <c r="A90" s="223">
        <v>1</v>
      </c>
      <c r="B90" s="405" t="s">
        <v>128</v>
      </c>
      <c r="C90" s="405" t="s">
        <v>1325</v>
      </c>
      <c r="D90" s="237" t="s">
        <v>127</v>
      </c>
      <c r="E90" s="237" t="s">
        <v>805</v>
      </c>
      <c r="F90" s="51" t="s">
        <v>805</v>
      </c>
      <c r="G90" s="51">
        <v>174799</v>
      </c>
      <c r="H90" s="51"/>
      <c r="I90" s="51">
        <v>0</v>
      </c>
      <c r="J90" s="51"/>
      <c r="K90" s="51">
        <v>0</v>
      </c>
      <c r="L90" s="51"/>
      <c r="M90" s="818">
        <v>174799</v>
      </c>
      <c r="N90" s="51"/>
      <c r="O90" s="51">
        <v>0</v>
      </c>
      <c r="P90" s="51"/>
      <c r="Q90" s="51">
        <v>0</v>
      </c>
      <c r="R90" s="51"/>
      <c r="S90" s="51">
        <v>4787</v>
      </c>
      <c r="T90" s="51"/>
      <c r="U90" s="51">
        <v>0</v>
      </c>
      <c r="V90" s="51"/>
      <c r="W90" s="51">
        <v>179586</v>
      </c>
      <c r="X90" s="51"/>
      <c r="Y90" s="51">
        <v>8084</v>
      </c>
      <c r="Z90" s="51"/>
      <c r="AA90" s="51">
        <v>8084</v>
      </c>
      <c r="AB90" s="51" t="s">
        <v>1114</v>
      </c>
      <c r="AC90" s="51"/>
      <c r="AD90" s="51"/>
      <c r="AE90" s="51"/>
      <c r="AF90" s="51"/>
      <c r="AG90" s="51"/>
      <c r="AH90" s="51"/>
      <c r="AI90" s="51"/>
    </row>
    <row r="91" spans="1:35" x14ac:dyDescent="0.2">
      <c r="A91" s="223">
        <v>2</v>
      </c>
      <c r="B91" s="405" t="s">
        <v>136</v>
      </c>
      <c r="C91" s="405" t="s">
        <v>1326</v>
      </c>
      <c r="D91" s="237" t="s">
        <v>135</v>
      </c>
      <c r="E91" s="237" t="s">
        <v>806</v>
      </c>
      <c r="F91" s="51" t="s">
        <v>806</v>
      </c>
      <c r="G91" s="51">
        <v>464518</v>
      </c>
      <c r="H91" s="51"/>
      <c r="I91" s="51">
        <v>0</v>
      </c>
      <c r="J91" s="51"/>
      <c r="K91" s="51">
        <v>0</v>
      </c>
      <c r="L91" s="51"/>
      <c r="M91" s="818">
        <v>464518</v>
      </c>
      <c r="N91" s="51"/>
      <c r="O91" s="51">
        <v>0</v>
      </c>
      <c r="P91" s="51"/>
      <c r="Q91" s="51">
        <v>0</v>
      </c>
      <c r="R91" s="51"/>
      <c r="S91" s="51">
        <v>0</v>
      </c>
      <c r="T91" s="51"/>
      <c r="U91" s="51">
        <v>253818</v>
      </c>
      <c r="V91" s="51"/>
      <c r="W91" s="51">
        <v>210700</v>
      </c>
      <c r="X91" s="51"/>
      <c r="Y91" s="51">
        <v>345000</v>
      </c>
      <c r="Z91" s="51"/>
      <c r="AA91" s="51">
        <v>345000</v>
      </c>
      <c r="AB91" s="51" t="s">
        <v>1114</v>
      </c>
      <c r="AC91" s="51"/>
      <c r="AD91" s="51"/>
      <c r="AE91" s="51"/>
      <c r="AF91" s="51"/>
      <c r="AG91" s="51"/>
      <c r="AH91" s="51"/>
      <c r="AI91" s="51"/>
    </row>
    <row r="92" spans="1:35" x14ac:dyDescent="0.2">
      <c r="A92" s="223">
        <v>1</v>
      </c>
      <c r="B92" s="405" t="s">
        <v>144</v>
      </c>
      <c r="C92" s="405" t="s">
        <v>1327</v>
      </c>
      <c r="D92" s="237" t="s">
        <v>143</v>
      </c>
      <c r="E92" s="237" t="s">
        <v>807</v>
      </c>
      <c r="F92" s="51" t="s">
        <v>807</v>
      </c>
      <c r="G92" s="51">
        <v>1149474</v>
      </c>
      <c r="H92" s="51"/>
      <c r="I92" s="51">
        <v>-11495</v>
      </c>
      <c r="J92" s="51"/>
      <c r="K92" s="51">
        <v>-34484</v>
      </c>
      <c r="L92" s="51"/>
      <c r="M92" s="818">
        <v>1103495</v>
      </c>
      <c r="N92" s="51"/>
      <c r="O92" s="51">
        <v>0</v>
      </c>
      <c r="P92" s="51"/>
      <c r="Q92" s="51">
        <v>0</v>
      </c>
      <c r="R92" s="51"/>
      <c r="S92" s="51">
        <v>0</v>
      </c>
      <c r="T92" s="51"/>
      <c r="U92" s="51">
        <v>903679</v>
      </c>
      <c r="V92" s="51"/>
      <c r="W92" s="51">
        <v>199816</v>
      </c>
      <c r="X92" s="51"/>
      <c r="Y92" s="51">
        <v>113451</v>
      </c>
      <c r="Z92" s="51"/>
      <c r="AA92" s="51">
        <v>113451</v>
      </c>
      <c r="AB92" s="51" t="s">
        <v>1114</v>
      </c>
      <c r="AC92" s="51"/>
      <c r="AD92" s="51"/>
      <c r="AE92" s="51"/>
      <c r="AF92" s="51"/>
      <c r="AG92" s="51"/>
      <c r="AH92" s="51"/>
      <c r="AI92" s="51"/>
    </row>
    <row r="93" spans="1:35" x14ac:dyDescent="0.2">
      <c r="A93" s="223">
        <v>1</v>
      </c>
      <c r="B93" s="405" t="s">
        <v>144</v>
      </c>
      <c r="C93" s="405" t="s">
        <v>1328</v>
      </c>
      <c r="D93" s="237" t="s">
        <v>143</v>
      </c>
      <c r="E93" s="237" t="s">
        <v>858</v>
      </c>
      <c r="F93" s="51" t="s">
        <v>858</v>
      </c>
      <c r="G93" s="51">
        <v>0</v>
      </c>
      <c r="H93" s="51"/>
      <c r="I93" s="51">
        <v>0</v>
      </c>
      <c r="J93" s="51"/>
      <c r="K93" s="51">
        <v>0</v>
      </c>
      <c r="L93" s="51"/>
      <c r="M93" s="818">
        <v>0</v>
      </c>
      <c r="N93" s="51"/>
      <c r="O93" s="51">
        <v>0</v>
      </c>
      <c r="P93" s="51"/>
      <c r="Q93" s="51">
        <v>0</v>
      </c>
      <c r="R93" s="51"/>
      <c r="S93" s="51">
        <v>0</v>
      </c>
      <c r="T93" s="51"/>
      <c r="U93" s="51">
        <v>0</v>
      </c>
      <c r="V93" s="51"/>
      <c r="W93" s="51">
        <v>0</v>
      </c>
      <c r="X93" s="51"/>
      <c r="Y93" s="51">
        <v>0</v>
      </c>
      <c r="Z93" s="51"/>
      <c r="AA93" s="51">
        <v>0</v>
      </c>
      <c r="AB93" s="51" t="s">
        <v>1114</v>
      </c>
      <c r="AC93" s="51"/>
      <c r="AD93" s="51"/>
      <c r="AE93" s="51"/>
      <c r="AF93" s="51"/>
      <c r="AG93" s="51"/>
      <c r="AH93" s="51"/>
      <c r="AI93" s="51"/>
    </row>
    <row r="94" spans="1:35" x14ac:dyDescent="0.2">
      <c r="A94" s="223">
        <v>3</v>
      </c>
      <c r="B94" s="405" t="s">
        <v>150</v>
      </c>
      <c r="C94" s="405" t="s">
        <v>1329</v>
      </c>
      <c r="D94" s="237" t="s">
        <v>149</v>
      </c>
      <c r="E94" s="237" t="s">
        <v>808</v>
      </c>
      <c r="F94" s="51" t="s">
        <v>808</v>
      </c>
      <c r="G94" s="51">
        <v>1730166</v>
      </c>
      <c r="H94" s="51"/>
      <c r="I94" s="51">
        <v>0</v>
      </c>
      <c r="J94" s="51"/>
      <c r="K94" s="51">
        <v>0</v>
      </c>
      <c r="L94" s="51"/>
      <c r="M94" s="818">
        <v>1730166</v>
      </c>
      <c r="N94" s="51"/>
      <c r="O94" s="51">
        <v>0</v>
      </c>
      <c r="P94" s="51"/>
      <c r="Q94" s="51">
        <v>0</v>
      </c>
      <c r="R94" s="51"/>
      <c r="S94" s="51">
        <v>180</v>
      </c>
      <c r="T94" s="51"/>
      <c r="U94" s="51">
        <v>787871</v>
      </c>
      <c r="V94" s="51"/>
      <c r="W94" s="51">
        <v>942475</v>
      </c>
      <c r="X94" s="51"/>
      <c r="Y94" s="51">
        <v>245189</v>
      </c>
      <c r="Z94" s="51"/>
      <c r="AA94" s="51">
        <v>245189</v>
      </c>
      <c r="AB94" s="51" t="s">
        <v>1114</v>
      </c>
      <c r="AC94" s="51"/>
      <c r="AD94" s="51"/>
      <c r="AE94" s="51"/>
      <c r="AF94" s="51"/>
      <c r="AG94" s="51"/>
      <c r="AH94" s="51"/>
      <c r="AI94" s="51"/>
    </row>
    <row r="95" spans="1:35" x14ac:dyDescent="0.2">
      <c r="A95" s="223">
        <v>1</v>
      </c>
      <c r="B95" s="405" t="s">
        <v>154</v>
      </c>
      <c r="C95" s="405" t="s">
        <v>1330</v>
      </c>
      <c r="D95" s="237" t="s">
        <v>153</v>
      </c>
      <c r="E95" s="237" t="s">
        <v>983</v>
      </c>
      <c r="F95" s="51" t="s">
        <v>983</v>
      </c>
      <c r="G95" s="51">
        <v>350720</v>
      </c>
      <c r="H95" s="51"/>
      <c r="I95" s="51">
        <v>-2567</v>
      </c>
      <c r="J95" s="51"/>
      <c r="K95" s="51">
        <v>-5471</v>
      </c>
      <c r="L95" s="51"/>
      <c r="M95" s="818">
        <v>342682</v>
      </c>
      <c r="N95" s="51"/>
      <c r="O95" s="51">
        <v>0</v>
      </c>
      <c r="P95" s="51"/>
      <c r="Q95" s="51">
        <v>0</v>
      </c>
      <c r="R95" s="51"/>
      <c r="S95" s="51">
        <v>0</v>
      </c>
      <c r="T95" s="51"/>
      <c r="U95" s="51">
        <v>0</v>
      </c>
      <c r="V95" s="51"/>
      <c r="W95" s="51">
        <v>342682</v>
      </c>
      <c r="X95" s="51"/>
      <c r="Y95" s="51">
        <v>177520</v>
      </c>
      <c r="Z95" s="51"/>
      <c r="AA95" s="51">
        <v>177520</v>
      </c>
      <c r="AB95" s="51" t="s">
        <v>1114</v>
      </c>
      <c r="AC95" s="51"/>
      <c r="AD95" s="51"/>
      <c r="AE95" s="51"/>
      <c r="AF95" s="51"/>
      <c r="AG95" s="51"/>
      <c r="AH95" s="51"/>
      <c r="AI95" s="51"/>
    </row>
    <row r="96" spans="1:35" x14ac:dyDescent="0.2">
      <c r="A96" s="223">
        <v>1</v>
      </c>
      <c r="B96" s="405" t="s">
        <v>154</v>
      </c>
      <c r="C96" s="405" t="s">
        <v>1331</v>
      </c>
      <c r="D96" s="237" t="s">
        <v>153</v>
      </c>
      <c r="E96" s="237" t="s">
        <v>984</v>
      </c>
      <c r="F96" s="51" t="s">
        <v>984</v>
      </c>
      <c r="G96" s="51">
        <v>502189</v>
      </c>
      <c r="H96" s="51"/>
      <c r="I96" s="51">
        <v>-3676</v>
      </c>
      <c r="J96" s="51"/>
      <c r="K96" s="51">
        <v>-7834</v>
      </c>
      <c r="L96" s="51"/>
      <c r="M96" s="818">
        <v>490679</v>
      </c>
      <c r="N96" s="51"/>
      <c r="O96" s="51">
        <v>0</v>
      </c>
      <c r="P96" s="51"/>
      <c r="Q96" s="51">
        <v>0</v>
      </c>
      <c r="R96" s="51"/>
      <c r="S96" s="51">
        <v>0</v>
      </c>
      <c r="T96" s="51"/>
      <c r="U96" s="51">
        <v>206194</v>
      </c>
      <c r="V96" s="51"/>
      <c r="W96" s="51">
        <v>284485</v>
      </c>
      <c r="X96" s="51"/>
      <c r="Y96" s="51">
        <v>0</v>
      </c>
      <c r="Z96" s="51"/>
      <c r="AA96" s="51">
        <v>0</v>
      </c>
      <c r="AB96" s="51" t="s">
        <v>1114</v>
      </c>
      <c r="AC96" s="51"/>
      <c r="AD96" s="51"/>
      <c r="AE96" s="51"/>
      <c r="AF96" s="51"/>
      <c r="AG96" s="51"/>
      <c r="AH96" s="51"/>
      <c r="AI96" s="51"/>
    </row>
    <row r="97" spans="1:35" x14ac:dyDescent="0.2">
      <c r="A97" s="223">
        <v>2</v>
      </c>
      <c r="B97" s="405" t="s">
        <v>154</v>
      </c>
      <c r="C97" s="405" t="s">
        <v>1332</v>
      </c>
      <c r="D97" s="237" t="s">
        <v>153</v>
      </c>
      <c r="E97" s="237" t="s">
        <v>985</v>
      </c>
      <c r="F97" s="51" t="s">
        <v>985</v>
      </c>
      <c r="G97" s="51">
        <v>0</v>
      </c>
      <c r="H97" s="51"/>
      <c r="I97" s="51">
        <v>0</v>
      </c>
      <c r="J97" s="51"/>
      <c r="K97" s="51">
        <v>0</v>
      </c>
      <c r="L97" s="51"/>
      <c r="M97" s="818">
        <v>0</v>
      </c>
      <c r="N97" s="51"/>
      <c r="O97" s="51">
        <v>0</v>
      </c>
      <c r="P97" s="51"/>
      <c r="Q97" s="51">
        <v>0</v>
      </c>
      <c r="R97" s="51"/>
      <c r="S97" s="51">
        <v>0</v>
      </c>
      <c r="T97" s="51"/>
      <c r="U97" s="51">
        <v>0</v>
      </c>
      <c r="V97" s="51"/>
      <c r="W97" s="51">
        <v>0</v>
      </c>
      <c r="X97" s="51"/>
      <c r="Y97" s="51">
        <v>0</v>
      </c>
      <c r="Z97" s="51"/>
      <c r="AA97" s="51">
        <v>0</v>
      </c>
      <c r="AB97" s="51" t="s">
        <v>1114</v>
      </c>
      <c r="AC97" s="51"/>
      <c r="AD97" s="51"/>
      <c r="AE97" s="51"/>
      <c r="AF97" s="51"/>
      <c r="AG97" s="51"/>
      <c r="AH97" s="51"/>
      <c r="AI97" s="51"/>
    </row>
    <row r="98" spans="1:35" x14ac:dyDescent="0.2">
      <c r="A98" s="223">
        <v>3</v>
      </c>
      <c r="B98" s="405" t="s">
        <v>166</v>
      </c>
      <c r="C98" s="405" t="s">
        <v>1333</v>
      </c>
      <c r="D98" s="237" t="s">
        <v>165</v>
      </c>
      <c r="E98" s="237" t="s">
        <v>986</v>
      </c>
      <c r="F98" s="51" t="s">
        <v>986</v>
      </c>
      <c r="G98" s="51">
        <v>14034</v>
      </c>
      <c r="H98" s="51"/>
      <c r="I98" s="51">
        <v>0</v>
      </c>
      <c r="J98" s="51"/>
      <c r="K98" s="51">
        <v>0</v>
      </c>
      <c r="L98" s="51"/>
      <c r="M98" s="818">
        <v>14034</v>
      </c>
      <c r="N98" s="51"/>
      <c r="O98" s="51">
        <v>0</v>
      </c>
      <c r="P98" s="51"/>
      <c r="Q98" s="51">
        <v>0</v>
      </c>
      <c r="R98" s="51"/>
      <c r="S98" s="51">
        <v>0</v>
      </c>
      <c r="T98" s="51"/>
      <c r="U98" s="51">
        <v>0</v>
      </c>
      <c r="V98" s="51"/>
      <c r="W98" s="51">
        <v>14034</v>
      </c>
      <c r="X98" s="51"/>
      <c r="Y98" s="51">
        <v>57183</v>
      </c>
      <c r="Z98" s="51"/>
      <c r="AA98" s="51">
        <v>57183</v>
      </c>
      <c r="AB98" s="51" t="s">
        <v>1114</v>
      </c>
      <c r="AC98" s="51"/>
      <c r="AD98" s="51"/>
      <c r="AE98" s="51"/>
      <c r="AF98" s="51"/>
      <c r="AG98" s="51"/>
      <c r="AH98" s="51"/>
      <c r="AI98" s="51"/>
    </row>
    <row r="99" spans="1:35" x14ac:dyDescent="0.2">
      <c r="A99" s="223">
        <v>4</v>
      </c>
      <c r="B99" s="405" t="s">
        <v>168</v>
      </c>
      <c r="C99" s="405" t="s">
        <v>1334</v>
      </c>
      <c r="D99" s="237" t="s">
        <v>167</v>
      </c>
      <c r="E99" s="237" t="s">
        <v>798</v>
      </c>
      <c r="F99" s="51" t="s">
        <v>798</v>
      </c>
      <c r="G99" s="51">
        <v>218305</v>
      </c>
      <c r="H99" s="51"/>
      <c r="I99" s="51">
        <v>0</v>
      </c>
      <c r="J99" s="51"/>
      <c r="K99" s="51">
        <v>0</v>
      </c>
      <c r="L99" s="51"/>
      <c r="M99" s="818">
        <v>218305</v>
      </c>
      <c r="N99" s="51"/>
      <c r="O99" s="51">
        <v>0</v>
      </c>
      <c r="P99" s="51"/>
      <c r="Q99" s="51">
        <v>0</v>
      </c>
      <c r="R99" s="51"/>
      <c r="S99" s="51">
        <v>0</v>
      </c>
      <c r="T99" s="51"/>
      <c r="U99" s="51">
        <v>0</v>
      </c>
      <c r="V99" s="51"/>
      <c r="W99" s="51">
        <v>218305</v>
      </c>
      <c r="X99" s="51"/>
      <c r="Y99" s="51">
        <v>83928</v>
      </c>
      <c r="Z99" s="51"/>
      <c r="AA99" s="51">
        <v>83928</v>
      </c>
      <c r="AB99" s="51" t="s">
        <v>1114</v>
      </c>
      <c r="AC99" s="51"/>
      <c r="AD99" s="51"/>
      <c r="AE99" s="51"/>
      <c r="AF99" s="51"/>
      <c r="AG99" s="51"/>
      <c r="AH99" s="51"/>
      <c r="AI99" s="51"/>
    </row>
    <row r="100" spans="1:35" x14ac:dyDescent="0.2">
      <c r="A100" s="223">
        <v>5</v>
      </c>
      <c r="B100" s="405" t="s">
        <v>168</v>
      </c>
      <c r="C100" s="405" t="s">
        <v>1335</v>
      </c>
      <c r="D100" s="237" t="s">
        <v>167</v>
      </c>
      <c r="E100" s="237" t="s">
        <v>799</v>
      </c>
      <c r="F100" s="51" t="s">
        <v>799</v>
      </c>
      <c r="G100" s="51">
        <v>2303963</v>
      </c>
      <c r="H100" s="51"/>
      <c r="I100" s="51">
        <v>0</v>
      </c>
      <c r="J100" s="51"/>
      <c r="K100" s="51">
        <v>0</v>
      </c>
      <c r="L100" s="51"/>
      <c r="M100" s="818">
        <v>2303963</v>
      </c>
      <c r="N100" s="51"/>
      <c r="O100" s="51">
        <v>0</v>
      </c>
      <c r="P100" s="51"/>
      <c r="Q100" s="51">
        <v>0</v>
      </c>
      <c r="R100" s="51"/>
      <c r="S100" s="51">
        <v>0</v>
      </c>
      <c r="T100" s="51"/>
      <c r="U100" s="51">
        <v>174791</v>
      </c>
      <c r="V100" s="51"/>
      <c r="W100" s="51">
        <v>2129172</v>
      </c>
      <c r="X100" s="51"/>
      <c r="Y100" s="51">
        <v>0</v>
      </c>
      <c r="Z100" s="51"/>
      <c r="AA100" s="51">
        <v>0</v>
      </c>
      <c r="AB100" s="51" t="s">
        <v>1114</v>
      </c>
      <c r="AC100" s="51"/>
      <c r="AD100" s="51"/>
      <c r="AE100" s="51"/>
      <c r="AF100" s="51"/>
      <c r="AG100" s="51"/>
      <c r="AH100" s="51"/>
      <c r="AI100" s="51"/>
    </row>
    <row r="101" spans="1:35" x14ac:dyDescent="0.2">
      <c r="A101" s="223">
        <v>6</v>
      </c>
      <c r="B101" s="405" t="s">
        <v>168</v>
      </c>
      <c r="C101" s="405" t="s">
        <v>1336</v>
      </c>
      <c r="D101" s="237" t="s">
        <v>167</v>
      </c>
      <c r="E101" s="237" t="s">
        <v>987</v>
      </c>
      <c r="F101" s="51" t="s">
        <v>987</v>
      </c>
      <c r="G101" s="51">
        <v>29138</v>
      </c>
      <c r="H101" s="51"/>
      <c r="I101" s="51">
        <v>0</v>
      </c>
      <c r="J101" s="51"/>
      <c r="K101" s="51">
        <v>0</v>
      </c>
      <c r="L101" s="51"/>
      <c r="M101" s="818">
        <v>29138</v>
      </c>
      <c r="N101" s="51"/>
      <c r="O101" s="51">
        <v>0</v>
      </c>
      <c r="P101" s="51"/>
      <c r="Q101" s="51">
        <v>0</v>
      </c>
      <c r="R101" s="51"/>
      <c r="S101" s="51">
        <v>0</v>
      </c>
      <c r="T101" s="51"/>
      <c r="U101" s="51">
        <v>0</v>
      </c>
      <c r="V101" s="51"/>
      <c r="W101" s="51">
        <v>29138</v>
      </c>
      <c r="X101" s="51"/>
      <c r="Y101" s="51">
        <v>0</v>
      </c>
      <c r="Z101" s="51"/>
      <c r="AA101" s="51">
        <v>0</v>
      </c>
      <c r="AB101" s="51" t="s">
        <v>1114</v>
      </c>
      <c r="AC101" s="51"/>
      <c r="AD101" s="51"/>
      <c r="AE101" s="51"/>
      <c r="AF101" s="51"/>
      <c r="AG101" s="51"/>
      <c r="AH101" s="51"/>
      <c r="AI101" s="51"/>
    </row>
    <row r="102" spans="1:35" x14ac:dyDescent="0.2">
      <c r="A102" s="223">
        <v>7</v>
      </c>
      <c r="B102" s="405" t="s">
        <v>168</v>
      </c>
      <c r="C102" s="405" t="s">
        <v>1337</v>
      </c>
      <c r="D102" s="237" t="s">
        <v>167</v>
      </c>
      <c r="E102" s="237" t="s">
        <v>988</v>
      </c>
      <c r="F102" s="51" t="s">
        <v>988</v>
      </c>
      <c r="G102" s="51">
        <v>216563</v>
      </c>
      <c r="H102" s="51"/>
      <c r="I102" s="51">
        <v>0</v>
      </c>
      <c r="J102" s="51"/>
      <c r="K102" s="51">
        <v>0</v>
      </c>
      <c r="L102" s="51"/>
      <c r="M102" s="818">
        <v>216563</v>
      </c>
      <c r="N102" s="51"/>
      <c r="O102" s="51">
        <v>0</v>
      </c>
      <c r="P102" s="51"/>
      <c r="Q102" s="51">
        <v>0</v>
      </c>
      <c r="R102" s="51"/>
      <c r="S102" s="51">
        <v>0</v>
      </c>
      <c r="T102" s="51"/>
      <c r="U102" s="51">
        <v>0</v>
      </c>
      <c r="V102" s="51"/>
      <c r="W102" s="51">
        <v>216563</v>
      </c>
      <c r="X102" s="51"/>
      <c r="Y102" s="51">
        <v>0</v>
      </c>
      <c r="Z102" s="51"/>
      <c r="AA102" s="51">
        <v>0</v>
      </c>
      <c r="AB102" s="51" t="s">
        <v>1114</v>
      </c>
      <c r="AC102" s="51"/>
      <c r="AD102" s="51"/>
      <c r="AE102" s="51"/>
      <c r="AF102" s="51"/>
      <c r="AG102" s="51"/>
      <c r="AH102" s="51"/>
      <c r="AI102" s="51"/>
    </row>
    <row r="103" spans="1:35" x14ac:dyDescent="0.2">
      <c r="A103" s="223">
        <v>8</v>
      </c>
      <c r="B103" s="405" t="s">
        <v>168</v>
      </c>
      <c r="C103" s="405" t="s">
        <v>1338</v>
      </c>
      <c r="D103" s="237" t="s">
        <v>167</v>
      </c>
      <c r="E103" s="237" t="s">
        <v>989</v>
      </c>
      <c r="F103" s="51" t="s">
        <v>989</v>
      </c>
      <c r="G103" s="51">
        <v>14963</v>
      </c>
      <c r="H103" s="51"/>
      <c r="I103" s="51">
        <v>0</v>
      </c>
      <c r="J103" s="51"/>
      <c r="K103" s="51">
        <v>0</v>
      </c>
      <c r="L103" s="51"/>
      <c r="M103" s="818">
        <v>14963</v>
      </c>
      <c r="N103" s="51"/>
      <c r="O103" s="51">
        <v>0</v>
      </c>
      <c r="P103" s="51"/>
      <c r="Q103" s="51">
        <v>0</v>
      </c>
      <c r="R103" s="51"/>
      <c r="S103" s="51">
        <v>0</v>
      </c>
      <c r="T103" s="51"/>
      <c r="U103" s="51">
        <v>0</v>
      </c>
      <c r="V103" s="51"/>
      <c r="W103" s="51">
        <v>14963</v>
      </c>
      <c r="X103" s="51"/>
      <c r="Y103" s="51">
        <v>0</v>
      </c>
      <c r="Z103" s="51"/>
      <c r="AA103" s="51">
        <v>0</v>
      </c>
      <c r="AB103" s="51" t="s">
        <v>1114</v>
      </c>
      <c r="AC103" s="51"/>
      <c r="AD103" s="51"/>
      <c r="AE103" s="51"/>
      <c r="AF103" s="51"/>
      <c r="AG103" s="51"/>
      <c r="AH103" s="51"/>
      <c r="AI103" s="51"/>
    </row>
    <row r="104" spans="1:35" x14ac:dyDescent="0.2">
      <c r="A104" s="223">
        <v>9</v>
      </c>
      <c r="B104" s="405" t="s">
        <v>168</v>
      </c>
      <c r="C104" s="405" t="s">
        <v>1339</v>
      </c>
      <c r="D104" s="237" t="s">
        <v>167</v>
      </c>
      <c r="E104" s="237" t="s">
        <v>990</v>
      </c>
      <c r="F104" s="51" t="s">
        <v>990</v>
      </c>
      <c r="G104" s="51">
        <v>0</v>
      </c>
      <c r="H104" s="51"/>
      <c r="I104" s="51">
        <v>0</v>
      </c>
      <c r="J104" s="51"/>
      <c r="K104" s="51">
        <v>0</v>
      </c>
      <c r="L104" s="51"/>
      <c r="M104" s="818">
        <v>0</v>
      </c>
      <c r="N104" s="51"/>
      <c r="O104" s="51">
        <v>0</v>
      </c>
      <c r="P104" s="51"/>
      <c r="Q104" s="51">
        <v>0</v>
      </c>
      <c r="R104" s="51"/>
      <c r="S104" s="51">
        <v>0</v>
      </c>
      <c r="T104" s="51"/>
      <c r="U104" s="51">
        <v>18171</v>
      </c>
      <c r="V104" s="51"/>
      <c r="W104" s="51">
        <v>0</v>
      </c>
      <c r="X104" s="51"/>
      <c r="Y104" s="51">
        <v>0</v>
      </c>
      <c r="Z104" s="51"/>
      <c r="AA104" s="51">
        <v>0</v>
      </c>
      <c r="AB104" s="51" t="s">
        <v>1114</v>
      </c>
      <c r="AC104" s="51"/>
      <c r="AD104" s="51"/>
      <c r="AE104" s="51"/>
      <c r="AF104" s="51"/>
      <c r="AG104" s="51"/>
      <c r="AH104" s="51"/>
      <c r="AI104" s="51"/>
    </row>
    <row r="105" spans="1:35" x14ac:dyDescent="0.2">
      <c r="A105" s="223">
        <v>10</v>
      </c>
      <c r="B105" s="405" t="s">
        <v>168</v>
      </c>
      <c r="C105" s="405" t="s">
        <v>1340</v>
      </c>
      <c r="D105" s="237" t="s">
        <v>167</v>
      </c>
      <c r="E105" s="237" t="s">
        <v>991</v>
      </c>
      <c r="F105" s="51" t="s">
        <v>991</v>
      </c>
      <c r="G105" s="51">
        <v>1390171</v>
      </c>
      <c r="H105" s="51"/>
      <c r="I105" s="51">
        <v>0</v>
      </c>
      <c r="J105" s="51"/>
      <c r="K105" s="51">
        <v>0</v>
      </c>
      <c r="L105" s="51"/>
      <c r="M105" s="818">
        <v>1390171</v>
      </c>
      <c r="N105" s="51"/>
      <c r="O105" s="51">
        <v>1390171</v>
      </c>
      <c r="P105" s="51"/>
      <c r="Q105" s="51">
        <v>0</v>
      </c>
      <c r="R105" s="51"/>
      <c r="S105" s="51">
        <v>0</v>
      </c>
      <c r="T105" s="51"/>
      <c r="U105" s="51">
        <v>0</v>
      </c>
      <c r="V105" s="51"/>
      <c r="W105" s="51">
        <v>0</v>
      </c>
      <c r="X105" s="51"/>
      <c r="Y105" s="51">
        <v>0</v>
      </c>
      <c r="Z105" s="51"/>
      <c r="AA105" s="51">
        <v>0</v>
      </c>
      <c r="AB105" s="51" t="s">
        <v>1114</v>
      </c>
      <c r="AC105" s="51"/>
      <c r="AD105" s="51"/>
      <c r="AE105" s="51"/>
      <c r="AF105" s="51"/>
      <c r="AG105" s="51"/>
      <c r="AH105" s="51"/>
      <c r="AI105" s="51"/>
    </row>
    <row r="106" spans="1:35" x14ac:dyDescent="0.2">
      <c r="A106" s="223">
        <v>11</v>
      </c>
      <c r="B106" s="405" t="s">
        <v>168</v>
      </c>
      <c r="C106" s="405" t="s">
        <v>1341</v>
      </c>
      <c r="D106" s="237" t="s">
        <v>167</v>
      </c>
      <c r="E106" s="237" t="s">
        <v>992</v>
      </c>
      <c r="F106" s="51" t="s">
        <v>992</v>
      </c>
      <c r="G106" s="51">
        <v>9923</v>
      </c>
      <c r="H106" s="51"/>
      <c r="I106" s="51">
        <v>0</v>
      </c>
      <c r="J106" s="51"/>
      <c r="K106" s="51">
        <v>0</v>
      </c>
      <c r="L106" s="51"/>
      <c r="M106" s="818">
        <v>9923</v>
      </c>
      <c r="N106" s="51"/>
      <c r="O106" s="51">
        <v>0</v>
      </c>
      <c r="P106" s="51"/>
      <c r="Q106" s="51">
        <v>0</v>
      </c>
      <c r="R106" s="51"/>
      <c r="S106" s="51">
        <v>0</v>
      </c>
      <c r="T106" s="51"/>
      <c r="U106" s="51">
        <v>3564</v>
      </c>
      <c r="V106" s="51"/>
      <c r="W106" s="51">
        <v>6359</v>
      </c>
      <c r="X106" s="51"/>
      <c r="Y106" s="51">
        <v>0</v>
      </c>
      <c r="Z106" s="51"/>
      <c r="AA106" s="51">
        <v>0</v>
      </c>
      <c r="AB106" s="51" t="s">
        <v>1114</v>
      </c>
      <c r="AC106" s="51"/>
      <c r="AD106" s="51"/>
      <c r="AE106" s="51"/>
      <c r="AF106" s="51"/>
      <c r="AG106" s="51"/>
      <c r="AH106" s="51"/>
      <c r="AI106" s="51"/>
    </row>
    <row r="107" spans="1:35" x14ac:dyDescent="0.2">
      <c r="A107" s="223">
        <v>12</v>
      </c>
      <c r="B107" s="405" t="s">
        <v>168</v>
      </c>
      <c r="C107" s="405" t="s">
        <v>1342</v>
      </c>
      <c r="D107" s="237" t="s">
        <v>167</v>
      </c>
      <c r="E107" s="237" t="s">
        <v>993</v>
      </c>
      <c r="F107" s="51" t="s">
        <v>993</v>
      </c>
      <c r="G107" s="51">
        <v>71269</v>
      </c>
      <c r="H107" s="51"/>
      <c r="I107" s="51">
        <v>0</v>
      </c>
      <c r="J107" s="51"/>
      <c r="K107" s="51">
        <v>0</v>
      </c>
      <c r="L107" s="51"/>
      <c r="M107" s="818">
        <v>71269</v>
      </c>
      <c r="N107" s="51"/>
      <c r="O107" s="51">
        <v>0</v>
      </c>
      <c r="P107" s="51"/>
      <c r="Q107" s="51">
        <v>0</v>
      </c>
      <c r="R107" s="51"/>
      <c r="S107" s="51">
        <v>0</v>
      </c>
      <c r="T107" s="51"/>
      <c r="U107" s="51">
        <v>33423</v>
      </c>
      <c r="V107" s="51"/>
      <c r="W107" s="51">
        <v>37846</v>
      </c>
      <c r="X107" s="51"/>
      <c r="Y107" s="51">
        <v>0</v>
      </c>
      <c r="Z107" s="51"/>
      <c r="AA107" s="51">
        <v>0</v>
      </c>
      <c r="AB107" s="51" t="s">
        <v>1114</v>
      </c>
      <c r="AC107" s="51"/>
      <c r="AD107" s="51"/>
      <c r="AE107" s="51"/>
      <c r="AF107" s="51"/>
      <c r="AG107" s="51"/>
      <c r="AH107" s="51"/>
      <c r="AI107" s="51"/>
    </row>
    <row r="108" spans="1:35" x14ac:dyDescent="0.2">
      <c r="A108" s="223">
        <v>13</v>
      </c>
      <c r="B108" s="405" t="s">
        <v>168</v>
      </c>
      <c r="C108" s="405" t="s">
        <v>1343</v>
      </c>
      <c r="D108" s="237" t="s">
        <v>167</v>
      </c>
      <c r="E108" s="237" t="s">
        <v>994</v>
      </c>
      <c r="F108" s="51" t="s">
        <v>994</v>
      </c>
      <c r="G108" s="51">
        <v>35306</v>
      </c>
      <c r="H108" s="51"/>
      <c r="I108" s="51">
        <v>0</v>
      </c>
      <c r="J108" s="51"/>
      <c r="K108" s="51">
        <v>0</v>
      </c>
      <c r="L108" s="51"/>
      <c r="M108" s="818">
        <v>35306</v>
      </c>
      <c r="N108" s="51"/>
      <c r="O108" s="51">
        <v>0</v>
      </c>
      <c r="P108" s="51"/>
      <c r="Q108" s="51">
        <v>0</v>
      </c>
      <c r="R108" s="51"/>
      <c r="S108" s="51">
        <v>0</v>
      </c>
      <c r="T108" s="51"/>
      <c r="U108" s="51">
        <v>6256</v>
      </c>
      <c r="V108" s="51"/>
      <c r="W108" s="51">
        <v>29050</v>
      </c>
      <c r="X108" s="51"/>
      <c r="Y108" s="51">
        <v>0</v>
      </c>
      <c r="Z108" s="51"/>
      <c r="AA108" s="51">
        <v>0</v>
      </c>
      <c r="AB108" s="51" t="s">
        <v>1114</v>
      </c>
      <c r="AC108" s="51"/>
      <c r="AD108" s="51"/>
      <c r="AE108" s="51"/>
      <c r="AF108" s="51"/>
      <c r="AG108" s="51"/>
      <c r="AH108" s="51"/>
      <c r="AI108" s="51"/>
    </row>
    <row r="109" spans="1:35" x14ac:dyDescent="0.2">
      <c r="A109" s="223">
        <v>14</v>
      </c>
      <c r="B109" s="405" t="s">
        <v>168</v>
      </c>
      <c r="C109" s="405" t="s">
        <v>1344</v>
      </c>
      <c r="D109" s="237" t="s">
        <v>167</v>
      </c>
      <c r="E109" s="237" t="s">
        <v>995</v>
      </c>
      <c r="F109" s="51" t="s">
        <v>995</v>
      </c>
      <c r="G109" s="51">
        <v>0</v>
      </c>
      <c r="H109" s="51"/>
      <c r="I109" s="51">
        <v>0</v>
      </c>
      <c r="J109" s="51"/>
      <c r="K109" s="51">
        <v>0</v>
      </c>
      <c r="L109" s="51"/>
      <c r="M109" s="818">
        <v>0</v>
      </c>
      <c r="N109" s="51"/>
      <c r="O109" s="51">
        <v>0</v>
      </c>
      <c r="P109" s="51"/>
      <c r="Q109" s="51">
        <v>0</v>
      </c>
      <c r="R109" s="51"/>
      <c r="S109" s="51">
        <v>0</v>
      </c>
      <c r="T109" s="51"/>
      <c r="U109" s="51">
        <v>7984</v>
      </c>
      <c r="V109" s="51"/>
      <c r="W109" s="51">
        <v>0</v>
      </c>
      <c r="X109" s="51"/>
      <c r="Y109" s="51">
        <v>0</v>
      </c>
      <c r="Z109" s="51"/>
      <c r="AA109" s="51">
        <v>0</v>
      </c>
      <c r="AB109" s="51" t="s">
        <v>1114</v>
      </c>
      <c r="AC109" s="51"/>
      <c r="AD109" s="51"/>
      <c r="AE109" s="51"/>
      <c r="AF109" s="51"/>
      <c r="AG109" s="51"/>
      <c r="AH109" s="51"/>
      <c r="AI109" s="51"/>
    </row>
    <row r="110" spans="1:35" x14ac:dyDescent="0.2">
      <c r="A110" s="223">
        <v>15</v>
      </c>
      <c r="B110" s="405" t="s">
        <v>168</v>
      </c>
      <c r="C110" s="405" t="s">
        <v>1345</v>
      </c>
      <c r="D110" s="237" t="s">
        <v>167</v>
      </c>
      <c r="E110" s="237" t="s">
        <v>996</v>
      </c>
      <c r="F110" s="51" t="s">
        <v>996</v>
      </c>
      <c r="G110" s="51">
        <v>0</v>
      </c>
      <c r="H110" s="51"/>
      <c r="I110" s="51">
        <v>0</v>
      </c>
      <c r="J110" s="51"/>
      <c r="K110" s="51">
        <v>0</v>
      </c>
      <c r="L110" s="51"/>
      <c r="M110" s="818">
        <v>0</v>
      </c>
      <c r="N110" s="51"/>
      <c r="O110" s="51">
        <v>0</v>
      </c>
      <c r="P110" s="51"/>
      <c r="Q110" s="51">
        <v>0</v>
      </c>
      <c r="R110" s="51"/>
      <c r="S110" s="51">
        <v>0</v>
      </c>
      <c r="T110" s="51"/>
      <c r="U110" s="51">
        <v>3692</v>
      </c>
      <c r="V110" s="51"/>
      <c r="W110" s="51">
        <v>0</v>
      </c>
      <c r="X110" s="51"/>
      <c r="Y110" s="51">
        <v>0</v>
      </c>
      <c r="Z110" s="51"/>
      <c r="AA110" s="51">
        <v>0</v>
      </c>
      <c r="AB110" s="51" t="s">
        <v>1114</v>
      </c>
      <c r="AC110" s="51"/>
      <c r="AD110" s="51"/>
      <c r="AE110" s="51"/>
      <c r="AF110" s="51"/>
      <c r="AG110" s="51"/>
      <c r="AH110" s="51"/>
      <c r="AI110" s="51"/>
    </row>
    <row r="111" spans="1:35" x14ac:dyDescent="0.2">
      <c r="A111" s="223">
        <v>16</v>
      </c>
      <c r="B111" s="405" t="s">
        <v>168</v>
      </c>
      <c r="C111" s="405" t="s">
        <v>1346</v>
      </c>
      <c r="D111" s="237" t="s">
        <v>167</v>
      </c>
      <c r="E111" s="237" t="s">
        <v>997</v>
      </c>
      <c r="F111" s="51" t="s">
        <v>997</v>
      </c>
      <c r="G111" s="51">
        <v>280875</v>
      </c>
      <c r="H111" s="51"/>
      <c r="I111" s="51">
        <v>0</v>
      </c>
      <c r="J111" s="51"/>
      <c r="K111" s="51">
        <v>0</v>
      </c>
      <c r="L111" s="51"/>
      <c r="M111" s="818">
        <v>280875</v>
      </c>
      <c r="N111" s="51"/>
      <c r="O111" s="51">
        <v>0</v>
      </c>
      <c r="P111" s="51"/>
      <c r="Q111" s="51">
        <v>0</v>
      </c>
      <c r="R111" s="51"/>
      <c r="S111" s="51">
        <v>0</v>
      </c>
      <c r="T111" s="51"/>
      <c r="U111" s="51">
        <v>20100</v>
      </c>
      <c r="V111" s="51"/>
      <c r="W111" s="51">
        <v>260775</v>
      </c>
      <c r="X111" s="51"/>
      <c r="Y111" s="51">
        <v>0</v>
      </c>
      <c r="Z111" s="51"/>
      <c r="AA111" s="51">
        <v>0</v>
      </c>
      <c r="AB111" s="51" t="s">
        <v>1114</v>
      </c>
      <c r="AC111" s="51"/>
      <c r="AD111" s="51"/>
      <c r="AE111" s="51"/>
      <c r="AF111" s="51"/>
      <c r="AG111" s="51"/>
      <c r="AH111" s="51"/>
      <c r="AI111" s="51"/>
    </row>
    <row r="112" spans="1:35" x14ac:dyDescent="0.2">
      <c r="A112" s="223">
        <v>17</v>
      </c>
      <c r="B112" s="405" t="s">
        <v>168</v>
      </c>
      <c r="C112" s="405" t="s">
        <v>1347</v>
      </c>
      <c r="D112" s="237" t="s">
        <v>167</v>
      </c>
      <c r="E112" s="237" t="s">
        <v>998</v>
      </c>
      <c r="F112" s="51" t="s">
        <v>998</v>
      </c>
      <c r="G112" s="51">
        <v>0</v>
      </c>
      <c r="H112" s="51"/>
      <c r="I112" s="51">
        <v>0</v>
      </c>
      <c r="J112" s="51"/>
      <c r="K112" s="51">
        <v>0</v>
      </c>
      <c r="L112" s="51"/>
      <c r="M112" s="818">
        <v>0</v>
      </c>
      <c r="N112" s="51"/>
      <c r="O112" s="51">
        <v>0</v>
      </c>
      <c r="P112" s="51"/>
      <c r="Q112" s="51">
        <v>0</v>
      </c>
      <c r="R112" s="51"/>
      <c r="S112" s="51">
        <v>0</v>
      </c>
      <c r="T112" s="51"/>
      <c r="U112" s="51">
        <v>0</v>
      </c>
      <c r="V112" s="51"/>
      <c r="W112" s="51">
        <v>0</v>
      </c>
      <c r="X112" s="51"/>
      <c r="Y112" s="51">
        <v>0</v>
      </c>
      <c r="Z112" s="51"/>
      <c r="AA112" s="51">
        <v>0</v>
      </c>
      <c r="AB112" s="51" t="s">
        <v>1114</v>
      </c>
      <c r="AC112" s="51"/>
      <c r="AD112" s="51"/>
      <c r="AE112" s="51"/>
      <c r="AF112" s="51"/>
      <c r="AG112" s="51"/>
      <c r="AH112" s="51"/>
      <c r="AI112" s="51"/>
    </row>
    <row r="113" spans="1:35" x14ac:dyDescent="0.2">
      <c r="A113" s="223">
        <v>18</v>
      </c>
      <c r="B113" s="405" t="s">
        <v>168</v>
      </c>
      <c r="C113" s="405" t="s">
        <v>1348</v>
      </c>
      <c r="D113" s="237" t="s">
        <v>167</v>
      </c>
      <c r="E113" s="237" t="s">
        <v>999</v>
      </c>
      <c r="F113" s="51" t="s">
        <v>999</v>
      </c>
      <c r="G113" s="51">
        <v>0</v>
      </c>
      <c r="H113" s="51"/>
      <c r="I113" s="51">
        <v>0</v>
      </c>
      <c r="J113" s="51"/>
      <c r="K113" s="51">
        <v>0</v>
      </c>
      <c r="L113" s="51"/>
      <c r="M113" s="818">
        <v>0</v>
      </c>
      <c r="N113" s="51"/>
      <c r="O113" s="51">
        <v>0</v>
      </c>
      <c r="P113" s="51"/>
      <c r="Q113" s="51">
        <v>0</v>
      </c>
      <c r="R113" s="51"/>
      <c r="S113" s="51">
        <v>0</v>
      </c>
      <c r="T113" s="51"/>
      <c r="U113" s="51">
        <v>5065</v>
      </c>
      <c r="V113" s="51"/>
      <c r="W113" s="51">
        <v>0</v>
      </c>
      <c r="X113" s="51"/>
      <c r="Y113" s="51">
        <v>0</v>
      </c>
      <c r="Z113" s="51"/>
      <c r="AA113" s="51">
        <v>0</v>
      </c>
      <c r="AB113" s="51" t="s">
        <v>1114</v>
      </c>
      <c r="AC113" s="51"/>
      <c r="AD113" s="51"/>
      <c r="AE113" s="51"/>
      <c r="AF113" s="51"/>
      <c r="AG113" s="51"/>
      <c r="AH113" s="51"/>
      <c r="AI113" s="51"/>
    </row>
    <row r="114" spans="1:35" x14ac:dyDescent="0.2">
      <c r="A114" s="223">
        <v>19</v>
      </c>
      <c r="B114" s="405" t="s">
        <v>168</v>
      </c>
      <c r="C114" s="405" t="s">
        <v>1349</v>
      </c>
      <c r="D114" s="237" t="s">
        <v>167</v>
      </c>
      <c r="E114" s="237" t="s">
        <v>1000</v>
      </c>
      <c r="F114" s="51" t="s">
        <v>1000</v>
      </c>
      <c r="G114" s="51">
        <v>21000</v>
      </c>
      <c r="H114" s="51"/>
      <c r="I114" s="51">
        <v>0</v>
      </c>
      <c r="J114" s="51"/>
      <c r="K114" s="51">
        <v>0</v>
      </c>
      <c r="L114" s="51"/>
      <c r="M114" s="818">
        <v>21000</v>
      </c>
      <c r="N114" s="51"/>
      <c r="O114" s="51">
        <v>0</v>
      </c>
      <c r="P114" s="51"/>
      <c r="Q114" s="51">
        <v>0</v>
      </c>
      <c r="R114" s="51"/>
      <c r="S114" s="51">
        <v>0</v>
      </c>
      <c r="T114" s="51"/>
      <c r="U114" s="51">
        <v>8243</v>
      </c>
      <c r="V114" s="51"/>
      <c r="W114" s="51">
        <v>12757</v>
      </c>
      <c r="X114" s="51"/>
      <c r="Y114" s="51">
        <v>0</v>
      </c>
      <c r="Z114" s="51"/>
      <c r="AA114" s="51">
        <v>0</v>
      </c>
      <c r="AB114" s="51" t="s">
        <v>1114</v>
      </c>
      <c r="AC114" s="51"/>
      <c r="AD114" s="51"/>
      <c r="AE114" s="51"/>
      <c r="AF114" s="51"/>
      <c r="AG114" s="51"/>
      <c r="AH114" s="51"/>
      <c r="AI114" s="51"/>
    </row>
    <row r="115" spans="1:35" x14ac:dyDescent="0.2">
      <c r="A115" s="223">
        <v>20</v>
      </c>
      <c r="B115" s="405" t="s">
        <v>168</v>
      </c>
      <c r="C115" s="405" t="s">
        <v>1350</v>
      </c>
      <c r="D115" s="237" t="s">
        <v>167</v>
      </c>
      <c r="E115" s="237" t="s">
        <v>1001</v>
      </c>
      <c r="F115" s="51" t="s">
        <v>1001</v>
      </c>
      <c r="G115" s="51">
        <v>0</v>
      </c>
      <c r="H115" s="51"/>
      <c r="I115" s="51">
        <v>0</v>
      </c>
      <c r="J115" s="51"/>
      <c r="K115" s="51">
        <v>0</v>
      </c>
      <c r="L115" s="51"/>
      <c r="M115" s="818">
        <v>0</v>
      </c>
      <c r="N115" s="51"/>
      <c r="O115" s="51">
        <v>0</v>
      </c>
      <c r="P115" s="51"/>
      <c r="Q115" s="51">
        <v>0</v>
      </c>
      <c r="R115" s="51"/>
      <c r="S115" s="51">
        <v>0</v>
      </c>
      <c r="T115" s="51"/>
      <c r="U115" s="51">
        <v>0</v>
      </c>
      <c r="V115" s="51"/>
      <c r="W115" s="51">
        <v>0</v>
      </c>
      <c r="X115" s="51"/>
      <c r="Y115" s="51">
        <v>0</v>
      </c>
      <c r="Z115" s="51"/>
      <c r="AA115" s="51">
        <v>0</v>
      </c>
      <c r="AB115" s="51" t="s">
        <v>1114</v>
      </c>
      <c r="AC115" s="51"/>
      <c r="AD115" s="51"/>
      <c r="AE115" s="51"/>
      <c r="AF115" s="51"/>
      <c r="AG115" s="51"/>
      <c r="AH115" s="51"/>
      <c r="AI115" s="51"/>
    </row>
    <row r="116" spans="1:35" x14ac:dyDescent="0.2">
      <c r="A116" s="223">
        <v>21</v>
      </c>
      <c r="B116" s="405" t="s">
        <v>168</v>
      </c>
      <c r="C116" s="405" t="s">
        <v>1351</v>
      </c>
      <c r="D116" s="237" t="s">
        <v>167</v>
      </c>
      <c r="E116" s="237" t="s">
        <v>1002</v>
      </c>
      <c r="F116" s="51" t="s">
        <v>1002</v>
      </c>
      <c r="G116" s="51">
        <v>144375</v>
      </c>
      <c r="H116" s="51"/>
      <c r="I116" s="51">
        <v>0</v>
      </c>
      <c r="J116" s="51"/>
      <c r="K116" s="51">
        <v>0</v>
      </c>
      <c r="L116" s="51"/>
      <c r="M116" s="818">
        <v>144375</v>
      </c>
      <c r="N116" s="51"/>
      <c r="O116" s="51">
        <v>0</v>
      </c>
      <c r="P116" s="51"/>
      <c r="Q116" s="51">
        <v>0</v>
      </c>
      <c r="R116" s="51"/>
      <c r="S116" s="51">
        <v>0</v>
      </c>
      <c r="T116" s="51"/>
      <c r="U116" s="51">
        <v>0</v>
      </c>
      <c r="V116" s="51"/>
      <c r="W116" s="51">
        <v>144375</v>
      </c>
      <c r="X116" s="51"/>
      <c r="Y116" s="51">
        <v>0</v>
      </c>
      <c r="Z116" s="51"/>
      <c r="AA116" s="51">
        <v>0</v>
      </c>
      <c r="AB116" s="51" t="s">
        <v>1114</v>
      </c>
      <c r="AC116" s="51"/>
      <c r="AD116" s="51"/>
      <c r="AE116" s="51"/>
      <c r="AF116" s="51"/>
      <c r="AG116" s="51"/>
      <c r="AH116" s="51"/>
      <c r="AI116" s="51"/>
    </row>
    <row r="117" spans="1:35" x14ac:dyDescent="0.2">
      <c r="A117" s="223">
        <v>22</v>
      </c>
      <c r="B117" s="405" t="s">
        <v>168</v>
      </c>
      <c r="C117" s="405" t="s">
        <v>1352</v>
      </c>
      <c r="D117" s="237" t="s">
        <v>167</v>
      </c>
      <c r="E117" s="237" t="s">
        <v>1003</v>
      </c>
      <c r="F117" s="51" t="s">
        <v>1003</v>
      </c>
      <c r="G117" s="51">
        <v>80850</v>
      </c>
      <c r="H117" s="51"/>
      <c r="I117" s="51">
        <v>0</v>
      </c>
      <c r="J117" s="51"/>
      <c r="K117" s="51">
        <v>0</v>
      </c>
      <c r="L117" s="51"/>
      <c r="M117" s="818">
        <v>80850</v>
      </c>
      <c r="N117" s="51"/>
      <c r="O117" s="51">
        <v>0</v>
      </c>
      <c r="P117" s="51"/>
      <c r="Q117" s="51">
        <v>0</v>
      </c>
      <c r="R117" s="51"/>
      <c r="S117" s="51">
        <v>0</v>
      </c>
      <c r="T117" s="51"/>
      <c r="U117" s="51">
        <v>22494</v>
      </c>
      <c r="V117" s="51"/>
      <c r="W117" s="51">
        <v>58356</v>
      </c>
      <c r="X117" s="51"/>
      <c r="Y117" s="51">
        <v>0</v>
      </c>
      <c r="Z117" s="51"/>
      <c r="AA117" s="51">
        <v>0</v>
      </c>
      <c r="AB117" s="51" t="s">
        <v>1114</v>
      </c>
      <c r="AC117" s="51"/>
      <c r="AD117" s="51"/>
      <c r="AE117" s="51"/>
      <c r="AF117" s="51"/>
      <c r="AG117" s="51"/>
      <c r="AH117" s="51"/>
      <c r="AI117" s="51"/>
    </row>
    <row r="118" spans="1:35" x14ac:dyDescent="0.2">
      <c r="A118" s="223">
        <v>1</v>
      </c>
      <c r="B118" s="405" t="s">
        <v>168</v>
      </c>
      <c r="C118" s="405" t="s">
        <v>1353</v>
      </c>
      <c r="D118" s="237" t="s">
        <v>167</v>
      </c>
      <c r="E118" s="237" t="s">
        <v>1004</v>
      </c>
      <c r="F118" s="51" t="s">
        <v>1004</v>
      </c>
      <c r="G118" s="51">
        <v>0</v>
      </c>
      <c r="H118" s="51"/>
      <c r="I118" s="51">
        <v>0</v>
      </c>
      <c r="J118" s="51"/>
      <c r="K118" s="51">
        <v>0</v>
      </c>
      <c r="L118" s="51"/>
      <c r="M118" s="818">
        <v>0</v>
      </c>
      <c r="N118" s="51"/>
      <c r="O118" s="51">
        <v>0</v>
      </c>
      <c r="P118" s="51"/>
      <c r="Q118" s="51">
        <v>0</v>
      </c>
      <c r="R118" s="51"/>
      <c r="S118" s="51">
        <v>0</v>
      </c>
      <c r="T118" s="51"/>
      <c r="U118" s="51">
        <v>3493</v>
      </c>
      <c r="V118" s="51"/>
      <c r="W118" s="51">
        <v>0</v>
      </c>
      <c r="X118" s="51"/>
      <c r="Y118" s="51">
        <v>0</v>
      </c>
      <c r="Z118" s="51"/>
      <c r="AA118" s="51">
        <v>0</v>
      </c>
      <c r="AB118" s="51" t="s">
        <v>1114</v>
      </c>
      <c r="AC118" s="51"/>
      <c r="AD118" s="51"/>
      <c r="AE118" s="51"/>
      <c r="AF118" s="51"/>
      <c r="AG118" s="51"/>
      <c r="AH118" s="51"/>
      <c r="AI118" s="51"/>
    </row>
    <row r="119" spans="1:35" x14ac:dyDescent="0.2">
      <c r="A119" s="223">
        <v>2</v>
      </c>
      <c r="B119" s="405" t="s">
        <v>168</v>
      </c>
      <c r="C119" s="405" t="s">
        <v>1354</v>
      </c>
      <c r="D119" s="237" t="s">
        <v>167</v>
      </c>
      <c r="E119" s="237" t="s">
        <v>1005</v>
      </c>
      <c r="F119" s="51" t="s">
        <v>1005</v>
      </c>
      <c r="G119" s="51">
        <v>0</v>
      </c>
      <c r="H119" s="51"/>
      <c r="I119" s="51">
        <v>0</v>
      </c>
      <c r="J119" s="51"/>
      <c r="K119" s="51">
        <v>0</v>
      </c>
      <c r="L119" s="51"/>
      <c r="M119" s="818">
        <v>0</v>
      </c>
      <c r="N119" s="51"/>
      <c r="O119" s="51">
        <v>0</v>
      </c>
      <c r="P119" s="51"/>
      <c r="Q119" s="51">
        <v>0</v>
      </c>
      <c r="R119" s="51"/>
      <c r="S119" s="51">
        <v>0</v>
      </c>
      <c r="T119" s="51"/>
      <c r="U119" s="51">
        <v>50886</v>
      </c>
      <c r="V119" s="51"/>
      <c r="W119" s="51">
        <v>0</v>
      </c>
      <c r="X119" s="51"/>
      <c r="Y119" s="51">
        <v>0</v>
      </c>
      <c r="Z119" s="51"/>
      <c r="AA119" s="51">
        <v>0</v>
      </c>
      <c r="AB119" s="51" t="s">
        <v>1114</v>
      </c>
      <c r="AC119" s="51"/>
      <c r="AD119" s="51"/>
      <c r="AE119" s="51"/>
      <c r="AF119" s="51"/>
      <c r="AG119" s="51"/>
      <c r="AH119" s="51"/>
      <c r="AI119" s="51"/>
    </row>
    <row r="120" spans="1:35" x14ac:dyDescent="0.2">
      <c r="A120" s="223">
        <v>3</v>
      </c>
      <c r="B120" s="405" t="s">
        <v>168</v>
      </c>
      <c r="C120" s="405" t="s">
        <v>1355</v>
      </c>
      <c r="D120" s="237" t="s">
        <v>167</v>
      </c>
      <c r="E120" s="237" t="s">
        <v>1006</v>
      </c>
      <c r="F120" s="51" t="s">
        <v>1006</v>
      </c>
      <c r="G120" s="51">
        <v>157395</v>
      </c>
      <c r="H120" s="51"/>
      <c r="I120" s="51">
        <v>0</v>
      </c>
      <c r="J120" s="51"/>
      <c r="K120" s="51">
        <v>0</v>
      </c>
      <c r="L120" s="51"/>
      <c r="M120" s="818">
        <v>157395</v>
      </c>
      <c r="N120" s="51"/>
      <c r="O120" s="51">
        <v>0</v>
      </c>
      <c r="P120" s="51"/>
      <c r="Q120" s="51">
        <v>0</v>
      </c>
      <c r="R120" s="51"/>
      <c r="S120" s="51">
        <v>0</v>
      </c>
      <c r="T120" s="51"/>
      <c r="U120" s="51">
        <v>0</v>
      </c>
      <c r="V120" s="51"/>
      <c r="W120" s="51">
        <v>157395</v>
      </c>
      <c r="X120" s="51"/>
      <c r="Y120" s="51">
        <v>0</v>
      </c>
      <c r="Z120" s="51"/>
      <c r="AA120" s="51">
        <v>0</v>
      </c>
      <c r="AB120" s="51" t="s">
        <v>1114</v>
      </c>
      <c r="AC120" s="51"/>
      <c r="AD120" s="51"/>
      <c r="AE120" s="51"/>
      <c r="AF120" s="51"/>
      <c r="AG120" s="51"/>
      <c r="AH120" s="51"/>
      <c r="AI120" s="51"/>
    </row>
    <row r="121" spans="1:35" x14ac:dyDescent="0.2">
      <c r="A121" s="223">
        <v>1</v>
      </c>
      <c r="B121" s="405" t="s">
        <v>172</v>
      </c>
      <c r="C121" s="405" t="s">
        <v>1356</v>
      </c>
      <c r="D121" s="237" t="s">
        <v>171</v>
      </c>
      <c r="E121" s="237" t="s">
        <v>1007</v>
      </c>
      <c r="F121" s="51" t="s">
        <v>1007</v>
      </c>
      <c r="G121" s="51">
        <v>0</v>
      </c>
      <c r="H121" s="51"/>
      <c r="I121" s="51">
        <v>0</v>
      </c>
      <c r="J121" s="51"/>
      <c r="K121" s="51">
        <v>0</v>
      </c>
      <c r="L121" s="51"/>
      <c r="M121" s="818">
        <v>0</v>
      </c>
      <c r="N121" s="51"/>
      <c r="O121" s="51">
        <v>0</v>
      </c>
      <c r="P121" s="51"/>
      <c r="Q121" s="51">
        <v>0</v>
      </c>
      <c r="R121" s="51"/>
      <c r="S121" s="51">
        <v>0</v>
      </c>
      <c r="T121" s="51"/>
      <c r="U121" s="51">
        <v>0</v>
      </c>
      <c r="V121" s="51"/>
      <c r="W121" s="51">
        <v>0</v>
      </c>
      <c r="X121" s="51"/>
      <c r="Y121" s="51">
        <v>0</v>
      </c>
      <c r="Z121" s="51"/>
      <c r="AA121" s="51">
        <v>0</v>
      </c>
      <c r="AB121" s="51" t="s">
        <v>1114</v>
      </c>
      <c r="AC121" s="51"/>
      <c r="AD121" s="51"/>
      <c r="AE121" s="51"/>
      <c r="AF121" s="51"/>
      <c r="AG121" s="51"/>
      <c r="AH121" s="51"/>
      <c r="AI121" s="51"/>
    </row>
    <row r="122" spans="1:35" x14ac:dyDescent="0.2">
      <c r="A122" s="223">
        <v>1</v>
      </c>
      <c r="B122" s="405" t="s">
        <v>172</v>
      </c>
      <c r="C122" s="405" t="s">
        <v>1357</v>
      </c>
      <c r="D122" s="237" t="s">
        <v>171</v>
      </c>
      <c r="E122" s="237" t="s">
        <v>1008</v>
      </c>
      <c r="F122" s="51" t="s">
        <v>1008</v>
      </c>
      <c r="G122" s="51">
        <v>304170</v>
      </c>
      <c r="H122" s="51"/>
      <c r="I122" s="51">
        <v>0</v>
      </c>
      <c r="J122" s="51"/>
      <c r="K122" s="51">
        <v>0</v>
      </c>
      <c r="L122" s="51"/>
      <c r="M122" s="818">
        <v>304170</v>
      </c>
      <c r="N122" s="51"/>
      <c r="O122" s="51">
        <v>0</v>
      </c>
      <c r="P122" s="51"/>
      <c r="Q122" s="51">
        <v>0</v>
      </c>
      <c r="R122" s="51"/>
      <c r="S122" s="51">
        <v>0</v>
      </c>
      <c r="T122" s="51"/>
      <c r="U122" s="51">
        <v>0</v>
      </c>
      <c r="V122" s="51"/>
      <c r="W122" s="51">
        <v>304170</v>
      </c>
      <c r="X122" s="51"/>
      <c r="Y122" s="51">
        <v>157655</v>
      </c>
      <c r="Z122" s="51"/>
      <c r="AA122" s="51">
        <v>157655</v>
      </c>
      <c r="AB122" s="51" t="s">
        <v>1114</v>
      </c>
      <c r="AC122" s="51"/>
      <c r="AD122" s="51"/>
      <c r="AE122" s="51"/>
      <c r="AF122" s="51"/>
      <c r="AG122" s="51"/>
      <c r="AH122" s="51"/>
      <c r="AI122" s="51"/>
    </row>
    <row r="123" spans="1:35" x14ac:dyDescent="0.2">
      <c r="A123" s="223">
        <v>1</v>
      </c>
      <c r="B123" s="405" t="s">
        <v>172</v>
      </c>
      <c r="C123" s="405" t="s">
        <v>1358</v>
      </c>
      <c r="D123" s="237" t="s">
        <v>171</v>
      </c>
      <c r="E123" s="237" t="s">
        <v>1009</v>
      </c>
      <c r="F123" s="51" t="s">
        <v>1009</v>
      </c>
      <c r="G123" s="51">
        <v>0</v>
      </c>
      <c r="H123" s="51"/>
      <c r="I123" s="51">
        <v>0</v>
      </c>
      <c r="J123" s="51"/>
      <c r="K123" s="51">
        <v>0</v>
      </c>
      <c r="L123" s="51"/>
      <c r="M123" s="818">
        <v>0</v>
      </c>
      <c r="N123" s="51"/>
      <c r="O123" s="51">
        <v>0</v>
      </c>
      <c r="P123" s="51"/>
      <c r="Q123" s="51">
        <v>0</v>
      </c>
      <c r="R123" s="51"/>
      <c r="S123" s="51">
        <v>0</v>
      </c>
      <c r="T123" s="51"/>
      <c r="U123" s="51">
        <v>0</v>
      </c>
      <c r="V123" s="51"/>
      <c r="W123" s="51">
        <v>0</v>
      </c>
      <c r="X123" s="51"/>
      <c r="Y123" s="51">
        <v>0</v>
      </c>
      <c r="Z123" s="51"/>
      <c r="AA123" s="51">
        <v>0</v>
      </c>
      <c r="AB123" s="51" t="s">
        <v>1114</v>
      </c>
      <c r="AC123" s="51"/>
      <c r="AD123" s="51"/>
      <c r="AE123" s="51"/>
      <c r="AF123" s="51"/>
      <c r="AG123" s="51"/>
      <c r="AH123" s="51"/>
      <c r="AI123" s="51"/>
    </row>
    <row r="124" spans="1:35" x14ac:dyDescent="0.2">
      <c r="A124" s="223">
        <v>1</v>
      </c>
      <c r="B124" s="405" t="s">
        <v>176</v>
      </c>
      <c r="C124" s="405" t="s">
        <v>1359</v>
      </c>
      <c r="D124" s="237" t="s">
        <v>175</v>
      </c>
      <c r="E124" s="237" t="s">
        <v>862</v>
      </c>
      <c r="F124" s="51" t="s">
        <v>862</v>
      </c>
      <c r="G124" s="51">
        <v>1818173</v>
      </c>
      <c r="H124" s="51"/>
      <c r="I124" s="51">
        <v>0</v>
      </c>
      <c r="J124" s="51"/>
      <c r="K124" s="51">
        <v>0</v>
      </c>
      <c r="L124" s="51"/>
      <c r="M124" s="818">
        <v>1818173</v>
      </c>
      <c r="N124" s="51"/>
      <c r="O124" s="51">
        <v>0</v>
      </c>
      <c r="P124" s="51"/>
      <c r="Q124" s="51">
        <v>0</v>
      </c>
      <c r="R124" s="51"/>
      <c r="S124" s="51">
        <v>0</v>
      </c>
      <c r="T124" s="51"/>
      <c r="U124" s="51">
        <v>1719253</v>
      </c>
      <c r="V124" s="51"/>
      <c r="W124" s="51">
        <v>98920</v>
      </c>
      <c r="X124" s="51"/>
      <c r="Y124" s="51">
        <v>0</v>
      </c>
      <c r="Z124" s="51"/>
      <c r="AA124" s="51">
        <v>0</v>
      </c>
      <c r="AB124" s="51" t="s">
        <v>1114</v>
      </c>
      <c r="AC124" s="51"/>
      <c r="AD124" s="51"/>
      <c r="AE124" s="51"/>
      <c r="AF124" s="51"/>
      <c r="AG124" s="51"/>
      <c r="AH124" s="51"/>
      <c r="AI124" s="51"/>
    </row>
    <row r="125" spans="1:35" x14ac:dyDescent="0.2">
      <c r="A125" s="223">
        <v>2</v>
      </c>
      <c r="B125" s="405" t="s">
        <v>180</v>
      </c>
      <c r="C125" s="405" t="s">
        <v>1360</v>
      </c>
      <c r="D125" s="237" t="s">
        <v>179</v>
      </c>
      <c r="E125" s="237" t="s">
        <v>809</v>
      </c>
      <c r="F125" s="51" t="s">
        <v>809</v>
      </c>
      <c r="G125" s="51">
        <v>3217896</v>
      </c>
      <c r="H125" s="51"/>
      <c r="I125" s="51">
        <v>0</v>
      </c>
      <c r="J125" s="51"/>
      <c r="K125" s="51">
        <v>0</v>
      </c>
      <c r="L125" s="51"/>
      <c r="M125" s="818">
        <v>3217896</v>
      </c>
      <c r="N125" s="51"/>
      <c r="O125" s="51">
        <v>0</v>
      </c>
      <c r="P125" s="51"/>
      <c r="Q125" s="51">
        <v>0</v>
      </c>
      <c r="R125" s="51"/>
      <c r="S125" s="51">
        <v>0</v>
      </c>
      <c r="T125" s="51"/>
      <c r="U125" s="51">
        <v>1051544</v>
      </c>
      <c r="V125" s="51"/>
      <c r="W125" s="51">
        <v>2166352</v>
      </c>
      <c r="X125" s="51"/>
      <c r="Y125" s="51">
        <v>223432</v>
      </c>
      <c r="Z125" s="51"/>
      <c r="AA125" s="51">
        <v>223432</v>
      </c>
      <c r="AB125" s="51" t="s">
        <v>1114</v>
      </c>
      <c r="AC125" s="51"/>
      <c r="AD125" s="51"/>
      <c r="AE125" s="51"/>
      <c r="AF125" s="51"/>
      <c r="AG125" s="51"/>
      <c r="AH125" s="51"/>
      <c r="AI125" s="51"/>
    </row>
    <row r="126" spans="1:35" x14ac:dyDescent="0.2">
      <c r="A126" s="223">
        <v>3</v>
      </c>
      <c r="B126" s="405" t="s">
        <v>182</v>
      </c>
      <c r="C126" s="405" t="s">
        <v>1361</v>
      </c>
      <c r="D126" s="237" t="s">
        <v>181</v>
      </c>
      <c r="E126" s="237" t="s">
        <v>1010</v>
      </c>
      <c r="F126" s="51" t="s">
        <v>1010</v>
      </c>
      <c r="G126" s="51">
        <v>2303622</v>
      </c>
      <c r="H126" s="51"/>
      <c r="I126" s="51">
        <v>-32251</v>
      </c>
      <c r="J126" s="51"/>
      <c r="K126" s="51">
        <v>-72654</v>
      </c>
      <c r="L126" s="51"/>
      <c r="M126" s="818">
        <v>2198717</v>
      </c>
      <c r="N126" s="51"/>
      <c r="O126" s="51">
        <v>0</v>
      </c>
      <c r="P126" s="51"/>
      <c r="Q126" s="51">
        <v>0</v>
      </c>
      <c r="R126" s="51"/>
      <c r="S126" s="51">
        <v>22115</v>
      </c>
      <c r="T126" s="51"/>
      <c r="U126" s="51">
        <v>2499363</v>
      </c>
      <c r="V126" s="51"/>
      <c r="W126" s="51">
        <v>0</v>
      </c>
      <c r="X126" s="51"/>
      <c r="Y126" s="51">
        <v>0</v>
      </c>
      <c r="Z126" s="51"/>
      <c r="AA126" s="51">
        <v>0</v>
      </c>
      <c r="AB126" s="51" t="s">
        <v>1114</v>
      </c>
      <c r="AC126" s="51"/>
      <c r="AD126" s="51"/>
      <c r="AE126" s="51"/>
      <c r="AF126" s="51"/>
      <c r="AG126" s="51"/>
      <c r="AH126" s="51"/>
      <c r="AI126" s="51"/>
    </row>
    <row r="127" spans="1:35" x14ac:dyDescent="0.2">
      <c r="A127" s="223">
        <v>4</v>
      </c>
      <c r="B127" s="405" t="s">
        <v>184</v>
      </c>
      <c r="C127" s="405" t="s">
        <v>1362</v>
      </c>
      <c r="D127" s="237" t="s">
        <v>183</v>
      </c>
      <c r="E127" s="237" t="s">
        <v>1011</v>
      </c>
      <c r="F127" s="51" t="s">
        <v>1011</v>
      </c>
      <c r="G127" s="820" t="s">
        <v>1974</v>
      </c>
      <c r="H127" s="51"/>
      <c r="I127" s="51">
        <v>-1787</v>
      </c>
      <c r="J127" s="51"/>
      <c r="K127" s="51">
        <v>-5000</v>
      </c>
      <c r="L127" s="51"/>
      <c r="M127" s="818">
        <v>343980</v>
      </c>
      <c r="N127" s="51"/>
      <c r="O127" s="51">
        <v>0</v>
      </c>
      <c r="P127" s="51"/>
      <c r="Q127" s="51">
        <v>0</v>
      </c>
      <c r="R127" s="51"/>
      <c r="S127" s="51">
        <v>416</v>
      </c>
      <c r="T127" s="51"/>
      <c r="U127" s="51">
        <v>267551</v>
      </c>
      <c r="V127" s="51"/>
      <c r="W127" s="51">
        <v>76845</v>
      </c>
      <c r="X127" s="51"/>
      <c r="Y127" s="51">
        <v>55000</v>
      </c>
      <c r="Z127" s="51"/>
      <c r="AA127" s="51">
        <v>55000</v>
      </c>
      <c r="AB127" s="51" t="s">
        <v>1114</v>
      </c>
      <c r="AC127" s="51"/>
      <c r="AD127" s="51"/>
      <c r="AE127" s="51"/>
      <c r="AF127" s="51"/>
      <c r="AG127" s="51"/>
      <c r="AH127" s="51"/>
      <c r="AI127" s="51"/>
    </row>
    <row r="128" spans="1:35" x14ac:dyDescent="0.2">
      <c r="A128" s="223">
        <v>5</v>
      </c>
      <c r="B128" s="405" t="s">
        <v>184</v>
      </c>
      <c r="C128" s="405" t="s">
        <v>1363</v>
      </c>
      <c r="D128" s="237" t="s">
        <v>183</v>
      </c>
      <c r="E128" s="237" t="s">
        <v>1012</v>
      </c>
      <c r="F128" s="51" t="s">
        <v>1012</v>
      </c>
      <c r="G128" s="820" t="s">
        <v>1974</v>
      </c>
      <c r="H128" s="51"/>
      <c r="I128" s="51">
        <v>0</v>
      </c>
      <c r="J128" s="51"/>
      <c r="K128" s="51">
        <v>0</v>
      </c>
      <c r="L128" s="51"/>
      <c r="M128" s="818">
        <v>0</v>
      </c>
      <c r="N128" s="51"/>
      <c r="O128" s="51">
        <v>0</v>
      </c>
      <c r="P128" s="51"/>
      <c r="Q128" s="51">
        <v>0</v>
      </c>
      <c r="R128" s="51"/>
      <c r="S128" s="51">
        <v>0</v>
      </c>
      <c r="T128" s="51"/>
      <c r="U128" s="51">
        <v>0</v>
      </c>
      <c r="V128" s="51"/>
      <c r="W128" s="51">
        <v>0</v>
      </c>
      <c r="X128" s="51"/>
      <c r="Y128" s="51">
        <v>0</v>
      </c>
      <c r="Z128" s="51"/>
      <c r="AA128" s="51">
        <v>0</v>
      </c>
      <c r="AB128" s="51" t="s">
        <v>1114</v>
      </c>
      <c r="AC128" s="51"/>
      <c r="AD128" s="51"/>
      <c r="AE128" s="51"/>
      <c r="AF128" s="51"/>
      <c r="AG128" s="51"/>
      <c r="AH128" s="51"/>
      <c r="AI128" s="51"/>
    </row>
    <row r="129" spans="1:35" x14ac:dyDescent="0.2">
      <c r="A129" s="223">
        <v>6</v>
      </c>
      <c r="B129" s="405" t="s">
        <v>184</v>
      </c>
      <c r="C129" s="405" t="s">
        <v>1364</v>
      </c>
      <c r="D129" s="237" t="s">
        <v>183</v>
      </c>
      <c r="E129" s="237" t="s">
        <v>1013</v>
      </c>
      <c r="F129" s="51" t="s">
        <v>1013</v>
      </c>
      <c r="G129" s="820" t="s">
        <v>1974</v>
      </c>
      <c r="H129" s="51"/>
      <c r="I129" s="51">
        <v>-350</v>
      </c>
      <c r="J129" s="51"/>
      <c r="K129" s="51">
        <v>-2000</v>
      </c>
      <c r="L129" s="51"/>
      <c r="M129" s="818">
        <v>32174</v>
      </c>
      <c r="N129" s="51"/>
      <c r="O129" s="51">
        <v>0</v>
      </c>
      <c r="P129" s="51"/>
      <c r="Q129" s="51">
        <v>0</v>
      </c>
      <c r="R129" s="51"/>
      <c r="S129" s="51">
        <v>0</v>
      </c>
      <c r="T129" s="51"/>
      <c r="U129" s="51">
        <v>0</v>
      </c>
      <c r="V129" s="51"/>
      <c r="W129" s="51">
        <v>32174</v>
      </c>
      <c r="X129" s="51"/>
      <c r="Y129" s="51">
        <v>70144</v>
      </c>
      <c r="Z129" s="51"/>
      <c r="AA129" s="51">
        <v>70144</v>
      </c>
      <c r="AB129" s="51" t="s">
        <v>1114</v>
      </c>
      <c r="AC129" s="51"/>
      <c r="AD129" s="51"/>
      <c r="AE129" s="51"/>
      <c r="AF129" s="51"/>
      <c r="AG129" s="51"/>
      <c r="AH129" s="51"/>
      <c r="AI129" s="51"/>
    </row>
    <row r="130" spans="1:35" x14ac:dyDescent="0.2">
      <c r="A130" s="223">
        <v>7</v>
      </c>
      <c r="B130" s="405" t="s">
        <v>184</v>
      </c>
      <c r="C130" s="405" t="s">
        <v>1365</v>
      </c>
      <c r="D130" s="237" t="s">
        <v>183</v>
      </c>
      <c r="E130" s="237" t="s">
        <v>1014</v>
      </c>
      <c r="F130" s="51" t="s">
        <v>1014</v>
      </c>
      <c r="G130" s="820" t="s">
        <v>1974</v>
      </c>
      <c r="H130" s="51"/>
      <c r="I130" s="51">
        <v>-1738</v>
      </c>
      <c r="J130" s="51"/>
      <c r="K130" s="51">
        <v>-7000</v>
      </c>
      <c r="L130" s="51"/>
      <c r="M130" s="818">
        <v>338387</v>
      </c>
      <c r="N130" s="51"/>
      <c r="O130" s="51">
        <v>0</v>
      </c>
      <c r="P130" s="51"/>
      <c r="Q130" s="51">
        <v>0</v>
      </c>
      <c r="R130" s="51"/>
      <c r="S130" s="51">
        <v>-1167</v>
      </c>
      <c r="T130" s="51"/>
      <c r="U130" s="51">
        <v>181696</v>
      </c>
      <c r="V130" s="51"/>
      <c r="W130" s="51">
        <v>155524</v>
      </c>
      <c r="X130" s="51"/>
      <c r="Y130" s="51">
        <v>0</v>
      </c>
      <c r="Z130" s="51"/>
      <c r="AA130" s="51">
        <v>0</v>
      </c>
      <c r="AB130" s="51" t="s">
        <v>1114</v>
      </c>
      <c r="AC130" s="51"/>
      <c r="AD130" s="51"/>
      <c r="AE130" s="51"/>
      <c r="AF130" s="51"/>
      <c r="AG130" s="51"/>
      <c r="AH130" s="51"/>
      <c r="AI130" s="51"/>
    </row>
    <row r="131" spans="1:35" x14ac:dyDescent="0.2">
      <c r="A131" s="223">
        <v>8</v>
      </c>
      <c r="B131" s="405" t="s">
        <v>184</v>
      </c>
      <c r="C131" s="405" t="s">
        <v>1366</v>
      </c>
      <c r="D131" s="237" t="s">
        <v>183</v>
      </c>
      <c r="E131" s="237" t="s">
        <v>1015</v>
      </c>
      <c r="F131" s="51" t="s">
        <v>1015</v>
      </c>
      <c r="G131" s="820" t="s">
        <v>1974</v>
      </c>
      <c r="H131" s="51"/>
      <c r="I131" s="51">
        <v>-780</v>
      </c>
      <c r="J131" s="51"/>
      <c r="K131" s="51">
        <v>-10000</v>
      </c>
      <c r="L131" s="51"/>
      <c r="M131" s="818">
        <v>19964</v>
      </c>
      <c r="N131" s="51"/>
      <c r="O131" s="51">
        <v>0</v>
      </c>
      <c r="P131" s="51"/>
      <c r="Q131" s="51">
        <v>0</v>
      </c>
      <c r="R131" s="51"/>
      <c r="S131" s="51">
        <v>0</v>
      </c>
      <c r="T131" s="51"/>
      <c r="U131" s="51">
        <v>1382</v>
      </c>
      <c r="V131" s="51"/>
      <c r="W131" s="51">
        <v>18582</v>
      </c>
      <c r="X131" s="51"/>
      <c r="Y131" s="51">
        <v>0</v>
      </c>
      <c r="Z131" s="51"/>
      <c r="AA131" s="51">
        <v>0</v>
      </c>
      <c r="AB131" s="51" t="s">
        <v>1114</v>
      </c>
      <c r="AC131" s="51"/>
      <c r="AD131" s="51"/>
      <c r="AE131" s="51"/>
      <c r="AF131" s="51"/>
      <c r="AG131" s="51"/>
      <c r="AH131" s="51"/>
      <c r="AI131" s="51"/>
    </row>
    <row r="132" spans="1:35" x14ac:dyDescent="0.2">
      <c r="A132" s="223">
        <v>1</v>
      </c>
      <c r="B132" s="405" t="s">
        <v>184</v>
      </c>
      <c r="C132" s="405" t="s">
        <v>1367</v>
      </c>
      <c r="D132" s="237" t="s">
        <v>183</v>
      </c>
      <c r="E132" s="237" t="s">
        <v>1016</v>
      </c>
      <c r="F132" s="51" t="s">
        <v>1016</v>
      </c>
      <c r="G132" s="820" t="s">
        <v>1974</v>
      </c>
      <c r="H132" s="51"/>
      <c r="I132" s="51">
        <v>-719</v>
      </c>
      <c r="J132" s="51"/>
      <c r="K132" s="51">
        <v>-5000</v>
      </c>
      <c r="L132" s="51"/>
      <c r="M132" s="818">
        <v>80905</v>
      </c>
      <c r="N132" s="51"/>
      <c r="O132" s="51">
        <v>0</v>
      </c>
      <c r="P132" s="51"/>
      <c r="Q132" s="51">
        <v>0</v>
      </c>
      <c r="R132" s="51"/>
      <c r="S132" s="51">
        <v>0</v>
      </c>
      <c r="T132" s="51"/>
      <c r="U132" s="51">
        <v>66287</v>
      </c>
      <c r="V132" s="51"/>
      <c r="W132" s="51">
        <v>14618</v>
      </c>
      <c r="X132" s="51"/>
      <c r="Y132" s="51">
        <v>55000</v>
      </c>
      <c r="Z132" s="51"/>
      <c r="AA132" s="51">
        <v>55000</v>
      </c>
      <c r="AB132" s="51" t="s">
        <v>1114</v>
      </c>
      <c r="AC132" s="51"/>
      <c r="AD132" s="51"/>
      <c r="AE132" s="51"/>
      <c r="AF132" s="51"/>
      <c r="AG132" s="51"/>
      <c r="AH132" s="51"/>
      <c r="AI132" s="51"/>
    </row>
    <row r="133" spans="1:35" x14ac:dyDescent="0.2">
      <c r="A133" s="223">
        <v>2</v>
      </c>
      <c r="B133" s="405" t="s">
        <v>184</v>
      </c>
      <c r="C133" s="405" t="s">
        <v>1368</v>
      </c>
      <c r="D133" s="237" t="s">
        <v>183</v>
      </c>
      <c r="E133" s="237" t="s">
        <v>1017</v>
      </c>
      <c r="F133" s="51" t="s">
        <v>1017</v>
      </c>
      <c r="G133" s="820" t="s">
        <v>1974</v>
      </c>
      <c r="H133" s="51"/>
      <c r="I133" s="51">
        <v>-1708</v>
      </c>
      <c r="J133" s="51"/>
      <c r="K133" s="51">
        <v>-8000</v>
      </c>
      <c r="L133" s="51"/>
      <c r="M133" s="818">
        <v>327202</v>
      </c>
      <c r="N133" s="51"/>
      <c r="O133" s="51">
        <v>0</v>
      </c>
      <c r="P133" s="51"/>
      <c r="Q133" s="51">
        <v>0</v>
      </c>
      <c r="R133" s="51"/>
      <c r="S133" s="51">
        <v>-10230</v>
      </c>
      <c r="T133" s="51"/>
      <c r="U133" s="51">
        <v>310710</v>
      </c>
      <c r="V133" s="51"/>
      <c r="W133" s="51">
        <v>6262</v>
      </c>
      <c r="X133" s="51"/>
      <c r="Y133" s="51">
        <v>33968</v>
      </c>
      <c r="Z133" s="51"/>
      <c r="AA133" s="51">
        <v>33968</v>
      </c>
      <c r="AB133" s="51" t="s">
        <v>1114</v>
      </c>
      <c r="AC133" s="51"/>
      <c r="AD133" s="51"/>
      <c r="AE133" s="51"/>
      <c r="AF133" s="51"/>
      <c r="AG133" s="51"/>
      <c r="AH133" s="51"/>
      <c r="AI133" s="51"/>
    </row>
    <row r="134" spans="1:35" x14ac:dyDescent="0.2">
      <c r="A134" s="223">
        <v>1</v>
      </c>
      <c r="B134" s="405" t="s">
        <v>184</v>
      </c>
      <c r="C134" s="405" t="s">
        <v>1369</v>
      </c>
      <c r="D134" s="237" t="s">
        <v>183</v>
      </c>
      <c r="E134" s="237" t="s">
        <v>1018</v>
      </c>
      <c r="F134" s="51" t="s">
        <v>1018</v>
      </c>
      <c r="G134" s="820" t="s">
        <v>1974</v>
      </c>
      <c r="H134" s="51"/>
      <c r="I134" s="51">
        <v>-7485</v>
      </c>
      <c r="J134" s="51"/>
      <c r="K134" s="51">
        <v>-50000</v>
      </c>
      <c r="L134" s="51"/>
      <c r="M134" s="818">
        <v>1299525</v>
      </c>
      <c r="N134" s="51"/>
      <c r="O134" s="51">
        <v>0</v>
      </c>
      <c r="P134" s="51"/>
      <c r="Q134" s="51">
        <v>0</v>
      </c>
      <c r="R134" s="51"/>
      <c r="S134" s="51">
        <v>85</v>
      </c>
      <c r="T134" s="51"/>
      <c r="U134" s="51">
        <v>1313308</v>
      </c>
      <c r="V134" s="51"/>
      <c r="W134" s="51">
        <v>0</v>
      </c>
      <c r="X134" s="51"/>
      <c r="Y134" s="51">
        <v>202794</v>
      </c>
      <c r="Z134" s="51"/>
      <c r="AA134" s="51">
        <v>202794</v>
      </c>
      <c r="AB134" s="51" t="s">
        <v>1114</v>
      </c>
      <c r="AC134" s="51"/>
      <c r="AD134" s="51"/>
      <c r="AE134" s="51"/>
      <c r="AF134" s="51"/>
      <c r="AG134" s="51"/>
      <c r="AH134" s="51"/>
      <c r="AI134" s="51"/>
    </row>
    <row r="135" spans="1:35" x14ac:dyDescent="0.2">
      <c r="A135" s="223">
        <v>1</v>
      </c>
      <c r="B135" s="405" t="s">
        <v>192</v>
      </c>
      <c r="C135" s="405" t="s">
        <v>1370</v>
      </c>
      <c r="D135" s="237" t="s">
        <v>191</v>
      </c>
      <c r="E135" s="237" t="s">
        <v>810</v>
      </c>
      <c r="F135" s="51" t="s">
        <v>810</v>
      </c>
      <c r="G135" s="51">
        <v>2879918</v>
      </c>
      <c r="H135" s="51"/>
      <c r="I135" s="51">
        <v>-67450</v>
      </c>
      <c r="J135" s="51"/>
      <c r="K135" s="51">
        <v>-121896</v>
      </c>
      <c r="L135" s="51"/>
      <c r="M135" s="818">
        <v>2690572</v>
      </c>
      <c r="N135" s="51"/>
      <c r="O135" s="51">
        <v>0</v>
      </c>
      <c r="P135" s="51"/>
      <c r="Q135" s="51">
        <v>0</v>
      </c>
      <c r="R135" s="51"/>
      <c r="S135" s="51">
        <v>-203974</v>
      </c>
      <c r="T135" s="51"/>
      <c r="U135" s="51">
        <v>3677604</v>
      </c>
      <c r="V135" s="51"/>
      <c r="W135" s="51">
        <v>0</v>
      </c>
      <c r="X135" s="51"/>
      <c r="Y135" s="51">
        <v>0</v>
      </c>
      <c r="Z135" s="51"/>
      <c r="AA135" s="51">
        <v>0</v>
      </c>
      <c r="AB135" s="51" t="s">
        <v>1114</v>
      </c>
      <c r="AC135" s="51"/>
      <c r="AD135" s="51"/>
      <c r="AE135" s="51"/>
      <c r="AF135" s="51"/>
      <c r="AG135" s="51"/>
      <c r="AH135" s="51"/>
      <c r="AI135" s="51"/>
    </row>
    <row r="136" spans="1:35" x14ac:dyDescent="0.2">
      <c r="A136" s="223">
        <v>1</v>
      </c>
      <c r="B136" s="405" t="s">
        <v>192</v>
      </c>
      <c r="C136" s="405" t="s">
        <v>1371</v>
      </c>
      <c r="D136" s="237" t="s">
        <v>191</v>
      </c>
      <c r="E136" s="237" t="s">
        <v>811</v>
      </c>
      <c r="F136" s="51" t="s">
        <v>811</v>
      </c>
      <c r="G136" s="51">
        <v>24083527</v>
      </c>
      <c r="H136" s="51"/>
      <c r="I136" s="51">
        <v>-741423</v>
      </c>
      <c r="J136" s="51"/>
      <c r="K136" s="51">
        <v>-1320840</v>
      </c>
      <c r="L136" s="51"/>
      <c r="M136" s="818">
        <v>22021264</v>
      </c>
      <c r="N136" s="51"/>
      <c r="O136" s="51">
        <v>0</v>
      </c>
      <c r="P136" s="51"/>
      <c r="Q136" s="51">
        <v>0</v>
      </c>
      <c r="R136" s="51"/>
      <c r="S136" s="51">
        <v>-175164</v>
      </c>
      <c r="T136" s="51"/>
      <c r="U136" s="51">
        <v>31508528</v>
      </c>
      <c r="V136" s="51"/>
      <c r="W136" s="51">
        <v>0</v>
      </c>
      <c r="X136" s="51"/>
      <c r="Y136" s="51">
        <v>84425</v>
      </c>
      <c r="Z136" s="51"/>
      <c r="AA136" s="51">
        <v>84425</v>
      </c>
      <c r="AB136" s="51" t="s">
        <v>1114</v>
      </c>
      <c r="AC136" s="51"/>
      <c r="AD136" s="51"/>
      <c r="AE136" s="51"/>
      <c r="AF136" s="51"/>
      <c r="AG136" s="51"/>
      <c r="AH136" s="51"/>
      <c r="AI136" s="51"/>
    </row>
    <row r="137" spans="1:35" x14ac:dyDescent="0.2">
      <c r="A137" s="223">
        <v>2</v>
      </c>
      <c r="B137" s="405" t="s">
        <v>194</v>
      </c>
      <c r="C137" s="405" t="s">
        <v>1372</v>
      </c>
      <c r="D137" s="237" t="s">
        <v>193</v>
      </c>
      <c r="E137" s="237" t="s">
        <v>1019</v>
      </c>
      <c r="F137" s="51" t="s">
        <v>1019</v>
      </c>
      <c r="G137" s="51">
        <v>4713140</v>
      </c>
      <c r="H137" s="51"/>
      <c r="I137" s="51">
        <v>-111992</v>
      </c>
      <c r="J137" s="51"/>
      <c r="K137" s="51">
        <v>-232448</v>
      </c>
      <c r="L137" s="51"/>
      <c r="M137" s="818">
        <v>4368700</v>
      </c>
      <c r="N137" s="51"/>
      <c r="O137" s="51">
        <v>0</v>
      </c>
      <c r="P137" s="51"/>
      <c r="Q137" s="51">
        <v>0</v>
      </c>
      <c r="R137" s="51"/>
      <c r="S137" s="51">
        <v>10922</v>
      </c>
      <c r="T137" s="51"/>
      <c r="U137" s="51">
        <v>4846502</v>
      </c>
      <c r="V137" s="51"/>
      <c r="W137" s="51">
        <v>0</v>
      </c>
      <c r="X137" s="51"/>
      <c r="Y137" s="51">
        <v>0</v>
      </c>
      <c r="Z137" s="51"/>
      <c r="AA137" s="51">
        <v>0</v>
      </c>
      <c r="AB137" s="51" t="s">
        <v>1114</v>
      </c>
      <c r="AC137" s="51"/>
      <c r="AD137" s="51"/>
      <c r="AE137" s="51"/>
      <c r="AF137" s="51"/>
      <c r="AG137" s="51"/>
      <c r="AH137" s="51"/>
      <c r="AI137" s="51"/>
    </row>
    <row r="138" spans="1:35" x14ac:dyDescent="0.2">
      <c r="A138" s="223">
        <v>3</v>
      </c>
      <c r="B138" s="405" t="s">
        <v>196</v>
      </c>
      <c r="C138" s="405" t="s">
        <v>1373</v>
      </c>
      <c r="D138" s="237" t="s">
        <v>195</v>
      </c>
      <c r="E138" s="237" t="s">
        <v>1020</v>
      </c>
      <c r="F138" s="51" t="s">
        <v>1020</v>
      </c>
      <c r="G138" s="51">
        <v>107175</v>
      </c>
      <c r="H138" s="51"/>
      <c r="I138" s="51">
        <v>-1072</v>
      </c>
      <c r="J138" s="51"/>
      <c r="K138" s="51">
        <v>0</v>
      </c>
      <c r="L138" s="51"/>
      <c r="M138" s="818">
        <v>106103</v>
      </c>
      <c r="N138" s="51"/>
      <c r="O138" s="51">
        <v>0</v>
      </c>
      <c r="P138" s="51"/>
      <c r="Q138" s="51">
        <v>0</v>
      </c>
      <c r="R138" s="51"/>
      <c r="S138" s="51">
        <v>0</v>
      </c>
      <c r="T138" s="51"/>
      <c r="U138" s="51">
        <v>0</v>
      </c>
      <c r="V138" s="51"/>
      <c r="W138" s="51">
        <v>106103</v>
      </c>
      <c r="X138" s="51"/>
      <c r="Y138" s="51">
        <v>55000</v>
      </c>
      <c r="Z138" s="51"/>
      <c r="AA138" s="51">
        <v>55000</v>
      </c>
      <c r="AB138" s="51" t="s">
        <v>1114</v>
      </c>
      <c r="AC138" s="51"/>
      <c r="AD138" s="51"/>
      <c r="AE138" s="51"/>
      <c r="AF138" s="51"/>
      <c r="AG138" s="51"/>
      <c r="AH138" s="51"/>
      <c r="AI138" s="51"/>
    </row>
    <row r="139" spans="1:35" x14ac:dyDescent="0.2">
      <c r="A139" s="223">
        <v>1</v>
      </c>
      <c r="B139" s="405" t="s">
        <v>202</v>
      </c>
      <c r="C139" s="405" t="s">
        <v>1374</v>
      </c>
      <c r="D139" s="237" t="s">
        <v>201</v>
      </c>
      <c r="E139" s="237" t="s">
        <v>1021</v>
      </c>
      <c r="F139" s="51" t="s">
        <v>1021</v>
      </c>
      <c r="G139" s="51">
        <v>6381901</v>
      </c>
      <c r="H139" s="51"/>
      <c r="I139" s="51">
        <v>-191457</v>
      </c>
      <c r="J139" s="51"/>
      <c r="K139" s="51">
        <v>-446095</v>
      </c>
      <c r="L139" s="51"/>
      <c r="M139" s="818">
        <v>5744349</v>
      </c>
      <c r="N139" s="51"/>
      <c r="O139" s="51">
        <v>0</v>
      </c>
      <c r="P139" s="51"/>
      <c r="Q139" s="51">
        <v>0</v>
      </c>
      <c r="R139" s="51"/>
      <c r="S139" s="51">
        <v>-13969</v>
      </c>
      <c r="T139" s="51"/>
      <c r="U139" s="51">
        <v>5759134</v>
      </c>
      <c r="V139" s="51"/>
      <c r="W139" s="51">
        <v>0</v>
      </c>
      <c r="X139" s="51"/>
      <c r="Y139" s="51">
        <v>496978</v>
      </c>
      <c r="Z139" s="51"/>
      <c r="AA139" s="51">
        <v>496978</v>
      </c>
      <c r="AB139" s="51" t="s">
        <v>1114</v>
      </c>
      <c r="AC139" s="51"/>
      <c r="AD139" s="51"/>
      <c r="AE139" s="51"/>
      <c r="AF139" s="51"/>
      <c r="AG139" s="51"/>
      <c r="AH139" s="51"/>
      <c r="AI139" s="51"/>
    </row>
    <row r="140" spans="1:35" x14ac:dyDescent="0.2">
      <c r="A140" s="223">
        <v>1</v>
      </c>
      <c r="B140" s="405" t="s">
        <v>202</v>
      </c>
      <c r="C140" s="405" t="s">
        <v>1375</v>
      </c>
      <c r="D140" s="237" t="s">
        <v>201</v>
      </c>
      <c r="E140" s="237" t="s">
        <v>1022</v>
      </c>
      <c r="F140" s="51" t="s">
        <v>1022</v>
      </c>
      <c r="G140" s="51">
        <v>1483582</v>
      </c>
      <c r="H140" s="51"/>
      <c r="I140" s="51">
        <v>-44507</v>
      </c>
      <c r="J140" s="51"/>
      <c r="K140" s="51">
        <v>-103702</v>
      </c>
      <c r="L140" s="51"/>
      <c r="M140" s="818">
        <v>1335373</v>
      </c>
      <c r="N140" s="51"/>
      <c r="O140" s="51">
        <v>0</v>
      </c>
      <c r="P140" s="51"/>
      <c r="Q140" s="51">
        <v>0</v>
      </c>
      <c r="R140" s="51"/>
      <c r="S140" s="51">
        <v>25114</v>
      </c>
      <c r="T140" s="51"/>
      <c r="U140" s="51">
        <v>783747</v>
      </c>
      <c r="V140" s="51"/>
      <c r="W140" s="51">
        <v>576740</v>
      </c>
      <c r="X140" s="51"/>
      <c r="Y140" s="51">
        <v>117991</v>
      </c>
      <c r="Z140" s="51"/>
      <c r="AA140" s="51">
        <v>117991</v>
      </c>
      <c r="AB140" s="51" t="s">
        <v>1114</v>
      </c>
      <c r="AC140" s="51"/>
      <c r="AD140" s="51"/>
      <c r="AE140" s="51"/>
      <c r="AF140" s="51"/>
      <c r="AG140" s="51"/>
      <c r="AH140" s="51"/>
      <c r="AI140" s="51"/>
    </row>
    <row r="141" spans="1:35" x14ac:dyDescent="0.2">
      <c r="A141" s="223">
        <v>2</v>
      </c>
      <c r="B141" s="405" t="s">
        <v>202</v>
      </c>
      <c r="C141" s="405" t="s">
        <v>1376</v>
      </c>
      <c r="D141" s="237" t="s">
        <v>201</v>
      </c>
      <c r="E141" s="237" t="s">
        <v>1023</v>
      </c>
      <c r="F141" s="51" t="s">
        <v>1023</v>
      </c>
      <c r="G141" s="51">
        <v>5141514</v>
      </c>
      <c r="H141" s="51"/>
      <c r="I141" s="51">
        <v>-154245</v>
      </c>
      <c r="J141" s="51"/>
      <c r="K141" s="51">
        <v>-359392</v>
      </c>
      <c r="L141" s="51"/>
      <c r="M141" s="818">
        <v>4627877</v>
      </c>
      <c r="N141" s="51"/>
      <c r="O141" s="51">
        <v>0</v>
      </c>
      <c r="P141" s="51"/>
      <c r="Q141" s="51">
        <v>0</v>
      </c>
      <c r="R141" s="51"/>
      <c r="S141" s="51">
        <v>3148</v>
      </c>
      <c r="T141" s="51"/>
      <c r="U141" s="51">
        <v>5304584</v>
      </c>
      <c r="V141" s="51"/>
      <c r="W141" s="51">
        <v>0</v>
      </c>
      <c r="X141" s="51"/>
      <c r="Y141" s="51">
        <v>401635</v>
      </c>
      <c r="Z141" s="51"/>
      <c r="AA141" s="51">
        <v>401635</v>
      </c>
      <c r="AB141" s="51" t="s">
        <v>1114</v>
      </c>
      <c r="AC141" s="51"/>
      <c r="AD141" s="51"/>
      <c r="AE141" s="51"/>
      <c r="AF141" s="51"/>
      <c r="AG141" s="51"/>
      <c r="AH141" s="51"/>
      <c r="AI141" s="51"/>
    </row>
    <row r="142" spans="1:35" x14ac:dyDescent="0.2">
      <c r="A142" s="223">
        <v>1</v>
      </c>
      <c r="B142" s="405" t="s">
        <v>202</v>
      </c>
      <c r="C142" s="405" t="s">
        <v>1377</v>
      </c>
      <c r="D142" s="237" t="s">
        <v>201</v>
      </c>
      <c r="E142" s="237" t="s">
        <v>1103</v>
      </c>
      <c r="F142" s="51" t="s">
        <v>1103</v>
      </c>
      <c r="G142" s="51">
        <v>534863</v>
      </c>
      <c r="H142" s="51"/>
      <c r="I142" s="51">
        <v>-16046</v>
      </c>
      <c r="J142" s="51"/>
      <c r="K142" s="51">
        <v>-37387</v>
      </c>
      <c r="L142" s="51"/>
      <c r="M142" s="818">
        <v>481430</v>
      </c>
      <c r="N142" s="51"/>
      <c r="O142" s="51">
        <v>0</v>
      </c>
      <c r="P142" s="51"/>
      <c r="Q142" s="51">
        <v>0</v>
      </c>
      <c r="R142" s="51"/>
      <c r="S142" s="51">
        <v>-2082</v>
      </c>
      <c r="T142" s="51"/>
      <c r="U142" s="51">
        <v>737277</v>
      </c>
      <c r="V142" s="51"/>
      <c r="W142" s="51">
        <v>0</v>
      </c>
      <c r="X142" s="51"/>
      <c r="Y142" s="51">
        <v>41572</v>
      </c>
      <c r="Z142" s="51"/>
      <c r="AA142" s="51">
        <v>41572</v>
      </c>
      <c r="AB142" s="51" t="s">
        <v>1114</v>
      </c>
      <c r="AC142" s="51"/>
      <c r="AD142" s="51"/>
      <c r="AE142" s="51"/>
      <c r="AF142" s="51"/>
      <c r="AG142" s="51"/>
      <c r="AH142" s="51"/>
      <c r="AI142" s="51"/>
    </row>
    <row r="143" spans="1:35" x14ac:dyDescent="0.2">
      <c r="A143" s="223">
        <v>2</v>
      </c>
      <c r="B143" s="405" t="s">
        <v>206</v>
      </c>
      <c r="C143" s="405" t="s">
        <v>1378</v>
      </c>
      <c r="D143" s="237" t="s">
        <v>205</v>
      </c>
      <c r="E143" s="237" t="s">
        <v>1024</v>
      </c>
      <c r="F143" s="51" t="s">
        <v>1024</v>
      </c>
      <c r="G143" s="51">
        <v>0</v>
      </c>
      <c r="H143" s="51"/>
      <c r="I143" s="51">
        <v>0</v>
      </c>
      <c r="J143" s="51"/>
      <c r="K143" s="51">
        <v>0</v>
      </c>
      <c r="L143" s="51"/>
      <c r="M143" s="818">
        <v>0</v>
      </c>
      <c r="N143" s="51"/>
      <c r="O143" s="51">
        <v>0</v>
      </c>
      <c r="P143" s="51"/>
      <c r="Q143" s="51">
        <v>0</v>
      </c>
      <c r="R143" s="51"/>
      <c r="S143" s="51">
        <v>0</v>
      </c>
      <c r="T143" s="51"/>
      <c r="U143" s="51">
        <v>11661</v>
      </c>
      <c r="V143" s="51"/>
      <c r="W143" s="51">
        <v>0</v>
      </c>
      <c r="X143" s="51"/>
      <c r="Y143" s="51">
        <v>0</v>
      </c>
      <c r="Z143" s="51"/>
      <c r="AA143" s="51">
        <v>0</v>
      </c>
      <c r="AB143" s="51" t="s">
        <v>1114</v>
      </c>
      <c r="AC143" s="51"/>
      <c r="AD143" s="51"/>
      <c r="AE143" s="51"/>
      <c r="AF143" s="51"/>
      <c r="AG143" s="51"/>
      <c r="AH143" s="51"/>
      <c r="AI143" s="51"/>
    </row>
    <row r="144" spans="1:35" x14ac:dyDescent="0.2">
      <c r="A144" s="223">
        <v>1</v>
      </c>
      <c r="B144" s="405" t="s">
        <v>689</v>
      </c>
      <c r="C144" s="405" t="s">
        <v>1471</v>
      </c>
      <c r="D144" s="237" t="s">
        <v>688</v>
      </c>
      <c r="E144" s="237" t="s">
        <v>1025</v>
      </c>
      <c r="F144" s="51" t="s">
        <v>1025</v>
      </c>
      <c r="G144" s="51">
        <v>600931</v>
      </c>
      <c r="H144" s="51"/>
      <c r="I144" s="51">
        <v>0</v>
      </c>
      <c r="J144" s="51"/>
      <c r="K144" s="51">
        <v>-144000</v>
      </c>
      <c r="L144" s="51"/>
      <c r="M144" s="818">
        <v>456931</v>
      </c>
      <c r="N144" s="51"/>
      <c r="O144" s="51">
        <v>0</v>
      </c>
      <c r="P144" s="51"/>
      <c r="Q144" s="51">
        <v>0</v>
      </c>
      <c r="R144" s="51"/>
      <c r="S144" s="51">
        <v>0</v>
      </c>
      <c r="T144" s="51"/>
      <c r="U144" s="51">
        <v>0</v>
      </c>
      <c r="V144" s="51"/>
      <c r="W144" s="51">
        <v>456931</v>
      </c>
      <c r="X144" s="51"/>
      <c r="Y144" s="51">
        <v>0</v>
      </c>
      <c r="Z144" s="51"/>
      <c r="AA144" s="51">
        <v>0</v>
      </c>
      <c r="AB144" s="51" t="s">
        <v>1114</v>
      </c>
      <c r="AC144" s="51"/>
      <c r="AD144" s="51"/>
      <c r="AE144" s="51"/>
      <c r="AF144" s="51"/>
      <c r="AG144" s="51"/>
      <c r="AH144" s="51"/>
      <c r="AI144" s="51"/>
    </row>
    <row r="145" spans="1:35" x14ac:dyDescent="0.2">
      <c r="A145" s="223">
        <v>2</v>
      </c>
      <c r="B145" s="405" t="s">
        <v>216</v>
      </c>
      <c r="C145" s="405" t="s">
        <v>1379</v>
      </c>
      <c r="D145" s="237" t="s">
        <v>215</v>
      </c>
      <c r="E145" s="237" t="s">
        <v>1026</v>
      </c>
      <c r="F145" s="51" t="s">
        <v>1026</v>
      </c>
      <c r="G145" s="51">
        <v>0</v>
      </c>
      <c r="H145" s="51"/>
      <c r="I145" s="51">
        <v>0</v>
      </c>
      <c r="J145" s="51"/>
      <c r="K145" s="51">
        <v>0</v>
      </c>
      <c r="L145" s="51"/>
      <c r="M145" s="818">
        <v>0</v>
      </c>
      <c r="N145" s="51"/>
      <c r="O145" s="51">
        <v>0</v>
      </c>
      <c r="P145" s="51"/>
      <c r="Q145" s="51">
        <v>0</v>
      </c>
      <c r="R145" s="51"/>
      <c r="S145" s="51">
        <v>0</v>
      </c>
      <c r="T145" s="51"/>
      <c r="U145" s="51">
        <v>0</v>
      </c>
      <c r="V145" s="51"/>
      <c r="W145" s="51">
        <v>0</v>
      </c>
      <c r="X145" s="51"/>
      <c r="Y145" s="51">
        <v>0</v>
      </c>
      <c r="Z145" s="51"/>
      <c r="AA145" s="51">
        <v>0</v>
      </c>
      <c r="AB145" s="51" t="s">
        <v>1114</v>
      </c>
      <c r="AC145" s="51"/>
      <c r="AD145" s="51"/>
      <c r="AE145" s="51"/>
      <c r="AF145" s="51"/>
      <c r="AG145" s="51"/>
      <c r="AH145" s="51"/>
      <c r="AI145" s="51"/>
    </row>
    <row r="146" spans="1:35" x14ac:dyDescent="0.2">
      <c r="A146" s="223">
        <v>3</v>
      </c>
      <c r="B146" s="405" t="s">
        <v>220</v>
      </c>
      <c r="C146" s="405" t="s">
        <v>1380</v>
      </c>
      <c r="D146" s="237" t="s">
        <v>219</v>
      </c>
      <c r="E146" s="237" t="s">
        <v>805</v>
      </c>
      <c r="F146" s="51" t="s">
        <v>805</v>
      </c>
      <c r="G146" s="51">
        <v>15144</v>
      </c>
      <c r="H146" s="51"/>
      <c r="I146" s="51">
        <v>0</v>
      </c>
      <c r="J146" s="51"/>
      <c r="K146" s="51">
        <v>0</v>
      </c>
      <c r="L146" s="51"/>
      <c r="M146" s="818">
        <v>15144</v>
      </c>
      <c r="N146" s="51"/>
      <c r="O146" s="51">
        <v>0</v>
      </c>
      <c r="P146" s="51"/>
      <c r="Q146" s="51">
        <v>0</v>
      </c>
      <c r="R146" s="51"/>
      <c r="S146" s="51">
        <v>0</v>
      </c>
      <c r="T146" s="51"/>
      <c r="U146" s="51">
        <v>0</v>
      </c>
      <c r="V146" s="51"/>
      <c r="W146" s="51">
        <v>15144</v>
      </c>
      <c r="X146" s="51"/>
      <c r="Y146" s="51">
        <v>55000</v>
      </c>
      <c r="Z146" s="51"/>
      <c r="AA146" s="51">
        <v>55000</v>
      </c>
      <c r="AB146" s="51" t="s">
        <v>1114</v>
      </c>
      <c r="AC146" s="51"/>
      <c r="AD146" s="51"/>
      <c r="AE146" s="51"/>
      <c r="AF146" s="51"/>
      <c r="AG146" s="51"/>
      <c r="AH146" s="51"/>
      <c r="AI146" s="51"/>
    </row>
    <row r="147" spans="1:35" x14ac:dyDescent="0.2">
      <c r="A147" s="223">
        <v>4</v>
      </c>
      <c r="B147" s="405" t="s">
        <v>220</v>
      </c>
      <c r="C147" s="405" t="s">
        <v>1381</v>
      </c>
      <c r="D147" s="237" t="s">
        <v>219</v>
      </c>
      <c r="E147" s="237" t="s">
        <v>1027</v>
      </c>
      <c r="F147" s="51" t="s">
        <v>1027</v>
      </c>
      <c r="G147" s="51">
        <v>2641819</v>
      </c>
      <c r="H147" s="51"/>
      <c r="I147" s="51">
        <v>-84000</v>
      </c>
      <c r="J147" s="51"/>
      <c r="K147" s="51">
        <v>-64000</v>
      </c>
      <c r="L147" s="51"/>
      <c r="M147" s="818">
        <v>2493819</v>
      </c>
      <c r="N147" s="51"/>
      <c r="O147" s="51">
        <v>0</v>
      </c>
      <c r="P147" s="51"/>
      <c r="Q147" s="51">
        <v>0</v>
      </c>
      <c r="R147" s="51"/>
      <c r="S147" s="51">
        <v>-57122</v>
      </c>
      <c r="T147" s="51"/>
      <c r="U147" s="51">
        <v>2978093</v>
      </c>
      <c r="V147" s="51"/>
      <c r="W147" s="51">
        <v>0</v>
      </c>
      <c r="X147" s="51"/>
      <c r="Y147" s="51">
        <v>113111</v>
      </c>
      <c r="Z147" s="51"/>
      <c r="AA147" s="51">
        <v>113111</v>
      </c>
      <c r="AB147" s="51" t="s">
        <v>1114</v>
      </c>
      <c r="AC147" s="51"/>
      <c r="AD147" s="51"/>
      <c r="AE147" s="51"/>
      <c r="AF147" s="51"/>
      <c r="AG147" s="51"/>
      <c r="AH147" s="51"/>
      <c r="AI147" s="51"/>
    </row>
    <row r="148" spans="1:35" x14ac:dyDescent="0.2">
      <c r="A148" s="223">
        <v>1</v>
      </c>
      <c r="B148" s="405" t="s">
        <v>229</v>
      </c>
      <c r="C148" s="405" t="s">
        <v>1382</v>
      </c>
      <c r="D148" s="237" t="s">
        <v>860</v>
      </c>
      <c r="E148" s="237" t="s">
        <v>812</v>
      </c>
      <c r="F148" s="51" t="s">
        <v>812</v>
      </c>
      <c r="G148" s="51">
        <v>625837</v>
      </c>
      <c r="H148" s="51"/>
      <c r="I148" s="51">
        <v>-9700</v>
      </c>
      <c r="J148" s="51"/>
      <c r="K148" s="51">
        <v>-31292</v>
      </c>
      <c r="L148" s="51"/>
      <c r="M148" s="818">
        <v>584845</v>
      </c>
      <c r="N148" s="51"/>
      <c r="O148" s="51">
        <v>0</v>
      </c>
      <c r="P148" s="51"/>
      <c r="Q148" s="51">
        <v>0</v>
      </c>
      <c r="R148" s="51"/>
      <c r="S148" s="51">
        <v>0</v>
      </c>
      <c r="T148" s="51"/>
      <c r="U148" s="51">
        <v>91256</v>
      </c>
      <c r="V148" s="51"/>
      <c r="W148" s="51">
        <v>493589</v>
      </c>
      <c r="X148" s="51"/>
      <c r="Y148" s="51">
        <v>0</v>
      </c>
      <c r="Z148" s="51"/>
      <c r="AA148" s="51">
        <v>0</v>
      </c>
      <c r="AB148" s="51" t="s">
        <v>1114</v>
      </c>
      <c r="AC148" s="51"/>
      <c r="AD148" s="51"/>
      <c r="AE148" s="51"/>
      <c r="AF148" s="51"/>
      <c r="AG148" s="51"/>
      <c r="AH148" s="51"/>
      <c r="AI148" s="51"/>
    </row>
    <row r="149" spans="1:35" x14ac:dyDescent="0.2">
      <c r="A149" s="223">
        <v>1</v>
      </c>
      <c r="B149" s="405" t="s">
        <v>229</v>
      </c>
      <c r="C149" s="405" t="s">
        <v>1383</v>
      </c>
      <c r="D149" s="237" t="s">
        <v>860</v>
      </c>
      <c r="E149" s="237" t="s">
        <v>802</v>
      </c>
      <c r="F149" s="51" t="s">
        <v>802</v>
      </c>
      <c r="G149" s="51">
        <v>7797485</v>
      </c>
      <c r="H149" s="51"/>
      <c r="I149" s="51">
        <v>-120861</v>
      </c>
      <c r="J149" s="51"/>
      <c r="K149" s="51">
        <v>-389874</v>
      </c>
      <c r="L149" s="51"/>
      <c r="M149" s="818">
        <v>7286750</v>
      </c>
      <c r="N149" s="51"/>
      <c r="O149" s="51">
        <v>0</v>
      </c>
      <c r="P149" s="51"/>
      <c r="Q149" s="51">
        <v>0</v>
      </c>
      <c r="R149" s="51"/>
      <c r="S149" s="51">
        <v>-229460</v>
      </c>
      <c r="T149" s="51"/>
      <c r="U149" s="51">
        <v>5550196</v>
      </c>
      <c r="V149" s="51"/>
      <c r="W149" s="51">
        <v>1507094</v>
      </c>
      <c r="X149" s="51"/>
      <c r="Y149" s="51">
        <v>0</v>
      </c>
      <c r="Z149" s="51"/>
      <c r="AA149" s="51">
        <v>0</v>
      </c>
      <c r="AB149" s="51" t="s">
        <v>1114</v>
      </c>
      <c r="AC149" s="51"/>
      <c r="AD149" s="51"/>
      <c r="AE149" s="51"/>
      <c r="AF149" s="51"/>
      <c r="AG149" s="51"/>
      <c r="AH149" s="51"/>
      <c r="AI149" s="51"/>
    </row>
    <row r="150" spans="1:35" x14ac:dyDescent="0.2">
      <c r="A150" s="223">
        <v>1</v>
      </c>
      <c r="B150" s="405" t="s">
        <v>229</v>
      </c>
      <c r="C150" s="405" t="s">
        <v>1384</v>
      </c>
      <c r="D150" s="237" t="s">
        <v>860</v>
      </c>
      <c r="E150" s="237" t="s">
        <v>1029</v>
      </c>
      <c r="F150" s="51" t="s">
        <v>1029</v>
      </c>
      <c r="G150" s="51">
        <v>0</v>
      </c>
      <c r="H150" s="51"/>
      <c r="I150" s="51">
        <v>0</v>
      </c>
      <c r="J150" s="51"/>
      <c r="K150" s="51">
        <v>0</v>
      </c>
      <c r="L150" s="51"/>
      <c r="M150" s="818">
        <v>0</v>
      </c>
      <c r="N150" s="51"/>
      <c r="O150" s="51">
        <v>0</v>
      </c>
      <c r="P150" s="51"/>
      <c r="Q150" s="51">
        <v>0</v>
      </c>
      <c r="R150" s="51"/>
      <c r="S150" s="51">
        <v>0</v>
      </c>
      <c r="T150" s="51"/>
      <c r="U150" s="51">
        <v>0</v>
      </c>
      <c r="V150" s="51"/>
      <c r="W150" s="51">
        <v>0</v>
      </c>
      <c r="X150" s="51"/>
      <c r="Y150" s="51">
        <v>0</v>
      </c>
      <c r="Z150" s="51"/>
      <c r="AA150" s="51">
        <v>0</v>
      </c>
      <c r="AB150" s="51" t="s">
        <v>1114</v>
      </c>
      <c r="AC150" s="51"/>
      <c r="AD150" s="51"/>
      <c r="AE150" s="51"/>
      <c r="AF150" s="51"/>
      <c r="AG150" s="51"/>
      <c r="AH150" s="51"/>
      <c r="AI150" s="51"/>
    </row>
    <row r="151" spans="1:35" x14ac:dyDescent="0.2">
      <c r="A151" s="223">
        <v>2</v>
      </c>
      <c r="B151" s="405" t="s">
        <v>229</v>
      </c>
      <c r="C151" s="405" t="s">
        <v>1385</v>
      </c>
      <c r="D151" s="237" t="s">
        <v>860</v>
      </c>
      <c r="E151" s="237" t="s">
        <v>1030</v>
      </c>
      <c r="F151" s="51" t="s">
        <v>1030</v>
      </c>
      <c r="G151" s="51">
        <v>0</v>
      </c>
      <c r="H151" s="51"/>
      <c r="I151" s="51">
        <v>0</v>
      </c>
      <c r="J151" s="51"/>
      <c r="K151" s="51">
        <v>0</v>
      </c>
      <c r="L151" s="51"/>
      <c r="M151" s="818">
        <v>0</v>
      </c>
      <c r="N151" s="51"/>
      <c r="O151" s="51">
        <v>0</v>
      </c>
      <c r="P151" s="51"/>
      <c r="Q151" s="51">
        <v>0</v>
      </c>
      <c r="R151" s="51"/>
      <c r="S151" s="51">
        <v>0</v>
      </c>
      <c r="T151" s="51"/>
      <c r="U151" s="51">
        <v>0</v>
      </c>
      <c r="V151" s="51"/>
      <c r="W151" s="51">
        <v>0</v>
      </c>
      <c r="X151" s="51"/>
      <c r="Y151" s="51">
        <v>0</v>
      </c>
      <c r="Z151" s="51"/>
      <c r="AA151" s="51">
        <v>0</v>
      </c>
      <c r="AB151" s="51" t="s">
        <v>1114</v>
      </c>
      <c r="AC151" s="51"/>
      <c r="AD151" s="51"/>
      <c r="AE151" s="51"/>
      <c r="AF151" s="51"/>
      <c r="AG151" s="51"/>
      <c r="AH151" s="51"/>
      <c r="AI151" s="51"/>
    </row>
    <row r="152" spans="1:35" x14ac:dyDescent="0.2">
      <c r="A152" s="223">
        <v>3</v>
      </c>
      <c r="B152" s="405" t="s">
        <v>231</v>
      </c>
      <c r="C152" s="405" t="s">
        <v>1386</v>
      </c>
      <c r="D152" s="237" t="s">
        <v>230</v>
      </c>
      <c r="E152" s="237" t="s">
        <v>1028</v>
      </c>
      <c r="F152" s="51" t="s">
        <v>1028</v>
      </c>
      <c r="G152" s="51">
        <v>0</v>
      </c>
      <c r="H152" s="51"/>
      <c r="I152" s="51">
        <v>0</v>
      </c>
      <c r="J152" s="51"/>
      <c r="K152" s="51">
        <v>0</v>
      </c>
      <c r="L152" s="51"/>
      <c r="M152" s="818">
        <v>0</v>
      </c>
      <c r="N152" s="51"/>
      <c r="O152" s="51">
        <v>0</v>
      </c>
      <c r="P152" s="51"/>
      <c r="Q152" s="51">
        <v>0</v>
      </c>
      <c r="R152" s="51"/>
      <c r="S152" s="51">
        <v>0</v>
      </c>
      <c r="T152" s="51"/>
      <c r="U152" s="51">
        <v>0</v>
      </c>
      <c r="V152" s="51"/>
      <c r="W152" s="51">
        <v>0</v>
      </c>
      <c r="X152" s="51"/>
      <c r="Y152" s="51">
        <v>0</v>
      </c>
      <c r="Z152" s="51"/>
      <c r="AA152" s="51">
        <v>0</v>
      </c>
      <c r="AB152" s="51" t="s">
        <v>1114</v>
      </c>
      <c r="AC152" s="51"/>
      <c r="AD152" s="51"/>
      <c r="AE152" s="51"/>
      <c r="AF152" s="51"/>
      <c r="AG152" s="51"/>
      <c r="AH152" s="51"/>
      <c r="AI152" s="51"/>
    </row>
    <row r="153" spans="1:35" x14ac:dyDescent="0.2">
      <c r="A153" s="223">
        <v>4</v>
      </c>
      <c r="B153" s="405" t="s">
        <v>233</v>
      </c>
      <c r="C153" s="405" t="s">
        <v>1387</v>
      </c>
      <c r="D153" s="237" t="s">
        <v>232</v>
      </c>
      <c r="E153" s="237" t="s">
        <v>813</v>
      </c>
      <c r="F153" s="51" t="s">
        <v>813</v>
      </c>
      <c r="G153" s="51">
        <v>2093024</v>
      </c>
      <c r="H153" s="51"/>
      <c r="I153" s="51">
        <v>0</v>
      </c>
      <c r="J153" s="51"/>
      <c r="K153" s="51">
        <v>0</v>
      </c>
      <c r="L153" s="51"/>
      <c r="M153" s="818">
        <v>2093024</v>
      </c>
      <c r="N153" s="51"/>
      <c r="O153" s="51">
        <v>0</v>
      </c>
      <c r="P153" s="51"/>
      <c r="Q153" s="51">
        <v>0</v>
      </c>
      <c r="R153" s="51"/>
      <c r="S153" s="51">
        <v>5268</v>
      </c>
      <c r="T153" s="51"/>
      <c r="U153" s="51">
        <v>247182</v>
      </c>
      <c r="V153" s="51"/>
      <c r="W153" s="51">
        <v>1851110</v>
      </c>
      <c r="X153" s="51"/>
      <c r="Y153" s="51">
        <v>331425</v>
      </c>
      <c r="Z153" s="51"/>
      <c r="AA153" s="51">
        <v>331425</v>
      </c>
      <c r="AB153" s="51" t="s">
        <v>1114</v>
      </c>
      <c r="AC153" s="51"/>
      <c r="AD153" s="51"/>
      <c r="AE153" s="51"/>
      <c r="AF153" s="51"/>
      <c r="AG153" s="51"/>
      <c r="AH153" s="51"/>
      <c r="AI153" s="51"/>
    </row>
    <row r="154" spans="1:35" x14ac:dyDescent="0.2">
      <c r="A154" s="223">
        <v>5</v>
      </c>
      <c r="B154" s="405" t="s">
        <v>239</v>
      </c>
      <c r="C154" s="405" t="s">
        <v>1388</v>
      </c>
      <c r="D154" s="237" t="s">
        <v>238</v>
      </c>
      <c r="E154" s="237" t="s">
        <v>798</v>
      </c>
      <c r="F154" s="51" t="s">
        <v>798</v>
      </c>
      <c r="G154" s="51">
        <v>51296</v>
      </c>
      <c r="H154" s="51"/>
      <c r="I154" s="51">
        <v>0</v>
      </c>
      <c r="J154" s="51"/>
      <c r="K154" s="51">
        <v>0</v>
      </c>
      <c r="L154" s="51"/>
      <c r="M154" s="818">
        <v>51296</v>
      </c>
      <c r="N154" s="51"/>
      <c r="O154" s="51">
        <v>0</v>
      </c>
      <c r="P154" s="51"/>
      <c r="Q154" s="51">
        <v>0</v>
      </c>
      <c r="R154" s="51"/>
      <c r="S154" s="51">
        <v>0</v>
      </c>
      <c r="T154" s="51"/>
      <c r="U154" s="51">
        <v>0</v>
      </c>
      <c r="V154" s="51"/>
      <c r="W154" s="51">
        <v>51296</v>
      </c>
      <c r="X154" s="51"/>
      <c r="Y154" s="51">
        <v>103310</v>
      </c>
      <c r="Z154" s="51"/>
      <c r="AA154" s="51">
        <v>103310</v>
      </c>
      <c r="AB154" s="51" t="s">
        <v>1114</v>
      </c>
      <c r="AC154" s="51"/>
      <c r="AD154" s="51"/>
      <c r="AE154" s="51"/>
      <c r="AF154" s="51"/>
      <c r="AG154" s="51"/>
      <c r="AH154" s="51"/>
      <c r="AI154" s="51"/>
    </row>
    <row r="155" spans="1:35" x14ac:dyDescent="0.2">
      <c r="A155" s="223">
        <v>6</v>
      </c>
      <c r="B155" s="405" t="s">
        <v>239</v>
      </c>
      <c r="C155" s="405" t="s">
        <v>1389</v>
      </c>
      <c r="D155" s="237" t="s">
        <v>238</v>
      </c>
      <c r="E155" s="237" t="s">
        <v>799</v>
      </c>
      <c r="F155" s="51" t="s">
        <v>799</v>
      </c>
      <c r="G155" s="51">
        <v>0</v>
      </c>
      <c r="H155" s="51"/>
      <c r="I155" s="51">
        <v>0</v>
      </c>
      <c r="J155" s="51"/>
      <c r="K155" s="51">
        <v>0</v>
      </c>
      <c r="L155" s="51"/>
      <c r="M155" s="818">
        <v>0</v>
      </c>
      <c r="N155" s="51"/>
      <c r="O155" s="51">
        <v>0</v>
      </c>
      <c r="P155" s="51"/>
      <c r="Q155" s="51">
        <v>0</v>
      </c>
      <c r="R155" s="51"/>
      <c r="S155" s="51">
        <v>0</v>
      </c>
      <c r="T155" s="51"/>
      <c r="U155" s="51">
        <v>0</v>
      </c>
      <c r="V155" s="51"/>
      <c r="W155" s="51">
        <v>0</v>
      </c>
      <c r="X155" s="51"/>
      <c r="Y155" s="51">
        <v>0</v>
      </c>
      <c r="Z155" s="51"/>
      <c r="AA155" s="51">
        <v>0</v>
      </c>
      <c r="AB155" s="51" t="s">
        <v>1114</v>
      </c>
      <c r="AC155" s="51"/>
      <c r="AD155" s="51"/>
      <c r="AE155" s="51"/>
      <c r="AF155" s="51"/>
      <c r="AG155" s="51"/>
      <c r="AH155" s="51"/>
      <c r="AI155" s="51"/>
    </row>
    <row r="156" spans="1:35" x14ac:dyDescent="0.2">
      <c r="A156" s="223">
        <v>7</v>
      </c>
      <c r="B156" s="405" t="s">
        <v>239</v>
      </c>
      <c r="C156" s="405" t="s">
        <v>1390</v>
      </c>
      <c r="D156" s="237" t="s">
        <v>238</v>
      </c>
      <c r="E156" s="237" t="s">
        <v>1031</v>
      </c>
      <c r="F156" s="51" t="s">
        <v>1031</v>
      </c>
      <c r="G156" s="51">
        <v>0</v>
      </c>
      <c r="H156" s="51"/>
      <c r="I156" s="51">
        <v>0</v>
      </c>
      <c r="J156" s="51"/>
      <c r="K156" s="51">
        <v>0</v>
      </c>
      <c r="L156" s="51"/>
      <c r="M156" s="818">
        <v>0</v>
      </c>
      <c r="N156" s="51"/>
      <c r="O156" s="51">
        <v>0</v>
      </c>
      <c r="P156" s="51"/>
      <c r="Q156" s="51">
        <v>0</v>
      </c>
      <c r="R156" s="51"/>
      <c r="S156" s="51">
        <v>0</v>
      </c>
      <c r="T156" s="51"/>
      <c r="U156" s="51">
        <v>0</v>
      </c>
      <c r="V156" s="51"/>
      <c r="W156" s="51">
        <v>0</v>
      </c>
      <c r="X156" s="51"/>
      <c r="Y156" s="51">
        <v>0</v>
      </c>
      <c r="Z156" s="51"/>
      <c r="AA156" s="51">
        <v>0</v>
      </c>
      <c r="AB156" s="51" t="s">
        <v>1114</v>
      </c>
      <c r="AC156" s="51"/>
      <c r="AD156" s="51"/>
      <c r="AE156" s="51"/>
      <c r="AF156" s="51"/>
      <c r="AG156" s="51"/>
      <c r="AH156" s="51"/>
      <c r="AI156" s="51"/>
    </row>
    <row r="157" spans="1:35" x14ac:dyDescent="0.2">
      <c r="A157" s="223">
        <v>8</v>
      </c>
      <c r="B157" s="405" t="s">
        <v>239</v>
      </c>
      <c r="C157" s="405" t="s">
        <v>1391</v>
      </c>
      <c r="D157" s="237" t="s">
        <v>238</v>
      </c>
      <c r="E157" s="237" t="s">
        <v>1032</v>
      </c>
      <c r="F157" s="51" t="s">
        <v>1032</v>
      </c>
      <c r="G157" s="51">
        <v>0</v>
      </c>
      <c r="H157" s="51"/>
      <c r="I157" s="51">
        <v>0</v>
      </c>
      <c r="J157" s="51"/>
      <c r="K157" s="51">
        <v>0</v>
      </c>
      <c r="L157" s="51"/>
      <c r="M157" s="818">
        <v>0</v>
      </c>
      <c r="N157" s="51"/>
      <c r="O157" s="51">
        <v>0</v>
      </c>
      <c r="P157" s="51"/>
      <c r="Q157" s="51">
        <v>0</v>
      </c>
      <c r="R157" s="51"/>
      <c r="S157" s="51">
        <v>0</v>
      </c>
      <c r="T157" s="51"/>
      <c r="U157" s="51">
        <v>0</v>
      </c>
      <c r="V157" s="51"/>
      <c r="W157" s="51">
        <v>0</v>
      </c>
      <c r="X157" s="51"/>
      <c r="Y157" s="51">
        <v>0</v>
      </c>
      <c r="Z157" s="51"/>
      <c r="AA157" s="51">
        <v>0</v>
      </c>
      <c r="AB157" s="51" t="s">
        <v>1114</v>
      </c>
      <c r="AC157" s="51"/>
      <c r="AD157" s="51"/>
      <c r="AE157" s="51"/>
      <c r="AF157" s="51"/>
      <c r="AG157" s="51"/>
      <c r="AH157" s="51"/>
      <c r="AI157" s="51"/>
    </row>
    <row r="158" spans="1:35" x14ac:dyDescent="0.2">
      <c r="A158" s="223">
        <v>1</v>
      </c>
      <c r="B158" s="405" t="s">
        <v>239</v>
      </c>
      <c r="C158" s="405" t="s">
        <v>1392</v>
      </c>
      <c r="D158" s="237" t="s">
        <v>238</v>
      </c>
      <c r="E158" s="237" t="s">
        <v>1033</v>
      </c>
      <c r="F158" s="51" t="s">
        <v>1033</v>
      </c>
      <c r="G158" s="51">
        <v>0</v>
      </c>
      <c r="H158" s="51"/>
      <c r="I158" s="51">
        <v>0</v>
      </c>
      <c r="J158" s="51"/>
      <c r="K158" s="51">
        <v>0</v>
      </c>
      <c r="L158" s="51"/>
      <c r="M158" s="818">
        <v>0</v>
      </c>
      <c r="N158" s="51"/>
      <c r="O158" s="51">
        <v>0</v>
      </c>
      <c r="P158" s="51"/>
      <c r="Q158" s="51">
        <v>0</v>
      </c>
      <c r="R158" s="51"/>
      <c r="S158" s="51">
        <v>0</v>
      </c>
      <c r="T158" s="51"/>
      <c r="U158" s="51">
        <v>0</v>
      </c>
      <c r="V158" s="51"/>
      <c r="W158" s="51">
        <v>0</v>
      </c>
      <c r="X158" s="51"/>
      <c r="Y158" s="51">
        <v>0</v>
      </c>
      <c r="Z158" s="51"/>
      <c r="AA158" s="51">
        <v>0</v>
      </c>
      <c r="AB158" s="51" t="s">
        <v>1114</v>
      </c>
      <c r="AC158" s="51"/>
      <c r="AD158" s="51"/>
      <c r="AE158" s="51"/>
      <c r="AF158" s="51"/>
      <c r="AG158" s="51"/>
      <c r="AH158" s="51"/>
      <c r="AI158" s="51"/>
    </row>
    <row r="159" spans="1:35" x14ac:dyDescent="0.2">
      <c r="A159" s="223">
        <v>2</v>
      </c>
      <c r="B159" s="405" t="s">
        <v>239</v>
      </c>
      <c r="C159" s="405" t="s">
        <v>1393</v>
      </c>
      <c r="D159" s="237" t="s">
        <v>238</v>
      </c>
      <c r="E159" s="237" t="s">
        <v>1034</v>
      </c>
      <c r="F159" s="51" t="s">
        <v>1034</v>
      </c>
      <c r="G159" s="51">
        <v>0</v>
      </c>
      <c r="H159" s="51"/>
      <c r="I159" s="51">
        <v>0</v>
      </c>
      <c r="J159" s="51"/>
      <c r="K159" s="51">
        <v>0</v>
      </c>
      <c r="L159" s="51"/>
      <c r="M159" s="818">
        <v>0</v>
      </c>
      <c r="N159" s="51"/>
      <c r="O159" s="51">
        <v>0</v>
      </c>
      <c r="P159" s="51"/>
      <c r="Q159" s="51">
        <v>0</v>
      </c>
      <c r="R159" s="51"/>
      <c r="S159" s="51">
        <v>0</v>
      </c>
      <c r="T159" s="51"/>
      <c r="U159" s="51">
        <v>0</v>
      </c>
      <c r="V159" s="51"/>
      <c r="W159" s="51">
        <v>0</v>
      </c>
      <c r="X159" s="51"/>
      <c r="Y159" s="51">
        <v>0</v>
      </c>
      <c r="Z159" s="51"/>
      <c r="AA159" s="51">
        <v>0</v>
      </c>
      <c r="AB159" s="51" t="s">
        <v>1114</v>
      </c>
      <c r="AC159" s="51"/>
      <c r="AD159" s="51"/>
      <c r="AE159" s="51"/>
      <c r="AF159" s="51"/>
      <c r="AG159" s="51"/>
      <c r="AH159" s="51"/>
      <c r="AI159" s="51"/>
    </row>
    <row r="160" spans="1:35" x14ac:dyDescent="0.2">
      <c r="A160" s="223">
        <v>1</v>
      </c>
      <c r="B160" s="405" t="s">
        <v>239</v>
      </c>
      <c r="C160" s="405" t="s">
        <v>1394</v>
      </c>
      <c r="D160" s="237" t="s">
        <v>238</v>
      </c>
      <c r="E160" s="237" t="s">
        <v>1035</v>
      </c>
      <c r="F160" s="51" t="s">
        <v>1035</v>
      </c>
      <c r="G160" s="51">
        <v>0</v>
      </c>
      <c r="H160" s="51"/>
      <c r="I160" s="51">
        <v>0</v>
      </c>
      <c r="J160" s="51"/>
      <c r="K160" s="51">
        <v>0</v>
      </c>
      <c r="L160" s="51"/>
      <c r="M160" s="818">
        <v>0</v>
      </c>
      <c r="N160" s="51"/>
      <c r="O160" s="51">
        <v>0</v>
      </c>
      <c r="P160" s="51"/>
      <c r="Q160" s="51">
        <v>0</v>
      </c>
      <c r="R160" s="51"/>
      <c r="S160" s="51">
        <v>0</v>
      </c>
      <c r="T160" s="51"/>
      <c r="U160" s="51">
        <v>0</v>
      </c>
      <c r="V160" s="51"/>
      <c r="W160" s="51">
        <v>0</v>
      </c>
      <c r="X160" s="51"/>
      <c r="Y160" s="51">
        <v>0</v>
      </c>
      <c r="Z160" s="51"/>
      <c r="AA160" s="51">
        <v>0</v>
      </c>
      <c r="AB160" s="51" t="s">
        <v>1114</v>
      </c>
      <c r="AC160" s="51"/>
      <c r="AD160" s="51"/>
      <c r="AE160" s="51"/>
      <c r="AF160" s="51"/>
      <c r="AG160" s="51"/>
      <c r="AH160" s="51"/>
      <c r="AI160" s="51"/>
    </row>
    <row r="161" spans="1:35" x14ac:dyDescent="0.2">
      <c r="A161" s="223">
        <v>2</v>
      </c>
      <c r="B161" s="405" t="s">
        <v>239</v>
      </c>
      <c r="C161" s="405" t="s">
        <v>1395</v>
      </c>
      <c r="D161" s="237" t="s">
        <v>238</v>
      </c>
      <c r="E161" s="237" t="s">
        <v>1036</v>
      </c>
      <c r="F161" s="51" t="s">
        <v>1036</v>
      </c>
      <c r="G161" s="51">
        <v>0</v>
      </c>
      <c r="H161" s="51"/>
      <c r="I161" s="51">
        <v>0</v>
      </c>
      <c r="J161" s="51"/>
      <c r="K161" s="51">
        <v>0</v>
      </c>
      <c r="L161" s="51"/>
      <c r="M161" s="818">
        <v>0</v>
      </c>
      <c r="N161" s="51"/>
      <c r="O161" s="51">
        <v>0</v>
      </c>
      <c r="P161" s="51"/>
      <c r="Q161" s="51">
        <v>0</v>
      </c>
      <c r="R161" s="51"/>
      <c r="S161" s="51">
        <v>0</v>
      </c>
      <c r="T161" s="51"/>
      <c r="U161" s="51">
        <v>0</v>
      </c>
      <c r="V161" s="51"/>
      <c r="W161" s="51">
        <v>0</v>
      </c>
      <c r="X161" s="51"/>
      <c r="Y161" s="51">
        <v>0</v>
      </c>
      <c r="Z161" s="51"/>
      <c r="AA161" s="51">
        <v>0</v>
      </c>
      <c r="AB161" s="51" t="s">
        <v>1114</v>
      </c>
      <c r="AC161" s="51"/>
      <c r="AD161" s="51"/>
      <c r="AE161" s="51"/>
      <c r="AF161" s="51"/>
      <c r="AG161" s="51"/>
      <c r="AH161" s="51"/>
      <c r="AI161" s="51"/>
    </row>
    <row r="162" spans="1:35" x14ac:dyDescent="0.2">
      <c r="A162" s="223">
        <v>1</v>
      </c>
      <c r="B162" s="405" t="s">
        <v>245</v>
      </c>
      <c r="C162" s="405" t="s">
        <v>1396</v>
      </c>
      <c r="D162" s="237" t="s">
        <v>244</v>
      </c>
      <c r="E162" s="237" t="s">
        <v>799</v>
      </c>
      <c r="F162" s="51" t="s">
        <v>799</v>
      </c>
      <c r="G162" s="51">
        <v>1972480</v>
      </c>
      <c r="H162" s="51"/>
      <c r="I162" s="51">
        <v>0</v>
      </c>
      <c r="J162" s="51"/>
      <c r="K162" s="51">
        <v>0</v>
      </c>
      <c r="L162" s="51"/>
      <c r="M162" s="818">
        <v>1972480</v>
      </c>
      <c r="N162" s="51"/>
      <c r="O162" s="51">
        <v>0</v>
      </c>
      <c r="P162" s="51"/>
      <c r="Q162" s="51">
        <v>0</v>
      </c>
      <c r="R162" s="51"/>
      <c r="S162" s="51">
        <v>0</v>
      </c>
      <c r="T162" s="51"/>
      <c r="U162" s="51">
        <v>962687</v>
      </c>
      <c r="V162" s="51"/>
      <c r="W162" s="51">
        <v>1009793</v>
      </c>
      <c r="X162" s="51"/>
      <c r="Y162" s="51">
        <v>0</v>
      </c>
      <c r="Z162" s="51"/>
      <c r="AA162" s="51">
        <v>0</v>
      </c>
      <c r="AB162" s="51" t="s">
        <v>1114</v>
      </c>
      <c r="AC162" s="51"/>
      <c r="AD162" s="51"/>
      <c r="AE162" s="51"/>
      <c r="AF162" s="51"/>
      <c r="AG162" s="51"/>
      <c r="AH162" s="51"/>
      <c r="AI162" s="51"/>
    </row>
    <row r="163" spans="1:35" x14ac:dyDescent="0.2">
      <c r="A163" s="223">
        <v>1</v>
      </c>
      <c r="B163" s="405" t="s">
        <v>245</v>
      </c>
      <c r="C163" s="405" t="s">
        <v>1397</v>
      </c>
      <c r="D163" s="237" t="s">
        <v>244</v>
      </c>
      <c r="E163" s="237" t="s">
        <v>1037</v>
      </c>
      <c r="F163" s="51" t="s">
        <v>1037</v>
      </c>
      <c r="G163" s="51">
        <v>1004673</v>
      </c>
      <c r="H163" s="51"/>
      <c r="I163" s="51">
        <v>0</v>
      </c>
      <c r="J163" s="51"/>
      <c r="K163" s="51">
        <v>0</v>
      </c>
      <c r="L163" s="51"/>
      <c r="M163" s="818">
        <v>1004673</v>
      </c>
      <c r="N163" s="51"/>
      <c r="O163" s="51">
        <v>0</v>
      </c>
      <c r="P163" s="51"/>
      <c r="Q163" s="51">
        <v>0</v>
      </c>
      <c r="R163" s="51"/>
      <c r="S163" s="51">
        <v>63</v>
      </c>
      <c r="T163" s="51"/>
      <c r="U163" s="51">
        <v>19228</v>
      </c>
      <c r="V163" s="51"/>
      <c r="W163" s="51">
        <v>985508</v>
      </c>
      <c r="X163" s="51"/>
      <c r="Y163" s="51">
        <v>85950</v>
      </c>
      <c r="Z163" s="51"/>
      <c r="AA163" s="51">
        <v>85950</v>
      </c>
      <c r="AB163" s="51" t="s">
        <v>1114</v>
      </c>
      <c r="AC163" s="51"/>
      <c r="AD163" s="51"/>
      <c r="AE163" s="51"/>
      <c r="AF163" s="51"/>
      <c r="AG163" s="51"/>
      <c r="AH163" s="51"/>
      <c r="AI163" s="51"/>
    </row>
    <row r="164" spans="1:35" x14ac:dyDescent="0.2">
      <c r="A164" s="223">
        <v>1</v>
      </c>
      <c r="B164" s="405" t="s">
        <v>247</v>
      </c>
      <c r="C164" s="405" t="s">
        <v>1398</v>
      </c>
      <c r="D164" s="237" t="s">
        <v>246</v>
      </c>
      <c r="E164" s="237" t="s">
        <v>1038</v>
      </c>
      <c r="F164" s="51" t="s">
        <v>1038</v>
      </c>
      <c r="G164" s="51">
        <v>0</v>
      </c>
      <c r="H164" s="51"/>
      <c r="I164" s="51">
        <v>0</v>
      </c>
      <c r="J164" s="51"/>
      <c r="K164" s="51">
        <v>0</v>
      </c>
      <c r="L164" s="51"/>
      <c r="M164" s="818">
        <v>0</v>
      </c>
      <c r="N164" s="51"/>
      <c r="O164" s="51">
        <v>0</v>
      </c>
      <c r="P164" s="51"/>
      <c r="Q164" s="51">
        <v>0</v>
      </c>
      <c r="R164" s="51"/>
      <c r="S164" s="51">
        <v>0</v>
      </c>
      <c r="T164" s="51"/>
      <c r="U164" s="51">
        <v>0</v>
      </c>
      <c r="V164" s="51"/>
      <c r="W164" s="51">
        <v>0</v>
      </c>
      <c r="X164" s="51"/>
      <c r="Y164" s="51">
        <v>314588</v>
      </c>
      <c r="Z164" s="51"/>
      <c r="AA164" s="51">
        <v>314588</v>
      </c>
      <c r="AB164" s="51" t="s">
        <v>1114</v>
      </c>
      <c r="AC164" s="51"/>
      <c r="AD164" s="51"/>
      <c r="AE164" s="51"/>
      <c r="AF164" s="51"/>
      <c r="AG164" s="51"/>
      <c r="AH164" s="51"/>
      <c r="AI164" s="51"/>
    </row>
    <row r="165" spans="1:35" x14ac:dyDescent="0.2">
      <c r="A165" s="223">
        <v>1</v>
      </c>
      <c r="B165" s="405" t="s">
        <v>247</v>
      </c>
      <c r="C165" s="405" t="s">
        <v>1399</v>
      </c>
      <c r="D165" s="237" t="s">
        <v>246</v>
      </c>
      <c r="E165" s="237" t="s">
        <v>1039</v>
      </c>
      <c r="F165" s="51" t="s">
        <v>1039</v>
      </c>
      <c r="G165" s="51">
        <v>0</v>
      </c>
      <c r="H165" s="51"/>
      <c r="I165" s="51">
        <v>0</v>
      </c>
      <c r="J165" s="51"/>
      <c r="K165" s="51">
        <v>0</v>
      </c>
      <c r="L165" s="51"/>
      <c r="M165" s="818">
        <v>0</v>
      </c>
      <c r="N165" s="51"/>
      <c r="O165" s="51">
        <v>0</v>
      </c>
      <c r="P165" s="51"/>
      <c r="Q165" s="51">
        <v>0</v>
      </c>
      <c r="R165" s="51"/>
      <c r="S165" s="51">
        <v>0</v>
      </c>
      <c r="T165" s="51"/>
      <c r="U165" s="51">
        <v>0</v>
      </c>
      <c r="V165" s="51"/>
      <c r="W165" s="51">
        <v>0</v>
      </c>
      <c r="X165" s="51"/>
      <c r="Y165" s="51">
        <v>0</v>
      </c>
      <c r="Z165" s="51"/>
      <c r="AA165" s="51">
        <v>0</v>
      </c>
      <c r="AB165" s="51" t="s">
        <v>1114</v>
      </c>
      <c r="AC165" s="51"/>
      <c r="AD165" s="51"/>
      <c r="AE165" s="51"/>
      <c r="AF165" s="51"/>
      <c r="AG165" s="51"/>
      <c r="AH165" s="51"/>
      <c r="AI165" s="51"/>
    </row>
    <row r="166" spans="1:35" x14ac:dyDescent="0.2">
      <c r="A166" s="223">
        <v>2</v>
      </c>
      <c r="B166" s="405" t="s">
        <v>249</v>
      </c>
      <c r="C166" s="405" t="s">
        <v>1400</v>
      </c>
      <c r="D166" s="237" t="s">
        <v>248</v>
      </c>
      <c r="E166" s="237" t="s">
        <v>793</v>
      </c>
      <c r="F166" s="51" t="s">
        <v>793</v>
      </c>
      <c r="G166" s="51">
        <v>968893</v>
      </c>
      <c r="H166" s="51"/>
      <c r="I166" s="51">
        <v>0</v>
      </c>
      <c r="J166" s="51"/>
      <c r="K166" s="51">
        <v>-46406</v>
      </c>
      <c r="L166" s="51"/>
      <c r="M166" s="818">
        <v>922487</v>
      </c>
      <c r="N166" s="51"/>
      <c r="O166" s="51">
        <v>0</v>
      </c>
      <c r="P166" s="51"/>
      <c r="Q166" s="51">
        <v>0</v>
      </c>
      <c r="R166" s="51"/>
      <c r="S166" s="51">
        <v>-42318</v>
      </c>
      <c r="T166" s="51"/>
      <c r="U166" s="51">
        <v>197047</v>
      </c>
      <c r="V166" s="51"/>
      <c r="W166" s="51">
        <v>683122</v>
      </c>
      <c r="X166" s="51"/>
      <c r="Y166" s="51">
        <v>0</v>
      </c>
      <c r="Z166" s="51"/>
      <c r="AA166" s="51">
        <v>0</v>
      </c>
      <c r="AB166" s="51" t="s">
        <v>1114</v>
      </c>
      <c r="AC166" s="51"/>
      <c r="AD166" s="51"/>
      <c r="AE166" s="51"/>
      <c r="AF166" s="51"/>
      <c r="AG166" s="51"/>
      <c r="AH166" s="51"/>
      <c r="AI166" s="51"/>
    </row>
    <row r="167" spans="1:35" x14ac:dyDescent="0.2">
      <c r="A167" s="223">
        <v>3</v>
      </c>
      <c r="B167" s="405" t="s">
        <v>251</v>
      </c>
      <c r="C167" s="405" t="s">
        <v>1401</v>
      </c>
      <c r="D167" s="237" t="s">
        <v>250</v>
      </c>
      <c r="E167" s="237" t="s">
        <v>814</v>
      </c>
      <c r="F167" s="51" t="s">
        <v>814</v>
      </c>
      <c r="G167" s="51">
        <v>769398</v>
      </c>
      <c r="H167" s="51"/>
      <c r="I167" s="51">
        <v>0</v>
      </c>
      <c r="J167" s="51"/>
      <c r="K167" s="51">
        <v>0</v>
      </c>
      <c r="L167" s="51"/>
      <c r="M167" s="818">
        <v>769398</v>
      </c>
      <c r="N167" s="51"/>
      <c r="O167" s="51">
        <v>0</v>
      </c>
      <c r="P167" s="51"/>
      <c r="Q167" s="51">
        <v>0</v>
      </c>
      <c r="R167" s="51"/>
      <c r="S167" s="51">
        <v>9735</v>
      </c>
      <c r="T167" s="51"/>
      <c r="U167" s="51">
        <v>623619</v>
      </c>
      <c r="V167" s="51"/>
      <c r="W167" s="51">
        <v>155514</v>
      </c>
      <c r="X167" s="51"/>
      <c r="Y167" s="51">
        <v>17000</v>
      </c>
      <c r="Z167" s="51"/>
      <c r="AA167" s="51">
        <v>17000</v>
      </c>
      <c r="AB167" s="51" t="s">
        <v>1114</v>
      </c>
      <c r="AC167" s="51"/>
      <c r="AD167" s="51"/>
      <c r="AE167" s="51"/>
      <c r="AF167" s="51"/>
      <c r="AG167" s="51"/>
      <c r="AH167" s="51"/>
      <c r="AI167" s="51"/>
    </row>
    <row r="168" spans="1:35" x14ac:dyDescent="0.2">
      <c r="A168" s="223">
        <v>4</v>
      </c>
      <c r="B168" s="405" t="s">
        <v>261</v>
      </c>
      <c r="C168" s="405" t="s">
        <v>1402</v>
      </c>
      <c r="D168" s="237" t="s">
        <v>260</v>
      </c>
      <c r="E168" s="237" t="s">
        <v>815</v>
      </c>
      <c r="F168" s="51" t="s">
        <v>815</v>
      </c>
      <c r="G168" s="51">
        <v>5190530</v>
      </c>
      <c r="H168" s="51"/>
      <c r="I168" s="51">
        <v>-55782</v>
      </c>
      <c r="J168" s="51"/>
      <c r="K168" s="51">
        <v>-126768</v>
      </c>
      <c r="L168" s="51"/>
      <c r="M168" s="818">
        <v>5007980</v>
      </c>
      <c r="N168" s="51"/>
      <c r="O168" s="51">
        <v>0</v>
      </c>
      <c r="P168" s="51"/>
      <c r="Q168" s="51">
        <v>0</v>
      </c>
      <c r="R168" s="51"/>
      <c r="S168" s="51">
        <v>-28594</v>
      </c>
      <c r="T168" s="51"/>
      <c r="U168" s="51">
        <v>3390005</v>
      </c>
      <c r="V168" s="51"/>
      <c r="W168" s="51">
        <v>1589381</v>
      </c>
      <c r="X168" s="51"/>
      <c r="Y168" s="51">
        <v>388828</v>
      </c>
      <c r="Z168" s="51"/>
      <c r="AA168" s="51">
        <v>388828</v>
      </c>
      <c r="AB168" s="51" t="s">
        <v>1114</v>
      </c>
      <c r="AC168" s="51"/>
      <c r="AD168" s="51"/>
      <c r="AE168" s="51"/>
      <c r="AF168" s="51"/>
      <c r="AG168" s="51"/>
      <c r="AH168" s="51"/>
      <c r="AI168" s="51"/>
    </row>
    <row r="169" spans="1:35" x14ac:dyDescent="0.2">
      <c r="A169" s="223">
        <v>1</v>
      </c>
      <c r="B169" s="405" t="s">
        <v>263</v>
      </c>
      <c r="C169" s="405" t="s">
        <v>1403</v>
      </c>
      <c r="D169" s="237" t="s">
        <v>262</v>
      </c>
      <c r="E169" s="237" t="s">
        <v>816</v>
      </c>
      <c r="F169" s="51" t="s">
        <v>816</v>
      </c>
      <c r="G169" s="51">
        <v>281002</v>
      </c>
      <c r="H169" s="51"/>
      <c r="I169" s="51">
        <v>0</v>
      </c>
      <c r="J169" s="51"/>
      <c r="K169" s="51">
        <v>0</v>
      </c>
      <c r="L169" s="51"/>
      <c r="M169" s="818">
        <v>281002</v>
      </c>
      <c r="N169" s="51"/>
      <c r="O169" s="51">
        <v>0</v>
      </c>
      <c r="P169" s="51"/>
      <c r="Q169" s="51">
        <v>0</v>
      </c>
      <c r="R169" s="51"/>
      <c r="S169" s="51">
        <v>57</v>
      </c>
      <c r="T169" s="51"/>
      <c r="U169" s="51">
        <v>15539</v>
      </c>
      <c r="V169" s="51"/>
      <c r="W169" s="51">
        <v>265520</v>
      </c>
      <c r="X169" s="51"/>
      <c r="Y169" s="51">
        <v>50032</v>
      </c>
      <c r="Z169" s="51"/>
      <c r="AA169" s="51">
        <v>50032</v>
      </c>
      <c r="AB169" s="51" t="s">
        <v>1114</v>
      </c>
      <c r="AC169" s="51"/>
      <c r="AD169" s="51"/>
      <c r="AE169" s="51"/>
      <c r="AF169" s="51"/>
      <c r="AG169" s="51"/>
      <c r="AH169" s="51"/>
      <c r="AI169" s="51"/>
    </row>
    <row r="170" spans="1:35" x14ac:dyDescent="0.2">
      <c r="A170" s="223">
        <v>2</v>
      </c>
      <c r="B170" s="405" t="s">
        <v>263</v>
      </c>
      <c r="C170" s="405" t="s">
        <v>1404</v>
      </c>
      <c r="D170" s="237" t="s">
        <v>262</v>
      </c>
      <c r="E170" s="237" t="s">
        <v>1040</v>
      </c>
      <c r="F170" s="51" t="s">
        <v>1040</v>
      </c>
      <c r="G170" s="51">
        <v>0</v>
      </c>
      <c r="H170" s="51"/>
      <c r="I170" s="51">
        <v>0</v>
      </c>
      <c r="J170" s="51"/>
      <c r="K170" s="51">
        <v>0</v>
      </c>
      <c r="L170" s="51"/>
      <c r="M170" s="818">
        <v>0</v>
      </c>
      <c r="N170" s="51"/>
      <c r="O170" s="51">
        <v>0</v>
      </c>
      <c r="P170" s="51"/>
      <c r="Q170" s="51">
        <v>0</v>
      </c>
      <c r="R170" s="51"/>
      <c r="S170" s="51">
        <v>0</v>
      </c>
      <c r="T170" s="51"/>
      <c r="U170" s="51">
        <v>0</v>
      </c>
      <c r="V170" s="51"/>
      <c r="W170" s="51">
        <v>0</v>
      </c>
      <c r="X170" s="51"/>
      <c r="Y170" s="51">
        <v>0</v>
      </c>
      <c r="Z170" s="51"/>
      <c r="AA170" s="51">
        <v>0</v>
      </c>
      <c r="AB170" s="51" t="s">
        <v>1114</v>
      </c>
      <c r="AC170" s="51"/>
      <c r="AD170" s="51"/>
      <c r="AE170" s="51"/>
      <c r="AF170" s="51"/>
      <c r="AG170" s="51"/>
      <c r="AH170" s="51"/>
      <c r="AI170" s="51"/>
    </row>
    <row r="171" spans="1:35" x14ac:dyDescent="0.2">
      <c r="A171" s="223">
        <v>1</v>
      </c>
      <c r="B171" s="405" t="s">
        <v>263</v>
      </c>
      <c r="C171" s="405" t="s">
        <v>1405</v>
      </c>
      <c r="D171" s="237" t="s">
        <v>262</v>
      </c>
      <c r="E171" s="237" t="s">
        <v>1041</v>
      </c>
      <c r="F171" s="51" t="s">
        <v>1041</v>
      </c>
      <c r="G171" s="51">
        <v>0</v>
      </c>
      <c r="H171" s="51"/>
      <c r="I171" s="51">
        <v>0</v>
      </c>
      <c r="J171" s="51"/>
      <c r="K171" s="51">
        <v>0</v>
      </c>
      <c r="L171" s="51"/>
      <c r="M171" s="818">
        <v>0</v>
      </c>
      <c r="N171" s="51"/>
      <c r="O171" s="51">
        <v>0</v>
      </c>
      <c r="P171" s="51"/>
      <c r="Q171" s="51">
        <v>0</v>
      </c>
      <c r="R171" s="51"/>
      <c r="S171" s="51">
        <v>0</v>
      </c>
      <c r="T171" s="51"/>
      <c r="U171" s="51">
        <v>0</v>
      </c>
      <c r="V171" s="51"/>
      <c r="W171" s="51">
        <v>0</v>
      </c>
      <c r="X171" s="51"/>
      <c r="Y171" s="51">
        <v>0</v>
      </c>
      <c r="Z171" s="51"/>
      <c r="AA171" s="51">
        <v>0</v>
      </c>
      <c r="AB171" s="51" t="s">
        <v>1114</v>
      </c>
      <c r="AC171" s="51"/>
      <c r="AD171" s="51"/>
      <c r="AE171" s="51"/>
      <c r="AF171" s="51"/>
      <c r="AG171" s="51"/>
      <c r="AH171" s="51"/>
      <c r="AI171" s="51"/>
    </row>
    <row r="172" spans="1:35" x14ac:dyDescent="0.2">
      <c r="A172" s="223">
        <v>1</v>
      </c>
      <c r="B172" s="405" t="s">
        <v>263</v>
      </c>
      <c r="C172" s="405" t="s">
        <v>1406</v>
      </c>
      <c r="D172" s="237" t="s">
        <v>262</v>
      </c>
      <c r="E172" s="237" t="s">
        <v>1042</v>
      </c>
      <c r="F172" s="51" t="s">
        <v>1042</v>
      </c>
      <c r="G172" s="51">
        <v>6108</v>
      </c>
      <c r="H172" s="51"/>
      <c r="I172" s="51">
        <v>0</v>
      </c>
      <c r="J172" s="51"/>
      <c r="K172" s="51">
        <v>0</v>
      </c>
      <c r="L172" s="51"/>
      <c r="M172" s="818">
        <v>6108</v>
      </c>
      <c r="N172" s="51"/>
      <c r="O172" s="51">
        <v>0</v>
      </c>
      <c r="P172" s="51"/>
      <c r="Q172" s="51">
        <v>0</v>
      </c>
      <c r="R172" s="51"/>
      <c r="S172" s="51">
        <v>0</v>
      </c>
      <c r="T172" s="51"/>
      <c r="U172" s="51">
        <v>21265</v>
      </c>
      <c r="V172" s="51"/>
      <c r="W172" s="51">
        <v>0</v>
      </c>
      <c r="X172" s="51"/>
      <c r="Y172" s="51">
        <v>33683</v>
      </c>
      <c r="Z172" s="51"/>
      <c r="AA172" s="51">
        <v>33683</v>
      </c>
      <c r="AB172" s="51" t="s">
        <v>1114</v>
      </c>
      <c r="AC172" s="51"/>
      <c r="AD172" s="51"/>
      <c r="AE172" s="51"/>
      <c r="AF172" s="51"/>
      <c r="AG172" s="51"/>
      <c r="AH172" s="51"/>
      <c r="AI172" s="51"/>
    </row>
    <row r="173" spans="1:35" x14ac:dyDescent="0.2">
      <c r="A173" s="223">
        <v>1</v>
      </c>
      <c r="B173" s="405" t="s">
        <v>267</v>
      </c>
      <c r="C173" s="405" t="s">
        <v>1407</v>
      </c>
      <c r="D173" s="237" t="s">
        <v>266</v>
      </c>
      <c r="E173" s="237" t="s">
        <v>817</v>
      </c>
      <c r="F173" s="51" t="s">
        <v>817</v>
      </c>
      <c r="G173" s="51">
        <v>4138072</v>
      </c>
      <c r="H173" s="51"/>
      <c r="I173" s="51">
        <v>0</v>
      </c>
      <c r="J173" s="51"/>
      <c r="K173" s="51">
        <v>0</v>
      </c>
      <c r="L173" s="51"/>
      <c r="M173" s="818">
        <v>4138072</v>
      </c>
      <c r="N173" s="51"/>
      <c r="O173" s="51">
        <v>0</v>
      </c>
      <c r="P173" s="51"/>
      <c r="Q173" s="51">
        <v>0</v>
      </c>
      <c r="R173" s="51"/>
      <c r="S173" s="51">
        <v>0</v>
      </c>
      <c r="T173" s="51"/>
      <c r="U173" s="51">
        <v>4262382</v>
      </c>
      <c r="V173" s="51"/>
      <c r="W173" s="51">
        <v>0</v>
      </c>
      <c r="X173" s="51"/>
      <c r="Y173" s="51">
        <v>0</v>
      </c>
      <c r="Z173" s="51"/>
      <c r="AA173" s="51">
        <v>0</v>
      </c>
      <c r="AB173" s="51" t="s">
        <v>1114</v>
      </c>
      <c r="AC173" s="51"/>
      <c r="AD173" s="51"/>
      <c r="AE173" s="51"/>
      <c r="AF173" s="51"/>
      <c r="AG173" s="51"/>
      <c r="AH173" s="51"/>
      <c r="AI173" s="51"/>
    </row>
    <row r="174" spans="1:35" x14ac:dyDescent="0.2">
      <c r="A174" s="223">
        <v>1</v>
      </c>
      <c r="B174" s="405" t="s">
        <v>267</v>
      </c>
      <c r="C174" s="405" t="s">
        <v>1408</v>
      </c>
      <c r="D174" s="237" t="s">
        <v>266</v>
      </c>
      <c r="E174" s="237" t="s">
        <v>818</v>
      </c>
      <c r="F174" s="51" t="s">
        <v>818</v>
      </c>
      <c r="G174" s="51">
        <v>6953397</v>
      </c>
      <c r="H174" s="51"/>
      <c r="I174" s="51">
        <v>-105000</v>
      </c>
      <c r="J174" s="51"/>
      <c r="K174" s="51">
        <v>-450661</v>
      </c>
      <c r="L174" s="51"/>
      <c r="M174" s="818">
        <v>6397736</v>
      </c>
      <c r="N174" s="51"/>
      <c r="O174" s="51">
        <v>0</v>
      </c>
      <c r="P174" s="51"/>
      <c r="Q174" s="51">
        <v>0</v>
      </c>
      <c r="R174" s="51"/>
      <c r="S174" s="51">
        <v>46828</v>
      </c>
      <c r="T174" s="51"/>
      <c r="U174" s="51">
        <v>7448354</v>
      </c>
      <c r="V174" s="51"/>
      <c r="W174" s="51">
        <v>0</v>
      </c>
      <c r="X174" s="51"/>
      <c r="Y174" s="51">
        <v>0</v>
      </c>
      <c r="Z174" s="51"/>
      <c r="AA174" s="51">
        <v>0</v>
      </c>
      <c r="AB174" s="51" t="s">
        <v>1114</v>
      </c>
      <c r="AC174" s="51"/>
      <c r="AD174" s="51"/>
      <c r="AE174" s="51"/>
      <c r="AF174" s="51"/>
      <c r="AG174" s="51"/>
      <c r="AH174" s="51"/>
      <c r="AI174" s="51"/>
    </row>
    <row r="175" spans="1:35" x14ac:dyDescent="0.2">
      <c r="A175" s="223">
        <v>1</v>
      </c>
      <c r="B175" s="405" t="s">
        <v>281</v>
      </c>
      <c r="C175" s="405" t="s">
        <v>1409</v>
      </c>
      <c r="D175" s="237" t="s">
        <v>280</v>
      </c>
      <c r="E175" s="237" t="s">
        <v>1043</v>
      </c>
      <c r="F175" s="51" t="s">
        <v>1043</v>
      </c>
      <c r="G175" s="51">
        <v>10218</v>
      </c>
      <c r="H175" s="51"/>
      <c r="I175" s="51">
        <v>0</v>
      </c>
      <c r="J175" s="51"/>
      <c r="K175" s="51">
        <v>0</v>
      </c>
      <c r="L175" s="51"/>
      <c r="M175" s="818">
        <v>10218</v>
      </c>
      <c r="N175" s="51"/>
      <c r="O175" s="51">
        <v>0</v>
      </c>
      <c r="P175" s="51"/>
      <c r="Q175" s="51">
        <v>0</v>
      </c>
      <c r="R175" s="51"/>
      <c r="S175" s="51">
        <v>0</v>
      </c>
      <c r="T175" s="51"/>
      <c r="U175" s="51">
        <v>565889</v>
      </c>
      <c r="V175" s="51"/>
      <c r="W175" s="51">
        <v>0</v>
      </c>
      <c r="X175" s="51"/>
      <c r="Y175" s="51">
        <v>10854</v>
      </c>
      <c r="Z175" s="51"/>
      <c r="AA175" s="51">
        <v>10854</v>
      </c>
      <c r="AB175" s="51" t="s">
        <v>1114</v>
      </c>
      <c r="AC175" s="51"/>
      <c r="AD175" s="51"/>
      <c r="AE175" s="51"/>
      <c r="AF175" s="51"/>
      <c r="AG175" s="51"/>
      <c r="AH175" s="51"/>
      <c r="AI175" s="51"/>
    </row>
    <row r="176" spans="1:35" x14ac:dyDescent="0.2">
      <c r="A176" s="223">
        <v>1</v>
      </c>
      <c r="B176" s="405" t="s">
        <v>1126</v>
      </c>
      <c r="C176" s="405" t="s">
        <v>1470</v>
      </c>
      <c r="D176" s="237" t="s">
        <v>562</v>
      </c>
      <c r="E176" s="237" t="s">
        <v>1044</v>
      </c>
      <c r="F176" s="51" t="s">
        <v>1044</v>
      </c>
      <c r="G176" s="51">
        <v>314408</v>
      </c>
      <c r="H176" s="51"/>
      <c r="I176" s="51">
        <v>0</v>
      </c>
      <c r="J176" s="51"/>
      <c r="K176" s="51">
        <v>0</v>
      </c>
      <c r="L176" s="51"/>
      <c r="M176" s="818">
        <v>314408</v>
      </c>
      <c r="N176" s="51"/>
      <c r="O176" s="51">
        <v>0</v>
      </c>
      <c r="P176" s="51"/>
      <c r="Q176" s="51">
        <v>0</v>
      </c>
      <c r="R176" s="51"/>
      <c r="S176" s="51">
        <v>0</v>
      </c>
      <c r="T176" s="51"/>
      <c r="U176" s="51">
        <v>282048</v>
      </c>
      <c r="V176" s="51"/>
      <c r="W176" s="51">
        <v>32360</v>
      </c>
      <c r="X176" s="51"/>
      <c r="Y176" s="51">
        <v>47862</v>
      </c>
      <c r="Z176" s="51"/>
      <c r="AA176" s="51">
        <v>47862</v>
      </c>
      <c r="AB176" s="51" t="s">
        <v>1114</v>
      </c>
      <c r="AC176" s="51"/>
      <c r="AD176" s="51"/>
      <c r="AE176" s="51"/>
      <c r="AF176" s="51"/>
      <c r="AG176" s="51"/>
      <c r="AH176" s="51"/>
      <c r="AI176" s="51"/>
    </row>
    <row r="177" spans="1:35" x14ac:dyDescent="0.2">
      <c r="A177" s="223">
        <v>1</v>
      </c>
      <c r="B177" s="405" t="s">
        <v>291</v>
      </c>
      <c r="C177" s="405" t="s">
        <v>1410</v>
      </c>
      <c r="D177" s="237" t="s">
        <v>290</v>
      </c>
      <c r="E177" s="237" t="s">
        <v>805</v>
      </c>
      <c r="F177" s="51" t="s">
        <v>805</v>
      </c>
      <c r="G177" s="51">
        <v>1809920</v>
      </c>
      <c r="H177" s="51"/>
      <c r="I177" s="51">
        <v>0</v>
      </c>
      <c r="J177" s="51"/>
      <c r="K177" s="51">
        <v>-38008</v>
      </c>
      <c r="L177" s="51"/>
      <c r="M177" s="818">
        <v>1771912</v>
      </c>
      <c r="N177" s="51"/>
      <c r="O177" s="51">
        <v>0</v>
      </c>
      <c r="P177" s="51"/>
      <c r="Q177" s="51">
        <v>0</v>
      </c>
      <c r="R177" s="51"/>
      <c r="S177" s="51">
        <v>0</v>
      </c>
      <c r="T177" s="51"/>
      <c r="U177" s="51">
        <v>0</v>
      </c>
      <c r="V177" s="51"/>
      <c r="W177" s="51">
        <v>1771912</v>
      </c>
      <c r="X177" s="51"/>
      <c r="Y177" s="51">
        <v>0</v>
      </c>
      <c r="Z177" s="51"/>
      <c r="AA177" s="51">
        <v>0</v>
      </c>
      <c r="AB177" s="51" t="s">
        <v>1114</v>
      </c>
      <c r="AC177" s="51"/>
      <c r="AD177" s="51"/>
      <c r="AE177" s="51"/>
      <c r="AF177" s="51"/>
      <c r="AG177" s="51"/>
      <c r="AH177" s="51"/>
      <c r="AI177" s="51"/>
    </row>
    <row r="178" spans="1:35" x14ac:dyDescent="0.2">
      <c r="A178" s="223">
        <v>1</v>
      </c>
      <c r="B178" s="405" t="s">
        <v>297</v>
      </c>
      <c r="C178" s="405" t="s">
        <v>1411</v>
      </c>
      <c r="D178" s="237" t="s">
        <v>296</v>
      </c>
      <c r="E178" s="237" t="s">
        <v>801</v>
      </c>
      <c r="F178" s="51" t="s">
        <v>801</v>
      </c>
      <c r="G178" s="51">
        <v>2232320</v>
      </c>
      <c r="H178" s="51"/>
      <c r="I178" s="51">
        <v>-22323</v>
      </c>
      <c r="J178" s="51"/>
      <c r="K178" s="51">
        <v>-66969</v>
      </c>
      <c r="L178" s="51"/>
      <c r="M178" s="818">
        <v>2143028</v>
      </c>
      <c r="N178" s="51"/>
      <c r="O178" s="51">
        <v>49562</v>
      </c>
      <c r="P178" s="51"/>
      <c r="Q178" s="51">
        <v>0</v>
      </c>
      <c r="R178" s="51"/>
      <c r="S178" s="51">
        <v>0</v>
      </c>
      <c r="T178" s="51"/>
      <c r="U178" s="51">
        <v>1970354</v>
      </c>
      <c r="V178" s="51"/>
      <c r="W178" s="51">
        <v>123112</v>
      </c>
      <c r="X178" s="51"/>
      <c r="Y178" s="51">
        <v>0</v>
      </c>
      <c r="Z178" s="51"/>
      <c r="AA178" s="51">
        <v>0</v>
      </c>
      <c r="AB178" s="51" t="s">
        <v>1114</v>
      </c>
      <c r="AC178" s="51"/>
      <c r="AD178" s="51"/>
      <c r="AE178" s="51"/>
      <c r="AF178" s="51"/>
      <c r="AG178" s="51"/>
      <c r="AH178" s="51"/>
      <c r="AI178" s="51"/>
    </row>
    <row r="179" spans="1:35" x14ac:dyDescent="0.2">
      <c r="A179" s="223">
        <v>2</v>
      </c>
      <c r="B179" s="405" t="s">
        <v>311</v>
      </c>
      <c r="C179" s="405" t="s">
        <v>1412</v>
      </c>
      <c r="D179" s="237" t="s">
        <v>310</v>
      </c>
      <c r="E179" s="237" t="s">
        <v>796</v>
      </c>
      <c r="F179" s="51" t="s">
        <v>796</v>
      </c>
      <c r="G179" s="51">
        <v>861324</v>
      </c>
      <c r="H179" s="51"/>
      <c r="I179" s="51">
        <v>0</v>
      </c>
      <c r="J179" s="51"/>
      <c r="K179" s="51">
        <v>0</v>
      </c>
      <c r="L179" s="51"/>
      <c r="M179" s="818">
        <v>861324</v>
      </c>
      <c r="N179" s="51"/>
      <c r="O179" s="51">
        <v>2377</v>
      </c>
      <c r="P179" s="51"/>
      <c r="Q179" s="51">
        <v>0</v>
      </c>
      <c r="R179" s="51"/>
      <c r="S179" s="51">
        <v>5607</v>
      </c>
      <c r="T179" s="51"/>
      <c r="U179" s="51">
        <v>344390</v>
      </c>
      <c r="V179" s="51"/>
      <c r="W179" s="51">
        <v>520164</v>
      </c>
      <c r="X179" s="51"/>
      <c r="Y179" s="51">
        <v>157410</v>
      </c>
      <c r="Z179" s="51"/>
      <c r="AA179" s="51">
        <v>157410</v>
      </c>
      <c r="AB179" s="51" t="s">
        <v>1114</v>
      </c>
      <c r="AC179" s="51"/>
      <c r="AD179" s="51"/>
      <c r="AE179" s="51"/>
      <c r="AF179" s="51"/>
      <c r="AG179" s="51"/>
      <c r="AH179" s="51"/>
      <c r="AI179" s="51"/>
    </row>
    <row r="180" spans="1:35" x14ac:dyDescent="0.2">
      <c r="A180" s="223">
        <v>1</v>
      </c>
      <c r="B180" s="405" t="s">
        <v>315</v>
      </c>
      <c r="C180" s="405" t="s">
        <v>1413</v>
      </c>
      <c r="D180" s="237" t="s">
        <v>314</v>
      </c>
      <c r="E180" s="237" t="s">
        <v>1045</v>
      </c>
      <c r="F180" s="51" t="s">
        <v>1045</v>
      </c>
      <c r="G180" s="51">
        <v>814244</v>
      </c>
      <c r="H180" s="51"/>
      <c r="I180" s="51">
        <v>0</v>
      </c>
      <c r="J180" s="51"/>
      <c r="K180" s="51">
        <v>0</v>
      </c>
      <c r="L180" s="51"/>
      <c r="M180" s="818">
        <v>814244</v>
      </c>
      <c r="N180" s="51"/>
      <c r="O180" s="51">
        <v>0</v>
      </c>
      <c r="P180" s="51"/>
      <c r="Q180" s="51">
        <v>0</v>
      </c>
      <c r="R180" s="51"/>
      <c r="S180" s="51">
        <v>873</v>
      </c>
      <c r="T180" s="51"/>
      <c r="U180" s="51">
        <v>645360</v>
      </c>
      <c r="V180" s="51"/>
      <c r="W180" s="51">
        <v>169757</v>
      </c>
      <c r="X180" s="51"/>
      <c r="Y180" s="51">
        <v>0</v>
      </c>
      <c r="Z180" s="51"/>
      <c r="AA180" s="51">
        <v>0</v>
      </c>
      <c r="AB180" s="51" t="s">
        <v>1114</v>
      </c>
      <c r="AC180" s="51"/>
      <c r="AD180" s="51"/>
      <c r="AE180" s="51"/>
      <c r="AF180" s="51"/>
      <c r="AG180" s="51"/>
      <c r="AH180" s="51"/>
      <c r="AI180" s="51"/>
    </row>
    <row r="181" spans="1:35" x14ac:dyDescent="0.2">
      <c r="A181" s="223">
        <v>2</v>
      </c>
      <c r="B181" s="405" t="s">
        <v>331</v>
      </c>
      <c r="C181" s="405" t="s">
        <v>1414</v>
      </c>
      <c r="D181" s="237" t="s">
        <v>330</v>
      </c>
      <c r="E181" s="237" t="s">
        <v>1046</v>
      </c>
      <c r="F181" s="51" t="s">
        <v>1046</v>
      </c>
      <c r="G181" s="51">
        <v>18944</v>
      </c>
      <c r="H181" s="51"/>
      <c r="I181" s="51">
        <v>0</v>
      </c>
      <c r="J181" s="51"/>
      <c r="K181" s="51">
        <v>0</v>
      </c>
      <c r="L181" s="51"/>
      <c r="M181" s="818">
        <v>18944</v>
      </c>
      <c r="N181" s="51"/>
      <c r="O181" s="51">
        <v>0</v>
      </c>
      <c r="P181" s="51"/>
      <c r="Q181" s="51">
        <v>0</v>
      </c>
      <c r="R181" s="51"/>
      <c r="S181" s="51">
        <v>0</v>
      </c>
      <c r="T181" s="51"/>
      <c r="U181" s="51">
        <v>22210</v>
      </c>
      <c r="V181" s="51"/>
      <c r="W181" s="51">
        <v>0</v>
      </c>
      <c r="X181" s="51"/>
      <c r="Y181" s="51">
        <v>0</v>
      </c>
      <c r="Z181" s="51"/>
      <c r="AA181" s="51">
        <v>0</v>
      </c>
      <c r="AB181" s="51" t="s">
        <v>1114</v>
      </c>
      <c r="AC181" s="51"/>
      <c r="AD181" s="51"/>
      <c r="AE181" s="51"/>
      <c r="AF181" s="51"/>
      <c r="AG181" s="51"/>
      <c r="AH181" s="51"/>
      <c r="AI181" s="51"/>
    </row>
    <row r="182" spans="1:35" x14ac:dyDescent="0.2">
      <c r="A182" s="223">
        <v>3</v>
      </c>
      <c r="B182" s="405" t="s">
        <v>339</v>
      </c>
      <c r="C182" s="405" t="s">
        <v>1415</v>
      </c>
      <c r="D182" s="237" t="s">
        <v>338</v>
      </c>
      <c r="E182" s="237" t="s">
        <v>796</v>
      </c>
      <c r="F182" s="51" t="s">
        <v>796</v>
      </c>
      <c r="G182" s="51">
        <v>2456692</v>
      </c>
      <c r="H182" s="51"/>
      <c r="I182" s="51">
        <v>-10000</v>
      </c>
      <c r="J182" s="51"/>
      <c r="K182" s="51">
        <v>0</v>
      </c>
      <c r="L182" s="51"/>
      <c r="M182" s="818">
        <v>2446692</v>
      </c>
      <c r="N182" s="51"/>
      <c r="O182" s="51">
        <v>0</v>
      </c>
      <c r="P182" s="51"/>
      <c r="Q182" s="51">
        <v>0</v>
      </c>
      <c r="R182" s="51"/>
      <c r="S182" s="51">
        <v>0</v>
      </c>
      <c r="T182" s="51"/>
      <c r="U182" s="51">
        <v>1829529</v>
      </c>
      <c r="V182" s="51"/>
      <c r="W182" s="51">
        <v>617163</v>
      </c>
      <c r="X182" s="51"/>
      <c r="Y182" s="51">
        <v>0</v>
      </c>
      <c r="Z182" s="51"/>
      <c r="AA182" s="51">
        <v>0</v>
      </c>
      <c r="AB182" s="51" t="s">
        <v>1114</v>
      </c>
      <c r="AC182" s="51"/>
      <c r="AD182" s="51"/>
      <c r="AE182" s="51"/>
      <c r="AF182" s="51"/>
      <c r="AG182" s="51"/>
      <c r="AH182" s="51"/>
      <c r="AI182" s="51"/>
    </row>
    <row r="183" spans="1:35" x14ac:dyDescent="0.2">
      <c r="A183" s="223">
        <v>1</v>
      </c>
      <c r="B183" s="405" t="s">
        <v>339</v>
      </c>
      <c r="C183" s="405" t="s">
        <v>1416</v>
      </c>
      <c r="D183" s="237" t="s">
        <v>338</v>
      </c>
      <c r="E183" s="237" t="s">
        <v>802</v>
      </c>
      <c r="F183" s="51" t="s">
        <v>802</v>
      </c>
      <c r="G183" s="51">
        <v>2765311</v>
      </c>
      <c r="H183" s="51"/>
      <c r="I183" s="51">
        <v>-20000</v>
      </c>
      <c r="J183" s="51"/>
      <c r="K183" s="51">
        <v>-40000</v>
      </c>
      <c r="L183" s="51"/>
      <c r="M183" s="818">
        <v>2705311</v>
      </c>
      <c r="N183" s="51"/>
      <c r="O183" s="51">
        <v>0</v>
      </c>
      <c r="P183" s="51"/>
      <c r="Q183" s="51">
        <v>0</v>
      </c>
      <c r="R183" s="51"/>
      <c r="S183" s="51">
        <v>0</v>
      </c>
      <c r="T183" s="51"/>
      <c r="U183" s="51">
        <v>1718365</v>
      </c>
      <c r="V183" s="51"/>
      <c r="W183" s="51">
        <v>986946</v>
      </c>
      <c r="X183" s="51"/>
      <c r="Y183" s="51">
        <v>0</v>
      </c>
      <c r="Z183" s="51"/>
      <c r="AA183" s="51">
        <v>0</v>
      </c>
      <c r="AB183" s="51" t="s">
        <v>1114</v>
      </c>
      <c r="AC183" s="51"/>
      <c r="AD183" s="51"/>
      <c r="AE183" s="51"/>
      <c r="AF183" s="51"/>
      <c r="AG183" s="51"/>
      <c r="AH183" s="51"/>
      <c r="AI183" s="51"/>
    </row>
    <row r="184" spans="1:35" x14ac:dyDescent="0.2">
      <c r="A184" s="223">
        <v>1</v>
      </c>
      <c r="B184" s="405" t="s">
        <v>351</v>
      </c>
      <c r="C184" s="405" t="s">
        <v>1417</v>
      </c>
      <c r="D184" s="237" t="s">
        <v>350</v>
      </c>
      <c r="E184" s="237" t="s">
        <v>1047</v>
      </c>
      <c r="F184" s="51" t="s">
        <v>1047</v>
      </c>
      <c r="G184" s="51">
        <v>0</v>
      </c>
      <c r="H184" s="51"/>
      <c r="I184" s="51">
        <v>0</v>
      </c>
      <c r="J184" s="51"/>
      <c r="K184" s="51">
        <v>0</v>
      </c>
      <c r="L184" s="51"/>
      <c r="M184" s="818">
        <v>0</v>
      </c>
      <c r="N184" s="51"/>
      <c r="O184" s="51">
        <v>0</v>
      </c>
      <c r="P184" s="51"/>
      <c r="Q184" s="51">
        <v>0</v>
      </c>
      <c r="R184" s="51"/>
      <c r="S184" s="51">
        <v>0</v>
      </c>
      <c r="T184" s="51"/>
      <c r="U184" s="51">
        <v>0</v>
      </c>
      <c r="V184" s="51"/>
      <c r="W184" s="51">
        <v>0</v>
      </c>
      <c r="X184" s="51"/>
      <c r="Y184" s="51">
        <v>0</v>
      </c>
      <c r="Z184" s="51"/>
      <c r="AA184" s="51">
        <v>0</v>
      </c>
      <c r="AB184" s="51" t="s">
        <v>1114</v>
      </c>
      <c r="AC184" s="51"/>
      <c r="AD184" s="51"/>
      <c r="AE184" s="51"/>
      <c r="AF184" s="51"/>
      <c r="AG184" s="51"/>
      <c r="AH184" s="51"/>
      <c r="AI184" s="51"/>
    </row>
    <row r="185" spans="1:35" x14ac:dyDescent="0.2">
      <c r="A185" s="223">
        <v>1</v>
      </c>
      <c r="B185" s="405" t="s">
        <v>351</v>
      </c>
      <c r="C185" s="405" t="s">
        <v>1418</v>
      </c>
      <c r="D185" s="237" t="s">
        <v>350</v>
      </c>
      <c r="E185" s="237" t="s">
        <v>1048</v>
      </c>
      <c r="F185" s="51" t="s">
        <v>1048</v>
      </c>
      <c r="G185" s="51">
        <v>955945</v>
      </c>
      <c r="H185" s="51"/>
      <c r="I185" s="51">
        <v>0</v>
      </c>
      <c r="J185" s="51"/>
      <c r="K185" s="51">
        <v>0</v>
      </c>
      <c r="L185" s="51"/>
      <c r="M185" s="818">
        <v>955945</v>
      </c>
      <c r="N185" s="51"/>
      <c r="O185" s="51">
        <v>0</v>
      </c>
      <c r="P185" s="51"/>
      <c r="Q185" s="51">
        <v>0</v>
      </c>
      <c r="R185" s="51"/>
      <c r="S185" s="51">
        <v>0</v>
      </c>
      <c r="T185" s="51"/>
      <c r="U185" s="51">
        <v>0</v>
      </c>
      <c r="V185" s="51"/>
      <c r="W185" s="51">
        <v>955945</v>
      </c>
      <c r="X185" s="51"/>
      <c r="Y185" s="51">
        <v>172760</v>
      </c>
      <c r="Z185" s="51"/>
      <c r="AA185" s="51">
        <v>172760</v>
      </c>
      <c r="AB185" s="51" t="s">
        <v>1114</v>
      </c>
      <c r="AC185" s="51"/>
      <c r="AD185" s="51"/>
      <c r="AE185" s="51"/>
      <c r="AF185" s="51"/>
      <c r="AG185" s="51"/>
      <c r="AH185" s="51"/>
      <c r="AI185" s="51"/>
    </row>
    <row r="186" spans="1:35" x14ac:dyDescent="0.2">
      <c r="A186" s="223">
        <v>2</v>
      </c>
      <c r="B186" s="405" t="s">
        <v>351</v>
      </c>
      <c r="C186" s="405" t="s">
        <v>1419</v>
      </c>
      <c r="D186" s="237" t="s">
        <v>350</v>
      </c>
      <c r="E186" s="237" t="s">
        <v>1049</v>
      </c>
      <c r="F186" s="51" t="s">
        <v>1049</v>
      </c>
      <c r="G186" s="51">
        <v>0</v>
      </c>
      <c r="H186" s="51"/>
      <c r="I186" s="51">
        <v>0</v>
      </c>
      <c r="J186" s="51"/>
      <c r="K186" s="51">
        <v>0</v>
      </c>
      <c r="L186" s="51"/>
      <c r="M186" s="818">
        <v>0</v>
      </c>
      <c r="N186" s="51"/>
      <c r="O186" s="51">
        <v>0</v>
      </c>
      <c r="P186" s="51"/>
      <c r="Q186" s="51">
        <v>0</v>
      </c>
      <c r="R186" s="51"/>
      <c r="S186" s="51">
        <v>0</v>
      </c>
      <c r="T186" s="51"/>
      <c r="U186" s="51">
        <v>0</v>
      </c>
      <c r="V186" s="51"/>
      <c r="W186" s="51">
        <v>0</v>
      </c>
      <c r="X186" s="51"/>
      <c r="Y186" s="51">
        <v>0</v>
      </c>
      <c r="Z186" s="51"/>
      <c r="AA186" s="51">
        <v>0</v>
      </c>
      <c r="AB186" s="51" t="s">
        <v>1114</v>
      </c>
      <c r="AC186" s="51"/>
      <c r="AD186" s="51"/>
      <c r="AE186" s="51"/>
      <c r="AF186" s="51"/>
      <c r="AG186" s="51"/>
      <c r="AH186" s="51"/>
      <c r="AI186" s="51"/>
    </row>
    <row r="187" spans="1:35" x14ac:dyDescent="0.2">
      <c r="A187" s="223">
        <v>3</v>
      </c>
      <c r="B187" s="405" t="s">
        <v>355</v>
      </c>
      <c r="C187" s="405" t="s">
        <v>1420</v>
      </c>
      <c r="D187" s="237" t="s">
        <v>354</v>
      </c>
      <c r="E187" s="237" t="s">
        <v>793</v>
      </c>
      <c r="F187" s="51" t="s">
        <v>793</v>
      </c>
      <c r="G187" s="51">
        <v>18945553</v>
      </c>
      <c r="H187" s="51"/>
      <c r="I187" s="51">
        <v>0</v>
      </c>
      <c r="J187" s="51"/>
      <c r="K187" s="51">
        <v>-890441</v>
      </c>
      <c r="L187" s="51"/>
      <c r="M187" s="818">
        <v>18055112</v>
      </c>
      <c r="N187" s="51"/>
      <c r="O187" s="51">
        <v>275940</v>
      </c>
      <c r="P187" s="51"/>
      <c r="Q187" s="51">
        <v>0</v>
      </c>
      <c r="R187" s="51"/>
      <c r="S187" s="51">
        <v>-13609</v>
      </c>
      <c r="T187" s="51"/>
      <c r="U187" s="51">
        <v>742522</v>
      </c>
      <c r="V187" s="51"/>
      <c r="W187" s="51">
        <v>17023041</v>
      </c>
      <c r="X187" s="51"/>
      <c r="Y187" s="51">
        <v>0</v>
      </c>
      <c r="Z187" s="51"/>
      <c r="AA187" s="51">
        <v>0</v>
      </c>
      <c r="AB187" s="51" t="s">
        <v>1114</v>
      </c>
      <c r="AC187" s="51"/>
      <c r="AD187" s="51"/>
      <c r="AE187" s="51"/>
      <c r="AF187" s="51"/>
      <c r="AG187" s="51"/>
      <c r="AH187" s="51"/>
      <c r="AI187" s="51"/>
    </row>
    <row r="188" spans="1:35" x14ac:dyDescent="0.2">
      <c r="A188" s="223">
        <v>4</v>
      </c>
      <c r="B188" s="405" t="s">
        <v>365</v>
      </c>
      <c r="C188" s="405" t="s">
        <v>1421</v>
      </c>
      <c r="D188" s="237" t="s">
        <v>364</v>
      </c>
      <c r="E188" s="237" t="s">
        <v>1050</v>
      </c>
      <c r="F188" s="51" t="s">
        <v>1050</v>
      </c>
      <c r="G188" s="51">
        <v>174004</v>
      </c>
      <c r="H188" s="51"/>
      <c r="I188" s="51">
        <v>0</v>
      </c>
      <c r="J188" s="51"/>
      <c r="K188" s="51">
        <v>-5190</v>
      </c>
      <c r="L188" s="51"/>
      <c r="M188" s="818">
        <v>168814</v>
      </c>
      <c r="N188" s="51"/>
      <c r="O188" s="51">
        <v>102</v>
      </c>
      <c r="P188" s="51"/>
      <c r="Q188" s="51">
        <v>0</v>
      </c>
      <c r="R188" s="51"/>
      <c r="S188" s="51">
        <v>0</v>
      </c>
      <c r="T188" s="51"/>
      <c r="U188" s="51">
        <v>211640</v>
      </c>
      <c r="V188" s="51"/>
      <c r="W188" s="51">
        <v>0</v>
      </c>
      <c r="X188" s="51"/>
      <c r="Y188" s="51">
        <v>403523</v>
      </c>
      <c r="Z188" s="51"/>
      <c r="AA188" s="51">
        <v>403523</v>
      </c>
      <c r="AB188" s="51" t="s">
        <v>1114</v>
      </c>
      <c r="AC188" s="51"/>
      <c r="AD188" s="51"/>
      <c r="AE188" s="51"/>
      <c r="AF188" s="51"/>
      <c r="AG188" s="51"/>
      <c r="AH188" s="51"/>
      <c r="AI188" s="51"/>
    </row>
    <row r="189" spans="1:35" x14ac:dyDescent="0.2">
      <c r="A189" s="223">
        <v>1</v>
      </c>
      <c r="B189" s="405" t="s">
        <v>369</v>
      </c>
      <c r="C189" s="405" t="s">
        <v>1422</v>
      </c>
      <c r="D189" s="237" t="s">
        <v>368</v>
      </c>
      <c r="E189" s="237" t="s">
        <v>1051</v>
      </c>
      <c r="F189" s="51" t="s">
        <v>1051</v>
      </c>
      <c r="G189" s="51">
        <v>0</v>
      </c>
      <c r="H189" s="51"/>
      <c r="I189" s="51">
        <v>0</v>
      </c>
      <c r="J189" s="51"/>
      <c r="K189" s="51">
        <v>0</v>
      </c>
      <c r="L189" s="51"/>
      <c r="M189" s="818">
        <v>0</v>
      </c>
      <c r="N189" s="51"/>
      <c r="O189" s="51">
        <v>0</v>
      </c>
      <c r="P189" s="51"/>
      <c r="Q189" s="51">
        <v>0</v>
      </c>
      <c r="R189" s="51"/>
      <c r="S189" s="51">
        <v>0</v>
      </c>
      <c r="T189" s="51"/>
      <c r="U189" s="51">
        <v>0</v>
      </c>
      <c r="V189" s="51"/>
      <c r="W189" s="51">
        <v>0</v>
      </c>
      <c r="X189" s="51"/>
      <c r="Y189" s="51">
        <v>0</v>
      </c>
      <c r="Z189" s="51"/>
      <c r="AA189" s="51">
        <v>0</v>
      </c>
      <c r="AB189" s="51" t="s">
        <v>1114</v>
      </c>
      <c r="AC189" s="51"/>
      <c r="AD189" s="51"/>
      <c r="AE189" s="51"/>
      <c r="AF189" s="51"/>
      <c r="AG189" s="51"/>
      <c r="AH189" s="51"/>
      <c r="AI189" s="51"/>
    </row>
    <row r="190" spans="1:35" x14ac:dyDescent="0.2">
      <c r="A190" s="223">
        <v>1</v>
      </c>
      <c r="B190" s="405" t="s">
        <v>369</v>
      </c>
      <c r="C190" s="405" t="s">
        <v>1423</v>
      </c>
      <c r="D190" s="237" t="s">
        <v>368</v>
      </c>
      <c r="E190" s="237" t="s">
        <v>1052</v>
      </c>
      <c r="F190" s="51" t="s">
        <v>1052</v>
      </c>
      <c r="G190" s="51">
        <v>46592</v>
      </c>
      <c r="H190" s="51"/>
      <c r="I190" s="51">
        <v>-560</v>
      </c>
      <c r="J190" s="51"/>
      <c r="K190" s="51">
        <v>-2330</v>
      </c>
      <c r="L190" s="51"/>
      <c r="M190" s="818">
        <v>43702</v>
      </c>
      <c r="N190" s="51"/>
      <c r="O190" s="51">
        <v>0</v>
      </c>
      <c r="P190" s="51"/>
      <c r="Q190" s="51">
        <v>0</v>
      </c>
      <c r="R190" s="51"/>
      <c r="S190" s="51">
        <v>0</v>
      </c>
      <c r="T190" s="51"/>
      <c r="U190" s="51">
        <v>46638</v>
      </c>
      <c r="V190" s="51"/>
      <c r="W190" s="51">
        <v>0</v>
      </c>
      <c r="X190" s="51"/>
      <c r="Y190" s="51">
        <v>0</v>
      </c>
      <c r="Z190" s="51"/>
      <c r="AA190" s="51">
        <v>0</v>
      </c>
      <c r="AB190" s="51" t="s">
        <v>1114</v>
      </c>
      <c r="AC190" s="51"/>
      <c r="AD190" s="51"/>
      <c r="AE190" s="51"/>
      <c r="AF190" s="51"/>
      <c r="AG190" s="51"/>
      <c r="AH190" s="51"/>
      <c r="AI190" s="51"/>
    </row>
    <row r="191" spans="1:35" x14ac:dyDescent="0.2">
      <c r="A191" s="223">
        <v>1</v>
      </c>
      <c r="B191" s="405" t="s">
        <v>369</v>
      </c>
      <c r="C191" s="405" t="s">
        <v>1424</v>
      </c>
      <c r="D191" s="237" t="s">
        <v>368</v>
      </c>
      <c r="E191" s="237" t="s">
        <v>1053</v>
      </c>
      <c r="F191" s="51" t="s">
        <v>1053</v>
      </c>
      <c r="G191" s="51">
        <v>0</v>
      </c>
      <c r="H191" s="51"/>
      <c r="I191" s="51">
        <v>0</v>
      </c>
      <c r="J191" s="51"/>
      <c r="K191" s="51">
        <v>0</v>
      </c>
      <c r="L191" s="51"/>
      <c r="M191" s="818">
        <v>0</v>
      </c>
      <c r="N191" s="51"/>
      <c r="O191" s="51">
        <v>0</v>
      </c>
      <c r="P191" s="51"/>
      <c r="Q191" s="51">
        <v>0</v>
      </c>
      <c r="R191" s="51"/>
      <c r="S191" s="51">
        <v>0</v>
      </c>
      <c r="T191" s="51"/>
      <c r="U191" s="51">
        <v>0</v>
      </c>
      <c r="V191" s="51"/>
      <c r="W191" s="51">
        <v>0</v>
      </c>
      <c r="X191" s="51"/>
      <c r="Y191" s="51">
        <v>0</v>
      </c>
      <c r="Z191" s="51"/>
      <c r="AA191" s="51">
        <v>0</v>
      </c>
      <c r="AB191" s="51" t="s">
        <v>1114</v>
      </c>
      <c r="AC191" s="51"/>
      <c r="AD191" s="51"/>
      <c r="AE191" s="51"/>
      <c r="AF191" s="51"/>
      <c r="AG191" s="51"/>
      <c r="AH191" s="51"/>
      <c r="AI191" s="51"/>
    </row>
    <row r="192" spans="1:35" x14ac:dyDescent="0.2">
      <c r="A192" s="223">
        <v>2</v>
      </c>
      <c r="B192" s="405" t="s">
        <v>369</v>
      </c>
      <c r="C192" s="405" t="s">
        <v>1425</v>
      </c>
      <c r="D192" s="237" t="s">
        <v>368</v>
      </c>
      <c r="E192" s="237" t="s">
        <v>1054</v>
      </c>
      <c r="F192" s="51" t="s">
        <v>1054</v>
      </c>
      <c r="G192" s="51">
        <v>200704</v>
      </c>
      <c r="H192" s="51"/>
      <c r="I192" s="51">
        <v>-2408</v>
      </c>
      <c r="J192" s="51"/>
      <c r="K192" s="51">
        <v>-10035</v>
      </c>
      <c r="L192" s="51"/>
      <c r="M192" s="818">
        <v>188261</v>
      </c>
      <c r="N192" s="51"/>
      <c r="O192" s="51">
        <v>0</v>
      </c>
      <c r="P192" s="51"/>
      <c r="Q192" s="51">
        <v>0</v>
      </c>
      <c r="R192" s="51"/>
      <c r="S192" s="51">
        <v>0</v>
      </c>
      <c r="T192" s="51"/>
      <c r="U192" s="51">
        <v>149230</v>
      </c>
      <c r="V192" s="51"/>
      <c r="W192" s="51">
        <v>39031</v>
      </c>
      <c r="X192" s="51"/>
      <c r="Y192" s="51">
        <v>0</v>
      </c>
      <c r="Z192" s="51"/>
      <c r="AA192" s="51">
        <v>0</v>
      </c>
      <c r="AB192" s="51" t="s">
        <v>1114</v>
      </c>
      <c r="AC192" s="51"/>
      <c r="AD192" s="51"/>
      <c r="AE192" s="51"/>
      <c r="AF192" s="51"/>
      <c r="AG192" s="51"/>
      <c r="AH192" s="51"/>
      <c r="AI192" s="51"/>
    </row>
    <row r="193" spans="1:35" x14ac:dyDescent="0.2">
      <c r="A193" s="223">
        <v>1</v>
      </c>
      <c r="B193" s="405" t="s">
        <v>371</v>
      </c>
      <c r="C193" s="405" t="s">
        <v>1426</v>
      </c>
      <c r="D193" s="237" t="s">
        <v>370</v>
      </c>
      <c r="E193" s="237" t="s">
        <v>801</v>
      </c>
      <c r="F193" s="51" t="s">
        <v>801</v>
      </c>
      <c r="G193" s="51">
        <v>170241</v>
      </c>
      <c r="H193" s="51"/>
      <c r="I193" s="51">
        <v>0</v>
      </c>
      <c r="J193" s="51"/>
      <c r="K193" s="51">
        <v>0</v>
      </c>
      <c r="L193" s="51"/>
      <c r="M193" s="818">
        <v>170241</v>
      </c>
      <c r="N193" s="51"/>
      <c r="O193" s="51">
        <v>0</v>
      </c>
      <c r="P193" s="51"/>
      <c r="Q193" s="51">
        <v>0</v>
      </c>
      <c r="R193" s="51"/>
      <c r="S193" s="51">
        <v>0</v>
      </c>
      <c r="T193" s="51"/>
      <c r="U193" s="51">
        <v>0</v>
      </c>
      <c r="V193" s="51"/>
      <c r="W193" s="51">
        <v>170241</v>
      </c>
      <c r="X193" s="51"/>
      <c r="Y193" s="51">
        <v>0</v>
      </c>
      <c r="Z193" s="51"/>
      <c r="AA193" s="51">
        <v>0</v>
      </c>
      <c r="AB193" s="51" t="s">
        <v>1114</v>
      </c>
      <c r="AC193" s="51"/>
      <c r="AD193" s="51"/>
      <c r="AE193" s="51"/>
      <c r="AF193" s="51"/>
      <c r="AG193" s="51"/>
      <c r="AH193" s="51"/>
      <c r="AI193" s="51"/>
    </row>
    <row r="194" spans="1:35" x14ac:dyDescent="0.2">
      <c r="A194" s="223">
        <v>2</v>
      </c>
      <c r="B194" s="405" t="s">
        <v>375</v>
      </c>
      <c r="C194" s="405" t="s">
        <v>1427</v>
      </c>
      <c r="D194" s="237" t="s">
        <v>374</v>
      </c>
      <c r="E194" s="237" t="s">
        <v>819</v>
      </c>
      <c r="F194" s="51" t="s">
        <v>819</v>
      </c>
      <c r="G194" s="51">
        <v>4791560</v>
      </c>
      <c r="H194" s="51"/>
      <c r="I194" s="51">
        <v>0</v>
      </c>
      <c r="J194" s="51"/>
      <c r="K194" s="51">
        <v>0</v>
      </c>
      <c r="L194" s="51"/>
      <c r="M194" s="818">
        <v>4791560</v>
      </c>
      <c r="N194" s="51"/>
      <c r="O194" s="51">
        <v>0</v>
      </c>
      <c r="P194" s="51"/>
      <c r="Q194" s="51">
        <v>0</v>
      </c>
      <c r="R194" s="51"/>
      <c r="S194" s="51">
        <v>0</v>
      </c>
      <c r="T194" s="51"/>
      <c r="U194" s="51">
        <v>0</v>
      </c>
      <c r="V194" s="51"/>
      <c r="W194" s="51">
        <v>4791560</v>
      </c>
      <c r="X194" s="51"/>
      <c r="Y194" s="51">
        <v>162387</v>
      </c>
      <c r="Z194" s="51"/>
      <c r="AA194" s="51">
        <v>162387</v>
      </c>
      <c r="AB194" s="51" t="s">
        <v>1114</v>
      </c>
      <c r="AC194" s="51"/>
      <c r="AD194" s="51"/>
      <c r="AE194" s="51"/>
      <c r="AF194" s="51"/>
      <c r="AG194" s="51"/>
      <c r="AH194" s="51"/>
      <c r="AI194" s="51"/>
    </row>
    <row r="195" spans="1:35" x14ac:dyDescent="0.2">
      <c r="A195" s="223">
        <v>3</v>
      </c>
      <c r="B195" s="405" t="s">
        <v>377</v>
      </c>
      <c r="C195" s="405" t="s">
        <v>1428</v>
      </c>
      <c r="D195" s="237" t="s">
        <v>376</v>
      </c>
      <c r="E195" s="237" t="s">
        <v>1055</v>
      </c>
      <c r="F195" s="51" t="s">
        <v>1055</v>
      </c>
      <c r="G195" s="51">
        <v>0</v>
      </c>
      <c r="H195" s="51"/>
      <c r="I195" s="51">
        <v>0</v>
      </c>
      <c r="J195" s="51"/>
      <c r="K195" s="51">
        <v>0</v>
      </c>
      <c r="L195" s="51"/>
      <c r="M195" s="818">
        <v>0</v>
      </c>
      <c r="N195" s="51"/>
      <c r="O195" s="51">
        <v>0</v>
      </c>
      <c r="P195" s="51"/>
      <c r="Q195" s="51">
        <v>0</v>
      </c>
      <c r="R195" s="51"/>
      <c r="S195" s="51">
        <v>0</v>
      </c>
      <c r="T195" s="51"/>
      <c r="U195" s="51">
        <v>0</v>
      </c>
      <c r="V195" s="51"/>
      <c r="W195" s="51">
        <v>0</v>
      </c>
      <c r="X195" s="51"/>
      <c r="Y195" s="51">
        <v>0</v>
      </c>
      <c r="Z195" s="51"/>
      <c r="AA195" s="51">
        <v>0</v>
      </c>
      <c r="AB195" s="51" t="s">
        <v>1114</v>
      </c>
      <c r="AC195" s="51"/>
      <c r="AD195" s="51"/>
      <c r="AE195" s="51"/>
      <c r="AF195" s="51"/>
      <c r="AG195" s="51"/>
      <c r="AH195" s="51"/>
      <c r="AI195" s="51"/>
    </row>
    <row r="196" spans="1:35" x14ac:dyDescent="0.2">
      <c r="A196" s="223">
        <v>1</v>
      </c>
      <c r="B196" s="405" t="s">
        <v>377</v>
      </c>
      <c r="C196" s="405" t="s">
        <v>1429</v>
      </c>
      <c r="D196" s="237" t="s">
        <v>376</v>
      </c>
      <c r="E196" s="237" t="s">
        <v>1056</v>
      </c>
      <c r="F196" s="51" t="s">
        <v>1056</v>
      </c>
      <c r="G196" s="51">
        <v>0</v>
      </c>
      <c r="H196" s="51"/>
      <c r="I196" s="51">
        <v>0</v>
      </c>
      <c r="J196" s="51"/>
      <c r="K196" s="51">
        <v>0</v>
      </c>
      <c r="L196" s="51"/>
      <c r="M196" s="818">
        <v>0</v>
      </c>
      <c r="N196" s="51"/>
      <c r="O196" s="51">
        <v>0</v>
      </c>
      <c r="P196" s="51"/>
      <c r="Q196" s="51">
        <v>0</v>
      </c>
      <c r="R196" s="51"/>
      <c r="S196" s="51">
        <v>0</v>
      </c>
      <c r="T196" s="51"/>
      <c r="U196" s="51">
        <v>0</v>
      </c>
      <c r="V196" s="51"/>
      <c r="W196" s="51">
        <v>0</v>
      </c>
      <c r="X196" s="51"/>
      <c r="Y196" s="51">
        <v>0</v>
      </c>
      <c r="Z196" s="51"/>
      <c r="AA196" s="51">
        <v>0</v>
      </c>
      <c r="AB196" s="51" t="s">
        <v>1114</v>
      </c>
      <c r="AC196" s="51"/>
      <c r="AD196" s="51"/>
      <c r="AE196" s="51"/>
      <c r="AF196" s="51"/>
      <c r="AG196" s="51"/>
      <c r="AH196" s="51"/>
      <c r="AI196" s="51"/>
    </row>
    <row r="197" spans="1:35" x14ac:dyDescent="0.2">
      <c r="A197" s="223">
        <v>2</v>
      </c>
      <c r="B197" s="405" t="s">
        <v>387</v>
      </c>
      <c r="C197" s="405" t="s">
        <v>1430</v>
      </c>
      <c r="D197" s="237" t="s">
        <v>386</v>
      </c>
      <c r="E197" s="237" t="s">
        <v>1057</v>
      </c>
      <c r="F197" s="51" t="s">
        <v>1057</v>
      </c>
      <c r="G197" s="51">
        <v>35923</v>
      </c>
      <c r="H197" s="51"/>
      <c r="I197" s="51">
        <v>0</v>
      </c>
      <c r="J197" s="51"/>
      <c r="K197" s="51">
        <v>0</v>
      </c>
      <c r="L197" s="51"/>
      <c r="M197" s="818">
        <v>35923</v>
      </c>
      <c r="N197" s="51"/>
      <c r="O197" s="51">
        <v>0</v>
      </c>
      <c r="P197" s="51"/>
      <c r="Q197" s="51">
        <v>0</v>
      </c>
      <c r="R197" s="51"/>
      <c r="S197" s="51">
        <v>0</v>
      </c>
      <c r="T197" s="51"/>
      <c r="U197" s="51">
        <v>43535</v>
      </c>
      <c r="V197" s="51"/>
      <c r="W197" s="51">
        <v>0</v>
      </c>
      <c r="X197" s="51"/>
      <c r="Y197" s="51">
        <v>0</v>
      </c>
      <c r="Z197" s="51"/>
      <c r="AA197" s="51">
        <v>0</v>
      </c>
      <c r="AB197" s="51" t="s">
        <v>1114</v>
      </c>
      <c r="AC197" s="51"/>
      <c r="AD197" s="51"/>
      <c r="AE197" s="51"/>
      <c r="AF197" s="51"/>
      <c r="AG197" s="51"/>
      <c r="AH197" s="51"/>
      <c r="AI197" s="51"/>
    </row>
    <row r="198" spans="1:35" x14ac:dyDescent="0.2">
      <c r="A198" s="223">
        <v>1</v>
      </c>
      <c r="B198" s="405" t="s">
        <v>387</v>
      </c>
      <c r="C198" s="405" t="s">
        <v>1431</v>
      </c>
      <c r="D198" s="237" t="s">
        <v>386</v>
      </c>
      <c r="E198" s="237" t="s">
        <v>1058</v>
      </c>
      <c r="F198" s="51" t="s">
        <v>1058</v>
      </c>
      <c r="G198" s="51">
        <v>346945</v>
      </c>
      <c r="H198" s="51"/>
      <c r="I198" s="51">
        <v>0</v>
      </c>
      <c r="J198" s="51"/>
      <c r="K198" s="51">
        <v>0</v>
      </c>
      <c r="L198" s="51"/>
      <c r="M198" s="818">
        <v>346945</v>
      </c>
      <c r="N198" s="51"/>
      <c r="O198" s="51">
        <v>0</v>
      </c>
      <c r="P198" s="51"/>
      <c r="Q198" s="51">
        <v>0</v>
      </c>
      <c r="R198" s="51"/>
      <c r="S198" s="51">
        <v>0</v>
      </c>
      <c r="T198" s="51"/>
      <c r="U198" s="51">
        <v>927044</v>
      </c>
      <c r="V198" s="51"/>
      <c r="W198" s="51">
        <v>0</v>
      </c>
      <c r="X198" s="51"/>
      <c r="Y198" s="51">
        <v>0</v>
      </c>
      <c r="Z198" s="51"/>
      <c r="AA198" s="51">
        <v>0</v>
      </c>
      <c r="AB198" s="51" t="s">
        <v>1114</v>
      </c>
      <c r="AC198" s="51"/>
      <c r="AD198" s="51"/>
      <c r="AE198" s="51"/>
      <c r="AF198" s="51"/>
      <c r="AG198" s="51"/>
      <c r="AH198" s="51"/>
      <c r="AI198" s="51"/>
    </row>
    <row r="199" spans="1:35" x14ac:dyDescent="0.2">
      <c r="A199" s="223">
        <v>1</v>
      </c>
      <c r="B199" s="405" t="s">
        <v>387</v>
      </c>
      <c r="C199" s="405" t="s">
        <v>1432</v>
      </c>
      <c r="D199" s="237" t="s">
        <v>386</v>
      </c>
      <c r="E199" s="237" t="s">
        <v>1059</v>
      </c>
      <c r="F199" s="51" t="s">
        <v>1059</v>
      </c>
      <c r="G199" s="51">
        <v>219160</v>
      </c>
      <c r="H199" s="51"/>
      <c r="I199" s="51">
        <v>0</v>
      </c>
      <c r="J199" s="51"/>
      <c r="K199" s="51">
        <v>0</v>
      </c>
      <c r="L199" s="51"/>
      <c r="M199" s="818">
        <v>219160</v>
      </c>
      <c r="N199" s="51"/>
      <c r="O199" s="51">
        <v>0</v>
      </c>
      <c r="P199" s="51"/>
      <c r="Q199" s="51">
        <v>0</v>
      </c>
      <c r="R199" s="51"/>
      <c r="S199" s="51">
        <v>0</v>
      </c>
      <c r="T199" s="51"/>
      <c r="U199" s="51">
        <v>97142</v>
      </c>
      <c r="V199" s="51"/>
      <c r="W199" s="51">
        <v>122018</v>
      </c>
      <c r="X199" s="51"/>
      <c r="Y199" s="51">
        <v>0</v>
      </c>
      <c r="Z199" s="51"/>
      <c r="AA199" s="51">
        <v>0</v>
      </c>
      <c r="AB199" s="51" t="s">
        <v>1114</v>
      </c>
      <c r="AC199" s="51"/>
      <c r="AD199" s="51"/>
      <c r="AE199" s="51"/>
      <c r="AF199" s="51"/>
      <c r="AG199" s="51"/>
      <c r="AH199" s="51"/>
      <c r="AI199" s="51"/>
    </row>
    <row r="200" spans="1:35" x14ac:dyDescent="0.2">
      <c r="A200" s="223">
        <v>2</v>
      </c>
      <c r="B200" s="405" t="s">
        <v>1132</v>
      </c>
      <c r="C200" s="405" t="s">
        <v>1571</v>
      </c>
      <c r="D200" s="237" t="s">
        <v>1131</v>
      </c>
      <c r="E200" s="237" t="s">
        <v>1060</v>
      </c>
      <c r="F200" s="51" t="s">
        <v>1060</v>
      </c>
      <c r="G200" s="51">
        <v>0</v>
      </c>
      <c r="H200" s="51"/>
      <c r="I200" s="51">
        <v>0</v>
      </c>
      <c r="J200" s="51"/>
      <c r="K200" s="51">
        <v>0</v>
      </c>
      <c r="L200" s="51"/>
      <c r="M200" s="818">
        <v>0</v>
      </c>
      <c r="N200" s="51"/>
      <c r="O200" s="51">
        <v>0</v>
      </c>
      <c r="P200" s="51"/>
      <c r="Q200" s="51">
        <v>0</v>
      </c>
      <c r="R200" s="51"/>
      <c r="S200" s="51">
        <v>0</v>
      </c>
      <c r="T200" s="51"/>
      <c r="U200" s="51">
        <v>0</v>
      </c>
      <c r="V200" s="51"/>
      <c r="W200" s="51">
        <v>0</v>
      </c>
      <c r="X200" s="51"/>
      <c r="Y200" s="51">
        <v>0</v>
      </c>
      <c r="Z200" s="51"/>
      <c r="AA200" s="51">
        <v>0</v>
      </c>
      <c r="AB200" s="51" t="s">
        <v>1114</v>
      </c>
      <c r="AC200" s="51"/>
      <c r="AD200" s="51"/>
      <c r="AE200" s="51"/>
      <c r="AF200" s="51"/>
      <c r="AG200" s="51"/>
      <c r="AH200" s="51"/>
      <c r="AI200" s="51"/>
    </row>
    <row r="201" spans="1:35" x14ac:dyDescent="0.2">
      <c r="A201" s="223">
        <v>1</v>
      </c>
      <c r="B201" s="405" t="s">
        <v>1132</v>
      </c>
      <c r="C201" s="405" t="s">
        <v>1572</v>
      </c>
      <c r="D201" s="237" t="s">
        <v>1131</v>
      </c>
      <c r="E201" s="237" t="s">
        <v>1061</v>
      </c>
      <c r="F201" s="51" t="s">
        <v>1061</v>
      </c>
      <c r="G201" s="51">
        <v>368640</v>
      </c>
      <c r="H201" s="51"/>
      <c r="I201" s="51">
        <v>0</v>
      </c>
      <c r="J201" s="51"/>
      <c r="K201" s="51">
        <v>0</v>
      </c>
      <c r="L201" s="51"/>
      <c r="M201" s="818">
        <v>368640</v>
      </c>
      <c r="N201" s="51"/>
      <c r="O201" s="51">
        <v>0</v>
      </c>
      <c r="P201" s="51"/>
      <c r="Q201" s="51">
        <v>0</v>
      </c>
      <c r="R201" s="51"/>
      <c r="S201" s="51">
        <v>0</v>
      </c>
      <c r="T201" s="51"/>
      <c r="U201" s="51">
        <v>0</v>
      </c>
      <c r="V201" s="51"/>
      <c r="W201" s="51">
        <v>368640</v>
      </c>
      <c r="X201" s="51"/>
      <c r="Y201" s="51">
        <v>0</v>
      </c>
      <c r="Z201" s="51"/>
      <c r="AA201" s="51">
        <v>0</v>
      </c>
      <c r="AB201" s="51" t="s">
        <v>1114</v>
      </c>
      <c r="AC201" s="51"/>
      <c r="AD201" s="51"/>
      <c r="AE201" s="51"/>
      <c r="AF201" s="51"/>
      <c r="AG201" s="51"/>
      <c r="AH201" s="51"/>
      <c r="AI201" s="51"/>
    </row>
    <row r="202" spans="1:35" x14ac:dyDescent="0.2">
      <c r="A202" s="223">
        <v>2</v>
      </c>
      <c r="B202" s="405" t="s">
        <v>397</v>
      </c>
      <c r="C202" s="405" t="s">
        <v>1433</v>
      </c>
      <c r="D202" s="237" t="s">
        <v>396</v>
      </c>
      <c r="E202" s="237" t="s">
        <v>837</v>
      </c>
      <c r="F202" s="51" t="s">
        <v>837</v>
      </c>
      <c r="G202" s="51">
        <v>0</v>
      </c>
      <c r="H202" s="51"/>
      <c r="I202" s="51">
        <v>0</v>
      </c>
      <c r="J202" s="51"/>
      <c r="K202" s="51">
        <v>0</v>
      </c>
      <c r="L202" s="51"/>
      <c r="M202" s="818">
        <v>0</v>
      </c>
      <c r="N202" s="51"/>
      <c r="O202" s="51">
        <v>0</v>
      </c>
      <c r="P202" s="51"/>
      <c r="Q202" s="51">
        <v>0</v>
      </c>
      <c r="R202" s="51"/>
      <c r="S202" s="51">
        <v>0</v>
      </c>
      <c r="T202" s="51"/>
      <c r="U202" s="51">
        <v>0</v>
      </c>
      <c r="V202" s="51"/>
      <c r="W202" s="51">
        <v>0</v>
      </c>
      <c r="X202" s="51"/>
      <c r="Y202" s="51">
        <v>0</v>
      </c>
      <c r="Z202" s="51"/>
      <c r="AA202" s="51">
        <v>0</v>
      </c>
      <c r="AB202" s="51" t="s">
        <v>1114</v>
      </c>
      <c r="AC202" s="51"/>
      <c r="AD202" s="51"/>
      <c r="AE202" s="51"/>
      <c r="AF202" s="51"/>
      <c r="AG202" s="51"/>
      <c r="AH202" s="51"/>
      <c r="AI202" s="51"/>
    </row>
    <row r="203" spans="1:35" x14ac:dyDescent="0.2">
      <c r="A203" s="223">
        <v>3</v>
      </c>
      <c r="B203" s="405" t="s">
        <v>399</v>
      </c>
      <c r="C203" s="405" t="s">
        <v>1434</v>
      </c>
      <c r="D203" s="237" t="s">
        <v>398</v>
      </c>
      <c r="E203" s="237" t="s">
        <v>805</v>
      </c>
      <c r="F203" s="51" t="s">
        <v>805</v>
      </c>
      <c r="G203" s="51">
        <v>207013</v>
      </c>
      <c r="H203" s="51"/>
      <c r="I203" s="51">
        <v>-2277</v>
      </c>
      <c r="J203" s="51"/>
      <c r="K203" s="51">
        <v>-9730</v>
      </c>
      <c r="L203" s="51"/>
      <c r="M203" s="818">
        <v>195006</v>
      </c>
      <c r="N203" s="51"/>
      <c r="O203" s="51">
        <v>0</v>
      </c>
      <c r="P203" s="51"/>
      <c r="Q203" s="51">
        <v>0</v>
      </c>
      <c r="R203" s="51"/>
      <c r="S203" s="51">
        <v>-36187</v>
      </c>
      <c r="T203" s="51"/>
      <c r="U203" s="51">
        <v>0</v>
      </c>
      <c r="V203" s="51"/>
      <c r="W203" s="51">
        <v>158819</v>
      </c>
      <c r="X203" s="51"/>
      <c r="Y203" s="51">
        <v>0</v>
      </c>
      <c r="Z203" s="51"/>
      <c r="AA203" s="51">
        <v>0</v>
      </c>
      <c r="AB203" s="51" t="s">
        <v>1114</v>
      </c>
      <c r="AC203" s="51"/>
      <c r="AD203" s="51"/>
      <c r="AE203" s="51"/>
      <c r="AF203" s="51"/>
      <c r="AG203" s="51"/>
      <c r="AH203" s="51"/>
      <c r="AI203" s="51"/>
    </row>
    <row r="204" spans="1:35" x14ac:dyDescent="0.2">
      <c r="A204" s="223">
        <v>4</v>
      </c>
      <c r="B204" s="405" t="s">
        <v>399</v>
      </c>
      <c r="C204" s="405" t="s">
        <v>1435</v>
      </c>
      <c r="D204" s="237" t="s">
        <v>398</v>
      </c>
      <c r="E204" s="237" t="s">
        <v>1062</v>
      </c>
      <c r="F204" s="51" t="s">
        <v>1062</v>
      </c>
      <c r="G204" s="51">
        <v>67574</v>
      </c>
      <c r="H204" s="51"/>
      <c r="I204" s="51">
        <v>-743</v>
      </c>
      <c r="J204" s="51"/>
      <c r="K204" s="51">
        <v>-3176</v>
      </c>
      <c r="L204" s="51"/>
      <c r="M204" s="818">
        <v>63655</v>
      </c>
      <c r="N204" s="51"/>
      <c r="O204" s="51">
        <v>0</v>
      </c>
      <c r="P204" s="51"/>
      <c r="Q204" s="51">
        <v>0</v>
      </c>
      <c r="R204" s="51"/>
      <c r="S204" s="51">
        <v>0</v>
      </c>
      <c r="T204" s="51"/>
      <c r="U204" s="51">
        <v>77591</v>
      </c>
      <c r="V204" s="51"/>
      <c r="W204" s="51">
        <v>0</v>
      </c>
      <c r="X204" s="51"/>
      <c r="Y204" s="51">
        <v>0</v>
      </c>
      <c r="Z204" s="51"/>
      <c r="AA204" s="51">
        <v>0</v>
      </c>
      <c r="AB204" s="51" t="s">
        <v>1114</v>
      </c>
      <c r="AC204" s="51"/>
      <c r="AD204" s="51"/>
      <c r="AE204" s="51"/>
      <c r="AF204" s="51"/>
      <c r="AG204" s="51"/>
      <c r="AH204" s="51"/>
      <c r="AI204" s="51"/>
    </row>
    <row r="205" spans="1:35" x14ac:dyDescent="0.2">
      <c r="A205" s="223">
        <v>5</v>
      </c>
      <c r="B205" s="405" t="s">
        <v>401</v>
      </c>
      <c r="C205" s="405" t="s">
        <v>1436</v>
      </c>
      <c r="D205" s="237" t="s">
        <v>400</v>
      </c>
      <c r="E205" s="237" t="s">
        <v>1063</v>
      </c>
      <c r="F205" s="51" t="s">
        <v>1063</v>
      </c>
      <c r="G205" s="51">
        <v>229264</v>
      </c>
      <c r="H205" s="51"/>
      <c r="I205" s="51">
        <v>0</v>
      </c>
      <c r="J205" s="51"/>
      <c r="K205" s="51">
        <v>0</v>
      </c>
      <c r="L205" s="51"/>
      <c r="M205" s="818">
        <v>229264</v>
      </c>
      <c r="N205" s="51"/>
      <c r="O205" s="51">
        <v>0</v>
      </c>
      <c r="P205" s="51"/>
      <c r="Q205" s="51">
        <v>0</v>
      </c>
      <c r="R205" s="51"/>
      <c r="S205" s="51">
        <v>-146</v>
      </c>
      <c r="T205" s="51"/>
      <c r="U205" s="51">
        <v>290406</v>
      </c>
      <c r="V205" s="51"/>
      <c r="W205" s="51">
        <v>0</v>
      </c>
      <c r="X205" s="51"/>
      <c r="Y205" s="51">
        <v>0</v>
      </c>
      <c r="Z205" s="51"/>
      <c r="AA205" s="51">
        <v>0</v>
      </c>
      <c r="AB205" s="51" t="s">
        <v>1114</v>
      </c>
      <c r="AC205" s="51"/>
      <c r="AD205" s="51"/>
      <c r="AE205" s="51"/>
      <c r="AF205" s="51"/>
      <c r="AG205" s="51"/>
      <c r="AH205" s="51"/>
      <c r="AI205" s="51"/>
    </row>
    <row r="206" spans="1:35" x14ac:dyDescent="0.2">
      <c r="A206" s="223">
        <v>1</v>
      </c>
      <c r="B206" s="405" t="s">
        <v>401</v>
      </c>
      <c r="C206" s="405" t="s">
        <v>1437</v>
      </c>
      <c r="D206" s="237" t="s">
        <v>400</v>
      </c>
      <c r="E206" s="237" t="s">
        <v>1064</v>
      </c>
      <c r="F206" s="51" t="s">
        <v>1064</v>
      </c>
      <c r="G206" s="51">
        <v>61785</v>
      </c>
      <c r="H206" s="51"/>
      <c r="I206" s="51">
        <v>0</v>
      </c>
      <c r="J206" s="51"/>
      <c r="K206" s="51">
        <v>0</v>
      </c>
      <c r="L206" s="51"/>
      <c r="M206" s="818">
        <v>61785</v>
      </c>
      <c r="N206" s="51"/>
      <c r="O206" s="51">
        <v>0</v>
      </c>
      <c r="P206" s="51"/>
      <c r="Q206" s="51">
        <v>0</v>
      </c>
      <c r="R206" s="51"/>
      <c r="S206" s="51">
        <v>0</v>
      </c>
      <c r="T206" s="51"/>
      <c r="U206" s="51">
        <v>0</v>
      </c>
      <c r="V206" s="51"/>
      <c r="W206" s="51">
        <v>61785</v>
      </c>
      <c r="X206" s="51"/>
      <c r="Y206" s="51">
        <v>258778</v>
      </c>
      <c r="Z206" s="51"/>
      <c r="AA206" s="51">
        <v>258778</v>
      </c>
      <c r="AB206" s="51" t="s">
        <v>1114</v>
      </c>
      <c r="AC206" s="51"/>
      <c r="AD206" s="51"/>
      <c r="AE206" s="51"/>
      <c r="AF206" s="51"/>
      <c r="AG206" s="51"/>
      <c r="AH206" s="51"/>
      <c r="AI206" s="51"/>
    </row>
    <row r="207" spans="1:35" x14ac:dyDescent="0.2">
      <c r="A207" s="223">
        <v>2</v>
      </c>
      <c r="B207" s="405" t="s">
        <v>401</v>
      </c>
      <c r="C207" s="405" t="s">
        <v>1438</v>
      </c>
      <c r="D207" s="237" t="s">
        <v>400</v>
      </c>
      <c r="E207" s="237" t="s">
        <v>1065</v>
      </c>
      <c r="F207" s="51" t="s">
        <v>1065</v>
      </c>
      <c r="G207" s="51">
        <v>436504</v>
      </c>
      <c r="H207" s="51"/>
      <c r="I207" s="51">
        <v>0</v>
      </c>
      <c r="J207" s="51"/>
      <c r="K207" s="51">
        <v>0</v>
      </c>
      <c r="L207" s="51"/>
      <c r="M207" s="818">
        <v>436504</v>
      </c>
      <c r="N207" s="51"/>
      <c r="O207" s="51">
        <v>0</v>
      </c>
      <c r="P207" s="51"/>
      <c r="Q207" s="51">
        <v>0</v>
      </c>
      <c r="R207" s="51"/>
      <c r="S207" s="51">
        <v>0</v>
      </c>
      <c r="T207" s="51"/>
      <c r="U207" s="51">
        <v>51210</v>
      </c>
      <c r="V207" s="51"/>
      <c r="W207" s="51">
        <v>385294</v>
      </c>
      <c r="X207" s="51"/>
      <c r="Y207" s="51">
        <v>90757</v>
      </c>
      <c r="Z207" s="51"/>
      <c r="AA207" s="51">
        <v>90757</v>
      </c>
      <c r="AB207" s="51" t="s">
        <v>1114</v>
      </c>
      <c r="AC207" s="51"/>
      <c r="AD207" s="51"/>
      <c r="AE207" s="51"/>
      <c r="AF207" s="51"/>
      <c r="AG207" s="51"/>
      <c r="AH207" s="51"/>
      <c r="AI207" s="51"/>
    </row>
    <row r="208" spans="1:35" x14ac:dyDescent="0.2">
      <c r="A208" s="223">
        <v>3</v>
      </c>
      <c r="B208" s="405" t="s">
        <v>401</v>
      </c>
      <c r="C208" s="405" t="s">
        <v>1439</v>
      </c>
      <c r="D208" s="237" t="s">
        <v>400</v>
      </c>
      <c r="E208" s="237" t="s">
        <v>1066</v>
      </c>
      <c r="F208" s="51" t="s">
        <v>1066</v>
      </c>
      <c r="G208" s="51">
        <v>631103</v>
      </c>
      <c r="H208" s="51"/>
      <c r="I208" s="51">
        <v>0</v>
      </c>
      <c r="J208" s="51"/>
      <c r="K208" s="51">
        <v>0</v>
      </c>
      <c r="L208" s="51"/>
      <c r="M208" s="818">
        <v>631103</v>
      </c>
      <c r="N208" s="51"/>
      <c r="O208" s="51">
        <v>0</v>
      </c>
      <c r="P208" s="51"/>
      <c r="Q208" s="51">
        <v>0</v>
      </c>
      <c r="R208" s="51"/>
      <c r="S208" s="51">
        <v>0</v>
      </c>
      <c r="T208" s="51"/>
      <c r="U208" s="51">
        <v>18551</v>
      </c>
      <c r="V208" s="51"/>
      <c r="W208" s="51">
        <v>612552</v>
      </c>
      <c r="X208" s="51"/>
      <c r="Y208" s="51">
        <v>0</v>
      </c>
      <c r="Z208" s="51"/>
      <c r="AA208" s="51">
        <v>0</v>
      </c>
      <c r="AB208" s="51" t="s">
        <v>1114</v>
      </c>
      <c r="AC208" s="51"/>
      <c r="AD208" s="51"/>
      <c r="AE208" s="51"/>
      <c r="AF208" s="51"/>
      <c r="AG208" s="51"/>
      <c r="AH208" s="51"/>
      <c r="AI208" s="51"/>
    </row>
    <row r="209" spans="1:35" x14ac:dyDescent="0.2">
      <c r="A209" s="223">
        <v>1</v>
      </c>
      <c r="B209" s="405" t="s">
        <v>401</v>
      </c>
      <c r="C209" s="405" t="s">
        <v>1440</v>
      </c>
      <c r="D209" s="237" t="s">
        <v>400</v>
      </c>
      <c r="E209" s="237" t="s">
        <v>1067</v>
      </c>
      <c r="F209" s="51" t="s">
        <v>1067</v>
      </c>
      <c r="G209" s="51">
        <v>45093</v>
      </c>
      <c r="H209" s="51"/>
      <c r="I209" s="51">
        <v>0</v>
      </c>
      <c r="J209" s="51"/>
      <c r="K209" s="51">
        <v>0</v>
      </c>
      <c r="L209" s="51"/>
      <c r="M209" s="818">
        <v>45093</v>
      </c>
      <c r="N209" s="51"/>
      <c r="O209" s="51">
        <v>0</v>
      </c>
      <c r="P209" s="51"/>
      <c r="Q209" s="51">
        <v>0</v>
      </c>
      <c r="R209" s="51"/>
      <c r="S209" s="51">
        <v>7270</v>
      </c>
      <c r="T209" s="51"/>
      <c r="U209" s="51">
        <v>35755</v>
      </c>
      <c r="V209" s="51"/>
      <c r="W209" s="51">
        <v>16608</v>
      </c>
      <c r="X209" s="51"/>
      <c r="Y209" s="51">
        <v>0</v>
      </c>
      <c r="Z209" s="51"/>
      <c r="AA209" s="51">
        <v>0</v>
      </c>
      <c r="AB209" s="51" t="s">
        <v>1114</v>
      </c>
      <c r="AC209" s="51"/>
      <c r="AD209" s="51"/>
      <c r="AE209" s="51"/>
      <c r="AF209" s="51"/>
      <c r="AG209" s="51"/>
      <c r="AH209" s="51"/>
      <c r="AI209" s="51"/>
    </row>
    <row r="210" spans="1:35" x14ac:dyDescent="0.2">
      <c r="A210" s="223">
        <v>1</v>
      </c>
      <c r="B210" s="405" t="s">
        <v>407</v>
      </c>
      <c r="C210" s="405" t="s">
        <v>1441</v>
      </c>
      <c r="D210" s="237" t="s">
        <v>406</v>
      </c>
      <c r="E210" s="237" t="s">
        <v>816</v>
      </c>
      <c r="F210" s="51" t="s">
        <v>816</v>
      </c>
      <c r="G210" s="51">
        <v>950165</v>
      </c>
      <c r="H210" s="51"/>
      <c r="I210" s="51">
        <v>0</v>
      </c>
      <c r="J210" s="51"/>
      <c r="K210" s="51">
        <v>0</v>
      </c>
      <c r="L210" s="51"/>
      <c r="M210" s="818">
        <v>950165</v>
      </c>
      <c r="N210" s="51"/>
      <c r="O210" s="51">
        <v>0</v>
      </c>
      <c r="P210" s="51"/>
      <c r="Q210" s="51">
        <v>0</v>
      </c>
      <c r="R210" s="51"/>
      <c r="S210" s="51">
        <v>0</v>
      </c>
      <c r="T210" s="51"/>
      <c r="U210" s="51">
        <v>144320</v>
      </c>
      <c r="V210" s="51"/>
      <c r="W210" s="51">
        <v>805845</v>
      </c>
      <c r="X210" s="51"/>
      <c r="Y210" s="51">
        <v>0</v>
      </c>
      <c r="Z210" s="51"/>
      <c r="AA210" s="51">
        <v>0</v>
      </c>
      <c r="AB210" s="51" t="s">
        <v>1114</v>
      </c>
      <c r="AC210" s="51"/>
      <c r="AD210" s="51"/>
      <c r="AE210" s="51"/>
      <c r="AF210" s="51"/>
      <c r="AG210" s="51"/>
      <c r="AH210" s="51"/>
      <c r="AI210" s="51"/>
    </row>
    <row r="211" spans="1:35" x14ac:dyDescent="0.2">
      <c r="A211" s="223">
        <v>2</v>
      </c>
      <c r="B211" s="405" t="s">
        <v>407</v>
      </c>
      <c r="C211" s="405" t="s">
        <v>1442</v>
      </c>
      <c r="D211" s="237" t="s">
        <v>406</v>
      </c>
      <c r="E211" s="237" t="s">
        <v>1068</v>
      </c>
      <c r="F211" s="51" t="s">
        <v>1068</v>
      </c>
      <c r="G211" s="51">
        <v>0</v>
      </c>
      <c r="H211" s="51"/>
      <c r="I211" s="51">
        <v>0</v>
      </c>
      <c r="J211" s="51"/>
      <c r="K211" s="51">
        <v>0</v>
      </c>
      <c r="L211" s="51"/>
      <c r="M211" s="818">
        <v>0</v>
      </c>
      <c r="N211" s="51"/>
      <c r="O211" s="51">
        <v>0</v>
      </c>
      <c r="P211" s="51"/>
      <c r="Q211" s="51">
        <v>0</v>
      </c>
      <c r="R211" s="51"/>
      <c r="S211" s="51">
        <v>0</v>
      </c>
      <c r="T211" s="51"/>
      <c r="U211" s="51">
        <v>0</v>
      </c>
      <c r="V211" s="51"/>
      <c r="W211" s="51">
        <v>0</v>
      </c>
      <c r="X211" s="51"/>
      <c r="Y211" s="51">
        <v>0</v>
      </c>
      <c r="Z211" s="51"/>
      <c r="AA211" s="51">
        <v>0</v>
      </c>
      <c r="AB211" s="51" t="s">
        <v>1114</v>
      </c>
      <c r="AC211" s="51"/>
      <c r="AD211" s="51"/>
      <c r="AE211" s="51"/>
      <c r="AF211" s="51"/>
      <c r="AG211" s="51"/>
      <c r="AH211" s="51"/>
      <c r="AI211" s="51"/>
    </row>
    <row r="212" spans="1:35" x14ac:dyDescent="0.2">
      <c r="A212" s="223">
        <v>3</v>
      </c>
      <c r="B212" s="405" t="s">
        <v>407</v>
      </c>
      <c r="C212" s="405" t="s">
        <v>1443</v>
      </c>
      <c r="D212" s="237" t="s">
        <v>406</v>
      </c>
      <c r="E212" s="237" t="s">
        <v>1107</v>
      </c>
      <c r="F212" s="51" t="s">
        <v>1107</v>
      </c>
      <c r="G212" s="51">
        <v>916070</v>
      </c>
      <c r="H212" s="51"/>
      <c r="I212" s="51">
        <v>0</v>
      </c>
      <c r="J212" s="51"/>
      <c r="K212" s="51">
        <v>0</v>
      </c>
      <c r="L212" s="51"/>
      <c r="M212" s="818">
        <v>916070</v>
      </c>
      <c r="N212" s="51"/>
      <c r="O212" s="51">
        <v>0</v>
      </c>
      <c r="P212" s="51"/>
      <c r="Q212" s="51">
        <v>0</v>
      </c>
      <c r="R212" s="51"/>
      <c r="S212" s="51">
        <v>0</v>
      </c>
      <c r="T212" s="51"/>
      <c r="U212" s="51">
        <v>0</v>
      </c>
      <c r="V212" s="51"/>
      <c r="W212" s="51">
        <v>916070</v>
      </c>
      <c r="X212" s="51"/>
      <c r="Y212" s="51">
        <v>0</v>
      </c>
      <c r="Z212" s="51"/>
      <c r="AA212" s="51">
        <v>0</v>
      </c>
      <c r="AB212" s="51" t="s">
        <v>1114</v>
      </c>
      <c r="AC212" s="51"/>
      <c r="AD212" s="51"/>
      <c r="AE212" s="51"/>
      <c r="AF212" s="51"/>
      <c r="AG212" s="51"/>
      <c r="AH212" s="51"/>
      <c r="AI212" s="51"/>
    </row>
    <row r="213" spans="1:35" x14ac:dyDescent="0.2">
      <c r="A213" s="223">
        <v>4</v>
      </c>
      <c r="B213" s="405" t="s">
        <v>439</v>
      </c>
      <c r="C213" s="405" t="s">
        <v>1444</v>
      </c>
      <c r="D213" s="237" t="s">
        <v>438</v>
      </c>
      <c r="E213" s="237" t="s">
        <v>1024</v>
      </c>
      <c r="F213" s="51" t="s">
        <v>1024</v>
      </c>
      <c r="G213" s="51">
        <v>0</v>
      </c>
      <c r="H213" s="51"/>
      <c r="I213" s="51">
        <v>0</v>
      </c>
      <c r="J213" s="51"/>
      <c r="K213" s="51">
        <v>0</v>
      </c>
      <c r="L213" s="51"/>
      <c r="M213" s="818">
        <v>0</v>
      </c>
      <c r="N213" s="51"/>
      <c r="O213" s="51">
        <v>0</v>
      </c>
      <c r="P213" s="51"/>
      <c r="Q213" s="51">
        <v>0</v>
      </c>
      <c r="R213" s="51"/>
      <c r="S213" s="51">
        <v>0</v>
      </c>
      <c r="T213" s="51"/>
      <c r="U213" s="51">
        <v>0</v>
      </c>
      <c r="V213" s="51"/>
      <c r="W213" s="51">
        <v>0</v>
      </c>
      <c r="X213" s="51"/>
      <c r="Y213" s="51">
        <v>0</v>
      </c>
      <c r="Z213" s="51"/>
      <c r="AA213" s="51">
        <v>0</v>
      </c>
      <c r="AB213" s="51" t="s">
        <v>1114</v>
      </c>
      <c r="AC213" s="51"/>
      <c r="AD213" s="51"/>
      <c r="AE213" s="51"/>
      <c r="AF213" s="51"/>
      <c r="AG213" s="51"/>
      <c r="AH213" s="51"/>
      <c r="AI213" s="51"/>
    </row>
    <row r="214" spans="1:35" x14ac:dyDescent="0.2">
      <c r="A214" s="223">
        <v>5</v>
      </c>
      <c r="B214" s="405" t="s">
        <v>453</v>
      </c>
      <c r="C214" s="405" t="s">
        <v>1445</v>
      </c>
      <c r="D214" s="237" t="s">
        <v>452</v>
      </c>
      <c r="E214" s="237" t="s">
        <v>820</v>
      </c>
      <c r="F214" s="51" t="s">
        <v>820</v>
      </c>
      <c r="G214" s="51">
        <v>3443213</v>
      </c>
      <c r="H214" s="51"/>
      <c r="I214" s="51">
        <v>-34432</v>
      </c>
      <c r="J214" s="51"/>
      <c r="K214" s="51">
        <v>-172161</v>
      </c>
      <c r="L214" s="51"/>
      <c r="M214" s="818">
        <v>3236620</v>
      </c>
      <c r="N214" s="51"/>
      <c r="O214" s="51">
        <v>0</v>
      </c>
      <c r="P214" s="51"/>
      <c r="Q214" s="51">
        <v>0</v>
      </c>
      <c r="R214" s="51"/>
      <c r="S214" s="51">
        <v>2882</v>
      </c>
      <c r="T214" s="51"/>
      <c r="U214" s="51">
        <v>1358969</v>
      </c>
      <c r="V214" s="51"/>
      <c r="W214" s="51">
        <v>1880533</v>
      </c>
      <c r="X214" s="51"/>
      <c r="Y214" s="51">
        <v>517146</v>
      </c>
      <c r="Z214" s="51"/>
      <c r="AA214" s="51">
        <v>517146</v>
      </c>
      <c r="AB214" s="51" t="s">
        <v>1114</v>
      </c>
      <c r="AC214" s="51"/>
      <c r="AD214" s="51"/>
      <c r="AE214" s="51"/>
      <c r="AF214" s="51"/>
      <c r="AG214" s="51"/>
      <c r="AH214" s="51"/>
      <c r="AI214" s="51"/>
    </row>
    <row r="215" spans="1:35" x14ac:dyDescent="0.2">
      <c r="A215" s="223">
        <v>6</v>
      </c>
      <c r="B215" s="405" t="s">
        <v>453</v>
      </c>
      <c r="C215" s="405" t="s">
        <v>1446</v>
      </c>
      <c r="D215" s="237" t="s">
        <v>452</v>
      </c>
      <c r="E215" s="237" t="s">
        <v>1069</v>
      </c>
      <c r="F215" s="51" t="s">
        <v>1069</v>
      </c>
      <c r="G215" s="51">
        <v>0</v>
      </c>
      <c r="H215" s="51"/>
      <c r="I215" s="51">
        <v>0</v>
      </c>
      <c r="J215" s="51"/>
      <c r="K215" s="51">
        <v>0</v>
      </c>
      <c r="L215" s="51"/>
      <c r="M215" s="818">
        <v>0</v>
      </c>
      <c r="N215" s="51"/>
      <c r="O215" s="51">
        <v>0</v>
      </c>
      <c r="P215" s="51"/>
      <c r="Q215" s="51">
        <v>0</v>
      </c>
      <c r="R215" s="51"/>
      <c r="S215" s="51">
        <v>0</v>
      </c>
      <c r="T215" s="51"/>
      <c r="U215" s="51">
        <v>612991</v>
      </c>
      <c r="V215" s="51"/>
      <c r="W215" s="51">
        <v>0</v>
      </c>
      <c r="X215" s="51"/>
      <c r="Y215" s="51">
        <v>0</v>
      </c>
      <c r="Z215" s="51"/>
      <c r="AA215" s="51">
        <v>0</v>
      </c>
      <c r="AB215" s="51" t="s">
        <v>1114</v>
      </c>
      <c r="AC215" s="51"/>
      <c r="AD215" s="51"/>
      <c r="AE215" s="51"/>
      <c r="AF215" s="51"/>
      <c r="AG215" s="51"/>
      <c r="AH215" s="51"/>
      <c r="AI215" s="51"/>
    </row>
    <row r="216" spans="1:35" x14ac:dyDescent="0.2">
      <c r="A216" s="223">
        <v>7</v>
      </c>
      <c r="B216" s="405" t="s">
        <v>453</v>
      </c>
      <c r="C216" s="405" t="s">
        <v>1447</v>
      </c>
      <c r="D216" s="237" t="s">
        <v>452</v>
      </c>
      <c r="E216" s="237" t="s">
        <v>1070</v>
      </c>
      <c r="F216" s="51" t="s">
        <v>1070</v>
      </c>
      <c r="G216" s="51">
        <v>718120</v>
      </c>
      <c r="H216" s="51"/>
      <c r="I216" s="51">
        <v>-7181</v>
      </c>
      <c r="J216" s="51"/>
      <c r="K216" s="51">
        <v>-35906</v>
      </c>
      <c r="L216" s="51"/>
      <c r="M216" s="818">
        <v>675033</v>
      </c>
      <c r="N216" s="51"/>
      <c r="O216" s="51">
        <v>0</v>
      </c>
      <c r="P216" s="51"/>
      <c r="Q216" s="51">
        <v>0</v>
      </c>
      <c r="R216" s="51"/>
      <c r="S216" s="51">
        <v>0</v>
      </c>
      <c r="T216" s="51"/>
      <c r="U216" s="51">
        <v>0</v>
      </c>
      <c r="V216" s="51"/>
      <c r="W216" s="51">
        <v>675033</v>
      </c>
      <c r="X216" s="51"/>
      <c r="Y216" s="51">
        <v>55000</v>
      </c>
      <c r="Z216" s="51"/>
      <c r="AA216" s="51">
        <v>55000</v>
      </c>
      <c r="AB216" s="51" t="s">
        <v>1114</v>
      </c>
      <c r="AC216" s="51"/>
      <c r="AD216" s="51"/>
      <c r="AE216" s="51"/>
      <c r="AF216" s="51"/>
      <c r="AG216" s="51"/>
      <c r="AH216" s="51"/>
      <c r="AI216" s="51"/>
    </row>
    <row r="217" spans="1:35" x14ac:dyDescent="0.2">
      <c r="A217" s="223">
        <v>8</v>
      </c>
      <c r="B217" s="405" t="s">
        <v>453</v>
      </c>
      <c r="C217" s="405" t="s">
        <v>1448</v>
      </c>
      <c r="D217" s="237" t="s">
        <v>452</v>
      </c>
      <c r="E217" s="237" t="s">
        <v>1071</v>
      </c>
      <c r="F217" s="51" t="s">
        <v>1071</v>
      </c>
      <c r="G217" s="51">
        <v>0</v>
      </c>
      <c r="H217" s="51"/>
      <c r="I217" s="51">
        <v>0</v>
      </c>
      <c r="J217" s="51"/>
      <c r="K217" s="51">
        <v>0</v>
      </c>
      <c r="L217" s="51"/>
      <c r="M217" s="818">
        <v>0</v>
      </c>
      <c r="N217" s="51"/>
      <c r="O217" s="51">
        <v>0</v>
      </c>
      <c r="P217" s="51"/>
      <c r="Q217" s="51">
        <v>0</v>
      </c>
      <c r="R217" s="51"/>
      <c r="S217" s="51">
        <v>0</v>
      </c>
      <c r="T217" s="51"/>
      <c r="U217" s="51">
        <v>0</v>
      </c>
      <c r="V217" s="51"/>
      <c r="W217" s="51">
        <v>0</v>
      </c>
      <c r="X217" s="51"/>
      <c r="Y217" s="51">
        <v>0</v>
      </c>
      <c r="Z217" s="51"/>
      <c r="AA217" s="51">
        <v>0</v>
      </c>
      <c r="AB217" s="51" t="s">
        <v>1114</v>
      </c>
      <c r="AC217" s="51"/>
      <c r="AD217" s="51"/>
      <c r="AE217" s="51"/>
      <c r="AF217" s="51"/>
      <c r="AG217" s="51"/>
      <c r="AH217" s="51"/>
      <c r="AI217" s="51"/>
    </row>
    <row r="218" spans="1:35" x14ac:dyDescent="0.2">
      <c r="A218" s="223">
        <v>9</v>
      </c>
      <c r="B218" s="405" t="s">
        <v>453</v>
      </c>
      <c r="C218" s="405" t="s">
        <v>1449</v>
      </c>
      <c r="D218" s="237" t="s">
        <v>452</v>
      </c>
      <c r="E218" s="237" t="s">
        <v>1072</v>
      </c>
      <c r="F218" s="51" t="s">
        <v>1072</v>
      </c>
      <c r="G218" s="51">
        <v>0</v>
      </c>
      <c r="H218" s="51"/>
      <c r="I218" s="51">
        <v>0</v>
      </c>
      <c r="J218" s="51"/>
      <c r="K218" s="51">
        <v>0</v>
      </c>
      <c r="L218" s="51"/>
      <c r="M218" s="818">
        <v>0</v>
      </c>
      <c r="N218" s="51"/>
      <c r="O218" s="51">
        <v>0</v>
      </c>
      <c r="P218" s="51"/>
      <c r="Q218" s="51">
        <v>0</v>
      </c>
      <c r="R218" s="51"/>
      <c r="S218" s="51">
        <v>0</v>
      </c>
      <c r="T218" s="51"/>
      <c r="U218" s="51">
        <v>0</v>
      </c>
      <c r="V218" s="51"/>
      <c r="W218" s="51">
        <v>0</v>
      </c>
      <c r="X218" s="51"/>
      <c r="Y218" s="51">
        <v>0</v>
      </c>
      <c r="Z218" s="51"/>
      <c r="AA218" s="51">
        <v>0</v>
      </c>
      <c r="AB218" s="51" t="s">
        <v>1114</v>
      </c>
      <c r="AC218" s="51"/>
      <c r="AD218" s="51"/>
      <c r="AE218" s="51"/>
      <c r="AF218" s="51"/>
      <c r="AG218" s="51"/>
      <c r="AH218" s="51"/>
      <c r="AI218" s="51"/>
    </row>
    <row r="219" spans="1:35" x14ac:dyDescent="0.2">
      <c r="A219" s="223">
        <v>10</v>
      </c>
      <c r="B219" s="405" t="s">
        <v>453</v>
      </c>
      <c r="C219" s="405" t="s">
        <v>1450</v>
      </c>
      <c r="D219" s="237" t="s">
        <v>452</v>
      </c>
      <c r="E219" s="237" t="s">
        <v>1073</v>
      </c>
      <c r="F219" s="51" t="s">
        <v>1073</v>
      </c>
      <c r="G219" s="51">
        <v>1272</v>
      </c>
      <c r="H219" s="51"/>
      <c r="I219" s="51">
        <v>-13</v>
      </c>
      <c r="J219" s="51"/>
      <c r="K219" s="51">
        <v>-63</v>
      </c>
      <c r="L219" s="51"/>
      <c r="M219" s="818">
        <v>1196</v>
      </c>
      <c r="N219" s="51"/>
      <c r="O219" s="51">
        <v>0</v>
      </c>
      <c r="P219" s="51"/>
      <c r="Q219" s="51">
        <v>0</v>
      </c>
      <c r="R219" s="51"/>
      <c r="S219" s="51">
        <v>0</v>
      </c>
      <c r="T219" s="51"/>
      <c r="U219" s="51">
        <v>1272</v>
      </c>
      <c r="V219" s="51"/>
      <c r="W219" s="51">
        <v>0</v>
      </c>
      <c r="X219" s="51"/>
      <c r="Y219" s="51">
        <v>0</v>
      </c>
      <c r="Z219" s="51"/>
      <c r="AA219" s="51">
        <v>0</v>
      </c>
      <c r="AB219" s="51" t="s">
        <v>1114</v>
      </c>
      <c r="AC219" s="51"/>
      <c r="AD219" s="51"/>
      <c r="AE219" s="51"/>
      <c r="AF219" s="51"/>
      <c r="AG219" s="51"/>
      <c r="AH219" s="51"/>
      <c r="AI219" s="51"/>
    </row>
    <row r="220" spans="1:35" x14ac:dyDescent="0.2">
      <c r="A220" s="223">
        <v>11</v>
      </c>
      <c r="B220" s="405" t="s">
        <v>453</v>
      </c>
      <c r="C220" s="405" t="s">
        <v>1451</v>
      </c>
      <c r="D220" s="237" t="s">
        <v>452</v>
      </c>
      <c r="E220" s="237" t="s">
        <v>1074</v>
      </c>
      <c r="F220" s="51" t="s">
        <v>1074</v>
      </c>
      <c r="G220" s="51">
        <v>39936</v>
      </c>
      <c r="H220" s="51"/>
      <c r="I220" s="51">
        <v>-399</v>
      </c>
      <c r="J220" s="51"/>
      <c r="K220" s="51">
        <v>-1997</v>
      </c>
      <c r="L220" s="51"/>
      <c r="M220" s="818">
        <v>37540</v>
      </c>
      <c r="N220" s="51"/>
      <c r="O220" s="51">
        <v>0</v>
      </c>
      <c r="P220" s="51"/>
      <c r="Q220" s="51">
        <v>0</v>
      </c>
      <c r="R220" s="51"/>
      <c r="S220" s="51">
        <v>0</v>
      </c>
      <c r="T220" s="51"/>
      <c r="U220" s="51">
        <v>48594</v>
      </c>
      <c r="V220" s="51"/>
      <c r="W220" s="51">
        <v>0</v>
      </c>
      <c r="X220" s="51"/>
      <c r="Y220" s="51">
        <v>0</v>
      </c>
      <c r="Z220" s="51"/>
      <c r="AA220" s="51">
        <v>0</v>
      </c>
      <c r="AB220" s="51" t="s">
        <v>1114</v>
      </c>
      <c r="AC220" s="51"/>
      <c r="AD220" s="51"/>
      <c r="AE220" s="51"/>
      <c r="AF220" s="51"/>
      <c r="AG220" s="51"/>
      <c r="AH220" s="51"/>
      <c r="AI220" s="51"/>
    </row>
    <row r="221" spans="1:35" x14ac:dyDescent="0.2">
      <c r="A221" s="223">
        <v>1</v>
      </c>
      <c r="B221" s="405" t="s">
        <v>453</v>
      </c>
      <c r="C221" s="405" t="s">
        <v>1452</v>
      </c>
      <c r="D221" s="237" t="s">
        <v>452</v>
      </c>
      <c r="E221" s="237" t="s">
        <v>1075</v>
      </c>
      <c r="F221" s="51" t="s">
        <v>1075</v>
      </c>
      <c r="G221" s="51">
        <v>264704</v>
      </c>
      <c r="H221" s="51"/>
      <c r="I221" s="51">
        <v>-2647</v>
      </c>
      <c r="J221" s="51"/>
      <c r="K221" s="51">
        <v>-13235</v>
      </c>
      <c r="L221" s="51"/>
      <c r="M221" s="818">
        <v>248822</v>
      </c>
      <c r="N221" s="51"/>
      <c r="O221" s="51">
        <v>0</v>
      </c>
      <c r="P221" s="51"/>
      <c r="Q221" s="51">
        <v>0</v>
      </c>
      <c r="R221" s="51"/>
      <c r="S221" s="51">
        <v>0</v>
      </c>
      <c r="T221" s="51"/>
      <c r="U221" s="51">
        <v>445280</v>
      </c>
      <c r="V221" s="51"/>
      <c r="W221" s="51">
        <v>0</v>
      </c>
      <c r="X221" s="51"/>
      <c r="Y221" s="51">
        <v>0</v>
      </c>
      <c r="Z221" s="51"/>
      <c r="AA221" s="51">
        <v>0</v>
      </c>
      <c r="AB221" s="51" t="s">
        <v>1114</v>
      </c>
      <c r="AC221" s="51"/>
      <c r="AD221" s="51"/>
      <c r="AE221" s="51"/>
      <c r="AF221" s="51"/>
      <c r="AG221" s="51"/>
      <c r="AH221" s="51"/>
      <c r="AI221" s="51"/>
    </row>
    <row r="222" spans="1:35" x14ac:dyDescent="0.2">
      <c r="A222" s="223">
        <v>2</v>
      </c>
      <c r="B222" s="405" t="s">
        <v>453</v>
      </c>
      <c r="C222" s="405" t="s">
        <v>1453</v>
      </c>
      <c r="D222" s="237" t="s">
        <v>452</v>
      </c>
      <c r="E222" s="237" t="s">
        <v>1076</v>
      </c>
      <c r="F222" s="51" t="s">
        <v>1076</v>
      </c>
      <c r="G222" s="51">
        <v>0</v>
      </c>
      <c r="H222" s="51"/>
      <c r="I222" s="51">
        <v>0</v>
      </c>
      <c r="J222" s="51"/>
      <c r="K222" s="51">
        <v>0</v>
      </c>
      <c r="L222" s="51"/>
      <c r="M222" s="818">
        <v>0</v>
      </c>
      <c r="N222" s="51"/>
      <c r="O222" s="51">
        <v>0</v>
      </c>
      <c r="P222" s="51"/>
      <c r="Q222" s="51">
        <v>0</v>
      </c>
      <c r="R222" s="51"/>
      <c r="S222" s="51">
        <v>0</v>
      </c>
      <c r="T222" s="51"/>
      <c r="U222" s="51">
        <v>67139</v>
      </c>
      <c r="V222" s="51"/>
      <c r="W222" s="51">
        <v>0</v>
      </c>
      <c r="X222" s="51"/>
      <c r="Y222" s="51">
        <v>0</v>
      </c>
      <c r="Z222" s="51"/>
      <c r="AA222" s="51">
        <v>0</v>
      </c>
      <c r="AB222" s="51" t="s">
        <v>1114</v>
      </c>
      <c r="AC222" s="51"/>
      <c r="AD222" s="51"/>
      <c r="AE222" s="51"/>
      <c r="AF222" s="51"/>
      <c r="AG222" s="51"/>
      <c r="AH222" s="51"/>
      <c r="AI222" s="51"/>
    </row>
    <row r="223" spans="1:35" x14ac:dyDescent="0.2">
      <c r="A223" s="223">
        <v>1</v>
      </c>
      <c r="B223" s="405" t="s">
        <v>453</v>
      </c>
      <c r="C223" s="405" t="s">
        <v>1454</v>
      </c>
      <c r="D223" s="237" t="s">
        <v>452</v>
      </c>
      <c r="E223" s="237" t="s">
        <v>1077</v>
      </c>
      <c r="F223" s="51" t="s">
        <v>1077</v>
      </c>
      <c r="G223" s="51">
        <v>0</v>
      </c>
      <c r="H223" s="51"/>
      <c r="I223" s="51">
        <v>0</v>
      </c>
      <c r="J223" s="51"/>
      <c r="K223" s="51">
        <v>0</v>
      </c>
      <c r="L223" s="51"/>
      <c r="M223" s="818">
        <v>0</v>
      </c>
      <c r="N223" s="51"/>
      <c r="O223" s="51">
        <v>0</v>
      </c>
      <c r="P223" s="51"/>
      <c r="Q223" s="51">
        <v>0</v>
      </c>
      <c r="R223" s="51"/>
      <c r="S223" s="51">
        <v>0</v>
      </c>
      <c r="T223" s="51"/>
      <c r="U223" s="51">
        <v>153754</v>
      </c>
      <c r="V223" s="51"/>
      <c r="W223" s="51">
        <v>0</v>
      </c>
      <c r="X223" s="51"/>
      <c r="Y223" s="51">
        <v>9232</v>
      </c>
      <c r="Z223" s="51"/>
      <c r="AA223" s="51">
        <v>9232</v>
      </c>
      <c r="AB223" s="51" t="s">
        <v>1114</v>
      </c>
      <c r="AC223" s="51"/>
      <c r="AD223" s="51"/>
      <c r="AE223" s="51"/>
      <c r="AF223" s="51"/>
      <c r="AG223" s="51"/>
      <c r="AH223" s="51"/>
      <c r="AI223" s="51"/>
    </row>
    <row r="224" spans="1:35" x14ac:dyDescent="0.2">
      <c r="A224" s="223">
        <v>1</v>
      </c>
      <c r="B224" s="405" t="s">
        <v>453</v>
      </c>
      <c r="C224" s="405" t="s">
        <v>1455</v>
      </c>
      <c r="D224" s="237" t="s">
        <v>452</v>
      </c>
      <c r="E224" s="237" t="s">
        <v>1078</v>
      </c>
      <c r="F224" s="51" t="s">
        <v>1078</v>
      </c>
      <c r="G224" s="51">
        <v>58752</v>
      </c>
      <c r="H224" s="51"/>
      <c r="I224" s="51">
        <v>-588</v>
      </c>
      <c r="J224" s="51"/>
      <c r="K224" s="51">
        <v>-2938</v>
      </c>
      <c r="L224" s="51"/>
      <c r="M224" s="818">
        <v>55226</v>
      </c>
      <c r="N224" s="51"/>
      <c r="O224" s="51">
        <v>0</v>
      </c>
      <c r="P224" s="51"/>
      <c r="Q224" s="51">
        <v>0</v>
      </c>
      <c r="R224" s="51"/>
      <c r="S224" s="51">
        <v>0</v>
      </c>
      <c r="T224" s="51"/>
      <c r="U224" s="51">
        <v>58811</v>
      </c>
      <c r="V224" s="51"/>
      <c r="W224" s="51">
        <v>0</v>
      </c>
      <c r="X224" s="51"/>
      <c r="Y224" s="51">
        <v>0</v>
      </c>
      <c r="Z224" s="51"/>
      <c r="AA224" s="51">
        <v>0</v>
      </c>
      <c r="AB224" s="51" t="s">
        <v>1114</v>
      </c>
      <c r="AC224" s="51"/>
      <c r="AD224" s="51"/>
      <c r="AE224" s="51"/>
      <c r="AF224" s="51"/>
      <c r="AG224" s="51"/>
      <c r="AH224" s="51"/>
      <c r="AI224" s="51"/>
    </row>
    <row r="225" spans="1:35" x14ac:dyDescent="0.2">
      <c r="A225" s="223">
        <v>1</v>
      </c>
      <c r="B225" s="405" t="s">
        <v>455</v>
      </c>
      <c r="C225" s="405" t="s">
        <v>1456</v>
      </c>
      <c r="D225" s="237" t="s">
        <v>454</v>
      </c>
      <c r="E225" s="237" t="s">
        <v>1079</v>
      </c>
      <c r="F225" s="51" t="s">
        <v>1079</v>
      </c>
      <c r="G225" s="51">
        <v>0</v>
      </c>
      <c r="H225" s="51"/>
      <c r="I225" s="51">
        <v>0</v>
      </c>
      <c r="J225" s="51"/>
      <c r="K225" s="51">
        <v>0</v>
      </c>
      <c r="L225" s="51"/>
      <c r="M225" s="818">
        <v>0</v>
      </c>
      <c r="N225" s="51"/>
      <c r="O225" s="51">
        <v>0</v>
      </c>
      <c r="P225" s="51"/>
      <c r="Q225" s="51">
        <v>0</v>
      </c>
      <c r="R225" s="51"/>
      <c r="S225" s="51">
        <v>0</v>
      </c>
      <c r="T225" s="51"/>
      <c r="U225" s="51">
        <v>0</v>
      </c>
      <c r="V225" s="51"/>
      <c r="W225" s="51">
        <v>0</v>
      </c>
      <c r="X225" s="51"/>
      <c r="Y225" s="51">
        <v>0</v>
      </c>
      <c r="Z225" s="51"/>
      <c r="AA225" s="51">
        <v>0</v>
      </c>
      <c r="AB225" s="51" t="s">
        <v>1114</v>
      </c>
      <c r="AC225" s="51"/>
      <c r="AD225" s="51"/>
      <c r="AE225" s="51"/>
      <c r="AF225" s="51"/>
      <c r="AG225" s="51"/>
      <c r="AH225" s="51"/>
      <c r="AI225" s="51"/>
    </row>
    <row r="226" spans="1:35" x14ac:dyDescent="0.2">
      <c r="A226" s="223">
        <v>1</v>
      </c>
      <c r="B226" s="405" t="s">
        <v>455</v>
      </c>
      <c r="C226" s="405" t="s">
        <v>1457</v>
      </c>
      <c r="D226" s="237" t="s">
        <v>454</v>
      </c>
      <c r="E226" s="237" t="s">
        <v>1080</v>
      </c>
      <c r="F226" s="51" t="s">
        <v>1080</v>
      </c>
      <c r="G226" s="51">
        <v>21934</v>
      </c>
      <c r="H226" s="51"/>
      <c r="I226" s="51">
        <v>0</v>
      </c>
      <c r="J226" s="51"/>
      <c r="K226" s="51">
        <v>0</v>
      </c>
      <c r="L226" s="51"/>
      <c r="M226" s="818">
        <v>21934</v>
      </c>
      <c r="N226" s="51"/>
      <c r="O226" s="51">
        <v>0</v>
      </c>
      <c r="P226" s="51"/>
      <c r="Q226" s="51">
        <v>0</v>
      </c>
      <c r="R226" s="51"/>
      <c r="S226" s="51">
        <v>0</v>
      </c>
      <c r="T226" s="51"/>
      <c r="U226" s="51">
        <v>0</v>
      </c>
      <c r="V226" s="51"/>
      <c r="W226" s="51">
        <v>21934</v>
      </c>
      <c r="X226" s="51"/>
      <c r="Y226" s="51">
        <v>112040</v>
      </c>
      <c r="Z226" s="51"/>
      <c r="AA226" s="51">
        <v>112040</v>
      </c>
      <c r="AB226" s="51" t="s">
        <v>1114</v>
      </c>
      <c r="AC226" s="51"/>
      <c r="AD226" s="51"/>
      <c r="AE226" s="51"/>
      <c r="AF226" s="51"/>
      <c r="AG226" s="51"/>
      <c r="AH226" s="51"/>
      <c r="AI226" s="51"/>
    </row>
    <row r="227" spans="1:35" x14ac:dyDescent="0.2">
      <c r="A227" s="223">
        <v>2</v>
      </c>
      <c r="B227" s="405" t="s">
        <v>457</v>
      </c>
      <c r="C227" s="405" t="s">
        <v>1458</v>
      </c>
      <c r="D227" s="237" t="s">
        <v>456</v>
      </c>
      <c r="E227" s="237" t="s">
        <v>819</v>
      </c>
      <c r="F227" s="51" t="s">
        <v>819</v>
      </c>
      <c r="G227" s="51">
        <v>202671</v>
      </c>
      <c r="H227" s="51"/>
      <c r="I227" s="51">
        <v>0</v>
      </c>
      <c r="J227" s="51"/>
      <c r="K227" s="51">
        <v>0</v>
      </c>
      <c r="L227" s="51"/>
      <c r="M227" s="818">
        <v>202671</v>
      </c>
      <c r="N227" s="51"/>
      <c r="O227" s="51">
        <v>0</v>
      </c>
      <c r="P227" s="51"/>
      <c r="Q227" s="51">
        <v>0</v>
      </c>
      <c r="R227" s="51"/>
      <c r="S227" s="51">
        <v>1679</v>
      </c>
      <c r="T227" s="51"/>
      <c r="U227" s="51">
        <v>182097</v>
      </c>
      <c r="V227" s="51"/>
      <c r="W227" s="51">
        <v>22253</v>
      </c>
      <c r="X227" s="51"/>
      <c r="Y227" s="51">
        <v>18338</v>
      </c>
      <c r="Z227" s="51"/>
      <c r="AA227" s="51">
        <v>18338</v>
      </c>
      <c r="AB227" s="51" t="s">
        <v>1114</v>
      </c>
      <c r="AC227" s="51"/>
      <c r="AD227" s="51"/>
      <c r="AE227" s="51"/>
      <c r="AF227" s="51"/>
      <c r="AG227" s="51"/>
      <c r="AH227" s="51"/>
      <c r="AI227" s="51"/>
    </row>
    <row r="228" spans="1:35" x14ac:dyDescent="0.2">
      <c r="A228" s="223">
        <v>3</v>
      </c>
      <c r="B228" s="405" t="s">
        <v>461</v>
      </c>
      <c r="C228" s="405" t="s">
        <v>1459</v>
      </c>
      <c r="D228" s="237" t="s">
        <v>460</v>
      </c>
      <c r="E228" s="237" t="s">
        <v>861</v>
      </c>
      <c r="F228" s="51" t="s">
        <v>861</v>
      </c>
      <c r="G228" s="51">
        <v>10913249</v>
      </c>
      <c r="H228" s="51"/>
      <c r="I228" s="51">
        <v>-50000</v>
      </c>
      <c r="J228" s="51"/>
      <c r="K228" s="51">
        <v>0</v>
      </c>
      <c r="L228" s="51"/>
      <c r="M228" s="818">
        <v>10863249</v>
      </c>
      <c r="N228" s="51"/>
      <c r="O228" s="51">
        <v>0</v>
      </c>
      <c r="P228" s="51"/>
      <c r="Q228" s="51">
        <v>0</v>
      </c>
      <c r="R228" s="51"/>
      <c r="S228" s="51">
        <v>56539</v>
      </c>
      <c r="T228" s="51"/>
      <c r="U228" s="51">
        <v>4504332</v>
      </c>
      <c r="V228" s="51"/>
      <c r="W228" s="51">
        <v>6415456</v>
      </c>
      <c r="X228" s="51"/>
      <c r="Y228" s="51">
        <v>0</v>
      </c>
      <c r="Z228" s="51"/>
      <c r="AA228" s="51">
        <v>0</v>
      </c>
      <c r="AB228" s="51" t="s">
        <v>1114</v>
      </c>
      <c r="AC228" s="51"/>
      <c r="AD228" s="51"/>
      <c r="AE228" s="51"/>
      <c r="AF228" s="51"/>
      <c r="AG228" s="51"/>
      <c r="AH228" s="51"/>
      <c r="AI228" s="51"/>
    </row>
    <row r="229" spans="1:35" x14ac:dyDescent="0.2">
      <c r="A229" s="223">
        <v>1</v>
      </c>
      <c r="B229" s="405" t="s">
        <v>463</v>
      </c>
      <c r="C229" s="405" t="s">
        <v>1460</v>
      </c>
      <c r="D229" s="237" t="s">
        <v>462</v>
      </c>
      <c r="E229" s="237" t="s">
        <v>1081</v>
      </c>
      <c r="F229" s="51" t="s">
        <v>1081</v>
      </c>
      <c r="G229" s="51">
        <v>1094239</v>
      </c>
      <c r="H229" s="51"/>
      <c r="I229" s="51">
        <v>-2914</v>
      </c>
      <c r="J229" s="51"/>
      <c r="K229" s="51">
        <v>-12628</v>
      </c>
      <c r="L229" s="51"/>
      <c r="M229" s="818">
        <v>1078697</v>
      </c>
      <c r="N229" s="51"/>
      <c r="O229" s="51">
        <v>0</v>
      </c>
      <c r="P229" s="51"/>
      <c r="Q229" s="51">
        <v>0</v>
      </c>
      <c r="R229" s="51"/>
      <c r="S229" s="51">
        <v>-4699</v>
      </c>
      <c r="T229" s="51"/>
      <c r="U229" s="51">
        <v>992156</v>
      </c>
      <c r="V229" s="51"/>
      <c r="W229" s="51">
        <v>81842</v>
      </c>
      <c r="X229" s="51"/>
      <c r="Y229" s="51">
        <v>298789</v>
      </c>
      <c r="Z229" s="51"/>
      <c r="AA229" s="51">
        <v>298789</v>
      </c>
      <c r="AB229" s="51" t="s">
        <v>1114</v>
      </c>
      <c r="AC229" s="51"/>
      <c r="AD229" s="51"/>
      <c r="AE229" s="51"/>
      <c r="AF229" s="51"/>
      <c r="AG229" s="51"/>
      <c r="AH229" s="51"/>
      <c r="AI229" s="51"/>
    </row>
    <row r="230" spans="1:35" x14ac:dyDescent="0.2">
      <c r="A230" s="223">
        <v>2</v>
      </c>
      <c r="B230" s="405" t="s">
        <v>1128</v>
      </c>
      <c r="C230" s="405" t="s">
        <v>1469</v>
      </c>
      <c r="D230" s="237" t="s">
        <v>1127</v>
      </c>
      <c r="E230" s="237" t="s">
        <v>803</v>
      </c>
      <c r="F230" s="51" t="s">
        <v>803</v>
      </c>
      <c r="G230" s="51">
        <v>435429</v>
      </c>
      <c r="H230" s="51"/>
      <c r="I230" s="51">
        <v>0</v>
      </c>
      <c r="J230" s="51"/>
      <c r="K230" s="51">
        <v>0</v>
      </c>
      <c r="L230" s="51"/>
      <c r="M230" s="818">
        <v>435429</v>
      </c>
      <c r="N230" s="51"/>
      <c r="O230" s="51">
        <v>0</v>
      </c>
      <c r="P230" s="51"/>
      <c r="Q230" s="51">
        <v>0</v>
      </c>
      <c r="R230" s="51"/>
      <c r="S230" s="51">
        <v>0</v>
      </c>
      <c r="T230" s="51"/>
      <c r="U230" s="51">
        <v>0</v>
      </c>
      <c r="V230" s="51"/>
      <c r="W230" s="51">
        <v>435429</v>
      </c>
      <c r="X230" s="51"/>
      <c r="Y230" s="51">
        <v>94133</v>
      </c>
      <c r="Z230" s="51"/>
      <c r="AA230" s="51">
        <v>94133</v>
      </c>
      <c r="AB230" s="51" t="s">
        <v>1114</v>
      </c>
      <c r="AC230" s="51"/>
      <c r="AD230" s="51"/>
      <c r="AE230" s="51"/>
      <c r="AF230" s="51"/>
      <c r="AG230" s="51"/>
      <c r="AH230" s="51"/>
      <c r="AI230" s="51"/>
    </row>
    <row r="231" spans="1:35" x14ac:dyDescent="0.2">
      <c r="A231" s="223">
        <v>1</v>
      </c>
      <c r="B231" s="405" t="s">
        <v>1128</v>
      </c>
      <c r="C231" s="405" t="s">
        <v>1468</v>
      </c>
      <c r="D231" s="237" t="s">
        <v>1127</v>
      </c>
      <c r="E231" s="237" t="s">
        <v>1082</v>
      </c>
      <c r="F231" s="51" t="s">
        <v>1082</v>
      </c>
      <c r="G231" s="51">
        <v>0</v>
      </c>
      <c r="H231" s="51"/>
      <c r="I231" s="51">
        <v>0</v>
      </c>
      <c r="J231" s="51"/>
      <c r="K231" s="51">
        <v>0</v>
      </c>
      <c r="L231" s="51"/>
      <c r="M231" s="818">
        <v>0</v>
      </c>
      <c r="N231" s="51"/>
      <c r="O231" s="51">
        <v>0</v>
      </c>
      <c r="P231" s="51"/>
      <c r="Q231" s="51">
        <v>0</v>
      </c>
      <c r="R231" s="51"/>
      <c r="S231" s="51">
        <v>0</v>
      </c>
      <c r="T231" s="51"/>
      <c r="U231" s="51">
        <v>14844</v>
      </c>
      <c r="V231" s="51"/>
      <c r="W231" s="51">
        <v>0</v>
      </c>
      <c r="X231" s="51"/>
      <c r="Y231" s="51">
        <v>0</v>
      </c>
      <c r="Z231" s="51"/>
      <c r="AA231" s="51">
        <v>0</v>
      </c>
      <c r="AB231" s="51" t="s">
        <v>1114</v>
      </c>
      <c r="AC231" s="51"/>
      <c r="AD231" s="51"/>
      <c r="AE231" s="51"/>
      <c r="AF231" s="51"/>
      <c r="AG231" s="51"/>
      <c r="AH231" s="51"/>
      <c r="AI231" s="51"/>
    </row>
    <row r="232" spans="1:35" x14ac:dyDescent="0.2">
      <c r="A232" s="223">
        <v>1</v>
      </c>
      <c r="B232" s="405" t="s">
        <v>1128</v>
      </c>
      <c r="C232" s="405" t="s">
        <v>1467</v>
      </c>
      <c r="D232" s="237" t="s">
        <v>1127</v>
      </c>
      <c r="E232" s="237" t="s">
        <v>1083</v>
      </c>
      <c r="F232" s="51" t="s">
        <v>1083</v>
      </c>
      <c r="G232" s="51">
        <v>0</v>
      </c>
      <c r="H232" s="51"/>
      <c r="I232" s="51">
        <v>0</v>
      </c>
      <c r="J232" s="51"/>
      <c r="K232" s="51">
        <v>0</v>
      </c>
      <c r="L232" s="51"/>
      <c r="M232" s="818">
        <v>0</v>
      </c>
      <c r="N232" s="51"/>
      <c r="O232" s="51">
        <v>0</v>
      </c>
      <c r="P232" s="51"/>
      <c r="Q232" s="51">
        <v>0</v>
      </c>
      <c r="R232" s="51"/>
      <c r="S232" s="51">
        <v>0</v>
      </c>
      <c r="T232" s="51"/>
      <c r="U232" s="51">
        <v>31031</v>
      </c>
      <c r="V232" s="51"/>
      <c r="W232" s="51">
        <v>0</v>
      </c>
      <c r="X232" s="51"/>
      <c r="Y232" s="51">
        <v>0</v>
      </c>
      <c r="Z232" s="51"/>
      <c r="AA232" s="51">
        <v>0</v>
      </c>
      <c r="AB232" s="51" t="s">
        <v>1114</v>
      </c>
      <c r="AC232" s="51"/>
      <c r="AD232" s="51"/>
      <c r="AE232" s="51"/>
      <c r="AF232" s="51"/>
      <c r="AG232" s="51"/>
      <c r="AH232" s="51"/>
      <c r="AI232" s="51"/>
    </row>
    <row r="233" spans="1:35" x14ac:dyDescent="0.2">
      <c r="A233" s="223">
        <v>1</v>
      </c>
      <c r="B233" s="405" t="s">
        <v>497</v>
      </c>
      <c r="C233" s="405" t="s">
        <v>1461</v>
      </c>
      <c r="D233" s="237" t="s">
        <v>496</v>
      </c>
      <c r="E233" s="237" t="s">
        <v>810</v>
      </c>
      <c r="F233" s="51" t="s">
        <v>810</v>
      </c>
      <c r="G233" s="51">
        <v>3298</v>
      </c>
      <c r="H233" s="51"/>
      <c r="I233" s="51">
        <v>0</v>
      </c>
      <c r="J233" s="51"/>
      <c r="K233" s="51">
        <v>0</v>
      </c>
      <c r="L233" s="51"/>
      <c r="M233" s="818">
        <v>3298</v>
      </c>
      <c r="N233" s="51"/>
      <c r="O233" s="51">
        <v>0</v>
      </c>
      <c r="P233" s="51"/>
      <c r="Q233" s="51">
        <v>0</v>
      </c>
      <c r="R233" s="51"/>
      <c r="S233" s="51">
        <v>0</v>
      </c>
      <c r="T233" s="51"/>
      <c r="U233" s="51">
        <v>0</v>
      </c>
      <c r="V233" s="51"/>
      <c r="W233" s="51">
        <v>3298</v>
      </c>
      <c r="X233" s="51"/>
      <c r="Y233" s="51">
        <v>0</v>
      </c>
      <c r="Z233" s="51"/>
      <c r="AA233" s="51">
        <v>0</v>
      </c>
      <c r="AB233" s="51" t="s">
        <v>1114</v>
      </c>
      <c r="AC233" s="51"/>
      <c r="AD233" s="51"/>
      <c r="AE233" s="51"/>
      <c r="AF233" s="51"/>
      <c r="AG233" s="51"/>
      <c r="AH233" s="51"/>
      <c r="AI233" s="51"/>
    </row>
    <row r="234" spans="1:35" s="822" customFormat="1" x14ac:dyDescent="0.2">
      <c r="A234" s="237"/>
      <c r="B234" s="319" t="s">
        <v>497</v>
      </c>
      <c r="C234" s="319" t="s">
        <v>1462</v>
      </c>
      <c r="D234" s="237" t="s">
        <v>496</v>
      </c>
      <c r="E234" s="237" t="s">
        <v>1084</v>
      </c>
      <c r="F234" s="51" t="s">
        <v>1084</v>
      </c>
      <c r="G234" s="51">
        <v>992439</v>
      </c>
      <c r="H234" s="51"/>
      <c r="I234" s="51">
        <v>0</v>
      </c>
      <c r="J234" s="51"/>
      <c r="K234" s="51">
        <v>0</v>
      </c>
      <c r="L234" s="51"/>
      <c r="M234" s="818">
        <v>992439</v>
      </c>
      <c r="N234" s="51"/>
      <c r="O234" s="51">
        <v>0</v>
      </c>
      <c r="P234" s="51"/>
      <c r="Q234" s="51">
        <v>0</v>
      </c>
      <c r="R234" s="51"/>
      <c r="S234" s="51">
        <v>0</v>
      </c>
      <c r="T234" s="51"/>
      <c r="U234" s="51">
        <v>939847</v>
      </c>
      <c r="V234" s="51"/>
      <c r="W234" s="51">
        <v>52592</v>
      </c>
      <c r="X234" s="51"/>
      <c r="Y234" s="51">
        <v>0</v>
      </c>
      <c r="Z234" s="51"/>
      <c r="AA234" s="51">
        <v>0</v>
      </c>
      <c r="AB234" s="822" t="s">
        <v>1114</v>
      </c>
    </row>
    <row r="235" spans="1:35" s="822" customFormat="1" x14ac:dyDescent="0.2">
      <c r="A235" s="237"/>
      <c r="B235" s="319" t="s">
        <v>503</v>
      </c>
      <c r="C235" s="319" t="s">
        <v>1463</v>
      </c>
      <c r="D235" s="491" t="s">
        <v>502</v>
      </c>
      <c r="E235" s="237" t="s">
        <v>819</v>
      </c>
      <c r="F235" s="51" t="s">
        <v>819</v>
      </c>
      <c r="G235" s="51">
        <v>390093</v>
      </c>
      <c r="H235" s="51"/>
      <c r="I235" s="51">
        <v>0</v>
      </c>
      <c r="J235" s="51"/>
      <c r="K235" s="51">
        <v>0</v>
      </c>
      <c r="L235" s="51"/>
      <c r="M235" s="818">
        <v>390093</v>
      </c>
      <c r="N235" s="51"/>
      <c r="O235" s="51">
        <v>0</v>
      </c>
      <c r="P235" s="51"/>
      <c r="Q235" s="51">
        <v>0</v>
      </c>
      <c r="R235" s="51"/>
      <c r="S235" s="51">
        <v>0</v>
      </c>
      <c r="T235" s="51"/>
      <c r="U235" s="51">
        <v>104664</v>
      </c>
      <c r="V235" s="51"/>
      <c r="W235" s="51">
        <v>285429</v>
      </c>
      <c r="X235" s="51"/>
      <c r="Y235" s="51">
        <v>0</v>
      </c>
      <c r="Z235" s="51"/>
      <c r="AA235" s="51">
        <v>0</v>
      </c>
      <c r="AB235" s="822" t="s">
        <v>1114</v>
      </c>
    </row>
    <row r="236" spans="1:35" s="822" customFormat="1" x14ac:dyDescent="0.2">
      <c r="A236" s="237"/>
      <c r="B236" s="319" t="s">
        <v>513</v>
      </c>
      <c r="C236" s="319" t="s">
        <v>1464</v>
      </c>
      <c r="D236" s="491" t="s">
        <v>512</v>
      </c>
      <c r="E236" s="237" t="s">
        <v>1085</v>
      </c>
      <c r="F236" s="51" t="s">
        <v>1085</v>
      </c>
      <c r="G236" s="51">
        <v>2824391</v>
      </c>
      <c r="H236" s="51"/>
      <c r="I236" s="51">
        <v>-6860</v>
      </c>
      <c r="J236" s="51"/>
      <c r="K236" s="51">
        <v>-187446</v>
      </c>
      <c r="L236" s="51"/>
      <c r="M236" s="818">
        <v>2630085</v>
      </c>
      <c r="N236" s="51"/>
      <c r="O236" s="51">
        <v>0</v>
      </c>
      <c r="P236" s="51"/>
      <c r="Q236" s="51">
        <v>0</v>
      </c>
      <c r="R236" s="51"/>
      <c r="S236" s="51">
        <v>256</v>
      </c>
      <c r="T236" s="51"/>
      <c r="U236" s="51">
        <v>2583352</v>
      </c>
      <c r="V236" s="51"/>
      <c r="W236" s="51">
        <v>46989</v>
      </c>
      <c r="X236" s="51"/>
      <c r="Y236" s="51">
        <v>0</v>
      </c>
      <c r="Z236" s="51"/>
      <c r="AA236" s="51">
        <v>0</v>
      </c>
      <c r="AB236" s="822" t="s">
        <v>1114</v>
      </c>
    </row>
    <row r="237" spans="1:35" s="822" customFormat="1" x14ac:dyDescent="0.2">
      <c r="A237" s="237"/>
      <c r="B237" s="319" t="s">
        <v>517</v>
      </c>
      <c r="C237" s="319" t="s">
        <v>1465</v>
      </c>
      <c r="D237" s="491" t="s">
        <v>516</v>
      </c>
      <c r="E237" s="237" t="s">
        <v>1086</v>
      </c>
      <c r="F237" s="51" t="s">
        <v>1086</v>
      </c>
      <c r="G237" s="51">
        <v>1031339</v>
      </c>
      <c r="H237" s="51"/>
      <c r="I237" s="51">
        <v>-6000</v>
      </c>
      <c r="J237" s="51"/>
      <c r="K237" s="51">
        <v>0</v>
      </c>
      <c r="L237" s="51"/>
      <c r="M237" s="818">
        <v>1025339</v>
      </c>
      <c r="N237" s="51"/>
      <c r="O237" s="51">
        <v>0</v>
      </c>
      <c r="P237" s="51"/>
      <c r="Q237" s="51">
        <v>0</v>
      </c>
      <c r="R237" s="51"/>
      <c r="S237" s="51">
        <v>56675</v>
      </c>
      <c r="T237" s="51"/>
      <c r="U237" s="51">
        <v>798671</v>
      </c>
      <c r="V237" s="51"/>
      <c r="W237" s="51">
        <v>283343</v>
      </c>
      <c r="X237" s="51"/>
      <c r="Y237" s="51">
        <v>0</v>
      </c>
      <c r="Z237" s="51"/>
      <c r="AA237" s="51">
        <v>0</v>
      </c>
    </row>
    <row r="238" spans="1:35" s="237" customFormat="1" x14ac:dyDescent="0.2">
      <c r="B238" s="223"/>
      <c r="C238" s="223"/>
      <c r="G238" s="319"/>
      <c r="H238" s="319"/>
      <c r="I238" s="319"/>
      <c r="J238" s="319"/>
    </row>
    <row r="239" spans="1:35" s="237" customFormat="1" x14ac:dyDescent="0.2">
      <c r="B239" s="223"/>
      <c r="C239" s="223"/>
      <c r="G239" s="319"/>
      <c r="H239" s="319"/>
      <c r="I239" s="319"/>
      <c r="J239" s="319"/>
    </row>
    <row r="240" spans="1:35" s="237" customFormat="1" x14ac:dyDescent="0.2">
      <c r="B240" s="223"/>
      <c r="C240" s="223"/>
      <c r="G240" s="319"/>
      <c r="H240" s="319"/>
      <c r="I240" s="319"/>
      <c r="J240" s="319"/>
    </row>
    <row r="241" spans="2:10" s="237" customFormat="1" x14ac:dyDescent="0.2">
      <c r="B241" s="223"/>
      <c r="C241" s="223"/>
      <c r="G241" s="319"/>
      <c r="H241" s="319"/>
      <c r="I241" s="319"/>
      <c r="J241" s="319"/>
    </row>
    <row r="242" spans="2:10" s="237" customFormat="1" x14ac:dyDescent="0.2">
      <c r="B242" s="223"/>
      <c r="C242" s="223"/>
      <c r="G242" s="319"/>
      <c r="H242" s="319"/>
      <c r="I242" s="319"/>
      <c r="J242" s="319"/>
    </row>
    <row r="243" spans="2:10" s="237" customFormat="1" x14ac:dyDescent="0.2">
      <c r="B243" s="223"/>
      <c r="C243" s="223"/>
      <c r="G243" s="319"/>
      <c r="H243" s="319"/>
      <c r="I243" s="319"/>
      <c r="J243" s="319"/>
    </row>
    <row r="244" spans="2:10" s="237" customFormat="1" x14ac:dyDescent="0.2">
      <c r="B244" s="223"/>
      <c r="C244" s="223"/>
      <c r="G244" s="319"/>
      <c r="H244" s="319"/>
      <c r="I244" s="319"/>
      <c r="J244" s="319"/>
    </row>
    <row r="245" spans="2:10" s="237" customFormat="1" x14ac:dyDescent="0.2">
      <c r="B245" s="223"/>
      <c r="C245" s="223"/>
      <c r="G245" s="319"/>
      <c r="H245" s="319"/>
      <c r="I245" s="319"/>
      <c r="J245" s="319"/>
    </row>
    <row r="246" spans="2:10" s="237" customFormat="1" x14ac:dyDescent="0.2">
      <c r="B246" s="223"/>
      <c r="C246" s="223"/>
      <c r="G246" s="319"/>
      <c r="H246" s="319"/>
      <c r="I246" s="319"/>
      <c r="J246" s="319"/>
    </row>
    <row r="247" spans="2:10" s="237" customFormat="1" x14ac:dyDescent="0.2">
      <c r="B247" s="223"/>
      <c r="C247" s="223"/>
      <c r="G247" s="319"/>
      <c r="H247" s="319"/>
      <c r="I247" s="319"/>
      <c r="J247" s="319"/>
    </row>
    <row r="248" spans="2:10" s="237" customFormat="1" x14ac:dyDescent="0.2">
      <c r="B248" s="223"/>
      <c r="C248" s="223"/>
      <c r="G248" s="319"/>
      <c r="H248" s="319"/>
      <c r="I248" s="319"/>
      <c r="J248" s="319"/>
    </row>
    <row r="249" spans="2:10" s="237" customFormat="1" x14ac:dyDescent="0.2">
      <c r="B249" s="223"/>
      <c r="C249" s="223"/>
      <c r="G249" s="319"/>
      <c r="H249" s="319"/>
      <c r="I249" s="319"/>
      <c r="J249" s="319"/>
    </row>
    <row r="250" spans="2:10" s="237" customFormat="1" x14ac:dyDescent="0.2">
      <c r="B250" s="223"/>
      <c r="C250" s="223"/>
      <c r="G250" s="319"/>
      <c r="H250" s="319"/>
      <c r="I250" s="319"/>
      <c r="J250" s="319"/>
    </row>
    <row r="251" spans="2:10" s="237" customFormat="1" x14ac:dyDescent="0.2">
      <c r="B251" s="223"/>
      <c r="C251" s="223"/>
      <c r="G251" s="319"/>
      <c r="H251" s="319"/>
      <c r="I251" s="319"/>
      <c r="J251" s="319"/>
    </row>
    <row r="252" spans="2:10" s="237" customFormat="1" x14ac:dyDescent="0.2">
      <c r="B252" s="223"/>
      <c r="C252" s="223"/>
      <c r="G252" s="319"/>
      <c r="H252" s="319"/>
      <c r="I252" s="319"/>
      <c r="J252" s="319"/>
    </row>
    <row r="253" spans="2:10" s="237" customFormat="1" x14ac:dyDescent="0.2">
      <c r="B253" s="223"/>
      <c r="C253" s="223"/>
      <c r="G253" s="319"/>
      <c r="H253" s="319"/>
      <c r="I253" s="319"/>
      <c r="J253" s="319"/>
    </row>
    <row r="254" spans="2:10" s="237" customFormat="1" x14ac:dyDescent="0.2">
      <c r="B254" s="223"/>
      <c r="C254" s="223"/>
      <c r="G254" s="319"/>
      <c r="H254" s="319"/>
      <c r="I254" s="319"/>
      <c r="J254" s="319"/>
    </row>
    <row r="255" spans="2:10" s="237" customFormat="1" x14ac:dyDescent="0.2">
      <c r="B255" s="223"/>
      <c r="C255" s="223"/>
      <c r="G255" s="319"/>
      <c r="H255" s="319"/>
      <c r="I255" s="319"/>
      <c r="J255" s="319"/>
    </row>
    <row r="256" spans="2:10" s="237" customFormat="1" x14ac:dyDescent="0.2">
      <c r="B256" s="223"/>
      <c r="C256" s="223"/>
      <c r="G256" s="319"/>
      <c r="H256" s="319"/>
      <c r="I256" s="319"/>
      <c r="J256" s="319"/>
    </row>
    <row r="257" spans="2:10" s="237" customFormat="1" x14ac:dyDescent="0.2">
      <c r="B257" s="223"/>
      <c r="C257" s="223"/>
      <c r="G257" s="319"/>
      <c r="H257" s="319"/>
      <c r="I257" s="319"/>
      <c r="J257" s="319"/>
    </row>
    <row r="258" spans="2:10" s="237" customFormat="1" x14ac:dyDescent="0.2">
      <c r="B258" s="223"/>
      <c r="C258" s="223"/>
      <c r="G258" s="319"/>
      <c r="H258" s="319"/>
      <c r="I258" s="319"/>
      <c r="J258" s="319"/>
    </row>
    <row r="259" spans="2:10" s="237" customFormat="1" x14ac:dyDescent="0.2">
      <c r="B259" s="223"/>
      <c r="C259" s="223"/>
      <c r="G259" s="319"/>
      <c r="H259" s="319"/>
      <c r="I259" s="319"/>
      <c r="J259" s="319"/>
    </row>
    <row r="260" spans="2:10" s="237" customFormat="1" x14ac:dyDescent="0.2">
      <c r="B260" s="223"/>
      <c r="C260" s="223"/>
      <c r="G260" s="319"/>
      <c r="H260" s="319"/>
      <c r="I260" s="319"/>
      <c r="J260" s="319"/>
    </row>
    <row r="261" spans="2:10" s="237" customFormat="1" x14ac:dyDescent="0.2">
      <c r="B261" s="223"/>
      <c r="C261" s="223"/>
      <c r="G261" s="319"/>
      <c r="H261" s="319"/>
      <c r="I261" s="319"/>
      <c r="J261" s="319"/>
    </row>
    <row r="262" spans="2:10" s="237" customFormat="1" x14ac:dyDescent="0.2">
      <c r="B262" s="223"/>
      <c r="C262" s="223"/>
      <c r="G262" s="319"/>
      <c r="H262" s="319"/>
      <c r="I262" s="319"/>
      <c r="J262" s="319"/>
    </row>
    <row r="263" spans="2:10" s="237" customFormat="1" x14ac:dyDescent="0.2">
      <c r="B263" s="223"/>
      <c r="C263" s="223"/>
      <c r="G263" s="319"/>
      <c r="H263" s="319"/>
      <c r="I263" s="319"/>
      <c r="J263" s="319"/>
    </row>
    <row r="264" spans="2:10" s="237" customFormat="1" x14ac:dyDescent="0.2">
      <c r="B264" s="223"/>
      <c r="C264" s="223"/>
      <c r="G264" s="319"/>
      <c r="H264" s="319"/>
      <c r="I264" s="319"/>
      <c r="J264" s="319"/>
    </row>
    <row r="265" spans="2:10" s="237" customFormat="1" x14ac:dyDescent="0.2">
      <c r="B265" s="223"/>
      <c r="C265" s="223"/>
      <c r="G265" s="319"/>
      <c r="H265" s="319"/>
      <c r="I265" s="319"/>
      <c r="J265" s="319"/>
    </row>
    <row r="266" spans="2:10" s="237" customFormat="1" x14ac:dyDescent="0.2">
      <c r="B266" s="223"/>
      <c r="C266" s="223"/>
      <c r="G266" s="319"/>
      <c r="H266" s="319"/>
      <c r="I266" s="319"/>
      <c r="J266" s="319"/>
    </row>
    <row r="267" spans="2:10" s="237" customFormat="1" x14ac:dyDescent="0.2">
      <c r="B267" s="223"/>
      <c r="C267" s="223"/>
      <c r="G267" s="319"/>
      <c r="H267" s="319"/>
      <c r="I267" s="319"/>
      <c r="J267" s="319"/>
    </row>
    <row r="268" spans="2:10" s="237" customFormat="1" x14ac:dyDescent="0.2">
      <c r="B268" s="223"/>
      <c r="C268" s="223"/>
      <c r="G268" s="319"/>
      <c r="H268" s="319"/>
      <c r="I268" s="319"/>
      <c r="J268" s="319"/>
    </row>
    <row r="269" spans="2:10" s="237" customFormat="1" x14ac:dyDescent="0.2">
      <c r="B269" s="223"/>
      <c r="C269" s="223"/>
      <c r="G269" s="319"/>
      <c r="H269" s="319"/>
      <c r="I269" s="319"/>
      <c r="J269" s="319"/>
    </row>
    <row r="270" spans="2:10" s="237" customFormat="1" x14ac:dyDescent="0.2">
      <c r="B270" s="223"/>
      <c r="C270" s="223"/>
      <c r="G270" s="319"/>
      <c r="H270" s="319"/>
      <c r="I270" s="319"/>
      <c r="J270" s="319"/>
    </row>
    <row r="271" spans="2:10" s="237" customFormat="1" x14ac:dyDescent="0.2">
      <c r="B271" s="223"/>
      <c r="C271" s="223"/>
      <c r="G271" s="319"/>
      <c r="H271" s="319"/>
      <c r="I271" s="319"/>
      <c r="J271" s="319"/>
    </row>
    <row r="272" spans="2:10" s="237" customFormat="1" x14ac:dyDescent="0.2">
      <c r="B272" s="223"/>
      <c r="C272" s="223"/>
      <c r="G272" s="319"/>
      <c r="H272" s="319"/>
      <c r="I272" s="319"/>
      <c r="J272" s="319"/>
    </row>
    <row r="273" spans="2:10" s="237" customFormat="1" x14ac:dyDescent="0.2">
      <c r="B273" s="223"/>
      <c r="C273" s="223"/>
      <c r="G273" s="319"/>
      <c r="H273" s="319"/>
      <c r="I273" s="319"/>
      <c r="J273" s="319"/>
    </row>
    <row r="274" spans="2:10" s="237" customFormat="1" x14ac:dyDescent="0.2">
      <c r="B274" s="223"/>
      <c r="C274" s="223"/>
      <c r="G274" s="319"/>
      <c r="H274" s="319"/>
      <c r="I274" s="319"/>
      <c r="J274" s="319"/>
    </row>
    <row r="275" spans="2:10" s="237" customFormat="1" x14ac:dyDescent="0.2">
      <c r="B275" s="223"/>
      <c r="C275" s="223"/>
      <c r="G275" s="319"/>
      <c r="H275" s="319"/>
      <c r="I275" s="319"/>
      <c r="J275" s="319"/>
    </row>
    <row r="276" spans="2:10" s="237" customFormat="1" x14ac:dyDescent="0.2">
      <c r="B276" s="223"/>
      <c r="C276" s="223"/>
      <c r="G276" s="319"/>
      <c r="H276" s="319"/>
      <c r="I276" s="319"/>
      <c r="J276" s="319"/>
    </row>
    <row r="277" spans="2:10" s="237" customFormat="1" x14ac:dyDescent="0.2">
      <c r="B277" s="223"/>
      <c r="C277" s="223"/>
      <c r="G277" s="319"/>
      <c r="H277" s="319"/>
      <c r="I277" s="319"/>
      <c r="J277" s="319"/>
    </row>
    <row r="278" spans="2:10" s="237" customFormat="1" x14ac:dyDescent="0.2">
      <c r="B278" s="223"/>
      <c r="C278" s="223"/>
      <c r="G278" s="319"/>
      <c r="H278" s="319"/>
      <c r="I278" s="319"/>
      <c r="J278" s="319"/>
    </row>
    <row r="279" spans="2:10" s="237" customFormat="1" x14ac:dyDescent="0.2">
      <c r="B279" s="223"/>
      <c r="C279" s="223"/>
      <c r="G279" s="319"/>
      <c r="H279" s="319"/>
      <c r="I279" s="319"/>
      <c r="J279" s="319"/>
    </row>
    <row r="280" spans="2:10" s="237" customFormat="1" x14ac:dyDescent="0.2">
      <c r="B280" s="223"/>
      <c r="C280" s="223"/>
      <c r="G280" s="319"/>
      <c r="H280" s="319"/>
      <c r="I280" s="319"/>
      <c r="J280" s="319"/>
    </row>
    <row r="281" spans="2:10" s="237" customFormat="1" x14ac:dyDescent="0.2">
      <c r="B281" s="223"/>
      <c r="C281" s="223"/>
      <c r="G281" s="319"/>
      <c r="H281" s="319"/>
      <c r="I281" s="319"/>
      <c r="J281" s="319"/>
    </row>
    <row r="282" spans="2:10" s="237" customFormat="1" x14ac:dyDescent="0.2">
      <c r="B282" s="223"/>
      <c r="C282" s="223"/>
      <c r="G282" s="319"/>
      <c r="H282" s="319"/>
      <c r="I282" s="319"/>
      <c r="J282" s="319"/>
    </row>
    <row r="283" spans="2:10" s="237" customFormat="1" x14ac:dyDescent="0.2">
      <c r="B283" s="223"/>
      <c r="C283" s="223"/>
      <c r="G283" s="319"/>
      <c r="H283" s="319"/>
      <c r="I283" s="319"/>
      <c r="J283" s="319"/>
    </row>
    <row r="284" spans="2:10" s="237" customFormat="1" x14ac:dyDescent="0.2">
      <c r="B284" s="223"/>
      <c r="C284" s="223"/>
      <c r="G284" s="319"/>
      <c r="H284" s="319"/>
      <c r="I284" s="319"/>
      <c r="J284" s="319"/>
    </row>
    <row r="285" spans="2:10" s="237" customFormat="1" x14ac:dyDescent="0.2">
      <c r="B285" s="223"/>
      <c r="C285" s="223"/>
      <c r="G285" s="319"/>
      <c r="H285" s="319"/>
      <c r="I285" s="319"/>
      <c r="J285" s="319"/>
    </row>
    <row r="286" spans="2:10" s="237" customFormat="1" x14ac:dyDescent="0.2">
      <c r="B286" s="223"/>
      <c r="C286" s="223"/>
      <c r="G286" s="319"/>
      <c r="H286" s="319"/>
      <c r="I286" s="319"/>
      <c r="J286" s="319"/>
    </row>
    <row r="287" spans="2:10" s="237" customFormat="1" x14ac:dyDescent="0.2">
      <c r="B287" s="223"/>
      <c r="C287" s="223"/>
      <c r="G287" s="319"/>
      <c r="H287" s="319"/>
      <c r="I287" s="319"/>
      <c r="J287" s="319"/>
    </row>
    <row r="288" spans="2:10" s="237" customFormat="1" x14ac:dyDescent="0.2">
      <c r="B288" s="223"/>
      <c r="C288" s="223"/>
      <c r="G288" s="319"/>
      <c r="H288" s="319"/>
      <c r="I288" s="319"/>
      <c r="J288" s="319"/>
    </row>
    <row r="289" spans="2:10" s="237" customFormat="1" x14ac:dyDescent="0.2">
      <c r="B289" s="223"/>
      <c r="C289" s="223"/>
      <c r="G289" s="319"/>
      <c r="H289" s="319"/>
      <c r="I289" s="319"/>
      <c r="J289" s="319"/>
    </row>
    <row r="290" spans="2:10" s="237" customFormat="1" x14ac:dyDescent="0.2">
      <c r="B290" s="223"/>
      <c r="C290" s="223"/>
      <c r="G290" s="319"/>
      <c r="H290" s="319"/>
      <c r="I290" s="319"/>
      <c r="J290" s="319"/>
    </row>
    <row r="291" spans="2:10" s="237" customFormat="1" x14ac:dyDescent="0.2">
      <c r="B291" s="223"/>
      <c r="C291" s="223"/>
      <c r="G291" s="319"/>
      <c r="H291" s="319"/>
      <c r="I291" s="319"/>
      <c r="J291" s="319"/>
    </row>
    <row r="292" spans="2:10" s="237" customFormat="1" x14ac:dyDescent="0.2">
      <c r="B292" s="223"/>
      <c r="C292" s="223"/>
      <c r="G292" s="319"/>
      <c r="H292" s="319"/>
      <c r="I292" s="319"/>
      <c r="J292" s="319"/>
    </row>
    <row r="293" spans="2:10" s="237" customFormat="1" x14ac:dyDescent="0.2">
      <c r="B293" s="223"/>
      <c r="C293" s="223"/>
      <c r="G293" s="319"/>
      <c r="H293" s="319"/>
      <c r="I293" s="319"/>
      <c r="J293" s="319"/>
    </row>
    <row r="294" spans="2:10" s="237" customFormat="1" x14ac:dyDescent="0.2">
      <c r="B294" s="223"/>
      <c r="C294" s="223"/>
      <c r="G294" s="319"/>
      <c r="H294" s="319"/>
      <c r="I294" s="319"/>
      <c r="J294" s="319"/>
    </row>
    <row r="295" spans="2:10" s="237" customFormat="1" x14ac:dyDescent="0.2">
      <c r="B295" s="223"/>
      <c r="C295" s="223"/>
      <c r="G295" s="319"/>
      <c r="H295" s="319"/>
      <c r="I295" s="319"/>
      <c r="J295" s="319"/>
    </row>
    <row r="296" spans="2:10" s="237" customFormat="1" x14ac:dyDescent="0.2">
      <c r="B296" s="223"/>
      <c r="C296" s="223"/>
      <c r="G296" s="319"/>
      <c r="H296" s="319"/>
      <c r="I296" s="319"/>
      <c r="J296" s="319"/>
    </row>
    <row r="297" spans="2:10" s="237" customFormat="1" x14ac:dyDescent="0.2">
      <c r="B297" s="223"/>
      <c r="C297" s="223"/>
      <c r="G297" s="319"/>
      <c r="H297" s="319"/>
      <c r="I297" s="319"/>
      <c r="J297" s="319"/>
    </row>
    <row r="298" spans="2:10" s="237" customFormat="1" x14ac:dyDescent="0.2">
      <c r="B298" s="223"/>
      <c r="C298" s="223"/>
      <c r="G298" s="319"/>
      <c r="H298" s="319"/>
      <c r="I298" s="319"/>
      <c r="J298" s="319"/>
    </row>
    <row r="299" spans="2:10" s="237" customFormat="1" x14ac:dyDescent="0.2">
      <c r="B299" s="223"/>
      <c r="C299" s="223"/>
      <c r="G299" s="319"/>
      <c r="H299" s="319"/>
      <c r="I299" s="319"/>
      <c r="J299" s="319"/>
    </row>
    <row r="300" spans="2:10" s="237" customFormat="1" x14ac:dyDescent="0.2">
      <c r="B300" s="223"/>
      <c r="C300" s="223"/>
      <c r="G300" s="319"/>
      <c r="H300" s="319"/>
      <c r="I300" s="319"/>
      <c r="J300" s="319"/>
    </row>
    <row r="301" spans="2:10" s="237" customFormat="1" x14ac:dyDescent="0.2">
      <c r="B301" s="223"/>
      <c r="C301" s="223"/>
      <c r="G301" s="319"/>
      <c r="H301" s="319"/>
      <c r="I301" s="319"/>
      <c r="J301" s="319"/>
    </row>
    <row r="302" spans="2:10" s="237" customFormat="1" x14ac:dyDescent="0.2">
      <c r="B302" s="223"/>
      <c r="C302" s="223"/>
      <c r="G302" s="319"/>
      <c r="H302" s="319"/>
      <c r="I302" s="319"/>
      <c r="J302" s="319"/>
    </row>
    <row r="303" spans="2:10" s="237" customFormat="1" x14ac:dyDescent="0.2">
      <c r="B303" s="223"/>
      <c r="C303" s="223"/>
      <c r="G303" s="319"/>
      <c r="H303" s="319"/>
      <c r="I303" s="319"/>
      <c r="J303" s="319"/>
    </row>
    <row r="304" spans="2:10" s="237" customFormat="1" x14ac:dyDescent="0.2">
      <c r="B304" s="223"/>
      <c r="C304" s="223"/>
      <c r="G304" s="319"/>
      <c r="H304" s="319"/>
      <c r="I304" s="319"/>
      <c r="J304" s="319"/>
    </row>
    <row r="305" spans="2:10" s="237" customFormat="1" x14ac:dyDescent="0.2">
      <c r="B305" s="223"/>
      <c r="C305" s="223"/>
      <c r="G305" s="319"/>
      <c r="H305" s="319"/>
      <c r="I305" s="319"/>
      <c r="J305" s="319"/>
    </row>
    <row r="306" spans="2:10" s="237" customFormat="1" x14ac:dyDescent="0.2">
      <c r="B306" s="223"/>
      <c r="C306" s="223"/>
      <c r="G306" s="319"/>
      <c r="H306" s="319"/>
      <c r="I306" s="319"/>
      <c r="J306" s="319"/>
    </row>
    <row r="307" spans="2:10" s="237" customFormat="1" x14ac:dyDescent="0.2">
      <c r="B307" s="223"/>
      <c r="C307" s="223"/>
      <c r="G307" s="319"/>
      <c r="H307" s="319"/>
      <c r="I307" s="319"/>
      <c r="J307" s="319"/>
    </row>
    <row r="308" spans="2:10" s="237" customFormat="1" x14ac:dyDescent="0.2">
      <c r="B308" s="223"/>
      <c r="C308" s="223"/>
      <c r="G308" s="319"/>
      <c r="H308" s="319"/>
      <c r="I308" s="319"/>
      <c r="J308" s="319"/>
    </row>
    <row r="309" spans="2:10" s="237" customFormat="1" x14ac:dyDescent="0.2">
      <c r="B309" s="223"/>
      <c r="C309" s="223"/>
      <c r="G309" s="319"/>
      <c r="H309" s="319"/>
      <c r="I309" s="319"/>
      <c r="J309" s="319"/>
    </row>
    <row r="310" spans="2:10" s="237" customFormat="1" x14ac:dyDescent="0.2">
      <c r="B310" s="223"/>
      <c r="C310" s="223"/>
      <c r="G310" s="319"/>
      <c r="H310" s="319"/>
      <c r="I310" s="319"/>
      <c r="J310" s="319"/>
    </row>
    <row r="311" spans="2:10" s="237" customFormat="1" x14ac:dyDescent="0.2">
      <c r="B311" s="223"/>
      <c r="C311" s="223"/>
      <c r="G311" s="319"/>
      <c r="H311" s="319"/>
      <c r="I311" s="319"/>
      <c r="J311" s="319"/>
    </row>
    <row r="312" spans="2:10" s="237" customFormat="1" x14ac:dyDescent="0.2">
      <c r="B312" s="223"/>
      <c r="C312" s="223"/>
      <c r="G312" s="319"/>
      <c r="H312" s="319"/>
      <c r="I312" s="319"/>
      <c r="J312" s="319"/>
    </row>
    <row r="313" spans="2:10" s="237" customFormat="1" x14ac:dyDescent="0.2">
      <c r="B313" s="223"/>
      <c r="C313" s="223"/>
      <c r="G313" s="319"/>
      <c r="H313" s="319"/>
      <c r="I313" s="319"/>
      <c r="J313" s="319"/>
    </row>
    <row r="314" spans="2:10" s="237" customFormat="1" x14ac:dyDescent="0.2">
      <c r="B314" s="223"/>
      <c r="C314" s="223"/>
      <c r="G314" s="319"/>
      <c r="H314" s="319"/>
      <c r="I314" s="319"/>
      <c r="J314" s="319"/>
    </row>
    <row r="315" spans="2:10" s="237" customFormat="1" x14ac:dyDescent="0.2">
      <c r="B315" s="223"/>
      <c r="C315" s="223"/>
      <c r="G315" s="319"/>
      <c r="H315" s="319"/>
      <c r="I315" s="319"/>
      <c r="J315" s="319"/>
    </row>
    <row r="316" spans="2:10" s="237" customFormat="1" x14ac:dyDescent="0.2">
      <c r="B316" s="223"/>
      <c r="C316" s="223"/>
      <c r="G316" s="319"/>
      <c r="H316" s="319"/>
      <c r="I316" s="319"/>
      <c r="J316" s="319"/>
    </row>
    <row r="317" spans="2:10" s="237" customFormat="1" x14ac:dyDescent="0.2">
      <c r="B317" s="223"/>
      <c r="C317" s="223"/>
      <c r="G317" s="319"/>
      <c r="H317" s="319"/>
      <c r="I317" s="319"/>
      <c r="J317" s="319"/>
    </row>
    <row r="318" spans="2:10" s="237" customFormat="1" x14ac:dyDescent="0.2">
      <c r="B318" s="223"/>
      <c r="C318" s="223"/>
      <c r="G318" s="319"/>
      <c r="H318" s="319"/>
      <c r="I318" s="319"/>
      <c r="J318" s="319"/>
    </row>
    <row r="319" spans="2:10" s="237" customFormat="1" x14ac:dyDescent="0.2">
      <c r="B319" s="223"/>
      <c r="C319" s="223"/>
      <c r="G319" s="319"/>
      <c r="H319" s="319"/>
      <c r="I319" s="319"/>
      <c r="J319" s="319"/>
    </row>
    <row r="320" spans="2:10" s="237" customFormat="1" x14ac:dyDescent="0.2">
      <c r="B320" s="223"/>
      <c r="C320" s="223"/>
      <c r="G320" s="319"/>
      <c r="H320" s="319"/>
      <c r="I320" s="319"/>
      <c r="J320" s="319"/>
    </row>
    <row r="321" spans="2:10" s="237" customFormat="1" x14ac:dyDescent="0.2">
      <c r="B321" s="223"/>
      <c r="C321" s="223"/>
      <c r="G321" s="319"/>
      <c r="H321" s="319"/>
      <c r="I321" s="319"/>
      <c r="J321" s="319"/>
    </row>
    <row r="322" spans="2:10" s="237" customFormat="1" x14ac:dyDescent="0.2">
      <c r="B322" s="223"/>
      <c r="C322" s="223"/>
      <c r="G322" s="319"/>
      <c r="H322" s="319"/>
      <c r="I322" s="319"/>
      <c r="J322" s="319"/>
    </row>
    <row r="323" spans="2:10" s="237" customFormat="1" x14ac:dyDescent="0.2">
      <c r="B323" s="223"/>
      <c r="C323" s="223"/>
      <c r="G323" s="319"/>
      <c r="H323" s="319"/>
      <c r="I323" s="319"/>
      <c r="J323" s="319"/>
    </row>
    <row r="324" spans="2:10" s="237" customFormat="1" x14ac:dyDescent="0.2">
      <c r="B324" s="223"/>
      <c r="C324" s="223"/>
      <c r="G324" s="319"/>
      <c r="H324" s="319"/>
      <c r="I324" s="319"/>
      <c r="J324" s="31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324"/>
  <sheetViews>
    <sheetView workbookViewId="0"/>
  </sheetViews>
  <sheetFormatPr defaultRowHeight="15" x14ac:dyDescent="0.2"/>
  <cols>
    <col min="1" max="1" width="7.85546875" style="617" customWidth="1"/>
    <col min="2" max="2" width="8.42578125" style="9" customWidth="1"/>
    <col min="3" max="3" width="6.7109375" style="9" customWidth="1"/>
    <col min="4" max="4" width="8.140625" style="9" customWidth="1"/>
    <col min="5" max="5" width="32.28515625" style="9" customWidth="1"/>
    <col min="6" max="6" width="12.42578125" customWidth="1"/>
    <col min="7" max="7" width="14" customWidth="1"/>
    <col min="8" max="8" width="12" customWidth="1"/>
    <col min="10" max="10" width="15.42578125" customWidth="1"/>
    <col min="11" max="11" width="11.5703125" customWidth="1"/>
    <col min="12" max="12" width="11" customWidth="1"/>
    <col min="13" max="13" width="13.5703125" customWidth="1"/>
    <col min="14" max="14" width="17.140625" customWidth="1"/>
    <col min="15" max="15" width="14.140625" customWidth="1"/>
    <col min="17" max="17" width="17.42578125" customWidth="1"/>
    <col min="18" max="18" width="16.85546875" customWidth="1"/>
    <col min="19" max="19" width="17.5703125" customWidth="1"/>
    <col min="20" max="20" width="13.5703125" customWidth="1"/>
    <col min="21" max="21" width="18.42578125" customWidth="1"/>
    <col min="22" max="22" width="16.140625" customWidth="1"/>
    <col min="23" max="23" width="16.42578125" customWidth="1"/>
    <col min="24" max="24" width="12.140625" customWidth="1"/>
    <col min="25" max="25" width="15" customWidth="1"/>
    <col min="26" max="26" width="10" customWidth="1"/>
  </cols>
  <sheetData>
    <row r="1" spans="1:26" s="320" customFormat="1" ht="13.5" thickBot="1" x14ac:dyDescent="0.25">
      <c r="A1" s="769"/>
      <c r="B1" s="770"/>
      <c r="C1" s="771"/>
      <c r="D1" s="772"/>
      <c r="E1" s="828"/>
    </row>
    <row r="2" spans="1:26" ht="102.75" thickBot="1" x14ac:dyDescent="0.25">
      <c r="A2" s="788"/>
      <c r="B2" s="789"/>
      <c r="C2" s="790"/>
      <c r="D2" s="791"/>
      <c r="E2" s="791"/>
      <c r="F2" s="573" t="s">
        <v>1237</v>
      </c>
      <c r="G2" s="622" t="s">
        <v>1558</v>
      </c>
      <c r="H2" s="574" t="s">
        <v>843</v>
      </c>
      <c r="I2" s="574" t="s">
        <v>844</v>
      </c>
      <c r="J2" s="574" t="s">
        <v>845</v>
      </c>
      <c r="K2" s="574" t="s">
        <v>846</v>
      </c>
      <c r="L2" s="574" t="s">
        <v>1238</v>
      </c>
      <c r="M2" s="622" t="s">
        <v>1559</v>
      </c>
      <c r="N2" s="574" t="s">
        <v>1239</v>
      </c>
      <c r="O2" s="622" t="s">
        <v>1560</v>
      </c>
      <c r="P2" s="574" t="s">
        <v>1240</v>
      </c>
      <c r="Q2" s="622" t="s">
        <v>1561</v>
      </c>
      <c r="R2" s="622" t="s">
        <v>1562</v>
      </c>
      <c r="S2" s="622" t="s">
        <v>1563</v>
      </c>
      <c r="T2" s="622" t="s">
        <v>1564</v>
      </c>
      <c r="U2" s="622" t="s">
        <v>1565</v>
      </c>
      <c r="V2" s="574" t="s">
        <v>852</v>
      </c>
      <c r="W2" s="622" t="s">
        <v>1566</v>
      </c>
      <c r="X2" s="574" t="s">
        <v>1241</v>
      </c>
      <c r="Y2" s="636" t="s">
        <v>1567</v>
      </c>
      <c r="Z2" s="640" t="s">
        <v>1472</v>
      </c>
    </row>
    <row r="3" spans="1:26" ht="12.75" x14ac:dyDescent="0.2">
      <c r="A3" s="575">
        <v>1</v>
      </c>
      <c r="B3" s="576">
        <v>2</v>
      </c>
      <c r="C3" s="576">
        <v>3</v>
      </c>
      <c r="D3" s="577">
        <v>4</v>
      </c>
      <c r="E3" s="575">
        <v>5</v>
      </c>
      <c r="F3" s="576">
        <v>6</v>
      </c>
      <c r="G3" s="576">
        <v>7</v>
      </c>
      <c r="H3" s="576">
        <v>8</v>
      </c>
      <c r="I3" s="576">
        <v>9</v>
      </c>
      <c r="J3" s="576">
        <v>10</v>
      </c>
      <c r="K3" s="576">
        <v>11</v>
      </c>
      <c r="L3" s="576">
        <v>12</v>
      </c>
      <c r="M3" s="576">
        <v>13</v>
      </c>
      <c r="N3" s="576">
        <v>14</v>
      </c>
      <c r="O3" s="576">
        <v>15</v>
      </c>
      <c r="P3" s="576">
        <v>16</v>
      </c>
      <c r="Q3" s="576">
        <v>17</v>
      </c>
      <c r="R3" s="576">
        <v>18</v>
      </c>
      <c r="S3" s="576">
        <v>19</v>
      </c>
      <c r="T3" s="576">
        <v>20</v>
      </c>
      <c r="U3" s="576">
        <v>21</v>
      </c>
      <c r="V3" s="576">
        <v>22</v>
      </c>
      <c r="W3" s="576">
        <v>23</v>
      </c>
      <c r="X3" s="576">
        <v>24</v>
      </c>
      <c r="Y3" s="577">
        <v>25</v>
      </c>
    </row>
    <row r="4" spans="1:26" ht="12.75" x14ac:dyDescent="0.2">
      <c r="A4" s="575"/>
      <c r="B4" s="580"/>
      <c r="C4" s="581"/>
      <c r="D4" s="582"/>
      <c r="E4" s="825"/>
      <c r="F4" s="626"/>
      <c r="G4" s="626"/>
      <c r="H4" s="626"/>
      <c r="I4" s="626"/>
      <c r="J4" s="626"/>
      <c r="K4" s="626"/>
      <c r="L4" s="626"/>
      <c r="M4" s="626"/>
      <c r="N4" s="626"/>
      <c r="O4" s="626"/>
      <c r="P4" s="626"/>
      <c r="Q4" s="626"/>
      <c r="R4" s="626"/>
      <c r="S4" s="626"/>
      <c r="T4" s="626"/>
      <c r="U4" s="626"/>
      <c r="V4" s="626"/>
      <c r="W4" s="626"/>
      <c r="X4" s="626"/>
      <c r="Y4" s="585"/>
    </row>
    <row r="5" spans="1:26" ht="12.75" x14ac:dyDescent="0.2">
      <c r="A5" s="575"/>
      <c r="B5" s="586" t="s">
        <v>673</v>
      </c>
      <c r="C5" s="586" t="s">
        <v>1183</v>
      </c>
      <c r="D5" s="775" t="s">
        <v>1184</v>
      </c>
      <c r="E5" s="824" t="s">
        <v>672</v>
      </c>
      <c r="F5" s="626"/>
      <c r="G5" s="626"/>
      <c r="H5" s="626"/>
      <c r="I5" s="626"/>
      <c r="J5" s="626"/>
      <c r="K5" s="626"/>
      <c r="L5" s="626"/>
      <c r="M5" s="626"/>
      <c r="N5" s="626"/>
      <c r="O5" s="626"/>
      <c r="P5" s="626"/>
      <c r="Q5" s="626"/>
      <c r="R5" s="626"/>
      <c r="S5" s="626"/>
      <c r="T5" s="626"/>
      <c r="U5" s="626"/>
      <c r="V5" s="626"/>
      <c r="W5" s="626"/>
      <c r="X5" s="626"/>
      <c r="Y5" s="585"/>
    </row>
    <row r="6" spans="1:26" ht="13.5" thickBot="1" x14ac:dyDescent="0.25">
      <c r="A6" s="588"/>
      <c r="B6" s="589"/>
      <c r="C6" s="590"/>
      <c r="D6" s="591"/>
      <c r="E6" s="826"/>
      <c r="F6" s="626"/>
      <c r="G6" s="626"/>
      <c r="H6" s="626"/>
      <c r="I6" s="626"/>
      <c r="J6" s="626"/>
      <c r="K6" s="626"/>
      <c r="L6" s="626"/>
      <c r="M6" s="626"/>
      <c r="N6" s="626"/>
      <c r="O6" s="626"/>
      <c r="P6" s="626"/>
      <c r="Q6" s="626"/>
      <c r="R6" s="626"/>
      <c r="S6" s="626"/>
      <c r="T6" s="626"/>
      <c r="U6" s="626"/>
      <c r="V6" s="626"/>
      <c r="W6" s="626"/>
      <c r="X6" s="626"/>
      <c r="Y6" s="585"/>
    </row>
    <row r="7" spans="1:26" ht="13.5" thickBot="1" x14ac:dyDescent="0.25">
      <c r="A7" s="593"/>
      <c r="B7" s="594"/>
      <c r="C7" s="595"/>
      <c r="D7" s="596"/>
      <c r="E7" s="823"/>
      <c r="F7" s="598">
        <v>3</v>
      </c>
      <c r="G7" s="598">
        <v>4</v>
      </c>
      <c r="H7" s="598">
        <v>5</v>
      </c>
      <c r="I7" s="598">
        <v>6</v>
      </c>
      <c r="J7" s="598">
        <v>7</v>
      </c>
      <c r="K7" s="598">
        <v>8</v>
      </c>
      <c r="L7" s="598">
        <v>9</v>
      </c>
      <c r="M7" s="598">
        <v>10</v>
      </c>
      <c r="N7" s="598">
        <v>11</v>
      </c>
      <c r="O7" s="598">
        <v>12</v>
      </c>
      <c r="P7" s="598">
        <v>13</v>
      </c>
      <c r="Q7" s="598">
        <v>14</v>
      </c>
      <c r="R7" s="598">
        <v>15</v>
      </c>
      <c r="S7" s="598">
        <v>16</v>
      </c>
      <c r="T7" s="598">
        <v>17</v>
      </c>
      <c r="U7" s="598">
        <v>18</v>
      </c>
      <c r="V7" s="598">
        <v>19</v>
      </c>
      <c r="W7" s="598">
        <v>20</v>
      </c>
      <c r="X7" s="598">
        <v>21</v>
      </c>
      <c r="Y7" s="628">
        <v>22</v>
      </c>
    </row>
    <row r="8" spans="1:26" ht="12.75" x14ac:dyDescent="0.2">
      <c r="A8" s="599">
        <v>1</v>
      </c>
      <c r="B8" s="600" t="s">
        <v>675</v>
      </c>
      <c r="C8" s="601" t="s">
        <v>1185</v>
      </c>
      <c r="D8" s="602" t="s">
        <v>1186</v>
      </c>
      <c r="E8" s="603" t="s">
        <v>674</v>
      </c>
      <c r="F8">
        <v>-1569362.1099999985</v>
      </c>
      <c r="G8">
        <v>18213539</v>
      </c>
      <c r="H8">
        <v>0</v>
      </c>
      <c r="I8">
        <v>123600</v>
      </c>
      <c r="J8">
        <v>0</v>
      </c>
      <c r="K8">
        <v>-135700</v>
      </c>
      <c r="L8">
        <v>18201439</v>
      </c>
      <c r="M8">
        <v>0</v>
      </c>
      <c r="N8">
        <v>0</v>
      </c>
      <c r="O8">
        <v>1602178</v>
      </c>
      <c r="P8">
        <v>1602178</v>
      </c>
      <c r="Q8">
        <v>-839031</v>
      </c>
      <c r="R8">
        <v>-4622530</v>
      </c>
      <c r="S8">
        <v>-10169570</v>
      </c>
      <c r="T8">
        <v>-3698030</v>
      </c>
      <c r="U8">
        <v>-83823</v>
      </c>
      <c r="V8">
        <v>0</v>
      </c>
      <c r="W8">
        <v>0</v>
      </c>
      <c r="X8">
        <v>-19412984</v>
      </c>
      <c r="Y8" s="751">
        <v>-1178729.1099999994</v>
      </c>
      <c r="Z8" t="s">
        <v>1661</v>
      </c>
    </row>
    <row r="9" spans="1:26" ht="12.75" x14ac:dyDescent="0.2">
      <c r="A9" s="605">
        <v>2</v>
      </c>
      <c r="B9" s="606" t="s">
        <v>677</v>
      </c>
      <c r="C9" s="607" t="s">
        <v>1185</v>
      </c>
      <c r="D9" s="608" t="s">
        <v>1187</v>
      </c>
      <c r="E9" s="609" t="s">
        <v>676</v>
      </c>
      <c r="F9">
        <v>65527</v>
      </c>
      <c r="G9">
        <v>28604077</v>
      </c>
      <c r="H9">
        <v>0</v>
      </c>
      <c r="I9">
        <v>-215604</v>
      </c>
      <c r="J9">
        <v>219606</v>
      </c>
      <c r="K9">
        <v>-1057590</v>
      </c>
      <c r="L9">
        <v>27550489</v>
      </c>
      <c r="M9">
        <v>446621</v>
      </c>
      <c r="N9">
        <v>9373</v>
      </c>
      <c r="O9">
        <v>0</v>
      </c>
      <c r="P9">
        <v>455994</v>
      </c>
      <c r="Q9">
        <v>0</v>
      </c>
      <c r="R9">
        <v>-13502251</v>
      </c>
      <c r="S9">
        <v>-2700450</v>
      </c>
      <c r="T9">
        <v>-10801801</v>
      </c>
      <c r="U9">
        <v>-690824</v>
      </c>
      <c r="V9">
        <v>0</v>
      </c>
      <c r="W9">
        <v>-32213</v>
      </c>
      <c r="X9">
        <v>-27727539</v>
      </c>
      <c r="Y9" s="661">
        <v>344471</v>
      </c>
      <c r="Z9" t="s">
        <v>1662</v>
      </c>
    </row>
    <row r="10" spans="1:26" ht="12.75" x14ac:dyDescent="0.2">
      <c r="A10" s="605">
        <v>3</v>
      </c>
      <c r="B10" s="606" t="s">
        <v>679</v>
      </c>
      <c r="C10" s="607" t="s">
        <v>1185</v>
      </c>
      <c r="D10" s="608" t="s">
        <v>1188</v>
      </c>
      <c r="E10" s="609" t="s">
        <v>678</v>
      </c>
      <c r="F10">
        <v>485418</v>
      </c>
      <c r="G10">
        <v>31816842</v>
      </c>
      <c r="H10">
        <v>0</v>
      </c>
      <c r="I10">
        <v>-296480</v>
      </c>
      <c r="J10">
        <v>73053</v>
      </c>
      <c r="K10">
        <v>-1624752</v>
      </c>
      <c r="L10">
        <v>29968663</v>
      </c>
      <c r="M10">
        <v>357605</v>
      </c>
      <c r="N10">
        <v>0</v>
      </c>
      <c r="O10">
        <v>0</v>
      </c>
      <c r="P10">
        <v>357605</v>
      </c>
      <c r="Q10">
        <v>0</v>
      </c>
      <c r="R10">
        <v>-14908379</v>
      </c>
      <c r="S10">
        <v>-2981676</v>
      </c>
      <c r="T10">
        <v>-11926703</v>
      </c>
      <c r="U10">
        <v>-154748</v>
      </c>
      <c r="V10">
        <v>0</v>
      </c>
      <c r="W10">
        <v>-290286</v>
      </c>
      <c r="X10">
        <v>-30261792</v>
      </c>
      <c r="Y10" s="661">
        <v>549894</v>
      </c>
      <c r="Z10" t="s">
        <v>1663</v>
      </c>
    </row>
    <row r="11" spans="1:26" ht="12.75" x14ac:dyDescent="0.2">
      <c r="A11" s="605">
        <v>4</v>
      </c>
      <c r="B11" s="606" t="s">
        <v>681</v>
      </c>
      <c r="C11" s="607" t="s">
        <v>1185</v>
      </c>
      <c r="D11" s="608" t="s">
        <v>1186</v>
      </c>
      <c r="E11" s="609" t="s">
        <v>680</v>
      </c>
      <c r="F11">
        <v>-1886108.6999999993</v>
      </c>
      <c r="G11">
        <v>38607889</v>
      </c>
      <c r="H11">
        <v>-25426</v>
      </c>
      <c r="I11">
        <v>-125000</v>
      </c>
      <c r="J11">
        <v>1309000</v>
      </c>
      <c r="K11">
        <v>-2558000</v>
      </c>
      <c r="L11">
        <v>37208463</v>
      </c>
      <c r="M11">
        <v>169426</v>
      </c>
      <c r="N11">
        <v>0</v>
      </c>
      <c r="O11">
        <v>1029849</v>
      </c>
      <c r="P11">
        <v>1199275</v>
      </c>
      <c r="Q11">
        <v>0</v>
      </c>
      <c r="R11">
        <v>-9027007</v>
      </c>
      <c r="S11">
        <v>-19859414</v>
      </c>
      <c r="T11">
        <v>-7221605</v>
      </c>
      <c r="U11">
        <v>-181784</v>
      </c>
      <c r="V11">
        <v>0</v>
      </c>
      <c r="W11">
        <v>0</v>
      </c>
      <c r="X11">
        <v>-36289810</v>
      </c>
      <c r="Y11" s="661">
        <v>231819.29999999702</v>
      </c>
      <c r="Z11" t="s">
        <v>1664</v>
      </c>
    </row>
    <row r="12" spans="1:26" ht="12.75" x14ac:dyDescent="0.2">
      <c r="A12" s="605">
        <v>5</v>
      </c>
      <c r="B12" s="606" t="s">
        <v>683</v>
      </c>
      <c r="C12" s="607" t="s">
        <v>1185</v>
      </c>
      <c r="D12" s="608" t="s">
        <v>1188</v>
      </c>
      <c r="E12" s="609" t="s">
        <v>682</v>
      </c>
      <c r="F12">
        <v>-2577806</v>
      </c>
      <c r="G12">
        <v>38433335</v>
      </c>
      <c r="H12">
        <v>0</v>
      </c>
      <c r="I12">
        <v>-254307</v>
      </c>
      <c r="J12">
        <v>427090</v>
      </c>
      <c r="K12">
        <v>-1920000</v>
      </c>
      <c r="L12">
        <v>36686118</v>
      </c>
      <c r="M12">
        <v>132311</v>
      </c>
      <c r="N12">
        <v>0</v>
      </c>
      <c r="O12">
        <v>2688269</v>
      </c>
      <c r="P12">
        <v>2820580</v>
      </c>
      <c r="Q12">
        <v>-4334</v>
      </c>
      <c r="R12">
        <v>-19002562</v>
      </c>
      <c r="S12">
        <v>-3800512</v>
      </c>
      <c r="T12">
        <v>-15202050</v>
      </c>
      <c r="U12">
        <v>0</v>
      </c>
      <c r="V12">
        <v>0</v>
      </c>
      <c r="W12">
        <v>0</v>
      </c>
      <c r="X12">
        <v>-38009458</v>
      </c>
      <c r="Y12" s="661">
        <v>-1080566</v>
      </c>
      <c r="Z12" t="s">
        <v>1665</v>
      </c>
    </row>
    <row r="13" spans="1:26" ht="12.75" x14ac:dyDescent="0.2">
      <c r="A13" s="605">
        <v>6</v>
      </c>
      <c r="B13" s="606" t="s">
        <v>685</v>
      </c>
      <c r="C13" s="607" t="s">
        <v>1185</v>
      </c>
      <c r="D13" s="608" t="s">
        <v>1186</v>
      </c>
      <c r="E13" s="609" t="s">
        <v>684</v>
      </c>
      <c r="F13">
        <v>222871.60999999987</v>
      </c>
      <c r="G13">
        <v>52779539</v>
      </c>
      <c r="H13">
        <v>-164486</v>
      </c>
      <c r="I13">
        <v>-424825</v>
      </c>
      <c r="J13">
        <v>0</v>
      </c>
      <c r="K13">
        <v>-565201</v>
      </c>
      <c r="L13">
        <v>51625027</v>
      </c>
      <c r="M13">
        <v>19383</v>
      </c>
      <c r="N13">
        <v>0</v>
      </c>
      <c r="O13">
        <v>0</v>
      </c>
      <c r="P13">
        <v>19383</v>
      </c>
      <c r="Q13">
        <v>0</v>
      </c>
      <c r="R13">
        <v>-24846958</v>
      </c>
      <c r="S13">
        <v>-4969392</v>
      </c>
      <c r="T13">
        <v>-19877566</v>
      </c>
      <c r="U13">
        <v>-289084</v>
      </c>
      <c r="V13">
        <v>0</v>
      </c>
      <c r="W13">
        <v>-248753</v>
      </c>
      <c r="X13">
        <v>-50231753</v>
      </c>
      <c r="Y13" s="661">
        <v>1635528.6099999994</v>
      </c>
      <c r="Z13" t="s">
        <v>1666</v>
      </c>
    </row>
    <row r="14" spans="1:26" ht="12.75" x14ac:dyDescent="0.2">
      <c r="A14" s="605">
        <v>7</v>
      </c>
      <c r="B14" s="606" t="s">
        <v>689</v>
      </c>
      <c r="C14" s="607" t="s">
        <v>1185</v>
      </c>
      <c r="D14" s="608" t="s">
        <v>1189</v>
      </c>
      <c r="E14" s="609" t="s">
        <v>688</v>
      </c>
      <c r="F14">
        <v>331819.94000000088</v>
      </c>
      <c r="G14">
        <v>23710674</v>
      </c>
      <c r="H14">
        <v>0</v>
      </c>
      <c r="I14">
        <v>-148200</v>
      </c>
      <c r="J14">
        <v>37639</v>
      </c>
      <c r="K14">
        <v>-1409596</v>
      </c>
      <c r="L14">
        <v>22190517</v>
      </c>
      <c r="M14">
        <v>32770</v>
      </c>
      <c r="N14">
        <v>0</v>
      </c>
      <c r="O14">
        <v>0</v>
      </c>
      <c r="P14">
        <v>32770</v>
      </c>
      <c r="Q14">
        <v>0</v>
      </c>
      <c r="R14">
        <v>-11117457</v>
      </c>
      <c r="S14">
        <v>-2223491</v>
      </c>
      <c r="T14">
        <v>-8893965</v>
      </c>
      <c r="U14">
        <v>-151094</v>
      </c>
      <c r="V14">
        <v>0</v>
      </c>
      <c r="W14">
        <v>-144587</v>
      </c>
      <c r="X14">
        <v>-22530594</v>
      </c>
      <c r="Y14" s="661">
        <v>24512.940000001341</v>
      </c>
      <c r="Z14" t="s">
        <v>1667</v>
      </c>
    </row>
    <row r="15" spans="1:26" ht="12.75" x14ac:dyDescent="0.2">
      <c r="A15" s="605">
        <v>8</v>
      </c>
      <c r="B15" s="606" t="s">
        <v>691</v>
      </c>
      <c r="C15" s="607" t="s">
        <v>1190</v>
      </c>
      <c r="D15" s="608" t="s">
        <v>1191</v>
      </c>
      <c r="E15" s="609" t="s">
        <v>690</v>
      </c>
      <c r="F15">
        <v>-2490002.5</v>
      </c>
      <c r="G15">
        <v>61938000</v>
      </c>
      <c r="H15">
        <v>-25000</v>
      </c>
      <c r="I15">
        <v>-500000</v>
      </c>
      <c r="J15">
        <v>0</v>
      </c>
      <c r="K15">
        <v>-1000000</v>
      </c>
      <c r="L15">
        <v>60413000</v>
      </c>
      <c r="M15">
        <v>453000</v>
      </c>
      <c r="N15">
        <v>0</v>
      </c>
      <c r="O15">
        <v>5846981</v>
      </c>
      <c r="P15">
        <v>6299981</v>
      </c>
      <c r="Q15">
        <v>0</v>
      </c>
      <c r="R15">
        <v>-15271546</v>
      </c>
      <c r="S15">
        <v>-16493269</v>
      </c>
      <c r="T15">
        <v>-29321368</v>
      </c>
      <c r="U15">
        <v>-203380</v>
      </c>
      <c r="V15">
        <v>0</v>
      </c>
      <c r="W15">
        <v>0</v>
      </c>
      <c r="X15">
        <v>-61289563</v>
      </c>
      <c r="Y15" s="661">
        <v>2933415.5</v>
      </c>
      <c r="Z15" t="s">
        <v>1668</v>
      </c>
    </row>
    <row r="16" spans="1:26" ht="12.75" x14ac:dyDescent="0.2">
      <c r="A16" s="605">
        <v>9</v>
      </c>
      <c r="B16" s="606" t="s">
        <v>693</v>
      </c>
      <c r="C16" s="607" t="s">
        <v>1190</v>
      </c>
      <c r="D16" s="608" t="s">
        <v>1191</v>
      </c>
      <c r="E16" s="609" t="s">
        <v>692</v>
      </c>
      <c r="F16">
        <v>-9088036</v>
      </c>
      <c r="G16">
        <v>111286094</v>
      </c>
      <c r="H16">
        <v>0</v>
      </c>
      <c r="I16">
        <v>-1251842</v>
      </c>
      <c r="J16">
        <v>2562449</v>
      </c>
      <c r="K16">
        <v>-5181370</v>
      </c>
      <c r="L16">
        <v>107415331</v>
      </c>
      <c r="M16">
        <v>1044182</v>
      </c>
      <c r="N16">
        <v>0</v>
      </c>
      <c r="O16">
        <v>8763719</v>
      </c>
      <c r="P16">
        <v>9807901</v>
      </c>
      <c r="Q16">
        <v>0</v>
      </c>
      <c r="R16">
        <v>-26740214</v>
      </c>
      <c r="S16">
        <v>-28879430</v>
      </c>
      <c r="T16">
        <v>-51341209</v>
      </c>
      <c r="U16">
        <v>-409053</v>
      </c>
      <c r="V16">
        <v>0</v>
      </c>
      <c r="W16">
        <v>0</v>
      </c>
      <c r="X16">
        <v>-107369906</v>
      </c>
      <c r="Y16" s="661">
        <v>765290</v>
      </c>
      <c r="Z16" t="s">
        <v>1669</v>
      </c>
    </row>
    <row r="17" spans="1:26" ht="12.75" x14ac:dyDescent="0.2">
      <c r="A17" s="605">
        <v>10</v>
      </c>
      <c r="B17" s="606" t="s">
        <v>695</v>
      </c>
      <c r="C17" s="607" t="s">
        <v>1192</v>
      </c>
      <c r="D17" s="608" t="s">
        <v>1193</v>
      </c>
      <c r="E17" s="609" t="s">
        <v>694</v>
      </c>
      <c r="F17">
        <v>2982869.1</v>
      </c>
      <c r="G17">
        <v>54255869</v>
      </c>
      <c r="H17">
        <v>0</v>
      </c>
      <c r="I17">
        <v>-1627676</v>
      </c>
      <c r="J17">
        <v>556017</v>
      </c>
      <c r="K17">
        <v>-3268810</v>
      </c>
      <c r="L17">
        <v>49915400</v>
      </c>
      <c r="M17">
        <v>0</v>
      </c>
      <c r="N17">
        <v>82577</v>
      </c>
      <c r="O17">
        <v>0</v>
      </c>
      <c r="P17">
        <v>82577</v>
      </c>
      <c r="Q17">
        <v>-1199761</v>
      </c>
      <c r="R17">
        <v>-23016885</v>
      </c>
      <c r="S17">
        <v>-464575</v>
      </c>
      <c r="T17">
        <v>-22764184</v>
      </c>
      <c r="U17">
        <v>-1209173</v>
      </c>
      <c r="V17">
        <v>-339739</v>
      </c>
      <c r="W17">
        <v>-2429077</v>
      </c>
      <c r="X17">
        <v>-51423394</v>
      </c>
      <c r="Y17" s="661">
        <v>1557452.1000000015</v>
      </c>
      <c r="Z17" t="s">
        <v>1670</v>
      </c>
    </row>
    <row r="18" spans="1:26" ht="12.75" x14ac:dyDescent="0.2">
      <c r="A18" s="605">
        <v>11</v>
      </c>
      <c r="B18" s="606" t="s">
        <v>697</v>
      </c>
      <c r="C18" s="607" t="s">
        <v>1185</v>
      </c>
      <c r="D18" s="608" t="s">
        <v>1187</v>
      </c>
      <c r="E18" s="609" t="s">
        <v>696</v>
      </c>
      <c r="F18">
        <v>526595</v>
      </c>
      <c r="G18">
        <v>21509702</v>
      </c>
      <c r="H18">
        <v>0</v>
      </c>
      <c r="I18">
        <v>-115839</v>
      </c>
      <c r="J18">
        <v>0</v>
      </c>
      <c r="K18">
        <v>-27597</v>
      </c>
      <c r="L18">
        <v>21366266</v>
      </c>
      <c r="M18">
        <v>186955</v>
      </c>
      <c r="N18">
        <v>0</v>
      </c>
      <c r="O18">
        <v>0</v>
      </c>
      <c r="P18">
        <v>186955</v>
      </c>
      <c r="Q18">
        <v>-955211</v>
      </c>
      <c r="R18">
        <v>-10513624</v>
      </c>
      <c r="S18">
        <v>-2102725</v>
      </c>
      <c r="T18">
        <v>-8410900</v>
      </c>
      <c r="U18">
        <v>-249898</v>
      </c>
      <c r="V18">
        <v>0</v>
      </c>
      <c r="W18">
        <v>-318651</v>
      </c>
      <c r="X18">
        <v>-22551009</v>
      </c>
      <c r="Y18" s="661">
        <v>-471193</v>
      </c>
      <c r="Z18" t="s">
        <v>1671</v>
      </c>
    </row>
    <row r="19" spans="1:26" ht="12.75" x14ac:dyDescent="0.2">
      <c r="A19" s="605">
        <v>12</v>
      </c>
      <c r="B19" s="606" t="s">
        <v>699</v>
      </c>
      <c r="C19" s="607" t="s">
        <v>1185</v>
      </c>
      <c r="D19" s="608" t="s">
        <v>1189</v>
      </c>
      <c r="E19" s="609" t="s">
        <v>698</v>
      </c>
      <c r="F19">
        <v>-1936721.200000003</v>
      </c>
      <c r="G19">
        <v>81892022</v>
      </c>
      <c r="H19">
        <v>0</v>
      </c>
      <c r="I19">
        <v>-550000</v>
      </c>
      <c r="J19">
        <v>386901</v>
      </c>
      <c r="K19">
        <v>-3036901</v>
      </c>
      <c r="L19">
        <v>78692022</v>
      </c>
      <c r="M19">
        <v>0</v>
      </c>
      <c r="N19">
        <v>0</v>
      </c>
      <c r="O19">
        <v>468814</v>
      </c>
      <c r="P19">
        <v>468814</v>
      </c>
      <c r="Q19">
        <v>-622321</v>
      </c>
      <c r="R19">
        <v>-39643686</v>
      </c>
      <c r="S19">
        <v>-7928738</v>
      </c>
      <c r="T19">
        <v>-31714949</v>
      </c>
      <c r="U19">
        <v>-251131</v>
      </c>
      <c r="V19">
        <v>0</v>
      </c>
      <c r="W19">
        <v>0</v>
      </c>
      <c r="X19">
        <v>-80160825</v>
      </c>
      <c r="Y19" s="661">
        <v>-2936710.200000003</v>
      </c>
      <c r="Z19" t="s">
        <v>1672</v>
      </c>
    </row>
    <row r="20" spans="1:26" ht="12.75" x14ac:dyDescent="0.2">
      <c r="A20" s="605">
        <v>13</v>
      </c>
      <c r="B20" s="606" t="s">
        <v>701</v>
      </c>
      <c r="C20" s="607" t="s">
        <v>1185</v>
      </c>
      <c r="D20" s="608" t="s">
        <v>1186</v>
      </c>
      <c r="E20" s="609" t="s">
        <v>917</v>
      </c>
      <c r="F20">
        <v>-5111409.099999994</v>
      </c>
      <c r="G20">
        <v>77409316</v>
      </c>
      <c r="H20">
        <v>0</v>
      </c>
      <c r="I20">
        <v>-800000</v>
      </c>
      <c r="J20">
        <v>2500000</v>
      </c>
      <c r="K20">
        <v>-5100000</v>
      </c>
      <c r="L20">
        <v>74009316</v>
      </c>
      <c r="M20">
        <v>0</v>
      </c>
      <c r="N20">
        <v>0</v>
      </c>
      <c r="O20">
        <v>5289582</v>
      </c>
      <c r="P20">
        <v>5289582</v>
      </c>
      <c r="Q20">
        <v>-3150000</v>
      </c>
      <c r="R20">
        <v>-35213428</v>
      </c>
      <c r="S20">
        <v>-7142686</v>
      </c>
      <c r="T20">
        <v>-28570743</v>
      </c>
      <c r="U20">
        <v>-1190904</v>
      </c>
      <c r="V20">
        <v>0</v>
      </c>
      <c r="W20">
        <v>0</v>
      </c>
      <c r="X20">
        <v>-75267761</v>
      </c>
      <c r="Y20" s="661">
        <v>-1080272.099999994</v>
      </c>
      <c r="Z20" t="s">
        <v>1673</v>
      </c>
    </row>
    <row r="21" spans="1:26" ht="12.75" x14ac:dyDescent="0.2">
      <c r="A21" s="605">
        <v>14</v>
      </c>
      <c r="B21" s="606" t="s">
        <v>703</v>
      </c>
      <c r="C21" s="607" t="s">
        <v>1185</v>
      </c>
      <c r="D21" s="608" t="s">
        <v>1188</v>
      </c>
      <c r="E21" s="609" t="s">
        <v>702</v>
      </c>
      <c r="F21">
        <v>3443406</v>
      </c>
      <c r="G21">
        <v>52245000</v>
      </c>
      <c r="H21">
        <v>0</v>
      </c>
      <c r="I21">
        <v>0</v>
      </c>
      <c r="J21">
        <v>1052593</v>
      </c>
      <c r="K21">
        <v>-255906</v>
      </c>
      <c r="L21">
        <v>53041687</v>
      </c>
      <c r="M21">
        <v>0</v>
      </c>
      <c r="N21">
        <v>0</v>
      </c>
      <c r="O21">
        <v>0</v>
      </c>
      <c r="P21">
        <v>0</v>
      </c>
      <c r="Q21">
        <v>-6251778</v>
      </c>
      <c r="R21">
        <v>-21575142</v>
      </c>
      <c r="S21">
        <v>-4315028</v>
      </c>
      <c r="T21">
        <v>-17260113</v>
      </c>
      <c r="U21">
        <v>-789994</v>
      </c>
      <c r="V21">
        <v>-234360</v>
      </c>
      <c r="W21">
        <v>-4477883</v>
      </c>
      <c r="X21">
        <v>-54904298</v>
      </c>
      <c r="Y21" s="661">
        <v>1580795</v>
      </c>
      <c r="Z21" t="s">
        <v>1674</v>
      </c>
    </row>
    <row r="22" spans="1:26" ht="12.75" x14ac:dyDescent="0.2">
      <c r="A22" s="605">
        <v>15</v>
      </c>
      <c r="B22" s="606" t="s">
        <v>705</v>
      </c>
      <c r="C22" s="607" t="s">
        <v>524</v>
      </c>
      <c r="D22" s="608" t="s">
        <v>1194</v>
      </c>
      <c r="E22" s="609" t="s">
        <v>918</v>
      </c>
      <c r="F22">
        <v>808947</v>
      </c>
      <c r="G22">
        <v>71268721</v>
      </c>
      <c r="H22">
        <v>-250411</v>
      </c>
      <c r="I22">
        <v>-462888</v>
      </c>
      <c r="J22">
        <v>54631</v>
      </c>
      <c r="K22">
        <v>-3309985</v>
      </c>
      <c r="L22">
        <v>67300068</v>
      </c>
      <c r="M22">
        <v>0</v>
      </c>
      <c r="N22">
        <v>0</v>
      </c>
      <c r="O22">
        <v>291512</v>
      </c>
      <c r="P22">
        <v>291512</v>
      </c>
      <c r="Q22">
        <v>-267793</v>
      </c>
      <c r="R22">
        <v>0</v>
      </c>
      <c r="S22">
        <v>-3927226</v>
      </c>
      <c r="T22">
        <v>-61526536</v>
      </c>
      <c r="U22">
        <v>-602397</v>
      </c>
      <c r="V22">
        <v>-461856</v>
      </c>
      <c r="W22">
        <v>0</v>
      </c>
      <c r="X22">
        <v>-66785808</v>
      </c>
      <c r="Y22" s="661">
        <v>1614719</v>
      </c>
      <c r="Z22" t="s">
        <v>1675</v>
      </c>
    </row>
    <row r="23" spans="1:26" ht="12.75" x14ac:dyDescent="0.2">
      <c r="A23" s="605">
        <v>16</v>
      </c>
      <c r="B23" s="606" t="s">
        <v>707</v>
      </c>
      <c r="C23" s="607" t="s">
        <v>524</v>
      </c>
      <c r="D23" s="608" t="s">
        <v>1189</v>
      </c>
      <c r="E23" s="609" t="s">
        <v>706</v>
      </c>
      <c r="F23">
        <v>-1168609.83</v>
      </c>
      <c r="G23">
        <v>66106296</v>
      </c>
      <c r="H23">
        <v>0</v>
      </c>
      <c r="I23">
        <v>-563794</v>
      </c>
      <c r="J23">
        <v>3965819</v>
      </c>
      <c r="K23">
        <v>-5438097</v>
      </c>
      <c r="L23">
        <v>64070224</v>
      </c>
      <c r="M23">
        <v>0</v>
      </c>
      <c r="N23">
        <v>0</v>
      </c>
      <c r="O23">
        <v>922925</v>
      </c>
      <c r="P23">
        <v>922925</v>
      </c>
      <c r="Q23">
        <v>-2628978</v>
      </c>
      <c r="R23">
        <v>-32059367</v>
      </c>
      <c r="S23">
        <v>-641187</v>
      </c>
      <c r="T23">
        <v>-31418179</v>
      </c>
      <c r="U23">
        <v>-821957</v>
      </c>
      <c r="V23">
        <v>0</v>
      </c>
      <c r="W23">
        <v>0</v>
      </c>
      <c r="X23">
        <v>-67569668</v>
      </c>
      <c r="Y23" s="661">
        <v>-3745128.8299999982</v>
      </c>
      <c r="Z23" t="s">
        <v>1676</v>
      </c>
    </row>
    <row r="24" spans="1:26" ht="12.75" x14ac:dyDescent="0.2">
      <c r="A24" s="605">
        <v>17</v>
      </c>
      <c r="B24" s="606" t="s">
        <v>709</v>
      </c>
      <c r="C24" s="607" t="s">
        <v>1190</v>
      </c>
      <c r="D24" s="608" t="s">
        <v>1191</v>
      </c>
      <c r="E24" s="609" t="s">
        <v>708</v>
      </c>
      <c r="F24">
        <v>6529228.6999999974</v>
      </c>
      <c r="G24">
        <v>76695421</v>
      </c>
      <c r="H24">
        <v>0</v>
      </c>
      <c r="I24">
        <v>-228081</v>
      </c>
      <c r="J24">
        <v>0</v>
      </c>
      <c r="K24">
        <v>-1452917</v>
      </c>
      <c r="L24">
        <v>75014423</v>
      </c>
      <c r="M24">
        <v>0</v>
      </c>
      <c r="N24">
        <v>0</v>
      </c>
      <c r="O24">
        <v>0</v>
      </c>
      <c r="P24">
        <v>0</v>
      </c>
      <c r="Q24">
        <v>-435438</v>
      </c>
      <c r="R24">
        <v>-17741654</v>
      </c>
      <c r="S24">
        <v>-19160987</v>
      </c>
      <c r="T24">
        <v>-34063976</v>
      </c>
      <c r="U24">
        <v>-248651</v>
      </c>
      <c r="V24">
        <v>0</v>
      </c>
      <c r="W24">
        <v>-3996249</v>
      </c>
      <c r="X24">
        <v>-75646955</v>
      </c>
      <c r="Y24" s="661">
        <v>5896696.700000003</v>
      </c>
      <c r="Z24" t="s">
        <v>1677</v>
      </c>
    </row>
    <row r="25" spans="1:26" ht="12.75" x14ac:dyDescent="0.2">
      <c r="A25" s="605">
        <v>18</v>
      </c>
      <c r="B25" s="606" t="s">
        <v>711</v>
      </c>
      <c r="C25" s="607" t="s">
        <v>1192</v>
      </c>
      <c r="D25" s="608" t="s">
        <v>1195</v>
      </c>
      <c r="E25" s="609" t="s">
        <v>710</v>
      </c>
      <c r="F25">
        <v>7546221</v>
      </c>
      <c r="G25">
        <v>455186801</v>
      </c>
      <c r="H25">
        <v>0</v>
      </c>
      <c r="I25">
        <v>-9280014</v>
      </c>
      <c r="J25">
        <v>8753861</v>
      </c>
      <c r="K25">
        <v>-20519710</v>
      </c>
      <c r="L25">
        <v>434140938</v>
      </c>
      <c r="M25">
        <v>0</v>
      </c>
      <c r="N25">
        <v>5003496</v>
      </c>
      <c r="O25">
        <v>0</v>
      </c>
      <c r="P25">
        <v>5003496</v>
      </c>
      <c r="Q25">
        <v>-2136500</v>
      </c>
      <c r="R25">
        <v>0</v>
      </c>
      <c r="S25">
        <v>-4414838</v>
      </c>
      <c r="T25">
        <v>-437068989</v>
      </c>
      <c r="U25">
        <v>-5777210</v>
      </c>
      <c r="V25">
        <v>0</v>
      </c>
      <c r="W25">
        <v>-12808383</v>
      </c>
      <c r="X25">
        <v>-462205920</v>
      </c>
      <c r="Y25" s="661">
        <v>-15515265</v>
      </c>
      <c r="Z25" t="s">
        <v>1678</v>
      </c>
    </row>
    <row r="26" spans="1:26" ht="12.75" x14ac:dyDescent="0.2">
      <c r="A26" s="605">
        <v>19</v>
      </c>
      <c r="B26" s="606" t="s">
        <v>713</v>
      </c>
      <c r="C26" s="607" t="s">
        <v>1185</v>
      </c>
      <c r="D26" s="608" t="s">
        <v>1188</v>
      </c>
      <c r="E26" s="609" t="s">
        <v>712</v>
      </c>
      <c r="F26">
        <v>-540040</v>
      </c>
      <c r="G26">
        <v>48104870</v>
      </c>
      <c r="H26">
        <v>0</v>
      </c>
      <c r="I26">
        <v>-51855</v>
      </c>
      <c r="J26">
        <v>90000</v>
      </c>
      <c r="K26">
        <v>-1390000</v>
      </c>
      <c r="L26">
        <v>46753015</v>
      </c>
      <c r="M26">
        <v>79237</v>
      </c>
      <c r="N26">
        <v>0</v>
      </c>
      <c r="O26">
        <v>881657</v>
      </c>
      <c r="P26">
        <v>960894</v>
      </c>
      <c r="Q26">
        <v>0</v>
      </c>
      <c r="R26">
        <v>-11980787</v>
      </c>
      <c r="S26">
        <v>-17971179</v>
      </c>
      <c r="T26">
        <v>-17971179</v>
      </c>
      <c r="U26">
        <v>-104427</v>
      </c>
      <c r="V26">
        <v>0</v>
      </c>
      <c r="W26">
        <v>0</v>
      </c>
      <c r="X26">
        <v>-48027572</v>
      </c>
      <c r="Y26" s="661">
        <v>-853703</v>
      </c>
      <c r="Z26" t="s">
        <v>1679</v>
      </c>
    </row>
    <row r="27" spans="1:26" ht="12.75" x14ac:dyDescent="0.2">
      <c r="A27" s="605">
        <v>20</v>
      </c>
      <c r="B27" s="606" t="s">
        <v>715</v>
      </c>
      <c r="C27" s="607" t="s">
        <v>524</v>
      </c>
      <c r="D27" s="608" t="s">
        <v>1187</v>
      </c>
      <c r="E27" s="609" t="s">
        <v>587</v>
      </c>
      <c r="F27">
        <v>2962493</v>
      </c>
      <c r="G27">
        <v>44840000</v>
      </c>
      <c r="H27">
        <v>0</v>
      </c>
      <c r="I27">
        <v>-700000</v>
      </c>
      <c r="J27">
        <v>600000</v>
      </c>
      <c r="K27">
        <v>-1381000</v>
      </c>
      <c r="L27">
        <v>43359000</v>
      </c>
      <c r="M27">
        <v>0</v>
      </c>
      <c r="N27">
        <v>0</v>
      </c>
      <c r="O27">
        <v>0</v>
      </c>
      <c r="P27">
        <v>0</v>
      </c>
      <c r="Q27">
        <v>-2000000</v>
      </c>
      <c r="R27">
        <v>-10490925</v>
      </c>
      <c r="S27">
        <v>-629456</v>
      </c>
      <c r="T27">
        <v>-30843321</v>
      </c>
      <c r="U27">
        <v>-247910</v>
      </c>
      <c r="V27">
        <v>0</v>
      </c>
      <c r="W27">
        <v>-1619400</v>
      </c>
      <c r="X27">
        <v>-45831012</v>
      </c>
      <c r="Y27" s="661">
        <v>490481</v>
      </c>
      <c r="Z27" t="s">
        <v>1680</v>
      </c>
    </row>
    <row r="28" spans="1:26" ht="12.75" x14ac:dyDescent="0.2">
      <c r="A28" s="605">
        <v>21</v>
      </c>
      <c r="B28" s="606" t="s">
        <v>717</v>
      </c>
      <c r="C28" s="607" t="s">
        <v>524</v>
      </c>
      <c r="D28" s="608" t="s">
        <v>1187</v>
      </c>
      <c r="E28" s="609" t="s">
        <v>589</v>
      </c>
      <c r="F28">
        <v>-2310278</v>
      </c>
      <c r="G28">
        <v>44900000</v>
      </c>
      <c r="H28">
        <v>0</v>
      </c>
      <c r="I28">
        <v>-1600000</v>
      </c>
      <c r="J28">
        <v>1200000</v>
      </c>
      <c r="K28">
        <v>-3000000</v>
      </c>
      <c r="L28">
        <v>41500000</v>
      </c>
      <c r="M28">
        <v>0</v>
      </c>
      <c r="N28">
        <v>0</v>
      </c>
      <c r="O28">
        <v>3005434</v>
      </c>
      <c r="P28">
        <v>3005434</v>
      </c>
      <c r="Q28">
        <v>-578000</v>
      </c>
      <c r="R28">
        <v>-9447360</v>
      </c>
      <c r="S28">
        <v>-581933</v>
      </c>
      <c r="T28">
        <v>-28514693</v>
      </c>
      <c r="U28">
        <v>-746970</v>
      </c>
      <c r="V28">
        <v>0</v>
      </c>
      <c r="W28">
        <v>0</v>
      </c>
      <c r="X28">
        <v>-39868956</v>
      </c>
      <c r="Y28" s="661">
        <v>2326200</v>
      </c>
      <c r="Z28" t="s">
        <v>1681</v>
      </c>
    </row>
    <row r="29" spans="1:26" ht="12.75" x14ac:dyDescent="0.2">
      <c r="A29" s="605">
        <v>22</v>
      </c>
      <c r="B29" s="606" t="s">
        <v>719</v>
      </c>
      <c r="C29" s="607" t="s">
        <v>1185</v>
      </c>
      <c r="D29" s="608" t="s">
        <v>1188</v>
      </c>
      <c r="E29" s="609" t="s">
        <v>718</v>
      </c>
      <c r="F29">
        <v>-252198</v>
      </c>
      <c r="G29">
        <v>27741784</v>
      </c>
      <c r="H29">
        <v>-71387</v>
      </c>
      <c r="I29">
        <v>-35720</v>
      </c>
      <c r="J29">
        <v>563687</v>
      </c>
      <c r="K29">
        <v>-146716</v>
      </c>
      <c r="L29">
        <v>28051648</v>
      </c>
      <c r="M29">
        <v>76989</v>
      </c>
      <c r="N29">
        <v>0</v>
      </c>
      <c r="O29">
        <v>1636519</v>
      </c>
      <c r="P29">
        <v>1713508</v>
      </c>
      <c r="Q29">
        <v>0</v>
      </c>
      <c r="R29">
        <v>-13441119</v>
      </c>
      <c r="S29">
        <v>-2688224</v>
      </c>
      <c r="T29">
        <v>-10752896</v>
      </c>
      <c r="U29">
        <v>-156207</v>
      </c>
      <c r="V29">
        <v>0</v>
      </c>
      <c r="W29">
        <v>0</v>
      </c>
      <c r="X29">
        <v>-27038446</v>
      </c>
      <c r="Y29" s="661">
        <v>2474512</v>
      </c>
      <c r="Z29" t="s">
        <v>1682</v>
      </c>
    </row>
    <row r="30" spans="1:26" ht="12.75" x14ac:dyDescent="0.2">
      <c r="A30" s="605">
        <v>23</v>
      </c>
      <c r="B30" s="606" t="s">
        <v>721</v>
      </c>
      <c r="C30" s="607" t="s">
        <v>1192</v>
      </c>
      <c r="D30" s="608" t="s">
        <v>1187</v>
      </c>
      <c r="E30" s="609" t="s">
        <v>720</v>
      </c>
      <c r="F30">
        <v>1871023</v>
      </c>
      <c r="G30">
        <v>91252840</v>
      </c>
      <c r="H30">
        <v>-2941573</v>
      </c>
      <c r="I30">
        <v>0</v>
      </c>
      <c r="J30">
        <v>1252817</v>
      </c>
      <c r="K30">
        <v>-5322509</v>
      </c>
      <c r="L30">
        <v>84241575</v>
      </c>
      <c r="M30">
        <v>510000</v>
      </c>
      <c r="N30">
        <v>0</v>
      </c>
      <c r="O30">
        <v>0</v>
      </c>
      <c r="P30">
        <v>510000</v>
      </c>
      <c r="Q30">
        <v>-2920000</v>
      </c>
      <c r="R30">
        <v>0</v>
      </c>
      <c r="S30">
        <v>-800742</v>
      </c>
      <c r="T30">
        <v>-79273409</v>
      </c>
      <c r="U30">
        <v>0</v>
      </c>
      <c r="V30">
        <v>0</v>
      </c>
      <c r="W30">
        <v>-2298612</v>
      </c>
      <c r="X30">
        <v>-85292763</v>
      </c>
      <c r="Y30" s="661">
        <v>1329835</v>
      </c>
      <c r="Z30" t="s">
        <v>1683</v>
      </c>
    </row>
    <row r="31" spans="1:26" ht="12.75" x14ac:dyDescent="0.2">
      <c r="A31" s="605">
        <v>24</v>
      </c>
      <c r="B31" s="606" t="s">
        <v>723</v>
      </c>
      <c r="C31" s="607" t="s">
        <v>1185</v>
      </c>
      <c r="D31" s="608" t="s">
        <v>1188</v>
      </c>
      <c r="E31" s="609" t="s">
        <v>722</v>
      </c>
      <c r="F31">
        <v>2325541.6</v>
      </c>
      <c r="G31">
        <v>20070794</v>
      </c>
      <c r="H31">
        <v>0</v>
      </c>
      <c r="I31">
        <v>-79955</v>
      </c>
      <c r="J31">
        <v>0</v>
      </c>
      <c r="K31">
        <v>-500000</v>
      </c>
      <c r="L31">
        <v>19490839</v>
      </c>
      <c r="M31">
        <v>252796</v>
      </c>
      <c r="N31">
        <v>0</v>
      </c>
      <c r="O31">
        <v>0</v>
      </c>
      <c r="P31">
        <v>252796</v>
      </c>
      <c r="Q31">
        <v>0</v>
      </c>
      <c r="R31">
        <v>-9879786</v>
      </c>
      <c r="S31">
        <v>-1975957</v>
      </c>
      <c r="T31">
        <v>-7903829</v>
      </c>
      <c r="U31">
        <v>-249579</v>
      </c>
      <c r="V31">
        <v>0</v>
      </c>
      <c r="W31">
        <v>-2603268</v>
      </c>
      <c r="X31">
        <v>-22612419</v>
      </c>
      <c r="Y31" s="661">
        <v>-543242.39999999851</v>
      </c>
      <c r="Z31" t="s">
        <v>1684</v>
      </c>
    </row>
    <row r="32" spans="1:26" ht="12.75" x14ac:dyDescent="0.2">
      <c r="A32" s="605">
        <v>25</v>
      </c>
      <c r="B32" s="606" t="s">
        <v>1124</v>
      </c>
      <c r="C32" s="607" t="s">
        <v>524</v>
      </c>
      <c r="D32" s="608" t="s">
        <v>1194</v>
      </c>
      <c r="E32" s="609" t="s">
        <v>1145</v>
      </c>
      <c r="F32">
        <v>-1529462.7099999934</v>
      </c>
      <c r="G32">
        <v>148880189</v>
      </c>
      <c r="H32">
        <v>0</v>
      </c>
      <c r="I32">
        <v>-2315331</v>
      </c>
      <c r="J32">
        <v>2172652</v>
      </c>
      <c r="K32">
        <v>-11820071</v>
      </c>
      <c r="L32">
        <v>136917439</v>
      </c>
      <c r="M32">
        <v>1908932</v>
      </c>
      <c r="N32">
        <v>0</v>
      </c>
      <c r="O32">
        <v>0</v>
      </c>
      <c r="P32">
        <v>1908932</v>
      </c>
      <c r="Q32">
        <v>-2822308</v>
      </c>
      <c r="R32">
        <v>-66779634</v>
      </c>
      <c r="S32">
        <v>-1335593</v>
      </c>
      <c r="T32">
        <v>-65444042</v>
      </c>
      <c r="U32">
        <v>-915331</v>
      </c>
      <c r="V32">
        <v>0</v>
      </c>
      <c r="W32">
        <v>0</v>
      </c>
      <c r="X32">
        <v>-137296908</v>
      </c>
      <c r="Y32" s="661">
        <v>0.29000002145767212</v>
      </c>
      <c r="Z32" t="s">
        <v>1685</v>
      </c>
    </row>
    <row r="33" spans="1:26" ht="12.75" x14ac:dyDescent="0.2">
      <c r="A33" s="605">
        <v>26</v>
      </c>
      <c r="B33" s="606" t="s">
        <v>725</v>
      </c>
      <c r="C33" s="607" t="s">
        <v>524</v>
      </c>
      <c r="D33" s="608" t="s">
        <v>1186</v>
      </c>
      <c r="E33" s="609" t="s">
        <v>531</v>
      </c>
      <c r="F33">
        <v>-958920</v>
      </c>
      <c r="G33">
        <v>73612372</v>
      </c>
      <c r="H33">
        <v>0</v>
      </c>
      <c r="I33">
        <v>-175143</v>
      </c>
      <c r="J33">
        <v>2165684</v>
      </c>
      <c r="K33">
        <v>-3791017</v>
      </c>
      <c r="L33">
        <v>71811896</v>
      </c>
      <c r="M33">
        <v>146418</v>
      </c>
      <c r="N33">
        <v>0</v>
      </c>
      <c r="O33">
        <v>10629949</v>
      </c>
      <c r="P33">
        <v>10776367</v>
      </c>
      <c r="Q33">
        <v>0</v>
      </c>
      <c r="R33">
        <v>-18402506</v>
      </c>
      <c r="S33">
        <v>-736100</v>
      </c>
      <c r="T33">
        <v>-54471416</v>
      </c>
      <c r="U33">
        <v>-150057</v>
      </c>
      <c r="V33">
        <v>0</v>
      </c>
      <c r="W33">
        <v>0</v>
      </c>
      <c r="X33">
        <v>-73760079</v>
      </c>
      <c r="Y33" s="661">
        <v>7869264</v>
      </c>
      <c r="Z33" t="s">
        <v>1686</v>
      </c>
    </row>
    <row r="34" spans="1:26" ht="12.75" x14ac:dyDescent="0.2">
      <c r="A34" s="605">
        <v>27</v>
      </c>
      <c r="B34" s="606" t="s">
        <v>727</v>
      </c>
      <c r="C34" s="607" t="s">
        <v>1192</v>
      </c>
      <c r="D34" s="608" t="s">
        <v>1193</v>
      </c>
      <c r="E34" s="609" t="s">
        <v>726</v>
      </c>
      <c r="F34">
        <v>-88335</v>
      </c>
      <c r="G34">
        <v>140553000</v>
      </c>
      <c r="H34">
        <v>0</v>
      </c>
      <c r="I34">
        <v>-3446000</v>
      </c>
      <c r="J34">
        <v>0</v>
      </c>
      <c r="K34">
        <v>-6655000</v>
      </c>
      <c r="L34">
        <v>130452000</v>
      </c>
      <c r="M34">
        <v>0</v>
      </c>
      <c r="N34">
        <v>0</v>
      </c>
      <c r="O34">
        <v>628003</v>
      </c>
      <c r="P34">
        <v>628003</v>
      </c>
      <c r="Q34">
        <v>0</v>
      </c>
      <c r="R34">
        <v>-32351811</v>
      </c>
      <c r="S34">
        <v>-1294076</v>
      </c>
      <c r="T34">
        <v>-95761597</v>
      </c>
      <c r="U34">
        <v>0</v>
      </c>
      <c r="V34">
        <v>-728000</v>
      </c>
      <c r="W34">
        <v>0</v>
      </c>
      <c r="X34">
        <v>-130135484</v>
      </c>
      <c r="Y34" s="661">
        <v>856184</v>
      </c>
      <c r="Z34" t="s">
        <v>1687</v>
      </c>
    </row>
    <row r="35" spans="1:26" ht="12.75" x14ac:dyDescent="0.2">
      <c r="A35" s="605">
        <v>28</v>
      </c>
      <c r="B35" s="606" t="s">
        <v>729</v>
      </c>
      <c r="C35" s="607" t="s">
        <v>1185</v>
      </c>
      <c r="D35" s="608" t="s">
        <v>1189</v>
      </c>
      <c r="E35" s="609" t="s">
        <v>728</v>
      </c>
      <c r="F35">
        <v>825817</v>
      </c>
      <c r="G35">
        <v>42586895</v>
      </c>
      <c r="H35">
        <v>-97375</v>
      </c>
      <c r="I35">
        <v>-126534</v>
      </c>
      <c r="J35">
        <v>0</v>
      </c>
      <c r="K35">
        <v>-868041</v>
      </c>
      <c r="L35">
        <v>41494945</v>
      </c>
      <c r="M35">
        <v>202794</v>
      </c>
      <c r="N35">
        <v>3</v>
      </c>
      <c r="O35">
        <v>0</v>
      </c>
      <c r="P35">
        <v>202797</v>
      </c>
      <c r="Q35">
        <v>0</v>
      </c>
      <c r="R35">
        <v>-20823117</v>
      </c>
      <c r="S35">
        <v>-4164623</v>
      </c>
      <c r="T35">
        <v>-16658493</v>
      </c>
      <c r="U35">
        <v>-262355</v>
      </c>
      <c r="V35">
        <v>0</v>
      </c>
      <c r="W35">
        <v>-142584</v>
      </c>
      <c r="X35">
        <v>-42051172</v>
      </c>
      <c r="Y35" s="661">
        <v>472387</v>
      </c>
      <c r="Z35" t="s">
        <v>1688</v>
      </c>
    </row>
    <row r="36" spans="1:26" ht="12.75" x14ac:dyDescent="0.2">
      <c r="A36" s="605">
        <v>29</v>
      </c>
      <c r="B36" s="606" t="s">
        <v>731</v>
      </c>
      <c r="C36" s="607" t="s">
        <v>1185</v>
      </c>
      <c r="D36" s="608" t="s">
        <v>1189</v>
      </c>
      <c r="E36" s="609" t="s">
        <v>730</v>
      </c>
      <c r="F36">
        <v>-2816515</v>
      </c>
      <c r="G36">
        <v>34035067</v>
      </c>
      <c r="H36">
        <v>0</v>
      </c>
      <c r="I36">
        <v>-177736</v>
      </c>
      <c r="J36">
        <v>131826</v>
      </c>
      <c r="K36">
        <v>-23086</v>
      </c>
      <c r="L36">
        <v>33966071</v>
      </c>
      <c r="M36">
        <v>243922</v>
      </c>
      <c r="N36">
        <v>0</v>
      </c>
      <c r="O36">
        <v>2297027</v>
      </c>
      <c r="P36">
        <v>2540949</v>
      </c>
      <c r="Q36">
        <v>0</v>
      </c>
      <c r="R36">
        <v>-7635032</v>
      </c>
      <c r="S36">
        <v>-9925542</v>
      </c>
      <c r="T36">
        <v>-12979555</v>
      </c>
      <c r="U36">
        <v>-2689112</v>
      </c>
      <c r="V36">
        <v>0</v>
      </c>
      <c r="W36">
        <v>0</v>
      </c>
      <c r="X36">
        <v>-33229241</v>
      </c>
      <c r="Y36" s="661">
        <v>461264</v>
      </c>
      <c r="Z36" t="s">
        <v>1689</v>
      </c>
    </row>
    <row r="37" spans="1:26" ht="12.75" x14ac:dyDescent="0.2">
      <c r="A37" s="605">
        <v>30</v>
      </c>
      <c r="B37" s="606" t="s">
        <v>733</v>
      </c>
      <c r="C37" s="607" t="s">
        <v>1190</v>
      </c>
      <c r="D37" s="608" t="s">
        <v>1191</v>
      </c>
      <c r="E37" s="609" t="s">
        <v>732</v>
      </c>
      <c r="F37">
        <v>-2457072</v>
      </c>
      <c r="G37">
        <v>124915000</v>
      </c>
      <c r="H37">
        <v>0</v>
      </c>
      <c r="I37">
        <v>-1000000</v>
      </c>
      <c r="J37">
        <v>6000000</v>
      </c>
      <c r="K37">
        <v>-2000000</v>
      </c>
      <c r="L37">
        <v>127915000</v>
      </c>
      <c r="M37">
        <v>1256522</v>
      </c>
      <c r="N37">
        <v>0</v>
      </c>
      <c r="O37">
        <v>0</v>
      </c>
      <c r="P37">
        <v>1256522</v>
      </c>
      <c r="Q37">
        <v>0</v>
      </c>
      <c r="R37">
        <v>-32487925</v>
      </c>
      <c r="S37">
        <v>-35086959</v>
      </c>
      <c r="T37">
        <v>-62376816</v>
      </c>
      <c r="U37">
        <v>-427032</v>
      </c>
      <c r="V37">
        <v>0</v>
      </c>
      <c r="W37">
        <v>-2083641</v>
      </c>
      <c r="X37">
        <v>-132462373</v>
      </c>
      <c r="Y37" s="661">
        <v>-5747923</v>
      </c>
      <c r="Z37" t="s">
        <v>1690</v>
      </c>
    </row>
    <row r="38" spans="1:26" ht="12.75" x14ac:dyDescent="0.2">
      <c r="A38" s="605">
        <v>31</v>
      </c>
      <c r="B38" s="606" t="s">
        <v>735</v>
      </c>
      <c r="C38" s="607" t="s">
        <v>1185</v>
      </c>
      <c r="D38" s="608" t="s">
        <v>1189</v>
      </c>
      <c r="E38" s="609" t="s">
        <v>734</v>
      </c>
      <c r="F38">
        <v>-1032789</v>
      </c>
      <c r="G38">
        <v>26821011</v>
      </c>
      <c r="H38">
        <v>-323909</v>
      </c>
      <c r="I38">
        <v>-177000</v>
      </c>
      <c r="J38">
        <v>0</v>
      </c>
      <c r="K38">
        <v>0</v>
      </c>
      <c r="L38">
        <v>26320102</v>
      </c>
      <c r="M38">
        <v>0</v>
      </c>
      <c r="N38">
        <v>0</v>
      </c>
      <c r="O38">
        <v>942644</v>
      </c>
      <c r="P38">
        <v>942644</v>
      </c>
      <c r="Q38">
        <v>-20123</v>
      </c>
      <c r="R38">
        <v>-2638161</v>
      </c>
      <c r="S38">
        <v>-13190807</v>
      </c>
      <c r="T38">
        <v>-10654883</v>
      </c>
      <c r="U38">
        <v>0</v>
      </c>
      <c r="V38">
        <v>0</v>
      </c>
      <c r="W38">
        <v>0</v>
      </c>
      <c r="X38">
        <v>-26503974</v>
      </c>
      <c r="Y38" s="661">
        <v>-274017</v>
      </c>
      <c r="Z38" t="s">
        <v>1691</v>
      </c>
    </row>
    <row r="39" spans="1:26" ht="12.75" x14ac:dyDescent="0.2">
      <c r="A39" s="605">
        <v>32</v>
      </c>
      <c r="B39" s="606" t="s">
        <v>737</v>
      </c>
      <c r="C39" s="607" t="s">
        <v>524</v>
      </c>
      <c r="D39" s="608" t="s">
        <v>1186</v>
      </c>
      <c r="E39" s="609" t="s">
        <v>916</v>
      </c>
      <c r="F39">
        <v>-4175157</v>
      </c>
      <c r="G39">
        <v>115870352</v>
      </c>
      <c r="H39">
        <v>-574721</v>
      </c>
      <c r="I39">
        <v>-651279</v>
      </c>
      <c r="J39">
        <v>1442278</v>
      </c>
      <c r="K39">
        <v>3433831</v>
      </c>
      <c r="L39">
        <v>119520461</v>
      </c>
      <c r="M39">
        <v>2032473</v>
      </c>
      <c r="N39">
        <v>0</v>
      </c>
      <c r="O39">
        <v>4253181</v>
      </c>
      <c r="P39">
        <v>6285654</v>
      </c>
      <c r="Q39">
        <v>0</v>
      </c>
      <c r="R39">
        <v>-58412573</v>
      </c>
      <c r="S39">
        <v>-1168251</v>
      </c>
      <c r="T39">
        <v>-57244322</v>
      </c>
      <c r="U39">
        <v>-444785</v>
      </c>
      <c r="V39">
        <v>0</v>
      </c>
      <c r="W39">
        <v>0</v>
      </c>
      <c r="X39">
        <v>-117269931</v>
      </c>
      <c r="Y39" s="661">
        <v>4361027</v>
      </c>
      <c r="Z39" t="s">
        <v>1692</v>
      </c>
    </row>
    <row r="40" spans="1:26" ht="12.75" x14ac:dyDescent="0.2">
      <c r="A40" s="605">
        <v>33</v>
      </c>
      <c r="B40" s="606" t="s">
        <v>739</v>
      </c>
      <c r="C40" s="607" t="s">
        <v>524</v>
      </c>
      <c r="D40" s="608" t="s">
        <v>1194</v>
      </c>
      <c r="E40" s="609" t="s">
        <v>526</v>
      </c>
      <c r="F40">
        <v>-1287284.0600000024</v>
      </c>
      <c r="G40">
        <v>231528000</v>
      </c>
      <c r="H40">
        <v>0</v>
      </c>
      <c r="I40">
        <v>-2413000</v>
      </c>
      <c r="J40">
        <v>0</v>
      </c>
      <c r="K40">
        <v>-9714000</v>
      </c>
      <c r="L40">
        <v>219401000</v>
      </c>
      <c r="M40">
        <v>0</v>
      </c>
      <c r="N40">
        <v>0</v>
      </c>
      <c r="O40">
        <v>0</v>
      </c>
      <c r="P40">
        <v>0</v>
      </c>
      <c r="Q40">
        <v>-2228000</v>
      </c>
      <c r="R40">
        <v>0</v>
      </c>
      <c r="S40">
        <v>-12595536</v>
      </c>
      <c r="T40">
        <v>-197330057</v>
      </c>
      <c r="U40">
        <v>-6411688</v>
      </c>
      <c r="V40">
        <v>-251966</v>
      </c>
      <c r="W40">
        <v>-1076469</v>
      </c>
      <c r="X40">
        <v>-219893716</v>
      </c>
      <c r="Y40" s="661">
        <v>-1780000.0600000024</v>
      </c>
      <c r="Z40" t="s">
        <v>1693</v>
      </c>
    </row>
    <row r="41" spans="1:26" ht="12.75" x14ac:dyDescent="0.2">
      <c r="A41" s="605">
        <v>34</v>
      </c>
      <c r="B41" s="606" t="s">
        <v>741</v>
      </c>
      <c r="C41" s="607" t="s">
        <v>1185</v>
      </c>
      <c r="D41" s="608" t="s">
        <v>1189</v>
      </c>
      <c r="E41" s="609" t="s">
        <v>740</v>
      </c>
      <c r="F41">
        <v>-3252483.5</v>
      </c>
      <c r="G41">
        <v>31000000</v>
      </c>
      <c r="H41">
        <v>0</v>
      </c>
      <c r="I41">
        <v>-20000</v>
      </c>
      <c r="J41">
        <v>500000</v>
      </c>
      <c r="K41">
        <v>-400000</v>
      </c>
      <c r="L41">
        <v>31080000</v>
      </c>
      <c r="M41">
        <v>800000</v>
      </c>
      <c r="N41">
        <v>0</v>
      </c>
      <c r="O41">
        <v>1257827</v>
      </c>
      <c r="P41">
        <v>2057827</v>
      </c>
      <c r="Q41">
        <v>-400000</v>
      </c>
      <c r="R41">
        <v>-7251393</v>
      </c>
      <c r="S41">
        <v>-9426810</v>
      </c>
      <c r="T41">
        <v>-12327367</v>
      </c>
      <c r="U41">
        <v>-293986</v>
      </c>
      <c r="V41">
        <v>-10000</v>
      </c>
      <c r="W41">
        <v>0</v>
      </c>
      <c r="X41">
        <v>-29709556</v>
      </c>
      <c r="Y41" s="661">
        <v>175787.5</v>
      </c>
      <c r="Z41" t="s">
        <v>1694</v>
      </c>
    </row>
    <row r="42" spans="1:26" ht="12.75" x14ac:dyDescent="0.2">
      <c r="A42" s="605">
        <v>35</v>
      </c>
      <c r="B42" s="606" t="s">
        <v>743</v>
      </c>
      <c r="C42" s="607" t="s">
        <v>1190</v>
      </c>
      <c r="D42" s="608" t="s">
        <v>1191</v>
      </c>
      <c r="E42" s="609" t="s">
        <v>742</v>
      </c>
      <c r="F42">
        <v>-2940326.0999999996</v>
      </c>
      <c r="G42">
        <v>93891471</v>
      </c>
      <c r="H42">
        <v>-338200</v>
      </c>
      <c r="I42">
        <v>-850737</v>
      </c>
      <c r="J42">
        <v>245961</v>
      </c>
      <c r="K42">
        <v>-2187838</v>
      </c>
      <c r="L42">
        <v>90760657</v>
      </c>
      <c r="M42">
        <v>1890219</v>
      </c>
      <c r="N42">
        <v>0</v>
      </c>
      <c r="O42">
        <v>2468103</v>
      </c>
      <c r="P42">
        <v>4358322</v>
      </c>
      <c r="Q42">
        <v>0</v>
      </c>
      <c r="R42">
        <v>-23149619</v>
      </c>
      <c r="S42">
        <v>-25001589</v>
      </c>
      <c r="T42">
        <v>-44447268</v>
      </c>
      <c r="U42">
        <v>-325447</v>
      </c>
      <c r="V42">
        <v>0</v>
      </c>
      <c r="W42">
        <v>0</v>
      </c>
      <c r="X42">
        <v>-92923923</v>
      </c>
      <c r="Y42" s="661">
        <v>-745270.09999999404</v>
      </c>
      <c r="Z42" t="s">
        <v>1695</v>
      </c>
    </row>
    <row r="43" spans="1:26" ht="12.75" x14ac:dyDescent="0.2">
      <c r="A43" s="605">
        <v>36</v>
      </c>
      <c r="B43" s="606" t="s">
        <v>745</v>
      </c>
      <c r="C43" s="607" t="s">
        <v>1185</v>
      </c>
      <c r="D43" s="608" t="s">
        <v>1195</v>
      </c>
      <c r="E43" s="609" t="s">
        <v>744</v>
      </c>
      <c r="F43">
        <v>-4905756</v>
      </c>
      <c r="G43">
        <v>25833103</v>
      </c>
      <c r="H43">
        <v>0</v>
      </c>
      <c r="I43">
        <v>-258331</v>
      </c>
      <c r="J43">
        <v>50830</v>
      </c>
      <c r="K43">
        <v>-46489</v>
      </c>
      <c r="L43">
        <v>25579113</v>
      </c>
      <c r="M43">
        <v>0</v>
      </c>
      <c r="N43">
        <v>0</v>
      </c>
      <c r="O43">
        <v>5762261</v>
      </c>
      <c r="P43">
        <v>5762261</v>
      </c>
      <c r="Q43">
        <v>-196579</v>
      </c>
      <c r="R43">
        <v>-5981412</v>
      </c>
      <c r="S43">
        <v>-17944233</v>
      </c>
      <c r="T43">
        <v>0</v>
      </c>
      <c r="U43">
        <v>0</v>
      </c>
      <c r="V43">
        <v>-126252</v>
      </c>
      <c r="W43">
        <v>0</v>
      </c>
      <c r="X43">
        <v>-24248476</v>
      </c>
      <c r="Y43" s="661">
        <v>2187142</v>
      </c>
      <c r="Z43" t="s">
        <v>1696</v>
      </c>
    </row>
    <row r="44" spans="1:26" ht="12.75" x14ac:dyDescent="0.2">
      <c r="A44" s="605">
        <v>37</v>
      </c>
      <c r="B44" s="606" t="s">
        <v>747</v>
      </c>
      <c r="C44" s="607" t="s">
        <v>1185</v>
      </c>
      <c r="D44" s="608" t="s">
        <v>1189</v>
      </c>
      <c r="E44" s="609" t="s">
        <v>746</v>
      </c>
      <c r="F44">
        <v>-3384045</v>
      </c>
      <c r="G44">
        <v>40069038</v>
      </c>
      <c r="H44">
        <v>0</v>
      </c>
      <c r="I44">
        <v>0</v>
      </c>
      <c r="J44">
        <v>0</v>
      </c>
      <c r="K44">
        <v>-1250179</v>
      </c>
      <c r="L44">
        <v>38818859</v>
      </c>
      <c r="M44">
        <v>0</v>
      </c>
      <c r="N44">
        <v>0</v>
      </c>
      <c r="O44">
        <v>1446106</v>
      </c>
      <c r="P44">
        <v>1446106</v>
      </c>
      <c r="Q44">
        <v>-774857</v>
      </c>
      <c r="R44">
        <v>-10130228</v>
      </c>
      <c r="S44">
        <v>-16208364</v>
      </c>
      <c r="T44">
        <v>-14182319</v>
      </c>
      <c r="U44">
        <v>0</v>
      </c>
      <c r="V44">
        <v>0</v>
      </c>
      <c r="W44">
        <v>0</v>
      </c>
      <c r="X44">
        <v>-41295768</v>
      </c>
      <c r="Y44" s="661">
        <v>-4414848</v>
      </c>
      <c r="Z44" t="s">
        <v>1697</v>
      </c>
    </row>
    <row r="45" spans="1:26" ht="12.75" x14ac:dyDescent="0.2">
      <c r="A45" s="605">
        <v>38</v>
      </c>
      <c r="B45" s="606" t="s">
        <v>749</v>
      </c>
      <c r="C45" s="607" t="s">
        <v>1185</v>
      </c>
      <c r="D45" s="608" t="s">
        <v>1188</v>
      </c>
      <c r="E45" s="609" t="s">
        <v>748</v>
      </c>
      <c r="F45">
        <v>-437776.98000000045</v>
      </c>
      <c r="G45">
        <v>26893955</v>
      </c>
      <c r="H45">
        <v>0</v>
      </c>
      <c r="I45">
        <v>-108216</v>
      </c>
      <c r="J45">
        <v>71060</v>
      </c>
      <c r="K45">
        <v>-409112</v>
      </c>
      <c r="L45">
        <v>26447687</v>
      </c>
      <c r="M45">
        <v>416313</v>
      </c>
      <c r="N45">
        <v>0</v>
      </c>
      <c r="O45">
        <v>578852</v>
      </c>
      <c r="P45">
        <v>995165</v>
      </c>
      <c r="Q45">
        <v>-59368</v>
      </c>
      <c r="R45">
        <v>-13580437</v>
      </c>
      <c r="S45">
        <v>-2738088</v>
      </c>
      <c r="T45">
        <v>-10952350</v>
      </c>
      <c r="U45">
        <v>-212982</v>
      </c>
      <c r="V45">
        <v>0</v>
      </c>
      <c r="W45">
        <v>0</v>
      </c>
      <c r="X45">
        <v>-27543225</v>
      </c>
      <c r="Y45" s="661">
        <v>-538149.98000000045</v>
      </c>
      <c r="Z45" t="s">
        <v>1698</v>
      </c>
    </row>
    <row r="46" spans="1:26" ht="12.75" x14ac:dyDescent="0.2">
      <c r="A46" s="605">
        <v>39</v>
      </c>
      <c r="B46" s="606" t="s">
        <v>1488</v>
      </c>
      <c r="C46" s="607" t="s">
        <v>524</v>
      </c>
      <c r="D46" s="659" t="s">
        <v>1186</v>
      </c>
      <c r="E46" s="609" t="s">
        <v>1489</v>
      </c>
      <c r="F46">
        <v>-11726410.899999999</v>
      </c>
      <c r="G46">
        <v>180511971</v>
      </c>
      <c r="H46">
        <v>-273980</v>
      </c>
      <c r="I46">
        <v>-24923</v>
      </c>
      <c r="J46">
        <v>0</v>
      </c>
      <c r="K46">
        <v>11730613</v>
      </c>
      <c r="L46">
        <v>191943681</v>
      </c>
      <c r="M46">
        <v>1100606</v>
      </c>
      <c r="N46">
        <v>0</v>
      </c>
      <c r="O46">
        <v>7756093</v>
      </c>
      <c r="P46">
        <v>8856699</v>
      </c>
      <c r="Q46">
        <v>0</v>
      </c>
      <c r="R46">
        <v>-45335351</v>
      </c>
      <c r="S46">
        <v>-59147161</v>
      </c>
      <c r="T46">
        <v>-77346288</v>
      </c>
      <c r="U46">
        <v>-1619291</v>
      </c>
      <c r="V46">
        <v>0</v>
      </c>
      <c r="W46">
        <v>0</v>
      </c>
      <c r="X46">
        <v>-183448091</v>
      </c>
      <c r="Y46" s="661">
        <v>5625878.099999994</v>
      </c>
      <c r="Z46" s="118" t="s">
        <v>1657</v>
      </c>
    </row>
    <row r="47" spans="1:26" ht="12.75" x14ac:dyDescent="0.2">
      <c r="A47" s="605">
        <v>40</v>
      </c>
      <c r="B47" s="606" t="s">
        <v>751</v>
      </c>
      <c r="C47" s="607" t="s">
        <v>1185</v>
      </c>
      <c r="D47" s="608" t="s">
        <v>1187</v>
      </c>
      <c r="E47" s="609" t="s">
        <v>750</v>
      </c>
      <c r="F47">
        <v>-1636516</v>
      </c>
      <c r="G47">
        <v>27610498</v>
      </c>
      <c r="H47">
        <v>-18427</v>
      </c>
      <c r="I47">
        <v>-273283</v>
      </c>
      <c r="J47">
        <v>809799</v>
      </c>
      <c r="K47">
        <v>2146200</v>
      </c>
      <c r="L47">
        <v>30274787</v>
      </c>
      <c r="M47">
        <v>0</v>
      </c>
      <c r="N47">
        <v>0</v>
      </c>
      <c r="O47">
        <v>0</v>
      </c>
      <c r="P47">
        <v>0</v>
      </c>
      <c r="Q47">
        <v>-85305</v>
      </c>
      <c r="R47">
        <v>-7042740</v>
      </c>
      <c r="S47">
        <v>-5352481</v>
      </c>
      <c r="T47">
        <v>-15775736</v>
      </c>
      <c r="U47">
        <v>-387271</v>
      </c>
      <c r="V47">
        <v>0</v>
      </c>
      <c r="W47">
        <v>0</v>
      </c>
      <c r="X47">
        <v>-28643533</v>
      </c>
      <c r="Y47" s="661">
        <v>-5262</v>
      </c>
      <c r="Z47" t="s">
        <v>1699</v>
      </c>
    </row>
    <row r="48" spans="1:26" ht="12.75" x14ac:dyDescent="0.2">
      <c r="A48" s="605">
        <v>41</v>
      </c>
      <c r="B48" s="606" t="s">
        <v>753</v>
      </c>
      <c r="C48" s="607" t="s">
        <v>1192</v>
      </c>
      <c r="D48" s="608" t="s">
        <v>1187</v>
      </c>
      <c r="E48" s="609" t="s">
        <v>752</v>
      </c>
      <c r="F48">
        <v>2260331.700000003</v>
      </c>
      <c r="G48">
        <v>51483000</v>
      </c>
      <c r="H48">
        <v>0</v>
      </c>
      <c r="I48">
        <v>-500000</v>
      </c>
      <c r="J48">
        <v>2201246</v>
      </c>
      <c r="K48">
        <v>-2150841</v>
      </c>
      <c r="L48">
        <v>51033405</v>
      </c>
      <c r="M48">
        <v>317577</v>
      </c>
      <c r="N48">
        <v>0</v>
      </c>
      <c r="O48">
        <v>1969034</v>
      </c>
      <c r="P48">
        <v>2286611</v>
      </c>
      <c r="Q48">
        <v>0</v>
      </c>
      <c r="R48">
        <v>0</v>
      </c>
      <c r="S48">
        <v>-472581</v>
      </c>
      <c r="T48">
        <v>-46785482</v>
      </c>
      <c r="U48">
        <v>0</v>
      </c>
      <c r="V48">
        <v>0</v>
      </c>
      <c r="W48">
        <v>0</v>
      </c>
      <c r="X48">
        <v>-47258063</v>
      </c>
      <c r="Y48" s="661">
        <v>8322284.700000003</v>
      </c>
      <c r="Z48" t="s">
        <v>1700</v>
      </c>
    </row>
    <row r="49" spans="1:26" ht="12.75" x14ac:dyDescent="0.2">
      <c r="A49" s="605">
        <v>42</v>
      </c>
      <c r="B49" s="606" t="s">
        <v>755</v>
      </c>
      <c r="C49" s="607" t="s">
        <v>1192</v>
      </c>
      <c r="D49" s="608" t="s">
        <v>1193</v>
      </c>
      <c r="E49" s="609" t="s">
        <v>754</v>
      </c>
      <c r="F49">
        <v>3095450.9099999964</v>
      </c>
      <c r="G49">
        <v>57075574</v>
      </c>
      <c r="H49">
        <v>0</v>
      </c>
      <c r="I49">
        <v>-875035</v>
      </c>
      <c r="J49">
        <v>0</v>
      </c>
      <c r="K49">
        <v>-3579831</v>
      </c>
      <c r="L49">
        <v>52620708</v>
      </c>
      <c r="M49">
        <v>0</v>
      </c>
      <c r="N49">
        <v>0</v>
      </c>
      <c r="O49">
        <v>0</v>
      </c>
      <c r="P49">
        <v>0</v>
      </c>
      <c r="Q49">
        <v>-240907</v>
      </c>
      <c r="R49">
        <v>-13291541</v>
      </c>
      <c r="S49">
        <v>-531662</v>
      </c>
      <c r="T49">
        <v>-39342962</v>
      </c>
      <c r="U49">
        <v>-797345</v>
      </c>
      <c r="V49">
        <v>0</v>
      </c>
      <c r="W49">
        <v>-2199130</v>
      </c>
      <c r="X49">
        <v>-56403547</v>
      </c>
      <c r="Y49" s="661">
        <v>-687388.09000000358</v>
      </c>
      <c r="Z49" t="s">
        <v>1701</v>
      </c>
    </row>
    <row r="50" spans="1:26" ht="12.75" x14ac:dyDescent="0.2">
      <c r="A50" s="605">
        <v>43</v>
      </c>
      <c r="B50" s="606" t="s">
        <v>757</v>
      </c>
      <c r="C50" s="607" t="s">
        <v>1185</v>
      </c>
      <c r="D50" s="608" t="s">
        <v>1189</v>
      </c>
      <c r="E50" s="609" t="s">
        <v>756</v>
      </c>
      <c r="F50">
        <v>4012297</v>
      </c>
      <c r="G50">
        <v>118015867</v>
      </c>
      <c r="H50">
        <v>0</v>
      </c>
      <c r="I50">
        <v>-502578</v>
      </c>
      <c r="J50">
        <v>2170759</v>
      </c>
      <c r="K50">
        <v>-2814685</v>
      </c>
      <c r="L50">
        <v>116869363</v>
      </c>
      <c r="M50">
        <v>0</v>
      </c>
      <c r="N50">
        <v>0</v>
      </c>
      <c r="O50">
        <v>930007</v>
      </c>
      <c r="P50">
        <v>930007</v>
      </c>
      <c r="Q50">
        <v>-300333</v>
      </c>
      <c r="R50">
        <v>-55036503</v>
      </c>
      <c r="S50">
        <v>-11007301</v>
      </c>
      <c r="T50">
        <v>-44029202</v>
      </c>
      <c r="U50">
        <v>-236985</v>
      </c>
      <c r="V50">
        <v>0</v>
      </c>
      <c r="W50">
        <v>0</v>
      </c>
      <c r="X50">
        <v>-110610324</v>
      </c>
      <c r="Y50" s="661">
        <v>11201343</v>
      </c>
      <c r="Z50" t="s">
        <v>1702</v>
      </c>
    </row>
    <row r="51" spans="1:26" ht="12.75" x14ac:dyDescent="0.2">
      <c r="A51" s="605">
        <v>44</v>
      </c>
      <c r="B51" s="606" t="s">
        <v>759</v>
      </c>
      <c r="C51" s="607" t="s">
        <v>1196</v>
      </c>
      <c r="D51" s="608" t="s">
        <v>1191</v>
      </c>
      <c r="E51" s="609" t="s">
        <v>758</v>
      </c>
      <c r="F51">
        <v>-11371254.850000024</v>
      </c>
      <c r="G51">
        <v>643160849</v>
      </c>
      <c r="H51">
        <v>0</v>
      </c>
      <c r="I51">
        <v>-4142907</v>
      </c>
      <c r="J51">
        <v>48000000</v>
      </c>
      <c r="K51">
        <v>-33985288</v>
      </c>
      <c r="L51">
        <v>653032654</v>
      </c>
      <c r="M51">
        <v>6845299</v>
      </c>
      <c r="N51">
        <v>0</v>
      </c>
      <c r="O51">
        <v>12232825</v>
      </c>
      <c r="P51">
        <v>19078124</v>
      </c>
      <c r="Q51">
        <v>-339732</v>
      </c>
      <c r="R51">
        <v>-177120000</v>
      </c>
      <c r="S51">
        <v>-164000000</v>
      </c>
      <c r="T51">
        <v>-314880000</v>
      </c>
      <c r="U51">
        <v>-1307964</v>
      </c>
      <c r="V51">
        <v>0</v>
      </c>
      <c r="W51">
        <v>0</v>
      </c>
      <c r="X51">
        <v>-657647696</v>
      </c>
      <c r="Y51" s="661">
        <v>3091827.1499999762</v>
      </c>
      <c r="Z51" t="s">
        <v>1703</v>
      </c>
    </row>
    <row r="52" spans="1:26" ht="12.75" x14ac:dyDescent="0.2">
      <c r="A52" s="605">
        <v>45</v>
      </c>
      <c r="B52" s="606" t="s">
        <v>761</v>
      </c>
      <c r="C52" s="607" t="s">
        <v>1185</v>
      </c>
      <c r="D52" s="608" t="s">
        <v>1195</v>
      </c>
      <c r="E52" s="609" t="s">
        <v>760</v>
      </c>
      <c r="F52">
        <v>-132321.20000000298</v>
      </c>
      <c r="G52">
        <v>29733586</v>
      </c>
      <c r="H52">
        <v>0</v>
      </c>
      <c r="I52">
        <v>-250000</v>
      </c>
      <c r="J52">
        <v>3204205</v>
      </c>
      <c r="K52">
        <v>-1065879</v>
      </c>
      <c r="L52">
        <v>31621912</v>
      </c>
      <c r="M52">
        <v>359614</v>
      </c>
      <c r="N52">
        <v>0</v>
      </c>
      <c r="O52">
        <v>0</v>
      </c>
      <c r="P52">
        <v>359614</v>
      </c>
      <c r="Q52">
        <v>0</v>
      </c>
      <c r="R52">
        <v>-8097857</v>
      </c>
      <c r="S52">
        <v>-11336999</v>
      </c>
      <c r="T52">
        <v>-12956571</v>
      </c>
      <c r="U52">
        <v>0</v>
      </c>
      <c r="V52">
        <v>-135576</v>
      </c>
      <c r="W52">
        <v>-363881</v>
      </c>
      <c r="X52">
        <v>-32890884</v>
      </c>
      <c r="Y52" s="661">
        <v>-1041679.200000003</v>
      </c>
      <c r="Z52" t="s">
        <v>1704</v>
      </c>
    </row>
    <row r="53" spans="1:26" ht="12.75" x14ac:dyDescent="0.2">
      <c r="A53" s="605">
        <v>46</v>
      </c>
      <c r="B53" s="606" t="s">
        <v>763</v>
      </c>
      <c r="C53" s="607" t="s">
        <v>1185</v>
      </c>
      <c r="D53" s="608" t="s">
        <v>1186</v>
      </c>
      <c r="E53" s="609" t="s">
        <v>762</v>
      </c>
      <c r="F53">
        <v>1755262</v>
      </c>
      <c r="G53">
        <v>54664671</v>
      </c>
      <c r="H53">
        <v>-538000</v>
      </c>
      <c r="I53">
        <v>-200000</v>
      </c>
      <c r="J53">
        <v>701065</v>
      </c>
      <c r="K53">
        <v>-2461798</v>
      </c>
      <c r="L53">
        <v>52165938</v>
      </c>
      <c r="M53">
        <v>0</v>
      </c>
      <c r="N53">
        <v>0</v>
      </c>
      <c r="O53">
        <v>0</v>
      </c>
      <c r="P53">
        <v>0</v>
      </c>
      <c r="Q53">
        <v>-1347202</v>
      </c>
      <c r="R53">
        <v>-24518353</v>
      </c>
      <c r="S53">
        <v>-4903670</v>
      </c>
      <c r="T53">
        <v>-19614682</v>
      </c>
      <c r="U53">
        <v>-229160</v>
      </c>
      <c r="V53">
        <v>0</v>
      </c>
      <c r="W53">
        <v>-2950985</v>
      </c>
      <c r="X53">
        <v>-53564052</v>
      </c>
      <c r="Y53" s="661">
        <v>357148</v>
      </c>
      <c r="Z53" t="s">
        <v>1705</v>
      </c>
    </row>
    <row r="54" spans="1:26" ht="12.75" x14ac:dyDescent="0.2">
      <c r="A54" s="605">
        <v>47</v>
      </c>
      <c r="B54" s="606" t="s">
        <v>765</v>
      </c>
      <c r="C54" s="607" t="s">
        <v>1185</v>
      </c>
      <c r="D54" s="608" t="s">
        <v>1187</v>
      </c>
      <c r="E54" s="609" t="s">
        <v>764</v>
      </c>
      <c r="F54">
        <v>137524</v>
      </c>
      <c r="G54">
        <v>43423339</v>
      </c>
      <c r="H54">
        <v>-100723</v>
      </c>
      <c r="I54">
        <v>-371024</v>
      </c>
      <c r="J54">
        <v>815655</v>
      </c>
      <c r="K54">
        <v>-1738465</v>
      </c>
      <c r="L54">
        <v>42028782</v>
      </c>
      <c r="M54">
        <v>0</v>
      </c>
      <c r="N54">
        <v>4579</v>
      </c>
      <c r="O54">
        <v>0</v>
      </c>
      <c r="P54">
        <v>4579</v>
      </c>
      <c r="Q54">
        <v>-562516</v>
      </c>
      <c r="R54">
        <v>-20418450</v>
      </c>
      <c r="S54">
        <v>-4116433</v>
      </c>
      <c r="T54">
        <v>-16465732</v>
      </c>
      <c r="U54">
        <v>-697556</v>
      </c>
      <c r="V54">
        <v>0</v>
      </c>
      <c r="W54">
        <v>-450295</v>
      </c>
      <c r="X54">
        <v>-42710982</v>
      </c>
      <c r="Y54" s="661">
        <v>-540097</v>
      </c>
      <c r="Z54" t="s">
        <v>1706</v>
      </c>
    </row>
    <row r="55" spans="1:26" ht="12.75" x14ac:dyDescent="0.2">
      <c r="A55" s="605">
        <v>48</v>
      </c>
      <c r="B55" s="606" t="s">
        <v>767</v>
      </c>
      <c r="C55" s="607" t="s">
        <v>1185</v>
      </c>
      <c r="D55" s="608" t="s">
        <v>1189</v>
      </c>
      <c r="E55" s="609" t="s">
        <v>766</v>
      </c>
      <c r="F55">
        <v>-467973.48000000045</v>
      </c>
      <c r="G55">
        <v>14590051</v>
      </c>
      <c r="H55">
        <v>0</v>
      </c>
      <c r="I55">
        <v>-145900</v>
      </c>
      <c r="J55">
        <v>137518</v>
      </c>
      <c r="K55">
        <v>-643518</v>
      </c>
      <c r="L55">
        <v>13938151</v>
      </c>
      <c r="M55">
        <v>6064</v>
      </c>
      <c r="N55">
        <v>0</v>
      </c>
      <c r="O55">
        <v>427936</v>
      </c>
      <c r="P55">
        <v>434000</v>
      </c>
      <c r="Q55">
        <v>0</v>
      </c>
      <c r="R55">
        <v>-6898383</v>
      </c>
      <c r="S55">
        <v>-1379677</v>
      </c>
      <c r="T55">
        <v>-5518707</v>
      </c>
      <c r="U55">
        <v>-76312</v>
      </c>
      <c r="V55">
        <v>0</v>
      </c>
      <c r="W55">
        <v>0</v>
      </c>
      <c r="X55">
        <v>-13873079</v>
      </c>
      <c r="Y55" s="661">
        <v>31098.519999999553</v>
      </c>
      <c r="Z55" t="s">
        <v>1707</v>
      </c>
    </row>
    <row r="56" spans="1:26" ht="12.75" x14ac:dyDescent="0.2">
      <c r="A56" s="605">
        <v>49</v>
      </c>
      <c r="B56" s="606" t="s">
        <v>769</v>
      </c>
      <c r="C56" s="607" t="s">
        <v>524</v>
      </c>
      <c r="D56" s="608" t="s">
        <v>1189</v>
      </c>
      <c r="E56" s="609" t="s">
        <v>768</v>
      </c>
      <c r="F56">
        <v>1269975</v>
      </c>
      <c r="G56">
        <v>89467000</v>
      </c>
      <c r="H56">
        <v>0</v>
      </c>
      <c r="I56">
        <v>-622000</v>
      </c>
      <c r="J56">
        <v>0</v>
      </c>
      <c r="K56">
        <v>1550000</v>
      </c>
      <c r="L56">
        <v>90395000</v>
      </c>
      <c r="M56">
        <v>294000</v>
      </c>
      <c r="N56">
        <v>0</v>
      </c>
      <c r="O56">
        <v>1180579</v>
      </c>
      <c r="P56">
        <v>1474579</v>
      </c>
      <c r="Q56">
        <v>0</v>
      </c>
      <c r="R56">
        <v>-46830000</v>
      </c>
      <c r="S56">
        <v>-937000</v>
      </c>
      <c r="T56">
        <v>-45894000</v>
      </c>
      <c r="U56">
        <v>-673000</v>
      </c>
      <c r="V56">
        <v>0</v>
      </c>
      <c r="W56">
        <v>0</v>
      </c>
      <c r="X56">
        <v>-94334000</v>
      </c>
      <c r="Y56" s="661">
        <v>-1194446</v>
      </c>
      <c r="Z56" t="s">
        <v>1708</v>
      </c>
    </row>
    <row r="57" spans="1:26" ht="12.75" x14ac:dyDescent="0.2">
      <c r="A57" s="605">
        <v>50</v>
      </c>
      <c r="B57" s="606" t="s">
        <v>771</v>
      </c>
      <c r="C57" s="607" t="s">
        <v>1185</v>
      </c>
      <c r="D57" s="608" t="s">
        <v>1188</v>
      </c>
      <c r="E57" s="609" t="s">
        <v>770</v>
      </c>
      <c r="F57">
        <v>-2198835.6999999969</v>
      </c>
      <c r="G57">
        <v>48305544</v>
      </c>
      <c r="H57">
        <v>0</v>
      </c>
      <c r="I57">
        <v>261463</v>
      </c>
      <c r="J57">
        <v>1200000</v>
      </c>
      <c r="K57">
        <v>-1897923</v>
      </c>
      <c r="L57">
        <v>47869084</v>
      </c>
      <c r="M57">
        <v>680564</v>
      </c>
      <c r="N57">
        <v>0</v>
      </c>
      <c r="O57">
        <v>1641935</v>
      </c>
      <c r="P57">
        <v>2322499</v>
      </c>
      <c r="Q57">
        <v>0</v>
      </c>
      <c r="R57">
        <v>-11339268</v>
      </c>
      <c r="S57">
        <v>-17008903</v>
      </c>
      <c r="T57">
        <v>-17008902</v>
      </c>
      <c r="U57">
        <v>-1023752</v>
      </c>
      <c r="V57">
        <v>0</v>
      </c>
      <c r="W57">
        <v>0</v>
      </c>
      <c r="X57">
        <v>-46380825</v>
      </c>
      <c r="Y57" s="661">
        <v>1611922.3000000045</v>
      </c>
      <c r="Z57" t="s">
        <v>1709</v>
      </c>
    </row>
    <row r="58" spans="1:26" ht="12.75" x14ac:dyDescent="0.2">
      <c r="A58" s="605">
        <v>51</v>
      </c>
      <c r="B58" s="606" t="s">
        <v>773</v>
      </c>
      <c r="C58" s="607" t="s">
        <v>1185</v>
      </c>
      <c r="D58" s="608" t="s">
        <v>1189</v>
      </c>
      <c r="E58" s="609" t="s">
        <v>772</v>
      </c>
      <c r="F58">
        <v>2408241.2100000009</v>
      </c>
      <c r="G58">
        <v>81009461</v>
      </c>
      <c r="H58">
        <v>-395891</v>
      </c>
      <c r="I58">
        <v>-856700</v>
      </c>
      <c r="J58">
        <v>0</v>
      </c>
      <c r="K58">
        <v>-2155553</v>
      </c>
      <c r="L58">
        <v>77601317</v>
      </c>
      <c r="M58">
        <v>0</v>
      </c>
      <c r="N58">
        <v>0</v>
      </c>
      <c r="O58">
        <v>0</v>
      </c>
      <c r="P58">
        <v>0</v>
      </c>
      <c r="Q58">
        <v>-1080988</v>
      </c>
      <c r="R58">
        <v>-39269130</v>
      </c>
      <c r="S58">
        <v>-7853827</v>
      </c>
      <c r="T58">
        <v>-31415305</v>
      </c>
      <c r="U58">
        <v>-217456</v>
      </c>
      <c r="V58">
        <v>0</v>
      </c>
      <c r="W58">
        <v>-2017012</v>
      </c>
      <c r="X58">
        <v>-81853718</v>
      </c>
      <c r="Y58" s="661">
        <v>-1844159.7899999917</v>
      </c>
      <c r="Z58" t="s">
        <v>1710</v>
      </c>
    </row>
    <row r="59" spans="1:26" ht="12.75" x14ac:dyDescent="0.2">
      <c r="A59" s="605">
        <v>52</v>
      </c>
      <c r="B59" s="606" t="s">
        <v>775</v>
      </c>
      <c r="C59" s="607" t="s">
        <v>1185</v>
      </c>
      <c r="D59" s="608" t="s">
        <v>1194</v>
      </c>
      <c r="E59" s="609" t="s">
        <v>774</v>
      </c>
      <c r="F59">
        <v>-1020897</v>
      </c>
      <c r="G59">
        <v>56631670</v>
      </c>
      <c r="H59">
        <v>-48000</v>
      </c>
      <c r="I59">
        <v>-420000</v>
      </c>
      <c r="J59">
        <v>612637</v>
      </c>
      <c r="K59">
        <v>-1400000</v>
      </c>
      <c r="L59">
        <v>55376307</v>
      </c>
      <c r="M59">
        <v>0</v>
      </c>
      <c r="N59">
        <v>0</v>
      </c>
      <c r="O59">
        <v>173783</v>
      </c>
      <c r="P59">
        <v>173783</v>
      </c>
      <c r="Q59">
        <v>-608054</v>
      </c>
      <c r="R59">
        <v>-27492242</v>
      </c>
      <c r="S59">
        <v>-5498448</v>
      </c>
      <c r="T59">
        <v>-21993793</v>
      </c>
      <c r="U59">
        <v>-167257</v>
      </c>
      <c r="V59">
        <v>0</v>
      </c>
      <c r="W59">
        <v>0</v>
      </c>
      <c r="X59">
        <v>-55759794</v>
      </c>
      <c r="Y59" s="661">
        <v>-1230601</v>
      </c>
      <c r="Z59" t="s">
        <v>1711</v>
      </c>
    </row>
    <row r="60" spans="1:26" ht="12.75" x14ac:dyDescent="0.2">
      <c r="A60" s="605">
        <v>53</v>
      </c>
      <c r="B60" s="606" t="s">
        <v>777</v>
      </c>
      <c r="C60" s="607" t="s">
        <v>1185</v>
      </c>
      <c r="D60" s="608" t="s">
        <v>1186</v>
      </c>
      <c r="E60" s="609" t="s">
        <v>776</v>
      </c>
      <c r="F60">
        <v>2095108</v>
      </c>
      <c r="G60">
        <v>104114978</v>
      </c>
      <c r="H60">
        <v>-100000</v>
      </c>
      <c r="I60">
        <v>-281477</v>
      </c>
      <c r="J60">
        <v>259629</v>
      </c>
      <c r="K60">
        <v>-4915954</v>
      </c>
      <c r="L60">
        <v>99077176</v>
      </c>
      <c r="M60">
        <v>896570</v>
      </c>
      <c r="N60">
        <v>0</v>
      </c>
      <c r="O60">
        <v>0</v>
      </c>
      <c r="P60">
        <v>896570</v>
      </c>
      <c r="Q60">
        <v>0</v>
      </c>
      <c r="R60">
        <v>-47225416</v>
      </c>
      <c r="S60">
        <v>-9445083</v>
      </c>
      <c r="T60">
        <v>-37780332</v>
      </c>
      <c r="U60">
        <v>-716265</v>
      </c>
      <c r="V60">
        <v>0</v>
      </c>
      <c r="W60">
        <v>-1875156</v>
      </c>
      <c r="X60">
        <v>-97042252</v>
      </c>
      <c r="Y60" s="661">
        <v>5026602</v>
      </c>
      <c r="Z60" t="s">
        <v>1712</v>
      </c>
    </row>
    <row r="61" spans="1:26" ht="12.75" x14ac:dyDescent="0.2">
      <c r="A61" s="605">
        <v>54</v>
      </c>
      <c r="B61" s="606" t="s">
        <v>779</v>
      </c>
      <c r="C61" s="607" t="s">
        <v>524</v>
      </c>
      <c r="D61" s="608" t="s">
        <v>1187</v>
      </c>
      <c r="E61" s="609" t="s">
        <v>778</v>
      </c>
      <c r="F61">
        <v>819271</v>
      </c>
      <c r="G61">
        <v>142629149</v>
      </c>
      <c r="H61">
        <v>-275900</v>
      </c>
      <c r="I61">
        <v>-1406276</v>
      </c>
      <c r="J61">
        <v>3962513</v>
      </c>
      <c r="K61">
        <v>-6698770</v>
      </c>
      <c r="L61">
        <v>138210716</v>
      </c>
      <c r="M61">
        <v>0</v>
      </c>
      <c r="N61">
        <v>0</v>
      </c>
      <c r="O61">
        <v>1890833</v>
      </c>
      <c r="P61">
        <v>1890833</v>
      </c>
      <c r="Q61">
        <v>-351058</v>
      </c>
      <c r="R61">
        <v>-69703624</v>
      </c>
      <c r="S61">
        <v>-1394073</v>
      </c>
      <c r="T61">
        <v>-68309553</v>
      </c>
      <c r="U61">
        <v>-1098879</v>
      </c>
      <c r="V61">
        <v>0</v>
      </c>
      <c r="W61">
        <v>0</v>
      </c>
      <c r="X61">
        <v>-140857187</v>
      </c>
      <c r="Y61" s="661">
        <v>63633</v>
      </c>
      <c r="Z61" t="s">
        <v>1713</v>
      </c>
    </row>
    <row r="62" spans="1:26" ht="12.75" x14ac:dyDescent="0.2">
      <c r="A62" s="605">
        <v>55</v>
      </c>
      <c r="B62" s="606" t="s">
        <v>780</v>
      </c>
      <c r="C62" s="607" t="s">
        <v>524</v>
      </c>
      <c r="D62" s="608" t="s">
        <v>1187</v>
      </c>
      <c r="E62" s="609" t="s">
        <v>546</v>
      </c>
      <c r="F62">
        <v>-1338161</v>
      </c>
      <c r="G62">
        <v>158274497</v>
      </c>
      <c r="H62">
        <v>0</v>
      </c>
      <c r="I62">
        <v>-2200000</v>
      </c>
      <c r="J62">
        <v>6000000</v>
      </c>
      <c r="K62">
        <v>-12000000</v>
      </c>
      <c r="L62">
        <v>150074497</v>
      </c>
      <c r="M62">
        <v>0</v>
      </c>
      <c r="N62">
        <v>0</v>
      </c>
      <c r="O62">
        <v>1329984</v>
      </c>
      <c r="P62">
        <v>1329984</v>
      </c>
      <c r="Q62">
        <v>-7000000</v>
      </c>
      <c r="R62">
        <v>-70807828</v>
      </c>
      <c r="S62">
        <v>-1420553</v>
      </c>
      <c r="T62">
        <v>-69607101</v>
      </c>
      <c r="U62">
        <v>-1230838</v>
      </c>
      <c r="V62">
        <v>0</v>
      </c>
      <c r="W62">
        <v>0</v>
      </c>
      <c r="X62">
        <v>-150066320</v>
      </c>
      <c r="Y62" s="661">
        <v>0</v>
      </c>
      <c r="Z62" t="s">
        <v>1714</v>
      </c>
    </row>
    <row r="63" spans="1:26" ht="12.75" x14ac:dyDescent="0.2">
      <c r="A63" s="605">
        <v>56</v>
      </c>
      <c r="B63" s="606" t="s">
        <v>782</v>
      </c>
      <c r="C63" s="607" t="s">
        <v>1185</v>
      </c>
      <c r="D63" s="608" t="s">
        <v>1188</v>
      </c>
      <c r="E63" s="609" t="s">
        <v>781</v>
      </c>
      <c r="F63">
        <v>-2095095</v>
      </c>
      <c r="G63">
        <v>41191048</v>
      </c>
      <c r="H63">
        <v>0</v>
      </c>
      <c r="I63">
        <v>-413585</v>
      </c>
      <c r="J63">
        <v>531583</v>
      </c>
      <c r="K63">
        <v>-1920959</v>
      </c>
      <c r="L63">
        <v>39388087</v>
      </c>
      <c r="M63">
        <v>0</v>
      </c>
      <c r="N63">
        <v>0</v>
      </c>
      <c r="O63">
        <v>2587322</v>
      </c>
      <c r="P63">
        <v>2587322</v>
      </c>
      <c r="Q63">
        <v>-151800</v>
      </c>
      <c r="R63">
        <v>-18238430</v>
      </c>
      <c r="S63">
        <v>-3647687</v>
      </c>
      <c r="T63">
        <v>-14590745</v>
      </c>
      <c r="U63">
        <v>-2274497</v>
      </c>
      <c r="V63">
        <v>0</v>
      </c>
      <c r="W63">
        <v>0</v>
      </c>
      <c r="X63">
        <v>-38903159</v>
      </c>
      <c r="Y63" s="661">
        <v>977155</v>
      </c>
      <c r="Z63" t="s">
        <v>1715</v>
      </c>
    </row>
    <row r="64" spans="1:26" ht="12.75" x14ac:dyDescent="0.2">
      <c r="A64" s="605">
        <v>57</v>
      </c>
      <c r="B64" s="606" t="s">
        <v>784</v>
      </c>
      <c r="C64" s="607" t="s">
        <v>1185</v>
      </c>
      <c r="D64" s="608" t="s">
        <v>1186</v>
      </c>
      <c r="E64" s="609" t="s">
        <v>783</v>
      </c>
      <c r="F64">
        <v>349122.80999999493</v>
      </c>
      <c r="G64">
        <v>47933013</v>
      </c>
      <c r="H64">
        <v>0</v>
      </c>
      <c r="I64">
        <v>-250000</v>
      </c>
      <c r="J64">
        <v>1850000</v>
      </c>
      <c r="K64">
        <v>-2050000</v>
      </c>
      <c r="L64">
        <v>47483013</v>
      </c>
      <c r="M64">
        <v>556967</v>
      </c>
      <c r="N64">
        <v>0</v>
      </c>
      <c r="O64">
        <v>0</v>
      </c>
      <c r="P64">
        <v>556967</v>
      </c>
      <c r="Q64">
        <v>0</v>
      </c>
      <c r="R64">
        <v>-11958353</v>
      </c>
      <c r="S64">
        <v>-26308376</v>
      </c>
      <c r="T64">
        <v>-9566682</v>
      </c>
      <c r="U64">
        <v>-306923</v>
      </c>
      <c r="V64">
        <v>0</v>
      </c>
      <c r="W64">
        <v>-59632</v>
      </c>
      <c r="X64">
        <v>-48199966</v>
      </c>
      <c r="Y64" s="661">
        <v>189136.80999999493</v>
      </c>
      <c r="Z64" t="s">
        <v>1716</v>
      </c>
    </row>
    <row r="65" spans="1:26" ht="12.75" x14ac:dyDescent="0.2">
      <c r="A65" s="605">
        <v>58</v>
      </c>
      <c r="B65" s="606" t="s">
        <v>788</v>
      </c>
      <c r="C65" s="607" t="s">
        <v>1185</v>
      </c>
      <c r="D65" s="608" t="s">
        <v>1187</v>
      </c>
      <c r="E65" s="609" t="s">
        <v>787</v>
      </c>
      <c r="F65">
        <v>-584885</v>
      </c>
      <c r="G65">
        <v>26261106</v>
      </c>
      <c r="H65">
        <v>0</v>
      </c>
      <c r="I65">
        <v>-263000</v>
      </c>
      <c r="J65">
        <v>26200</v>
      </c>
      <c r="K65">
        <v>-1264200</v>
      </c>
      <c r="L65">
        <v>24760106</v>
      </c>
      <c r="M65">
        <v>0</v>
      </c>
      <c r="N65">
        <v>0</v>
      </c>
      <c r="O65">
        <v>584891</v>
      </c>
      <c r="P65">
        <v>584891</v>
      </c>
      <c r="Q65">
        <v>-316008</v>
      </c>
      <c r="R65">
        <v>-6106098</v>
      </c>
      <c r="S65">
        <v>-4640634</v>
      </c>
      <c r="T65">
        <v>-13677658</v>
      </c>
      <c r="U65">
        <v>-131191</v>
      </c>
      <c r="V65">
        <v>0</v>
      </c>
      <c r="W65">
        <v>0</v>
      </c>
      <c r="X65">
        <v>-24871589</v>
      </c>
      <c r="Y65" s="661">
        <v>-111477</v>
      </c>
      <c r="Z65" t="s">
        <v>1717</v>
      </c>
    </row>
    <row r="66" spans="1:26" ht="12.75" x14ac:dyDescent="0.2">
      <c r="A66" s="605">
        <v>59</v>
      </c>
      <c r="B66" s="606" t="s">
        <v>0</v>
      </c>
      <c r="C66" s="607" t="s">
        <v>1196</v>
      </c>
      <c r="D66" s="608" t="s">
        <v>1191</v>
      </c>
      <c r="E66" s="609" t="s">
        <v>789</v>
      </c>
      <c r="F66">
        <v>45429297</v>
      </c>
      <c r="G66">
        <v>1195878104</v>
      </c>
      <c r="H66">
        <v>0</v>
      </c>
      <c r="I66">
        <v>-262827</v>
      </c>
      <c r="J66">
        <v>82939291</v>
      </c>
      <c r="K66">
        <v>-84557338</v>
      </c>
      <c r="L66">
        <v>1193997230</v>
      </c>
      <c r="M66">
        <v>3966356</v>
      </c>
      <c r="N66">
        <v>0</v>
      </c>
      <c r="O66">
        <v>0</v>
      </c>
      <c r="P66">
        <v>3966356</v>
      </c>
      <c r="Q66">
        <v>-281412</v>
      </c>
      <c r="R66">
        <v>-287537252</v>
      </c>
      <c r="S66">
        <v>-310540232</v>
      </c>
      <c r="T66">
        <v>-552071523</v>
      </c>
      <c r="U66">
        <v>-13859445</v>
      </c>
      <c r="V66">
        <v>0</v>
      </c>
      <c r="W66">
        <v>-40708289</v>
      </c>
      <c r="X66">
        <v>-1204998153</v>
      </c>
      <c r="Y66" s="661">
        <v>38394730</v>
      </c>
      <c r="Z66" t="s">
        <v>1718</v>
      </c>
    </row>
    <row r="67" spans="1:26" ht="12.75" x14ac:dyDescent="0.2">
      <c r="A67" s="605">
        <v>60</v>
      </c>
      <c r="B67" s="606" t="s">
        <v>2</v>
      </c>
      <c r="C67" s="607" t="s">
        <v>1185</v>
      </c>
      <c r="D67" s="608" t="s">
        <v>1189</v>
      </c>
      <c r="E67" s="609" t="s">
        <v>1</v>
      </c>
      <c r="F67">
        <v>-1891900</v>
      </c>
      <c r="G67">
        <v>65158000</v>
      </c>
      <c r="H67">
        <v>0</v>
      </c>
      <c r="I67">
        <v>-193000</v>
      </c>
      <c r="J67">
        <v>0</v>
      </c>
      <c r="K67">
        <v>-1500000</v>
      </c>
      <c r="L67">
        <v>63465000</v>
      </c>
      <c r="M67">
        <v>981584</v>
      </c>
      <c r="N67">
        <v>0</v>
      </c>
      <c r="O67">
        <v>0</v>
      </c>
      <c r="P67">
        <v>981584</v>
      </c>
      <c r="Q67">
        <v>-254427</v>
      </c>
      <c r="R67">
        <v>-31035953</v>
      </c>
      <c r="S67">
        <v>-6207191</v>
      </c>
      <c r="T67">
        <v>-24828762</v>
      </c>
      <c r="U67">
        <v>0</v>
      </c>
      <c r="V67">
        <v>0</v>
      </c>
      <c r="W67">
        <v>-1441294</v>
      </c>
      <c r="X67">
        <v>-63767627</v>
      </c>
      <c r="Y67" s="661">
        <v>-1212943</v>
      </c>
      <c r="Z67" t="s">
        <v>1719</v>
      </c>
    </row>
    <row r="68" spans="1:26" ht="12.75" x14ac:dyDescent="0.2">
      <c r="A68" s="605">
        <v>61</v>
      </c>
      <c r="B68" s="606" t="s">
        <v>4</v>
      </c>
      <c r="C68" s="607" t="s">
        <v>1185</v>
      </c>
      <c r="D68" s="608" t="s">
        <v>1187</v>
      </c>
      <c r="E68" s="609" t="s">
        <v>3</v>
      </c>
      <c r="F68">
        <v>-628481</v>
      </c>
      <c r="G68">
        <v>41645149</v>
      </c>
      <c r="H68">
        <v>0</v>
      </c>
      <c r="I68">
        <v>-15172</v>
      </c>
      <c r="J68">
        <v>129064</v>
      </c>
      <c r="K68">
        <v>-1797374</v>
      </c>
      <c r="L68">
        <v>39961667</v>
      </c>
      <c r="M68">
        <v>0</v>
      </c>
      <c r="N68">
        <v>0</v>
      </c>
      <c r="O68">
        <v>436460</v>
      </c>
      <c r="P68">
        <v>436460</v>
      </c>
      <c r="Q68">
        <v>-4279739</v>
      </c>
      <c r="R68">
        <v>-17740059</v>
      </c>
      <c r="S68">
        <v>-3548012</v>
      </c>
      <c r="T68">
        <v>-14192048</v>
      </c>
      <c r="U68">
        <v>-153370</v>
      </c>
      <c r="V68">
        <v>-973</v>
      </c>
      <c r="W68">
        <v>0</v>
      </c>
      <c r="X68">
        <v>-39914201</v>
      </c>
      <c r="Y68" s="661">
        <v>-144555</v>
      </c>
      <c r="Z68" t="s">
        <v>1720</v>
      </c>
    </row>
    <row r="69" spans="1:26" ht="12.75" x14ac:dyDescent="0.2">
      <c r="A69" s="605">
        <v>62</v>
      </c>
      <c r="B69" s="606" t="s">
        <v>6</v>
      </c>
      <c r="C69" s="607" t="s">
        <v>1185</v>
      </c>
      <c r="D69" s="608" t="s">
        <v>1188</v>
      </c>
      <c r="E69" s="609" t="s">
        <v>5</v>
      </c>
      <c r="F69">
        <v>4323042</v>
      </c>
      <c r="G69">
        <v>37671076</v>
      </c>
      <c r="H69">
        <v>0</v>
      </c>
      <c r="I69">
        <v>-227041</v>
      </c>
      <c r="J69">
        <v>550000</v>
      </c>
      <c r="K69">
        <v>170000</v>
      </c>
      <c r="L69">
        <v>38164035</v>
      </c>
      <c r="M69">
        <v>783675</v>
      </c>
      <c r="N69">
        <v>0</v>
      </c>
      <c r="O69">
        <v>0</v>
      </c>
      <c r="P69">
        <v>783675</v>
      </c>
      <c r="Q69">
        <v>-322817</v>
      </c>
      <c r="R69">
        <v>-9037722</v>
      </c>
      <c r="S69">
        <v>-12652811</v>
      </c>
      <c r="T69">
        <v>-14460355</v>
      </c>
      <c r="U69">
        <v>-88490</v>
      </c>
      <c r="V69">
        <v>0</v>
      </c>
      <c r="W69">
        <v>-2693559</v>
      </c>
      <c r="X69">
        <v>-39255754</v>
      </c>
      <c r="Y69" s="661">
        <v>4014998</v>
      </c>
      <c r="Z69" t="s">
        <v>1721</v>
      </c>
    </row>
    <row r="70" spans="1:26" ht="12.75" x14ac:dyDescent="0.2">
      <c r="A70" s="605">
        <v>63</v>
      </c>
      <c r="B70" s="606" t="s">
        <v>8</v>
      </c>
      <c r="C70" s="607" t="s">
        <v>524</v>
      </c>
      <c r="D70" s="608" t="s">
        <v>1194</v>
      </c>
      <c r="E70" s="609" t="s">
        <v>7</v>
      </c>
      <c r="F70">
        <v>5397944</v>
      </c>
      <c r="G70">
        <v>160489258</v>
      </c>
      <c r="H70">
        <v>-289583</v>
      </c>
      <c r="I70">
        <v>-685000</v>
      </c>
      <c r="J70">
        <v>0</v>
      </c>
      <c r="K70">
        <v>-1500000</v>
      </c>
      <c r="L70">
        <v>158014675</v>
      </c>
      <c r="M70">
        <v>437297</v>
      </c>
      <c r="N70">
        <v>0</v>
      </c>
      <c r="O70">
        <v>0</v>
      </c>
      <c r="P70">
        <v>437297</v>
      </c>
      <c r="Q70">
        <v>0</v>
      </c>
      <c r="R70">
        <v>0</v>
      </c>
      <c r="S70">
        <v>0</v>
      </c>
      <c r="T70">
        <v>-148960216</v>
      </c>
      <c r="U70">
        <v>-3018239</v>
      </c>
      <c r="V70">
        <v>0</v>
      </c>
      <c r="W70">
        <v>-5377084</v>
      </c>
      <c r="X70">
        <v>-157355539</v>
      </c>
      <c r="Y70" s="661">
        <v>6494377</v>
      </c>
      <c r="Z70" t="s">
        <v>1722</v>
      </c>
    </row>
    <row r="71" spans="1:26" ht="12.75" x14ac:dyDescent="0.2">
      <c r="A71" s="605">
        <v>64</v>
      </c>
      <c r="B71" s="606" t="s">
        <v>10</v>
      </c>
      <c r="C71" s="607" t="s">
        <v>1185</v>
      </c>
      <c r="D71" s="608" t="s">
        <v>1194</v>
      </c>
      <c r="E71" s="609" t="s">
        <v>9</v>
      </c>
      <c r="F71">
        <v>-2302542</v>
      </c>
      <c r="G71">
        <v>33003810</v>
      </c>
      <c r="H71">
        <v>0</v>
      </c>
      <c r="I71">
        <v>-100000</v>
      </c>
      <c r="J71">
        <v>469684</v>
      </c>
      <c r="K71">
        <v>978284</v>
      </c>
      <c r="L71">
        <v>34351778</v>
      </c>
      <c r="M71">
        <v>578664</v>
      </c>
      <c r="N71">
        <v>0</v>
      </c>
      <c r="O71">
        <v>578657</v>
      </c>
      <c r="P71">
        <v>1157321</v>
      </c>
      <c r="Q71">
        <v>0</v>
      </c>
      <c r="R71">
        <v>-16376661</v>
      </c>
      <c r="S71">
        <v>-3275333</v>
      </c>
      <c r="T71">
        <v>-13101328</v>
      </c>
      <c r="U71">
        <v>-180554</v>
      </c>
      <c r="V71">
        <v>-71325</v>
      </c>
      <c r="W71">
        <v>0</v>
      </c>
      <c r="X71">
        <v>-33005201</v>
      </c>
      <c r="Y71" s="661">
        <v>201356</v>
      </c>
      <c r="Z71" t="s">
        <v>1723</v>
      </c>
    </row>
    <row r="72" spans="1:26" ht="12.75" x14ac:dyDescent="0.2">
      <c r="A72" s="605">
        <v>65</v>
      </c>
      <c r="B72" s="606" t="s">
        <v>12</v>
      </c>
      <c r="C72" s="607" t="s">
        <v>1192</v>
      </c>
      <c r="D72" s="608" t="s">
        <v>1195</v>
      </c>
      <c r="E72" s="609" t="s">
        <v>11</v>
      </c>
      <c r="F72">
        <v>-1784951</v>
      </c>
      <c r="G72">
        <v>127688385</v>
      </c>
      <c r="H72">
        <v>0</v>
      </c>
      <c r="I72">
        <v>-1276884</v>
      </c>
      <c r="J72">
        <v>0</v>
      </c>
      <c r="K72">
        <v>-7736429</v>
      </c>
      <c r="L72">
        <v>118675072</v>
      </c>
      <c r="M72">
        <v>697810</v>
      </c>
      <c r="N72">
        <v>0</v>
      </c>
      <c r="O72">
        <v>2070759</v>
      </c>
      <c r="P72">
        <v>2768569</v>
      </c>
      <c r="Q72">
        <v>-2261625</v>
      </c>
      <c r="R72">
        <v>0</v>
      </c>
      <c r="S72">
        <v>-1170460</v>
      </c>
      <c r="T72">
        <v>-115875529</v>
      </c>
      <c r="U72">
        <v>-377276</v>
      </c>
      <c r="V72">
        <v>0</v>
      </c>
      <c r="W72">
        <v>0</v>
      </c>
      <c r="X72">
        <v>-119684890</v>
      </c>
      <c r="Y72" s="661">
        <v>-26200</v>
      </c>
      <c r="Z72" t="s">
        <v>1724</v>
      </c>
    </row>
    <row r="73" spans="1:26" ht="12.75" x14ac:dyDescent="0.2">
      <c r="A73" s="605">
        <v>66</v>
      </c>
      <c r="B73" s="606" t="s">
        <v>14</v>
      </c>
      <c r="C73" s="607" t="s">
        <v>1185</v>
      </c>
      <c r="D73" s="608" t="s">
        <v>1193</v>
      </c>
      <c r="E73" s="609" t="s">
        <v>13</v>
      </c>
      <c r="F73">
        <v>-206925</v>
      </c>
      <c r="G73">
        <v>18153215</v>
      </c>
      <c r="H73">
        <v>-132000</v>
      </c>
      <c r="I73">
        <v>-60000</v>
      </c>
      <c r="J73">
        <v>0</v>
      </c>
      <c r="K73">
        <v>-182220</v>
      </c>
      <c r="L73">
        <v>17778995</v>
      </c>
      <c r="M73">
        <v>318493</v>
      </c>
      <c r="N73">
        <v>0</v>
      </c>
      <c r="O73">
        <v>257136</v>
      </c>
      <c r="P73">
        <v>575629</v>
      </c>
      <c r="Q73">
        <v>0</v>
      </c>
      <c r="R73">
        <v>-4498639</v>
      </c>
      <c r="S73">
        <v>-4048777</v>
      </c>
      <c r="T73">
        <v>-9447145</v>
      </c>
      <c r="U73">
        <v>-117745</v>
      </c>
      <c r="V73">
        <v>0</v>
      </c>
      <c r="W73">
        <v>0</v>
      </c>
      <c r="X73">
        <v>-18112306</v>
      </c>
      <c r="Y73" s="661">
        <v>35393</v>
      </c>
      <c r="Z73" t="s">
        <v>1725</v>
      </c>
    </row>
    <row r="74" spans="1:26" ht="12.75" x14ac:dyDescent="0.2">
      <c r="A74" s="605">
        <v>67</v>
      </c>
      <c r="B74" s="606" t="s">
        <v>16</v>
      </c>
      <c r="C74" s="607" t="s">
        <v>1185</v>
      </c>
      <c r="D74" s="608" t="s">
        <v>1186</v>
      </c>
      <c r="E74" s="609" t="s">
        <v>15</v>
      </c>
      <c r="F74">
        <v>109351</v>
      </c>
      <c r="G74">
        <v>126957151</v>
      </c>
      <c r="H74">
        <v>0</v>
      </c>
      <c r="I74">
        <v>-896895</v>
      </c>
      <c r="J74">
        <v>2042206</v>
      </c>
      <c r="K74">
        <v>629074</v>
      </c>
      <c r="L74">
        <v>128731536</v>
      </c>
      <c r="M74">
        <v>0</v>
      </c>
      <c r="N74">
        <v>0</v>
      </c>
      <c r="O74">
        <v>0</v>
      </c>
      <c r="P74">
        <v>0</v>
      </c>
      <c r="Q74">
        <v>-3161603</v>
      </c>
      <c r="R74">
        <v>-30967064</v>
      </c>
      <c r="S74">
        <v>-68127542</v>
      </c>
      <c r="T74">
        <v>-24773652</v>
      </c>
      <c r="U74">
        <v>-217185</v>
      </c>
      <c r="V74">
        <v>0</v>
      </c>
      <c r="W74">
        <v>-204852</v>
      </c>
      <c r="X74">
        <v>-127451898</v>
      </c>
      <c r="Y74" s="661">
        <v>1388989</v>
      </c>
      <c r="Z74" t="s">
        <v>1726</v>
      </c>
    </row>
    <row r="75" spans="1:26" ht="12.75" x14ac:dyDescent="0.2">
      <c r="A75" s="605">
        <v>68</v>
      </c>
      <c r="B75" s="606" t="s">
        <v>18</v>
      </c>
      <c r="C75" s="607" t="s">
        <v>1190</v>
      </c>
      <c r="D75" s="608" t="s">
        <v>1191</v>
      </c>
      <c r="E75" s="609" t="s">
        <v>17</v>
      </c>
      <c r="F75">
        <v>-1714425</v>
      </c>
      <c r="G75">
        <v>119144472</v>
      </c>
      <c r="H75">
        <v>-1000000</v>
      </c>
      <c r="I75">
        <v>700000</v>
      </c>
      <c r="J75">
        <v>4000000</v>
      </c>
      <c r="K75">
        <v>-1250000</v>
      </c>
      <c r="L75">
        <v>121594472</v>
      </c>
      <c r="M75">
        <v>2454972</v>
      </c>
      <c r="N75">
        <v>0</v>
      </c>
      <c r="O75">
        <v>0</v>
      </c>
      <c r="P75">
        <v>2454972</v>
      </c>
      <c r="Q75">
        <v>0</v>
      </c>
      <c r="R75">
        <v>-31125984</v>
      </c>
      <c r="S75">
        <v>-33616063</v>
      </c>
      <c r="T75">
        <v>-59761890</v>
      </c>
      <c r="U75">
        <v>-765806</v>
      </c>
      <c r="V75">
        <v>0</v>
      </c>
      <c r="W75">
        <v>-66175</v>
      </c>
      <c r="X75">
        <v>-125335918</v>
      </c>
      <c r="Y75" s="661">
        <v>-3000899</v>
      </c>
      <c r="Z75" t="s">
        <v>1727</v>
      </c>
    </row>
    <row r="76" spans="1:26" ht="12.75" x14ac:dyDescent="0.2">
      <c r="A76" s="605">
        <v>69</v>
      </c>
      <c r="B76" s="606" t="s">
        <v>20</v>
      </c>
      <c r="C76" s="607" t="s">
        <v>1185</v>
      </c>
      <c r="D76" s="608" t="s">
        <v>1189</v>
      </c>
      <c r="E76" s="609" t="s">
        <v>19</v>
      </c>
      <c r="F76">
        <v>-4373718</v>
      </c>
      <c r="G76">
        <v>67237594</v>
      </c>
      <c r="H76">
        <v>0</v>
      </c>
      <c r="I76">
        <v>416820</v>
      </c>
      <c r="J76">
        <v>498372</v>
      </c>
      <c r="K76">
        <v>-2547717</v>
      </c>
      <c r="L76">
        <v>65605069</v>
      </c>
      <c r="M76">
        <v>0</v>
      </c>
      <c r="N76">
        <v>0</v>
      </c>
      <c r="O76">
        <v>1686676</v>
      </c>
      <c r="P76">
        <v>1686676</v>
      </c>
      <c r="Q76">
        <v>-162306</v>
      </c>
      <c r="R76">
        <v>-16148293</v>
      </c>
      <c r="S76">
        <v>-25837268</v>
      </c>
      <c r="T76">
        <v>-22607610</v>
      </c>
      <c r="U76">
        <v>-1318687</v>
      </c>
      <c r="V76">
        <v>0</v>
      </c>
      <c r="W76">
        <v>0</v>
      </c>
      <c r="X76">
        <v>-66074164</v>
      </c>
      <c r="Y76" s="661">
        <v>-3156137</v>
      </c>
      <c r="Z76" t="s">
        <v>1728</v>
      </c>
    </row>
    <row r="77" spans="1:26" ht="12.75" x14ac:dyDescent="0.2">
      <c r="A77" s="605">
        <v>70</v>
      </c>
      <c r="B77" s="606" t="s">
        <v>22</v>
      </c>
      <c r="C77" s="607" t="s">
        <v>524</v>
      </c>
      <c r="D77" s="608" t="s">
        <v>1197</v>
      </c>
      <c r="E77" s="609" t="s">
        <v>563</v>
      </c>
      <c r="F77">
        <v>-247854.20000000019</v>
      </c>
      <c r="G77">
        <v>34015488</v>
      </c>
      <c r="H77">
        <v>0</v>
      </c>
      <c r="I77">
        <v>-400000</v>
      </c>
      <c r="J77">
        <v>0</v>
      </c>
      <c r="K77">
        <v>44570</v>
      </c>
      <c r="L77">
        <v>33660058</v>
      </c>
      <c r="M77">
        <v>0</v>
      </c>
      <c r="N77">
        <v>0</v>
      </c>
      <c r="O77">
        <v>0</v>
      </c>
      <c r="P77">
        <v>0</v>
      </c>
      <c r="Q77">
        <v>-1271485</v>
      </c>
      <c r="R77">
        <v>-15886196</v>
      </c>
      <c r="S77">
        <v>-344078</v>
      </c>
      <c r="T77">
        <v>-16884652</v>
      </c>
      <c r="U77">
        <v>-348595</v>
      </c>
      <c r="V77">
        <v>0</v>
      </c>
      <c r="W77">
        <v>-292427</v>
      </c>
      <c r="X77">
        <v>-35027433</v>
      </c>
      <c r="Y77" s="661">
        <v>-1615229.1999999993</v>
      </c>
      <c r="Z77" t="s">
        <v>1729</v>
      </c>
    </row>
    <row r="78" spans="1:26" ht="12.75" x14ac:dyDescent="0.2">
      <c r="A78" s="605">
        <v>71</v>
      </c>
      <c r="B78" s="606" t="s">
        <v>24</v>
      </c>
      <c r="C78" s="607" t="s">
        <v>1185</v>
      </c>
      <c r="D78" s="608" t="s">
        <v>1186</v>
      </c>
      <c r="E78" s="609" t="s">
        <v>23</v>
      </c>
      <c r="F78">
        <v>1781488</v>
      </c>
      <c r="G78">
        <v>90561267</v>
      </c>
      <c r="H78">
        <v>0</v>
      </c>
      <c r="I78">
        <v>-1642607</v>
      </c>
      <c r="J78">
        <v>5522049</v>
      </c>
      <c r="K78">
        <v>-4227666</v>
      </c>
      <c r="L78">
        <v>90213043</v>
      </c>
      <c r="M78">
        <v>170423</v>
      </c>
      <c r="N78">
        <v>0</v>
      </c>
      <c r="O78">
        <v>0</v>
      </c>
      <c r="P78">
        <v>170423</v>
      </c>
      <c r="Q78">
        <v>-3898696</v>
      </c>
      <c r="R78">
        <v>-45556802</v>
      </c>
      <c r="S78">
        <v>-5511360</v>
      </c>
      <c r="T78">
        <v>-34045441</v>
      </c>
      <c r="U78">
        <v>0</v>
      </c>
      <c r="V78">
        <v>0</v>
      </c>
      <c r="W78">
        <v>-425578</v>
      </c>
      <c r="X78">
        <v>-89437877</v>
      </c>
      <c r="Y78" s="661">
        <v>2727077</v>
      </c>
      <c r="Z78" t="s">
        <v>1730</v>
      </c>
    </row>
    <row r="79" spans="1:26" ht="12.75" x14ac:dyDescent="0.2">
      <c r="A79" s="605">
        <v>72</v>
      </c>
      <c r="B79" s="606" t="s">
        <v>26</v>
      </c>
      <c r="C79" s="607" t="s">
        <v>1185</v>
      </c>
      <c r="D79" s="608" t="s">
        <v>1188</v>
      </c>
      <c r="E79" s="609" t="s">
        <v>25</v>
      </c>
      <c r="F79">
        <v>-1373155.299999997</v>
      </c>
      <c r="G79">
        <v>48671906</v>
      </c>
      <c r="H79">
        <v>0</v>
      </c>
      <c r="I79">
        <v>32027</v>
      </c>
      <c r="J79">
        <v>0</v>
      </c>
      <c r="K79">
        <v>8209</v>
      </c>
      <c r="L79">
        <v>48712142</v>
      </c>
      <c r="M79">
        <v>245933</v>
      </c>
      <c r="N79">
        <v>821861</v>
      </c>
      <c r="O79">
        <v>981341</v>
      </c>
      <c r="P79">
        <v>2049135</v>
      </c>
      <c r="Q79">
        <v>-406429</v>
      </c>
      <c r="R79">
        <v>-11707034</v>
      </c>
      <c r="S79">
        <v>-15921566</v>
      </c>
      <c r="T79">
        <v>-468281</v>
      </c>
      <c r="U79">
        <v>-18731254</v>
      </c>
      <c r="V79">
        <v>-940510</v>
      </c>
      <c r="W79">
        <v>0</v>
      </c>
      <c r="X79">
        <v>-48175074</v>
      </c>
      <c r="Y79" s="661">
        <v>1213047.700000003</v>
      </c>
      <c r="Z79" t="s">
        <v>1731</v>
      </c>
    </row>
    <row r="80" spans="1:26" ht="12.75" x14ac:dyDescent="0.2">
      <c r="A80" s="605">
        <v>73</v>
      </c>
      <c r="B80" s="606" t="s">
        <v>28</v>
      </c>
      <c r="C80" s="607" t="s">
        <v>524</v>
      </c>
      <c r="D80" s="608" t="s">
        <v>1188</v>
      </c>
      <c r="E80" s="609" t="s">
        <v>553</v>
      </c>
      <c r="F80">
        <v>-5828040</v>
      </c>
      <c r="G80">
        <v>91944198</v>
      </c>
      <c r="H80">
        <v>0</v>
      </c>
      <c r="I80">
        <v>-919442</v>
      </c>
      <c r="J80">
        <v>1669303</v>
      </c>
      <c r="K80">
        <v>-6056113</v>
      </c>
      <c r="L80">
        <v>86637946</v>
      </c>
      <c r="M80">
        <v>1633389</v>
      </c>
      <c r="N80">
        <v>0</v>
      </c>
      <c r="O80">
        <v>6063198</v>
      </c>
      <c r="P80">
        <v>7696587</v>
      </c>
      <c r="Q80">
        <v>-312616</v>
      </c>
      <c r="R80">
        <v>-45266852</v>
      </c>
      <c r="S80">
        <v>-906066</v>
      </c>
      <c r="T80">
        <v>-44397218</v>
      </c>
      <c r="U80">
        <v>-1207794</v>
      </c>
      <c r="V80">
        <v>0</v>
      </c>
      <c r="W80">
        <v>0</v>
      </c>
      <c r="X80">
        <v>-92090546</v>
      </c>
      <c r="Y80" s="661">
        <v>-3584053</v>
      </c>
      <c r="Z80" t="s">
        <v>1732</v>
      </c>
    </row>
    <row r="81" spans="1:26" ht="12.75" x14ac:dyDescent="0.2">
      <c r="A81" s="605">
        <v>74</v>
      </c>
      <c r="B81" s="606" t="s">
        <v>30</v>
      </c>
      <c r="C81" s="607" t="s">
        <v>1185</v>
      </c>
      <c r="D81" s="608" t="s">
        <v>1188</v>
      </c>
      <c r="E81" s="609" t="s">
        <v>29</v>
      </c>
      <c r="F81">
        <v>366526</v>
      </c>
      <c r="G81">
        <v>18553530</v>
      </c>
      <c r="H81">
        <v>0</v>
      </c>
      <c r="I81">
        <v>-185535</v>
      </c>
      <c r="J81">
        <v>14120</v>
      </c>
      <c r="K81">
        <v>-446266</v>
      </c>
      <c r="L81">
        <v>17935849</v>
      </c>
      <c r="M81">
        <v>1155602</v>
      </c>
      <c r="N81">
        <v>0</v>
      </c>
      <c r="O81">
        <v>0</v>
      </c>
      <c r="P81">
        <v>1155602</v>
      </c>
      <c r="Q81">
        <v>0</v>
      </c>
      <c r="R81">
        <v>-9211753</v>
      </c>
      <c r="S81">
        <v>-1842351</v>
      </c>
      <c r="T81">
        <v>-7369402</v>
      </c>
      <c r="U81">
        <v>-311271</v>
      </c>
      <c r="V81">
        <v>0</v>
      </c>
      <c r="W81">
        <v>-390673</v>
      </c>
      <c r="X81">
        <v>-19125450</v>
      </c>
      <c r="Y81" s="661">
        <v>332527</v>
      </c>
      <c r="Z81" t="s">
        <v>1733</v>
      </c>
    </row>
    <row r="82" spans="1:26" ht="12.75" x14ac:dyDescent="0.2">
      <c r="A82" s="605">
        <v>75</v>
      </c>
      <c r="B82" s="606" t="s">
        <v>32</v>
      </c>
      <c r="C82" s="607" t="s">
        <v>1192</v>
      </c>
      <c r="D82" s="608" t="s">
        <v>1193</v>
      </c>
      <c r="E82" s="609" t="s">
        <v>31</v>
      </c>
      <c r="F82">
        <v>-2083365</v>
      </c>
      <c r="G82">
        <v>102568276</v>
      </c>
      <c r="H82">
        <v>-582565</v>
      </c>
      <c r="I82">
        <v>-783674</v>
      </c>
      <c r="J82">
        <v>452299</v>
      </c>
      <c r="K82">
        <v>-3898745</v>
      </c>
      <c r="L82">
        <v>97755591</v>
      </c>
      <c r="M82">
        <v>0</v>
      </c>
      <c r="N82">
        <v>0</v>
      </c>
      <c r="O82">
        <v>2153769</v>
      </c>
      <c r="P82">
        <v>2153769</v>
      </c>
      <c r="Q82">
        <v>-1523001</v>
      </c>
      <c r="R82">
        <v>-46311246</v>
      </c>
      <c r="S82">
        <v>-926225</v>
      </c>
      <c r="T82">
        <v>-45385021</v>
      </c>
      <c r="U82">
        <v>-564530</v>
      </c>
      <c r="V82">
        <v>0</v>
      </c>
      <c r="W82">
        <v>0</v>
      </c>
      <c r="X82">
        <v>-94710023</v>
      </c>
      <c r="Y82" s="661">
        <v>3115972</v>
      </c>
      <c r="Z82" t="s">
        <v>1734</v>
      </c>
    </row>
    <row r="83" spans="1:26" ht="12.75" x14ac:dyDescent="0.2">
      <c r="A83" s="605">
        <v>76</v>
      </c>
      <c r="B83" s="606" t="s">
        <v>1126</v>
      </c>
      <c r="C83" s="607" t="s">
        <v>524</v>
      </c>
      <c r="D83" s="608" t="s">
        <v>1194</v>
      </c>
      <c r="E83" s="609" t="s">
        <v>1125</v>
      </c>
      <c r="F83">
        <v>-5004157.17</v>
      </c>
      <c r="G83">
        <v>100164874</v>
      </c>
      <c r="H83">
        <v>0</v>
      </c>
      <c r="I83">
        <v>-2313809</v>
      </c>
      <c r="J83">
        <v>2135875</v>
      </c>
      <c r="K83">
        <v>-3808738</v>
      </c>
      <c r="L83">
        <v>96178202</v>
      </c>
      <c r="M83">
        <v>1334654</v>
      </c>
      <c r="N83">
        <v>0</v>
      </c>
      <c r="O83">
        <v>0</v>
      </c>
      <c r="P83">
        <v>1334654</v>
      </c>
      <c r="Q83">
        <v>0</v>
      </c>
      <c r="R83">
        <v>-47455415</v>
      </c>
      <c r="S83">
        <v>-949977</v>
      </c>
      <c r="T83">
        <v>-46548865</v>
      </c>
      <c r="U83">
        <v>-1388026</v>
      </c>
      <c r="V83">
        <v>-370414</v>
      </c>
      <c r="W83">
        <v>-52560</v>
      </c>
      <c r="X83">
        <v>-96765257</v>
      </c>
      <c r="Y83" s="661">
        <v>-4256558.1700000018</v>
      </c>
      <c r="Z83" t="s">
        <v>1657</v>
      </c>
    </row>
    <row r="84" spans="1:26" ht="14.25" x14ac:dyDescent="0.2">
      <c r="A84" s="605">
        <v>77</v>
      </c>
      <c r="B84" s="606" t="s">
        <v>42</v>
      </c>
      <c r="C84" s="607" t="s">
        <v>1185</v>
      </c>
      <c r="D84" s="608" t="s">
        <v>1186</v>
      </c>
      <c r="E84" s="609" t="s">
        <v>1975</v>
      </c>
      <c r="F84">
        <v>-964379</v>
      </c>
      <c r="G84">
        <v>44822405</v>
      </c>
      <c r="H84">
        <v>0</v>
      </c>
      <c r="I84">
        <v>-400000</v>
      </c>
      <c r="J84">
        <v>1665000</v>
      </c>
      <c r="K84">
        <v>-3064000</v>
      </c>
      <c r="L84">
        <v>43023405</v>
      </c>
      <c r="M84">
        <v>0</v>
      </c>
      <c r="N84">
        <v>908475</v>
      </c>
      <c r="O84">
        <v>896000</v>
      </c>
      <c r="P84">
        <v>1804475</v>
      </c>
      <c r="Q84">
        <v>-554572</v>
      </c>
      <c r="R84">
        <v>-20391000</v>
      </c>
      <c r="S84">
        <v>-4078200</v>
      </c>
      <c r="T84">
        <v>-16312800</v>
      </c>
      <c r="U84">
        <v>-1598454</v>
      </c>
      <c r="V84">
        <v>-908475</v>
      </c>
      <c r="W84">
        <v>0</v>
      </c>
      <c r="X84">
        <v>-43843501</v>
      </c>
      <c r="Y84" s="661">
        <v>20000</v>
      </c>
      <c r="Z84" t="s">
        <v>1735</v>
      </c>
    </row>
    <row r="85" spans="1:26" ht="12.75" x14ac:dyDescent="0.2">
      <c r="A85" s="605">
        <v>78</v>
      </c>
      <c r="B85" s="606" t="s">
        <v>44</v>
      </c>
      <c r="C85" s="607" t="s">
        <v>1192</v>
      </c>
      <c r="D85" s="608" t="s">
        <v>1195</v>
      </c>
      <c r="E85" s="609" t="s">
        <v>43</v>
      </c>
      <c r="F85">
        <v>-3045146</v>
      </c>
      <c r="G85">
        <v>91074819</v>
      </c>
      <c r="H85">
        <v>0</v>
      </c>
      <c r="I85">
        <v>-1300000</v>
      </c>
      <c r="J85">
        <v>0</v>
      </c>
      <c r="K85">
        <v>-2900000</v>
      </c>
      <c r="L85">
        <v>86874819</v>
      </c>
      <c r="M85">
        <v>0</v>
      </c>
      <c r="N85">
        <v>55681</v>
      </c>
      <c r="O85">
        <v>2732380</v>
      </c>
      <c r="P85">
        <v>2788061</v>
      </c>
      <c r="Q85">
        <v>-1079519</v>
      </c>
      <c r="R85">
        <v>0</v>
      </c>
      <c r="S85">
        <v>-854997</v>
      </c>
      <c r="T85">
        <v>-84644690</v>
      </c>
      <c r="U85">
        <v>-469689</v>
      </c>
      <c r="V85">
        <v>0</v>
      </c>
      <c r="W85">
        <v>0</v>
      </c>
      <c r="X85">
        <v>-87048895</v>
      </c>
      <c r="Y85" s="661">
        <v>-431161</v>
      </c>
      <c r="Z85" t="s">
        <v>1736</v>
      </c>
    </row>
    <row r="86" spans="1:26" ht="12.75" x14ac:dyDescent="0.2">
      <c r="A86" s="605">
        <v>79</v>
      </c>
      <c r="B86" s="606" t="s">
        <v>46</v>
      </c>
      <c r="C86" s="607" t="s">
        <v>524</v>
      </c>
      <c r="D86" s="608" t="s">
        <v>1197</v>
      </c>
      <c r="E86" s="609" t="s">
        <v>45</v>
      </c>
      <c r="F86">
        <v>2761676</v>
      </c>
      <c r="G86">
        <v>117009305</v>
      </c>
      <c r="H86">
        <v>0</v>
      </c>
      <c r="I86">
        <v>-1196317</v>
      </c>
      <c r="J86">
        <v>0</v>
      </c>
      <c r="K86">
        <v>-3131497</v>
      </c>
      <c r="L86">
        <v>112681491</v>
      </c>
      <c r="M86">
        <v>0</v>
      </c>
      <c r="N86">
        <v>0</v>
      </c>
      <c r="O86">
        <v>0</v>
      </c>
      <c r="P86">
        <v>0</v>
      </c>
      <c r="Q86">
        <v>-768681</v>
      </c>
      <c r="R86">
        <v>-55374602</v>
      </c>
      <c r="S86">
        <v>-1107492</v>
      </c>
      <c r="T86">
        <v>-54267110</v>
      </c>
      <c r="U86">
        <v>-736528</v>
      </c>
      <c r="V86">
        <v>0</v>
      </c>
      <c r="W86">
        <v>-1472205</v>
      </c>
      <c r="X86">
        <v>-113726618</v>
      </c>
      <c r="Y86" s="661">
        <v>1716549</v>
      </c>
      <c r="Z86" t="s">
        <v>1737</v>
      </c>
    </row>
    <row r="87" spans="1:26" ht="12.75" x14ac:dyDescent="0.2">
      <c r="A87" s="605">
        <v>80</v>
      </c>
      <c r="B87" s="606" t="s">
        <v>48</v>
      </c>
      <c r="C87" s="607" t="s">
        <v>1190</v>
      </c>
      <c r="D87" s="608" t="s">
        <v>1191</v>
      </c>
      <c r="E87" s="609" t="s">
        <v>47</v>
      </c>
      <c r="F87">
        <v>1701976</v>
      </c>
      <c r="G87">
        <v>157883176</v>
      </c>
      <c r="H87">
        <v>0</v>
      </c>
      <c r="I87">
        <v>-2446617</v>
      </c>
      <c r="J87">
        <v>1994156</v>
      </c>
      <c r="K87">
        <v>-7388594</v>
      </c>
      <c r="L87">
        <v>150042121</v>
      </c>
      <c r="M87">
        <v>1675473</v>
      </c>
      <c r="N87">
        <v>0</v>
      </c>
      <c r="O87">
        <v>0</v>
      </c>
      <c r="P87">
        <v>1675473</v>
      </c>
      <c r="Q87">
        <v>0</v>
      </c>
      <c r="R87">
        <v>-37220663</v>
      </c>
      <c r="S87">
        <v>-40198316</v>
      </c>
      <c r="T87">
        <v>-71463673</v>
      </c>
      <c r="U87">
        <v>-499912</v>
      </c>
      <c r="V87">
        <v>0</v>
      </c>
      <c r="W87">
        <v>-3434413</v>
      </c>
      <c r="X87">
        <v>-152816977</v>
      </c>
      <c r="Y87" s="661">
        <v>602593</v>
      </c>
      <c r="Z87" t="s">
        <v>1738</v>
      </c>
    </row>
    <row r="88" spans="1:26" ht="12.75" x14ac:dyDescent="0.2">
      <c r="A88" s="605">
        <v>81</v>
      </c>
      <c r="B88" s="606" t="s">
        <v>50</v>
      </c>
      <c r="C88" s="607" t="s">
        <v>1185</v>
      </c>
      <c r="D88" s="608" t="s">
        <v>1189</v>
      </c>
      <c r="E88" s="609" t="s">
        <v>49</v>
      </c>
      <c r="F88">
        <v>855351</v>
      </c>
      <c r="G88">
        <v>21794300</v>
      </c>
      <c r="H88">
        <v>0</v>
      </c>
      <c r="I88">
        <v>-110176</v>
      </c>
      <c r="J88">
        <v>43520</v>
      </c>
      <c r="K88">
        <v>-1123033</v>
      </c>
      <c r="L88">
        <v>20604611</v>
      </c>
      <c r="M88">
        <v>522836</v>
      </c>
      <c r="N88">
        <v>0</v>
      </c>
      <c r="O88">
        <v>0</v>
      </c>
      <c r="P88">
        <v>522836</v>
      </c>
      <c r="Q88">
        <v>0</v>
      </c>
      <c r="R88">
        <v>-10291916</v>
      </c>
      <c r="S88">
        <v>-2058383</v>
      </c>
      <c r="T88">
        <v>-8233532</v>
      </c>
      <c r="U88">
        <v>-750913</v>
      </c>
      <c r="V88">
        <v>0</v>
      </c>
      <c r="W88">
        <v>-616927</v>
      </c>
      <c r="X88">
        <v>-21951671</v>
      </c>
      <c r="Y88" s="661">
        <v>31127</v>
      </c>
      <c r="Z88" t="s">
        <v>1739</v>
      </c>
    </row>
    <row r="89" spans="1:26" ht="12.75" x14ac:dyDescent="0.2">
      <c r="A89" s="605">
        <v>82</v>
      </c>
      <c r="B89" s="606" t="s">
        <v>52</v>
      </c>
      <c r="C89" s="607" t="s">
        <v>1185</v>
      </c>
      <c r="D89" s="608" t="s">
        <v>1194</v>
      </c>
      <c r="E89" s="609" t="s">
        <v>51</v>
      </c>
      <c r="F89">
        <v>2059832</v>
      </c>
      <c r="G89">
        <v>35352310</v>
      </c>
      <c r="H89">
        <v>-120000</v>
      </c>
      <c r="I89">
        <v>-14624</v>
      </c>
      <c r="J89">
        <v>877054</v>
      </c>
      <c r="K89">
        <v>-632859</v>
      </c>
      <c r="L89">
        <v>35461881</v>
      </c>
      <c r="M89">
        <v>645246</v>
      </c>
      <c r="N89">
        <v>155919</v>
      </c>
      <c r="O89">
        <v>0</v>
      </c>
      <c r="P89">
        <v>801165</v>
      </c>
      <c r="Q89">
        <v>-264328</v>
      </c>
      <c r="R89">
        <v>-16903538</v>
      </c>
      <c r="S89">
        <v>-3442650</v>
      </c>
      <c r="T89">
        <v>-13770599</v>
      </c>
      <c r="U89">
        <v>-1237903</v>
      </c>
      <c r="V89">
        <v>0</v>
      </c>
      <c r="W89">
        <v>-2789101</v>
      </c>
      <c r="X89">
        <v>-38408119</v>
      </c>
      <c r="Y89" s="661">
        <v>-85241</v>
      </c>
      <c r="Z89" t="s">
        <v>1740</v>
      </c>
    </row>
    <row r="90" spans="1:26" ht="12.75" x14ac:dyDescent="0.2">
      <c r="A90" s="605">
        <v>83</v>
      </c>
      <c r="B90" s="606" t="s">
        <v>54</v>
      </c>
      <c r="C90" s="607" t="s">
        <v>1185</v>
      </c>
      <c r="D90" s="608" t="s">
        <v>1186</v>
      </c>
      <c r="E90" s="609" t="s">
        <v>53</v>
      </c>
      <c r="F90">
        <v>-5400765.7999999998</v>
      </c>
      <c r="G90">
        <v>32599705</v>
      </c>
      <c r="H90">
        <v>0</v>
      </c>
      <c r="I90">
        <v>-280901</v>
      </c>
      <c r="J90">
        <v>0</v>
      </c>
      <c r="K90">
        <v>-2298477</v>
      </c>
      <c r="L90">
        <v>30020327</v>
      </c>
      <c r="M90">
        <v>574823</v>
      </c>
      <c r="N90">
        <v>0</v>
      </c>
      <c r="O90">
        <v>2760716</v>
      </c>
      <c r="P90">
        <v>3335539</v>
      </c>
      <c r="Q90">
        <v>0</v>
      </c>
      <c r="R90">
        <v>-16691671</v>
      </c>
      <c r="S90">
        <v>-3338334</v>
      </c>
      <c r="T90">
        <v>-13353336</v>
      </c>
      <c r="U90">
        <v>-158385</v>
      </c>
      <c r="V90">
        <v>0</v>
      </c>
      <c r="W90">
        <v>0</v>
      </c>
      <c r="X90">
        <v>-33541726</v>
      </c>
      <c r="Y90" s="661">
        <v>-5586625.8000000007</v>
      </c>
      <c r="Z90" t="s">
        <v>1741</v>
      </c>
    </row>
    <row r="91" spans="1:26" ht="12.75" x14ac:dyDescent="0.2">
      <c r="A91" s="605">
        <v>84</v>
      </c>
      <c r="B91" s="606" t="s">
        <v>56</v>
      </c>
      <c r="C91" s="607" t="s">
        <v>1185</v>
      </c>
      <c r="D91" s="608" t="s">
        <v>1189</v>
      </c>
      <c r="E91" s="609" t="s">
        <v>55</v>
      </c>
      <c r="F91">
        <v>990004</v>
      </c>
      <c r="G91">
        <v>43652164</v>
      </c>
      <c r="H91">
        <v>0</v>
      </c>
      <c r="I91">
        <v>-600000</v>
      </c>
      <c r="J91">
        <v>1373540</v>
      </c>
      <c r="K91">
        <v>-894659</v>
      </c>
      <c r="L91">
        <v>43531045</v>
      </c>
      <c r="M91">
        <v>379765</v>
      </c>
      <c r="N91">
        <v>0</v>
      </c>
      <c r="O91">
        <v>0</v>
      </c>
      <c r="P91">
        <v>379765</v>
      </c>
      <c r="Q91">
        <v>0</v>
      </c>
      <c r="R91">
        <v>-10653491</v>
      </c>
      <c r="S91">
        <v>-17045584</v>
      </c>
      <c r="T91">
        <v>-14914886</v>
      </c>
      <c r="U91">
        <v>-199266</v>
      </c>
      <c r="V91">
        <v>0</v>
      </c>
      <c r="W91">
        <v>-171290</v>
      </c>
      <c r="X91">
        <v>-42984517</v>
      </c>
      <c r="Y91" s="661">
        <v>1916297</v>
      </c>
      <c r="Z91" t="s">
        <v>1742</v>
      </c>
    </row>
    <row r="92" spans="1:26" ht="12.75" x14ac:dyDescent="0.2">
      <c r="A92" s="605">
        <v>85</v>
      </c>
      <c r="B92" s="606" t="s">
        <v>58</v>
      </c>
      <c r="C92" s="607" t="s">
        <v>1185</v>
      </c>
      <c r="D92" s="608" t="s">
        <v>1188</v>
      </c>
      <c r="E92" s="609" t="s">
        <v>57</v>
      </c>
      <c r="F92">
        <v>2754174</v>
      </c>
      <c r="G92">
        <v>37028857</v>
      </c>
      <c r="H92">
        <v>0</v>
      </c>
      <c r="I92">
        <v>-484766</v>
      </c>
      <c r="J92">
        <v>135266</v>
      </c>
      <c r="K92">
        <v>-342265</v>
      </c>
      <c r="L92">
        <v>36337092</v>
      </c>
      <c r="M92">
        <v>888313</v>
      </c>
      <c r="N92">
        <v>0</v>
      </c>
      <c r="O92">
        <v>0</v>
      </c>
      <c r="P92">
        <v>888313</v>
      </c>
      <c r="Q92">
        <v>0</v>
      </c>
      <c r="R92">
        <v>-17759452</v>
      </c>
      <c r="S92">
        <v>-3551890</v>
      </c>
      <c r="T92">
        <v>-14207561</v>
      </c>
      <c r="U92">
        <v>-1022047</v>
      </c>
      <c r="V92">
        <v>0</v>
      </c>
      <c r="W92">
        <v>-2082054</v>
      </c>
      <c r="X92">
        <v>-38623004</v>
      </c>
      <c r="Y92" s="661">
        <v>1356575</v>
      </c>
      <c r="Z92" t="s">
        <v>1743</v>
      </c>
    </row>
    <row r="93" spans="1:26" ht="12.75" x14ac:dyDescent="0.2">
      <c r="A93" s="605">
        <v>86</v>
      </c>
      <c r="B93" s="606" t="s">
        <v>60</v>
      </c>
      <c r="C93" s="607" t="s">
        <v>1185</v>
      </c>
      <c r="D93" s="608" t="s">
        <v>1188</v>
      </c>
      <c r="E93" s="609" t="s">
        <v>59</v>
      </c>
      <c r="F93">
        <v>159945</v>
      </c>
      <c r="G93">
        <v>34559613</v>
      </c>
      <c r="H93">
        <v>0</v>
      </c>
      <c r="I93">
        <v>-40396</v>
      </c>
      <c r="J93">
        <v>190000</v>
      </c>
      <c r="K93">
        <v>110000</v>
      </c>
      <c r="L93">
        <v>34819217</v>
      </c>
      <c r="M93">
        <v>274324</v>
      </c>
      <c r="N93">
        <v>0</v>
      </c>
      <c r="O93">
        <v>691046</v>
      </c>
      <c r="P93">
        <v>965370</v>
      </c>
      <c r="Q93">
        <v>-323015</v>
      </c>
      <c r="R93">
        <v>-8286491</v>
      </c>
      <c r="S93">
        <v>-11601089</v>
      </c>
      <c r="T93">
        <v>-13258387</v>
      </c>
      <c r="U93">
        <v>-536218</v>
      </c>
      <c r="V93">
        <v>0</v>
      </c>
      <c r="W93">
        <v>0</v>
      </c>
      <c r="X93">
        <v>-34005200</v>
      </c>
      <c r="Y93" s="661">
        <v>1939332</v>
      </c>
      <c r="Z93" t="s">
        <v>1744</v>
      </c>
    </row>
    <row r="94" spans="1:26" ht="12.75" x14ac:dyDescent="0.2">
      <c r="A94" s="605">
        <v>87</v>
      </c>
      <c r="B94" s="606" t="s">
        <v>62</v>
      </c>
      <c r="C94" s="607" t="s">
        <v>524</v>
      </c>
      <c r="D94" s="608" t="s">
        <v>1193</v>
      </c>
      <c r="E94" s="609" t="s">
        <v>580</v>
      </c>
      <c r="F94">
        <v>-2083045</v>
      </c>
      <c r="G94">
        <v>110642303</v>
      </c>
      <c r="H94">
        <v>0</v>
      </c>
      <c r="I94">
        <v>-600000</v>
      </c>
      <c r="J94">
        <v>5101000</v>
      </c>
      <c r="K94">
        <v>-2360362</v>
      </c>
      <c r="L94">
        <v>112782941</v>
      </c>
      <c r="M94">
        <v>1555973</v>
      </c>
      <c r="N94">
        <v>0</v>
      </c>
      <c r="O94">
        <v>2189637</v>
      </c>
      <c r="P94">
        <v>3745610</v>
      </c>
      <c r="Q94">
        <v>-13332492</v>
      </c>
      <c r="R94">
        <v>-47980147</v>
      </c>
      <c r="S94">
        <v>-959923</v>
      </c>
      <c r="T94">
        <v>-47036226</v>
      </c>
      <c r="U94">
        <v>-5505974</v>
      </c>
      <c r="V94">
        <v>-106865</v>
      </c>
      <c r="W94">
        <v>0</v>
      </c>
      <c r="X94">
        <v>-114921627</v>
      </c>
      <c r="Y94" s="661">
        <v>-476121</v>
      </c>
      <c r="Z94" t="s">
        <v>1745</v>
      </c>
    </row>
    <row r="95" spans="1:26" ht="12.75" x14ac:dyDescent="0.2">
      <c r="A95" s="605">
        <v>88</v>
      </c>
      <c r="B95" s="606" t="s">
        <v>64</v>
      </c>
      <c r="C95" s="607" t="s">
        <v>1185</v>
      </c>
      <c r="D95" s="608" t="s">
        <v>1195</v>
      </c>
      <c r="E95" s="609" t="s">
        <v>63</v>
      </c>
      <c r="F95">
        <v>1966640.9000000013</v>
      </c>
      <c r="G95">
        <v>58214026</v>
      </c>
      <c r="H95">
        <v>0</v>
      </c>
      <c r="I95">
        <v>-560000</v>
      </c>
      <c r="J95">
        <v>343000</v>
      </c>
      <c r="K95">
        <v>-3192459</v>
      </c>
      <c r="L95">
        <v>54804567</v>
      </c>
      <c r="M95">
        <v>70943</v>
      </c>
      <c r="N95">
        <v>0</v>
      </c>
      <c r="O95">
        <v>0</v>
      </c>
      <c r="P95">
        <v>70943</v>
      </c>
      <c r="Q95">
        <v>0</v>
      </c>
      <c r="R95">
        <v>-13200419</v>
      </c>
      <c r="S95">
        <v>-18480588</v>
      </c>
      <c r="T95">
        <v>-21120672</v>
      </c>
      <c r="U95">
        <v>-173359</v>
      </c>
      <c r="V95">
        <v>0</v>
      </c>
      <c r="W95">
        <v>-1967917</v>
      </c>
      <c r="X95">
        <v>-54942955</v>
      </c>
      <c r="Y95" s="661">
        <v>1899195.8999999985</v>
      </c>
      <c r="Z95" t="s">
        <v>1746</v>
      </c>
    </row>
    <row r="96" spans="1:26" ht="12.75" x14ac:dyDescent="0.2">
      <c r="A96" s="605">
        <v>89</v>
      </c>
      <c r="B96" s="606" t="s">
        <v>1128</v>
      </c>
      <c r="C96" s="607" t="s">
        <v>1185</v>
      </c>
      <c r="D96" s="608" t="s">
        <v>1189</v>
      </c>
      <c r="E96" s="609" t="s">
        <v>1127</v>
      </c>
      <c r="F96">
        <v>4069019.6000000015</v>
      </c>
      <c r="G96">
        <v>96465602</v>
      </c>
      <c r="H96">
        <v>0</v>
      </c>
      <c r="I96">
        <v>-781820</v>
      </c>
      <c r="J96">
        <v>3978407</v>
      </c>
      <c r="K96">
        <v>-751841</v>
      </c>
      <c r="L96">
        <v>98910348</v>
      </c>
      <c r="M96">
        <v>1963130</v>
      </c>
      <c r="N96">
        <v>0</v>
      </c>
      <c r="O96">
        <v>0</v>
      </c>
      <c r="P96">
        <v>1963130</v>
      </c>
      <c r="Q96">
        <v>-6300028</v>
      </c>
      <c r="R96">
        <v>-43384274</v>
      </c>
      <c r="S96">
        <v>-8716899</v>
      </c>
      <c r="T96">
        <v>-34867596</v>
      </c>
      <c r="U96">
        <v>-1448651</v>
      </c>
      <c r="V96">
        <v>-1105178</v>
      </c>
      <c r="W96">
        <v>-123735</v>
      </c>
      <c r="X96">
        <v>-95946361</v>
      </c>
      <c r="Y96" s="661">
        <v>8996136.599999994</v>
      </c>
      <c r="Z96" t="s">
        <v>1747</v>
      </c>
    </row>
    <row r="97" spans="1:26" ht="12.75" x14ac:dyDescent="0.2">
      <c r="A97" s="605">
        <v>90</v>
      </c>
      <c r="B97" s="606" t="s">
        <v>66</v>
      </c>
      <c r="C97" s="607" t="s">
        <v>1185</v>
      </c>
      <c r="D97" s="608" t="s">
        <v>1186</v>
      </c>
      <c r="E97" s="609" t="s">
        <v>65</v>
      </c>
      <c r="F97">
        <v>-2258409</v>
      </c>
      <c r="G97">
        <v>35913463</v>
      </c>
      <c r="H97">
        <v>0</v>
      </c>
      <c r="I97">
        <v>-217543</v>
      </c>
      <c r="J97">
        <v>0</v>
      </c>
      <c r="K97">
        <v>-80015</v>
      </c>
      <c r="L97">
        <v>35615905</v>
      </c>
      <c r="M97">
        <v>25624</v>
      </c>
      <c r="N97">
        <v>0</v>
      </c>
      <c r="O97">
        <v>1826912</v>
      </c>
      <c r="P97">
        <v>1852536</v>
      </c>
      <c r="Q97">
        <v>0</v>
      </c>
      <c r="R97">
        <v>-8788583</v>
      </c>
      <c r="S97">
        <v>-10897841</v>
      </c>
      <c r="T97">
        <v>-15467904</v>
      </c>
      <c r="U97">
        <v>0</v>
      </c>
      <c r="V97">
        <v>-128773</v>
      </c>
      <c r="W97">
        <v>0</v>
      </c>
      <c r="X97">
        <v>-35283101</v>
      </c>
      <c r="Y97" s="661">
        <v>-73069</v>
      </c>
      <c r="Z97" t="s">
        <v>1748</v>
      </c>
    </row>
    <row r="98" spans="1:26" ht="12.75" x14ac:dyDescent="0.2">
      <c r="A98" s="605">
        <v>91</v>
      </c>
      <c r="B98" s="606" t="s">
        <v>68</v>
      </c>
      <c r="C98" s="607" t="s">
        <v>1185</v>
      </c>
      <c r="D98" s="608" t="s">
        <v>1186</v>
      </c>
      <c r="E98" s="609" t="s">
        <v>67</v>
      </c>
      <c r="F98">
        <v>-146208</v>
      </c>
      <c r="G98">
        <v>61292004</v>
      </c>
      <c r="H98">
        <v>0</v>
      </c>
      <c r="I98">
        <v>-17231</v>
      </c>
      <c r="J98">
        <v>1118000</v>
      </c>
      <c r="K98">
        <v>1352000</v>
      </c>
      <c r="L98">
        <v>63744773</v>
      </c>
      <c r="M98">
        <v>740607</v>
      </c>
      <c r="N98">
        <v>0</v>
      </c>
      <c r="O98">
        <v>350929</v>
      </c>
      <c r="P98">
        <v>1091536</v>
      </c>
      <c r="Q98">
        <v>-282155</v>
      </c>
      <c r="R98">
        <v>-28982220</v>
      </c>
      <c r="S98">
        <v>-5796444</v>
      </c>
      <c r="T98">
        <v>-23192911</v>
      </c>
      <c r="U98">
        <v>-147506</v>
      </c>
      <c r="V98">
        <v>0</v>
      </c>
      <c r="W98">
        <v>0</v>
      </c>
      <c r="X98">
        <v>-58401236</v>
      </c>
      <c r="Y98" s="661">
        <v>6288865</v>
      </c>
      <c r="Z98" t="s">
        <v>1749</v>
      </c>
    </row>
    <row r="99" spans="1:26" ht="12.75" x14ac:dyDescent="0.2">
      <c r="A99" s="605">
        <v>92</v>
      </c>
      <c r="B99" s="606" t="s">
        <v>70</v>
      </c>
      <c r="C99" s="607" t="s">
        <v>1185</v>
      </c>
      <c r="D99" s="608" t="s">
        <v>1187</v>
      </c>
      <c r="E99" s="609" t="s">
        <v>69</v>
      </c>
      <c r="F99">
        <v>245200</v>
      </c>
      <c r="G99">
        <v>21659957</v>
      </c>
      <c r="H99">
        <v>-324899</v>
      </c>
      <c r="I99">
        <v>0</v>
      </c>
      <c r="J99">
        <v>48506</v>
      </c>
      <c r="K99">
        <v>-445000</v>
      </c>
      <c r="L99">
        <v>20938564</v>
      </c>
      <c r="M99">
        <v>346560</v>
      </c>
      <c r="N99">
        <v>0</v>
      </c>
      <c r="O99">
        <v>570472</v>
      </c>
      <c r="P99">
        <v>917032</v>
      </c>
      <c r="Q99">
        <v>0</v>
      </c>
      <c r="R99">
        <v>-10836599</v>
      </c>
      <c r="S99">
        <v>-2167320</v>
      </c>
      <c r="T99">
        <v>-8669279</v>
      </c>
      <c r="U99">
        <v>0</v>
      </c>
      <c r="V99">
        <v>-126002</v>
      </c>
      <c r="W99">
        <v>0</v>
      </c>
      <c r="X99">
        <v>-21799200</v>
      </c>
      <c r="Y99" s="661">
        <v>301596</v>
      </c>
      <c r="Z99" t="s">
        <v>1750</v>
      </c>
    </row>
    <row r="100" spans="1:26" ht="12.75" x14ac:dyDescent="0.2">
      <c r="A100" s="605">
        <v>93</v>
      </c>
      <c r="B100" s="606" t="s">
        <v>72</v>
      </c>
      <c r="C100" s="607" t="s">
        <v>1185</v>
      </c>
      <c r="D100" s="608" t="s">
        <v>1186</v>
      </c>
      <c r="E100" s="609" t="s">
        <v>71</v>
      </c>
      <c r="F100">
        <v>1747526</v>
      </c>
      <c r="G100">
        <v>64832870</v>
      </c>
      <c r="H100">
        <v>0</v>
      </c>
      <c r="I100">
        <v>-400000</v>
      </c>
      <c r="J100">
        <v>896790</v>
      </c>
      <c r="K100">
        <v>652836</v>
      </c>
      <c r="L100">
        <v>65982496</v>
      </c>
      <c r="M100">
        <v>860174</v>
      </c>
      <c r="N100">
        <v>0</v>
      </c>
      <c r="O100">
        <v>173881</v>
      </c>
      <c r="P100">
        <v>1034055</v>
      </c>
      <c r="Q100">
        <v>0</v>
      </c>
      <c r="R100">
        <v>-31783687</v>
      </c>
      <c r="S100">
        <v>-6356737</v>
      </c>
      <c r="T100">
        <v>-25426949</v>
      </c>
      <c r="U100">
        <v>-200842</v>
      </c>
      <c r="V100">
        <v>0</v>
      </c>
      <c r="W100">
        <v>0</v>
      </c>
      <c r="X100">
        <v>-63768215</v>
      </c>
      <c r="Y100" s="661">
        <v>4995862</v>
      </c>
      <c r="Z100" t="s">
        <v>1751</v>
      </c>
    </row>
    <row r="101" spans="1:26" ht="12.75" x14ac:dyDescent="0.2">
      <c r="A101" s="605">
        <v>94</v>
      </c>
      <c r="B101" s="606" t="s">
        <v>74</v>
      </c>
      <c r="C101" s="607" t="s">
        <v>1190</v>
      </c>
      <c r="D101" s="608" t="s">
        <v>1191</v>
      </c>
      <c r="E101" s="609" t="s">
        <v>73</v>
      </c>
      <c r="F101">
        <v>-7481588</v>
      </c>
      <c r="G101">
        <v>116785933</v>
      </c>
      <c r="H101">
        <v>0</v>
      </c>
      <c r="I101">
        <v>-1167859</v>
      </c>
      <c r="J101">
        <v>4886631</v>
      </c>
      <c r="K101">
        <v>-5386000</v>
      </c>
      <c r="L101">
        <v>115118705</v>
      </c>
      <c r="M101">
        <v>0</v>
      </c>
      <c r="N101">
        <v>0</v>
      </c>
      <c r="O101">
        <v>4888215</v>
      </c>
      <c r="P101">
        <v>4888215</v>
      </c>
      <c r="Q101">
        <v>0</v>
      </c>
      <c r="R101">
        <v>-28106033</v>
      </c>
      <c r="S101">
        <v>-30354516</v>
      </c>
      <c r="T101">
        <v>-53963584</v>
      </c>
      <c r="U101">
        <v>-324865</v>
      </c>
      <c r="V101">
        <v>0</v>
      </c>
      <c r="W101">
        <v>0</v>
      </c>
      <c r="X101">
        <v>-112748998</v>
      </c>
      <c r="Y101" s="661">
        <v>-223666</v>
      </c>
      <c r="Z101" t="s">
        <v>1752</v>
      </c>
    </row>
    <row r="102" spans="1:26" ht="12.75" x14ac:dyDescent="0.2">
      <c r="A102" s="605">
        <v>95</v>
      </c>
      <c r="B102" s="606" t="s">
        <v>76</v>
      </c>
      <c r="C102" s="607" t="s">
        <v>1185</v>
      </c>
      <c r="D102" s="608" t="s">
        <v>1189</v>
      </c>
      <c r="E102" s="609" t="s">
        <v>75</v>
      </c>
      <c r="F102">
        <v>5296933</v>
      </c>
      <c r="G102">
        <v>34814881</v>
      </c>
      <c r="H102">
        <v>0</v>
      </c>
      <c r="I102">
        <v>-500000</v>
      </c>
      <c r="J102">
        <v>1000000</v>
      </c>
      <c r="K102">
        <v>-3260298</v>
      </c>
      <c r="L102">
        <v>32054583</v>
      </c>
      <c r="M102">
        <v>0</v>
      </c>
      <c r="N102">
        <v>0</v>
      </c>
      <c r="O102">
        <v>0</v>
      </c>
      <c r="P102">
        <v>0</v>
      </c>
      <c r="Q102">
        <v>-207502</v>
      </c>
      <c r="R102">
        <v>-17142856</v>
      </c>
      <c r="S102">
        <v>-3428571</v>
      </c>
      <c r="T102">
        <v>-13714284</v>
      </c>
      <c r="U102">
        <v>-172819</v>
      </c>
      <c r="V102">
        <v>0</v>
      </c>
      <c r="W102">
        <v>-743324</v>
      </c>
      <c r="X102">
        <v>-35409356</v>
      </c>
      <c r="Y102" s="661">
        <v>1942160</v>
      </c>
      <c r="Z102" t="s">
        <v>1753</v>
      </c>
    </row>
    <row r="103" spans="1:26" ht="12.75" x14ac:dyDescent="0.2">
      <c r="A103" s="605">
        <v>96</v>
      </c>
      <c r="B103" s="606" t="s">
        <v>78</v>
      </c>
      <c r="C103" s="607" t="s">
        <v>1185</v>
      </c>
      <c r="D103" s="608" t="s">
        <v>1186</v>
      </c>
      <c r="E103" s="609" t="s">
        <v>914</v>
      </c>
      <c r="F103">
        <v>100590</v>
      </c>
      <c r="G103">
        <v>25138620</v>
      </c>
      <c r="H103">
        <v>0</v>
      </c>
      <c r="I103">
        <v>-187720</v>
      </c>
      <c r="J103">
        <v>0</v>
      </c>
      <c r="K103">
        <v>65923</v>
      </c>
      <c r="L103">
        <v>25016823</v>
      </c>
      <c r="M103">
        <v>97132</v>
      </c>
      <c r="N103">
        <v>0</v>
      </c>
      <c r="O103">
        <v>4499478</v>
      </c>
      <c r="P103">
        <v>4596610</v>
      </c>
      <c r="Q103">
        <v>0</v>
      </c>
      <c r="R103">
        <v>-12459687</v>
      </c>
      <c r="S103">
        <v>-2491937</v>
      </c>
      <c r="T103">
        <v>-9967750</v>
      </c>
      <c r="U103">
        <v>-83273</v>
      </c>
      <c r="V103">
        <v>0</v>
      </c>
      <c r="W103">
        <v>0</v>
      </c>
      <c r="X103">
        <v>-25002647</v>
      </c>
      <c r="Y103" s="661">
        <v>4711376</v>
      </c>
      <c r="Z103" t="s">
        <v>1754</v>
      </c>
    </row>
    <row r="104" spans="1:26" ht="12.75" x14ac:dyDescent="0.2">
      <c r="A104" s="605">
        <v>97</v>
      </c>
      <c r="B104" s="606" t="s">
        <v>80</v>
      </c>
      <c r="C104" s="607" t="s">
        <v>1185</v>
      </c>
      <c r="D104" s="608" t="s">
        <v>1188</v>
      </c>
      <c r="E104" s="609" t="s">
        <v>79</v>
      </c>
      <c r="F104">
        <v>-217701</v>
      </c>
      <c r="G104">
        <v>24770000</v>
      </c>
      <c r="H104">
        <v>0</v>
      </c>
      <c r="I104">
        <v>-120000</v>
      </c>
      <c r="J104">
        <v>500000</v>
      </c>
      <c r="K104">
        <v>-840000</v>
      </c>
      <c r="L104">
        <v>24310000</v>
      </c>
      <c r="M104">
        <v>135000</v>
      </c>
      <c r="N104">
        <v>0</v>
      </c>
      <c r="O104">
        <v>4515</v>
      </c>
      <c r="P104">
        <v>139515</v>
      </c>
      <c r="Q104">
        <v>0</v>
      </c>
      <c r="R104">
        <v>-12184975</v>
      </c>
      <c r="S104">
        <v>-2436996</v>
      </c>
      <c r="T104">
        <v>-9747980</v>
      </c>
      <c r="U104">
        <v>-132995</v>
      </c>
      <c r="V104">
        <v>0</v>
      </c>
      <c r="W104">
        <v>0</v>
      </c>
      <c r="X104">
        <v>-24502946</v>
      </c>
      <c r="Y104" s="661">
        <v>-271132</v>
      </c>
      <c r="Z104" t="s">
        <v>1755</v>
      </c>
    </row>
    <row r="105" spans="1:26" ht="12.75" x14ac:dyDescent="0.2">
      <c r="A105" s="605">
        <v>98</v>
      </c>
      <c r="B105" s="606" t="s">
        <v>82</v>
      </c>
      <c r="C105" s="607" t="s">
        <v>1185</v>
      </c>
      <c r="D105" s="608" t="s">
        <v>1194</v>
      </c>
      <c r="E105" s="609" t="s">
        <v>81</v>
      </c>
      <c r="F105">
        <v>-710342</v>
      </c>
      <c r="G105">
        <v>82328501</v>
      </c>
      <c r="H105">
        <v>0</v>
      </c>
      <c r="I105">
        <v>-200000</v>
      </c>
      <c r="J105">
        <v>0</v>
      </c>
      <c r="K105">
        <v>-3000000</v>
      </c>
      <c r="L105">
        <v>79128501</v>
      </c>
      <c r="M105">
        <v>0</v>
      </c>
      <c r="N105">
        <v>0</v>
      </c>
      <c r="O105">
        <v>1183461</v>
      </c>
      <c r="P105">
        <v>1183461</v>
      </c>
      <c r="Q105">
        <v>-1776042</v>
      </c>
      <c r="R105">
        <v>-38633397</v>
      </c>
      <c r="S105">
        <v>-7726679</v>
      </c>
      <c r="T105">
        <v>-31121016</v>
      </c>
      <c r="U105">
        <v>0</v>
      </c>
      <c r="V105">
        <v>0</v>
      </c>
      <c r="W105">
        <v>0</v>
      </c>
      <c r="X105">
        <v>-79257134</v>
      </c>
      <c r="Y105" s="661">
        <v>344486</v>
      </c>
      <c r="Z105" t="s">
        <v>1756</v>
      </c>
    </row>
    <row r="106" spans="1:26" ht="12.75" x14ac:dyDescent="0.2">
      <c r="A106" s="605">
        <v>99</v>
      </c>
      <c r="B106" s="606" t="s">
        <v>84</v>
      </c>
      <c r="C106" s="607" t="s">
        <v>1185</v>
      </c>
      <c r="D106" s="608" t="s">
        <v>1186</v>
      </c>
      <c r="E106" s="609" t="s">
        <v>83</v>
      </c>
      <c r="F106">
        <v>1301428.3000000026</v>
      </c>
      <c r="G106">
        <v>42430176</v>
      </c>
      <c r="H106">
        <v>-89762</v>
      </c>
      <c r="I106">
        <v>-16732</v>
      </c>
      <c r="J106">
        <v>555029</v>
      </c>
      <c r="K106">
        <v>-920043</v>
      </c>
      <c r="L106">
        <v>41958668</v>
      </c>
      <c r="M106">
        <v>738598</v>
      </c>
      <c r="N106">
        <v>0</v>
      </c>
      <c r="O106">
        <v>0</v>
      </c>
      <c r="P106">
        <v>738598</v>
      </c>
      <c r="Q106">
        <v>-216080</v>
      </c>
      <c r="R106">
        <v>-19423228</v>
      </c>
      <c r="S106">
        <v>-3931891</v>
      </c>
      <c r="T106">
        <v>-15727566</v>
      </c>
      <c r="U106">
        <v>-729683</v>
      </c>
      <c r="V106">
        <v>-74187</v>
      </c>
      <c r="W106">
        <v>-6226466</v>
      </c>
      <c r="X106">
        <v>-46329101</v>
      </c>
      <c r="Y106" s="661">
        <v>-2330406.6999999955</v>
      </c>
      <c r="Z106" t="s">
        <v>1757</v>
      </c>
    </row>
    <row r="107" spans="1:26" ht="12.75" x14ac:dyDescent="0.2">
      <c r="A107" s="605">
        <v>100</v>
      </c>
      <c r="B107" s="606" t="s">
        <v>86</v>
      </c>
      <c r="C107" s="607" t="s">
        <v>1185</v>
      </c>
      <c r="D107" s="608" t="s">
        <v>1189</v>
      </c>
      <c r="E107" s="609" t="s">
        <v>85</v>
      </c>
      <c r="F107">
        <v>-1086131.2100000009</v>
      </c>
      <c r="G107">
        <v>25054247</v>
      </c>
      <c r="H107">
        <v>0</v>
      </c>
      <c r="I107">
        <v>-250000</v>
      </c>
      <c r="J107">
        <v>1000000</v>
      </c>
      <c r="K107">
        <v>-2213636</v>
      </c>
      <c r="L107">
        <v>23590611</v>
      </c>
      <c r="M107">
        <v>55110</v>
      </c>
      <c r="N107">
        <v>0</v>
      </c>
      <c r="O107">
        <v>1107470</v>
      </c>
      <c r="P107">
        <v>1162580</v>
      </c>
      <c r="Q107">
        <v>0</v>
      </c>
      <c r="R107">
        <v>-12001061</v>
      </c>
      <c r="S107">
        <v>-2400212</v>
      </c>
      <c r="T107">
        <v>-9600848</v>
      </c>
      <c r="U107">
        <v>-443312</v>
      </c>
      <c r="V107">
        <v>0</v>
      </c>
      <c r="W107">
        <v>0</v>
      </c>
      <c r="X107">
        <v>-24445433</v>
      </c>
      <c r="Y107" s="661">
        <v>-778373.21000000089</v>
      </c>
      <c r="Z107" t="s">
        <v>1758</v>
      </c>
    </row>
    <row r="108" spans="1:26" ht="12.75" x14ac:dyDescent="0.2">
      <c r="A108" s="605">
        <v>101</v>
      </c>
      <c r="B108" s="606" t="s">
        <v>341</v>
      </c>
      <c r="C108" s="607" t="s">
        <v>1185</v>
      </c>
      <c r="D108" s="608" t="s">
        <v>1189</v>
      </c>
      <c r="E108" s="609" t="s">
        <v>1120</v>
      </c>
      <c r="F108">
        <v>-1532925.6399999992</v>
      </c>
      <c r="G108">
        <v>26670064</v>
      </c>
      <c r="H108">
        <v>-204279</v>
      </c>
      <c r="I108">
        <v>-256061</v>
      </c>
      <c r="J108">
        <v>1231933</v>
      </c>
      <c r="K108">
        <v>-3677529</v>
      </c>
      <c r="L108">
        <v>23764128</v>
      </c>
      <c r="M108">
        <v>0</v>
      </c>
      <c r="N108">
        <v>0</v>
      </c>
      <c r="O108">
        <v>1736441</v>
      </c>
      <c r="P108">
        <v>1736441</v>
      </c>
      <c r="Q108">
        <v>-220417</v>
      </c>
      <c r="R108">
        <v>-13783422</v>
      </c>
      <c r="S108">
        <v>-2756684</v>
      </c>
      <c r="T108">
        <v>-11026737</v>
      </c>
      <c r="U108">
        <v>-146408</v>
      </c>
      <c r="V108">
        <v>0</v>
      </c>
      <c r="W108">
        <v>0</v>
      </c>
      <c r="X108">
        <v>-27933668</v>
      </c>
      <c r="Y108" s="661">
        <v>-3966024.6400000006</v>
      </c>
      <c r="Z108" t="s">
        <v>1759</v>
      </c>
    </row>
    <row r="109" spans="1:26" ht="12.75" x14ac:dyDescent="0.2">
      <c r="A109" s="605">
        <v>102</v>
      </c>
      <c r="B109" s="606" t="s">
        <v>88</v>
      </c>
      <c r="C109" s="607" t="s">
        <v>1185</v>
      </c>
      <c r="D109" s="608" t="s">
        <v>1194</v>
      </c>
      <c r="E109" s="609" t="s">
        <v>87</v>
      </c>
      <c r="F109">
        <v>-410514</v>
      </c>
      <c r="G109">
        <v>12995350</v>
      </c>
      <c r="H109">
        <v>0</v>
      </c>
      <c r="I109">
        <v>-85000</v>
      </c>
      <c r="J109">
        <v>183720</v>
      </c>
      <c r="K109">
        <v>-165000</v>
      </c>
      <c r="L109">
        <v>12929070</v>
      </c>
      <c r="M109">
        <v>507080</v>
      </c>
      <c r="N109">
        <v>0</v>
      </c>
      <c r="O109">
        <v>475243</v>
      </c>
      <c r="P109">
        <v>982323</v>
      </c>
      <c r="Q109">
        <v>-62578</v>
      </c>
      <c r="R109">
        <v>-6678397</v>
      </c>
      <c r="S109">
        <v>-1335679</v>
      </c>
      <c r="T109">
        <v>-5342717</v>
      </c>
      <c r="U109">
        <v>-294384</v>
      </c>
      <c r="V109">
        <v>-39474</v>
      </c>
      <c r="W109">
        <v>0</v>
      </c>
      <c r="X109">
        <v>-13753229</v>
      </c>
      <c r="Y109" s="661">
        <v>-252350</v>
      </c>
      <c r="Z109" t="s">
        <v>1760</v>
      </c>
    </row>
    <row r="110" spans="1:26" ht="12.75" x14ac:dyDescent="0.2">
      <c r="A110" s="605">
        <v>103</v>
      </c>
      <c r="B110" s="606" t="s">
        <v>90</v>
      </c>
      <c r="C110" s="607" t="s">
        <v>1185</v>
      </c>
      <c r="D110" s="608" t="s">
        <v>1187</v>
      </c>
      <c r="E110" s="609" t="s">
        <v>89</v>
      </c>
      <c r="F110">
        <v>-429339</v>
      </c>
      <c r="G110">
        <v>26675441</v>
      </c>
      <c r="H110">
        <v>-116638</v>
      </c>
      <c r="I110">
        <v>-383362</v>
      </c>
      <c r="J110">
        <v>0</v>
      </c>
      <c r="K110">
        <v>-887047</v>
      </c>
      <c r="L110">
        <v>25288394</v>
      </c>
      <c r="M110">
        <v>0</v>
      </c>
      <c r="N110">
        <v>0</v>
      </c>
      <c r="O110">
        <v>721719</v>
      </c>
      <c r="P110">
        <v>721719</v>
      </c>
      <c r="Q110">
        <v>-35427</v>
      </c>
      <c r="R110">
        <v>-6238896</v>
      </c>
      <c r="S110">
        <v>-4741561</v>
      </c>
      <c r="T110">
        <v>-13975126</v>
      </c>
      <c r="U110">
        <v>-193741</v>
      </c>
      <c r="V110">
        <v>0</v>
      </c>
      <c r="W110">
        <v>0</v>
      </c>
      <c r="X110">
        <v>-25184751</v>
      </c>
      <c r="Y110" s="661">
        <v>396023</v>
      </c>
      <c r="Z110" t="s">
        <v>1761</v>
      </c>
    </row>
    <row r="111" spans="1:26" ht="12.75" x14ac:dyDescent="0.2">
      <c r="A111" s="605">
        <v>104</v>
      </c>
      <c r="B111" s="606" t="s">
        <v>92</v>
      </c>
      <c r="C111" s="607" t="s">
        <v>1192</v>
      </c>
      <c r="D111" s="608" t="s">
        <v>1197</v>
      </c>
      <c r="E111" s="609" t="s">
        <v>91</v>
      </c>
      <c r="F111">
        <v>-523517</v>
      </c>
      <c r="G111">
        <v>93592304</v>
      </c>
      <c r="H111">
        <v>-101184</v>
      </c>
      <c r="I111">
        <v>-1500000</v>
      </c>
      <c r="J111">
        <v>1948592</v>
      </c>
      <c r="K111">
        <v>-1948592</v>
      </c>
      <c r="L111">
        <v>91991120</v>
      </c>
      <c r="M111">
        <v>0</v>
      </c>
      <c r="N111">
        <v>0</v>
      </c>
      <c r="O111">
        <v>1089966</v>
      </c>
      <c r="P111">
        <v>1089966</v>
      </c>
      <c r="Q111">
        <v>-1641924</v>
      </c>
      <c r="R111">
        <v>-42252538</v>
      </c>
      <c r="S111">
        <v>-845051</v>
      </c>
      <c r="T111">
        <v>-41407487</v>
      </c>
      <c r="U111">
        <v>-1161223</v>
      </c>
      <c r="V111">
        <v>0</v>
      </c>
      <c r="W111">
        <v>0</v>
      </c>
      <c r="X111">
        <v>-87308223</v>
      </c>
      <c r="Y111" s="661">
        <v>5249346</v>
      </c>
      <c r="Z111" t="s">
        <v>1762</v>
      </c>
    </row>
    <row r="112" spans="1:26" ht="12.75" x14ac:dyDescent="0.2">
      <c r="A112" s="605">
        <v>105</v>
      </c>
      <c r="B112" s="606" t="s">
        <v>94</v>
      </c>
      <c r="C112" s="607" t="s">
        <v>1185</v>
      </c>
      <c r="D112" s="608" t="s">
        <v>1188</v>
      </c>
      <c r="E112" s="609" t="s">
        <v>93</v>
      </c>
      <c r="F112">
        <v>-566203.99000000069</v>
      </c>
      <c r="G112">
        <v>22599282</v>
      </c>
      <c r="H112">
        <v>0</v>
      </c>
      <c r="I112">
        <v>-92854</v>
      </c>
      <c r="J112">
        <v>135824</v>
      </c>
      <c r="K112">
        <v>-1079107</v>
      </c>
      <c r="L112">
        <v>21563145</v>
      </c>
      <c r="M112">
        <v>368879</v>
      </c>
      <c r="N112">
        <v>0</v>
      </c>
      <c r="O112">
        <v>716677</v>
      </c>
      <c r="P112">
        <v>1085556</v>
      </c>
      <c r="Q112">
        <v>-63139</v>
      </c>
      <c r="R112">
        <v>-11255984</v>
      </c>
      <c r="S112">
        <v>-2251197</v>
      </c>
      <c r="T112">
        <v>-9004788</v>
      </c>
      <c r="U112">
        <v>-296229</v>
      </c>
      <c r="V112">
        <v>0</v>
      </c>
      <c r="W112">
        <v>0</v>
      </c>
      <c r="X112">
        <v>-22871337</v>
      </c>
      <c r="Y112" s="661">
        <v>-788839.99000000209</v>
      </c>
      <c r="Z112" t="s">
        <v>1763</v>
      </c>
    </row>
    <row r="113" spans="1:26" ht="12.75" x14ac:dyDescent="0.2">
      <c r="A113" s="605">
        <v>106</v>
      </c>
      <c r="B113" s="606" t="s">
        <v>96</v>
      </c>
      <c r="C113" s="607" t="s">
        <v>1185</v>
      </c>
      <c r="D113" s="608" t="s">
        <v>1194</v>
      </c>
      <c r="E113" s="609" t="s">
        <v>95</v>
      </c>
      <c r="F113">
        <v>-812688</v>
      </c>
      <c r="G113">
        <v>55633449</v>
      </c>
      <c r="H113">
        <v>0</v>
      </c>
      <c r="I113">
        <v>-309226</v>
      </c>
      <c r="J113">
        <v>506157</v>
      </c>
      <c r="K113">
        <v>-1549440</v>
      </c>
      <c r="L113">
        <v>54280940</v>
      </c>
      <c r="M113">
        <v>267125</v>
      </c>
      <c r="N113">
        <v>0</v>
      </c>
      <c r="O113">
        <v>259398</v>
      </c>
      <c r="P113">
        <v>526523</v>
      </c>
      <c r="Q113">
        <v>-1176242</v>
      </c>
      <c r="R113">
        <v>-26095767</v>
      </c>
      <c r="S113">
        <v>-5219154</v>
      </c>
      <c r="T113">
        <v>-20876614</v>
      </c>
      <c r="U113">
        <v>-168418</v>
      </c>
      <c r="V113">
        <v>0</v>
      </c>
      <c r="W113">
        <v>0</v>
      </c>
      <c r="X113">
        <v>-53536195</v>
      </c>
      <c r="Y113" s="661">
        <v>458580</v>
      </c>
      <c r="Z113" t="s">
        <v>1764</v>
      </c>
    </row>
    <row r="114" spans="1:26" ht="12.75" x14ac:dyDescent="0.2">
      <c r="A114" s="605">
        <v>107</v>
      </c>
      <c r="B114" s="606" t="s">
        <v>98</v>
      </c>
      <c r="C114" s="607" t="s">
        <v>1185</v>
      </c>
      <c r="D114" s="608" t="s">
        <v>1186</v>
      </c>
      <c r="E114" s="609" t="s">
        <v>97</v>
      </c>
      <c r="F114">
        <v>-232800.80000000075</v>
      </c>
      <c r="G114">
        <v>17112764</v>
      </c>
      <c r="H114">
        <v>0</v>
      </c>
      <c r="I114">
        <v>-171100</v>
      </c>
      <c r="J114">
        <v>0</v>
      </c>
      <c r="K114">
        <v>-962318</v>
      </c>
      <c r="L114">
        <v>15979346</v>
      </c>
      <c r="M114">
        <v>0</v>
      </c>
      <c r="N114">
        <v>0</v>
      </c>
      <c r="O114">
        <v>145790</v>
      </c>
      <c r="P114">
        <v>145790</v>
      </c>
      <c r="Q114">
        <v>-39840</v>
      </c>
      <c r="R114">
        <v>-7739856</v>
      </c>
      <c r="S114">
        <v>-1547971</v>
      </c>
      <c r="T114">
        <v>-6191885</v>
      </c>
      <c r="U114">
        <v>-77322</v>
      </c>
      <c r="V114">
        <v>0</v>
      </c>
      <c r="W114">
        <v>0</v>
      </c>
      <c r="X114">
        <v>-15596874</v>
      </c>
      <c r="Y114" s="661">
        <v>295461.19999999925</v>
      </c>
      <c r="Z114" t="s">
        <v>1765</v>
      </c>
    </row>
    <row r="115" spans="1:26" ht="12.75" x14ac:dyDescent="0.2">
      <c r="A115" s="605">
        <v>108</v>
      </c>
      <c r="B115" s="606" t="s">
        <v>100</v>
      </c>
      <c r="C115" s="607" t="s">
        <v>1185</v>
      </c>
      <c r="D115" s="608" t="s">
        <v>1186</v>
      </c>
      <c r="E115" s="609" t="s">
        <v>99</v>
      </c>
      <c r="F115">
        <v>580000</v>
      </c>
      <c r="G115">
        <v>24268695</v>
      </c>
      <c r="H115">
        <v>0</v>
      </c>
      <c r="I115">
        <v>-272191</v>
      </c>
      <c r="J115">
        <v>0</v>
      </c>
      <c r="K115">
        <v>-843600</v>
      </c>
      <c r="L115">
        <v>23152904</v>
      </c>
      <c r="M115">
        <v>104752</v>
      </c>
      <c r="N115">
        <v>0</v>
      </c>
      <c r="O115">
        <v>414650</v>
      </c>
      <c r="P115">
        <v>519402</v>
      </c>
      <c r="Q115">
        <v>0</v>
      </c>
      <c r="R115">
        <v>-12080180</v>
      </c>
      <c r="S115">
        <v>-2416036</v>
      </c>
      <c r="T115">
        <v>-9664144</v>
      </c>
      <c r="U115">
        <v>0</v>
      </c>
      <c r="V115">
        <v>-91946</v>
      </c>
      <c r="W115">
        <v>0</v>
      </c>
      <c r="X115">
        <v>-24252306</v>
      </c>
      <c r="Y115" s="661">
        <v>0</v>
      </c>
      <c r="Z115" t="s">
        <v>1766</v>
      </c>
    </row>
    <row r="116" spans="1:26" ht="12.75" x14ac:dyDescent="0.2">
      <c r="A116" s="605">
        <v>109</v>
      </c>
      <c r="B116" s="606" t="s">
        <v>102</v>
      </c>
      <c r="C116" s="607" t="s">
        <v>1185</v>
      </c>
      <c r="D116" s="608" t="s">
        <v>1189</v>
      </c>
      <c r="E116" s="609" t="s">
        <v>101</v>
      </c>
      <c r="F116">
        <v>5025661</v>
      </c>
      <c r="G116">
        <v>31388860</v>
      </c>
      <c r="H116">
        <v>0</v>
      </c>
      <c r="I116">
        <v>-318000</v>
      </c>
      <c r="J116">
        <v>0</v>
      </c>
      <c r="K116">
        <v>-333000</v>
      </c>
      <c r="L116">
        <v>30737860</v>
      </c>
      <c r="M116">
        <v>0</v>
      </c>
      <c r="N116">
        <v>0</v>
      </c>
      <c r="O116">
        <v>2531738</v>
      </c>
      <c r="P116">
        <v>2531738</v>
      </c>
      <c r="Q116">
        <v>-3865493</v>
      </c>
      <c r="R116">
        <v>-6544660</v>
      </c>
      <c r="S116">
        <v>-9312954</v>
      </c>
      <c r="T116">
        <v>-12178479</v>
      </c>
      <c r="U116">
        <v>-1386568</v>
      </c>
      <c r="V116">
        <v>-264069</v>
      </c>
      <c r="W116">
        <v>0</v>
      </c>
      <c r="X116">
        <v>-33552223</v>
      </c>
      <c r="Y116" s="661">
        <v>4743036</v>
      </c>
      <c r="Z116" t="s">
        <v>1767</v>
      </c>
    </row>
    <row r="117" spans="1:26" ht="12.75" x14ac:dyDescent="0.2">
      <c r="A117" s="605">
        <v>110</v>
      </c>
      <c r="B117" s="606" t="s">
        <v>104</v>
      </c>
      <c r="C117" s="607" t="s">
        <v>1196</v>
      </c>
      <c r="D117" s="608" t="s">
        <v>1191</v>
      </c>
      <c r="E117" s="609" t="s">
        <v>103</v>
      </c>
      <c r="F117">
        <v>13109035</v>
      </c>
      <c r="G117">
        <v>99508787</v>
      </c>
      <c r="H117">
        <v>0</v>
      </c>
      <c r="I117">
        <v>-1800000</v>
      </c>
      <c r="J117">
        <v>0</v>
      </c>
      <c r="K117">
        <v>-1862533</v>
      </c>
      <c r="L117">
        <v>95846254</v>
      </c>
      <c r="M117">
        <v>547639</v>
      </c>
      <c r="N117">
        <v>0</v>
      </c>
      <c r="O117">
        <v>0</v>
      </c>
      <c r="P117">
        <v>547639</v>
      </c>
      <c r="Q117">
        <v>0</v>
      </c>
      <c r="R117">
        <v>-21726542</v>
      </c>
      <c r="S117">
        <v>-23464665</v>
      </c>
      <c r="T117">
        <v>-41714961</v>
      </c>
      <c r="U117">
        <v>-292028</v>
      </c>
      <c r="V117">
        <v>0</v>
      </c>
      <c r="W117">
        <v>-11765529</v>
      </c>
      <c r="X117">
        <v>-98963725</v>
      </c>
      <c r="Y117" s="661">
        <v>10539203</v>
      </c>
      <c r="Z117" t="s">
        <v>1768</v>
      </c>
    </row>
    <row r="118" spans="1:26" ht="12.75" x14ac:dyDescent="0.2">
      <c r="A118" s="605">
        <v>111</v>
      </c>
      <c r="B118" s="606" t="s">
        <v>106</v>
      </c>
      <c r="C118" s="607" t="s">
        <v>1185</v>
      </c>
      <c r="D118" s="608" t="s">
        <v>1186</v>
      </c>
      <c r="E118" s="609" t="s">
        <v>105</v>
      </c>
      <c r="F118">
        <v>-3739506</v>
      </c>
      <c r="G118">
        <v>90666723</v>
      </c>
      <c r="H118">
        <v>0</v>
      </c>
      <c r="I118">
        <v>-552267</v>
      </c>
      <c r="J118">
        <v>3248096</v>
      </c>
      <c r="K118">
        <v>6626147</v>
      </c>
      <c r="L118">
        <v>99988699</v>
      </c>
      <c r="M118">
        <v>7090</v>
      </c>
      <c r="N118">
        <v>0</v>
      </c>
      <c r="O118">
        <v>986781</v>
      </c>
      <c r="P118">
        <v>993871</v>
      </c>
      <c r="Q118">
        <v>0</v>
      </c>
      <c r="R118">
        <v>-43676663</v>
      </c>
      <c r="S118">
        <v>-8735333</v>
      </c>
      <c r="T118">
        <v>-34941330</v>
      </c>
      <c r="U118">
        <v>-226844</v>
      </c>
      <c r="V118">
        <v>0</v>
      </c>
      <c r="W118">
        <v>0</v>
      </c>
      <c r="X118">
        <v>-87580170</v>
      </c>
      <c r="Y118" s="661">
        <v>9662894</v>
      </c>
      <c r="Z118" t="s">
        <v>1769</v>
      </c>
    </row>
    <row r="119" spans="1:26" ht="12.75" x14ac:dyDescent="0.2">
      <c r="A119" s="605">
        <v>112</v>
      </c>
      <c r="B119" s="606" t="s">
        <v>108</v>
      </c>
      <c r="C119" s="607" t="s">
        <v>1196</v>
      </c>
      <c r="D119" s="608" t="s">
        <v>1191</v>
      </c>
      <c r="E119" s="609" t="s">
        <v>107</v>
      </c>
      <c r="F119">
        <v>1073218.4400000013</v>
      </c>
      <c r="G119">
        <v>150537424</v>
      </c>
      <c r="H119">
        <v>0</v>
      </c>
      <c r="I119">
        <v>-4000000</v>
      </c>
      <c r="J119">
        <v>1254123</v>
      </c>
      <c r="K119">
        <v>-11898644</v>
      </c>
      <c r="L119">
        <v>135892903</v>
      </c>
      <c r="M119">
        <v>10131773</v>
      </c>
      <c r="N119">
        <v>555848</v>
      </c>
      <c r="O119">
        <v>0</v>
      </c>
      <c r="P119">
        <v>10687621</v>
      </c>
      <c r="Q119">
        <v>0</v>
      </c>
      <c r="R119">
        <v>-33445468</v>
      </c>
      <c r="S119">
        <v>-36121106</v>
      </c>
      <c r="T119">
        <v>-64215299</v>
      </c>
      <c r="U119">
        <v>-555848</v>
      </c>
      <c r="V119">
        <v>0</v>
      </c>
      <c r="W119">
        <v>-11337111</v>
      </c>
      <c r="X119">
        <v>-145674832</v>
      </c>
      <c r="Y119" s="661">
        <v>1978910.4399999976</v>
      </c>
      <c r="Z119" t="s">
        <v>1770</v>
      </c>
    </row>
    <row r="120" spans="1:26" ht="12.75" x14ac:dyDescent="0.2">
      <c r="A120" s="605">
        <v>113</v>
      </c>
      <c r="B120" s="606" t="s">
        <v>110</v>
      </c>
      <c r="C120" s="607" t="s">
        <v>524</v>
      </c>
      <c r="D120" s="608" t="s">
        <v>1187</v>
      </c>
      <c r="E120" s="609" t="s">
        <v>543</v>
      </c>
      <c r="F120">
        <v>1814043</v>
      </c>
      <c r="G120">
        <v>53461709</v>
      </c>
      <c r="H120">
        <v>-241127</v>
      </c>
      <c r="I120">
        <v>-508873</v>
      </c>
      <c r="J120">
        <v>0</v>
      </c>
      <c r="K120">
        <v>-333552</v>
      </c>
      <c r="L120">
        <v>52378157</v>
      </c>
      <c r="M120">
        <v>2093293</v>
      </c>
      <c r="N120">
        <v>0</v>
      </c>
      <c r="O120">
        <v>0</v>
      </c>
      <c r="P120">
        <v>2093293</v>
      </c>
      <c r="Q120">
        <v>-273129</v>
      </c>
      <c r="R120">
        <v>0</v>
      </c>
      <c r="S120">
        <v>-515220</v>
      </c>
      <c r="T120">
        <v>-51171930</v>
      </c>
      <c r="U120">
        <v>-156451</v>
      </c>
      <c r="V120">
        <v>0</v>
      </c>
      <c r="W120">
        <v>-1399537</v>
      </c>
      <c r="X120">
        <v>-53516267</v>
      </c>
      <c r="Y120" s="661">
        <v>2769226</v>
      </c>
      <c r="Z120" t="s">
        <v>1771</v>
      </c>
    </row>
    <row r="121" spans="1:26" ht="12.75" x14ac:dyDescent="0.2">
      <c r="A121" s="605">
        <v>114</v>
      </c>
      <c r="B121" s="606" t="s">
        <v>112</v>
      </c>
      <c r="C121" s="607" t="s">
        <v>1185</v>
      </c>
      <c r="D121" s="608" t="s">
        <v>1193</v>
      </c>
      <c r="E121" s="609" t="s">
        <v>111</v>
      </c>
      <c r="F121">
        <v>-1707909</v>
      </c>
      <c r="G121">
        <v>28763107</v>
      </c>
      <c r="H121">
        <v>-50000</v>
      </c>
      <c r="I121">
        <v>85215</v>
      </c>
      <c r="J121">
        <v>428472</v>
      </c>
      <c r="K121">
        <v>-853934</v>
      </c>
      <c r="L121">
        <v>28372860</v>
      </c>
      <c r="M121">
        <v>473731</v>
      </c>
      <c r="N121">
        <v>0</v>
      </c>
      <c r="O121">
        <v>1036763</v>
      </c>
      <c r="P121">
        <v>1510494</v>
      </c>
      <c r="Q121">
        <v>-237390</v>
      </c>
      <c r="R121">
        <v>-6965744</v>
      </c>
      <c r="S121">
        <v>-6269170</v>
      </c>
      <c r="T121">
        <v>-14628063</v>
      </c>
      <c r="U121">
        <v>-226763</v>
      </c>
      <c r="V121">
        <v>0</v>
      </c>
      <c r="W121">
        <v>0</v>
      </c>
      <c r="X121">
        <v>-28327130</v>
      </c>
      <c r="Y121" s="661">
        <v>-151685</v>
      </c>
      <c r="Z121" t="s">
        <v>1772</v>
      </c>
    </row>
    <row r="122" spans="1:26" ht="12.75" x14ac:dyDescent="0.2">
      <c r="A122" s="605">
        <v>115</v>
      </c>
      <c r="B122" s="606" t="s">
        <v>114</v>
      </c>
      <c r="C122" s="607" t="s">
        <v>1196</v>
      </c>
      <c r="D122" s="608" t="s">
        <v>1191</v>
      </c>
      <c r="E122" s="609" t="s">
        <v>113</v>
      </c>
      <c r="F122">
        <v>28436665</v>
      </c>
      <c r="G122">
        <v>259851304</v>
      </c>
      <c r="H122">
        <v>0</v>
      </c>
      <c r="I122">
        <v>-6496282</v>
      </c>
      <c r="J122">
        <v>10567635</v>
      </c>
      <c r="K122">
        <v>-27017938</v>
      </c>
      <c r="L122">
        <v>236904719</v>
      </c>
      <c r="M122">
        <v>408679</v>
      </c>
      <c r="N122">
        <v>0</v>
      </c>
      <c r="O122">
        <v>0</v>
      </c>
      <c r="P122">
        <v>408679</v>
      </c>
      <c r="Q122">
        <v>0</v>
      </c>
      <c r="R122">
        <v>-59044279</v>
      </c>
      <c r="S122">
        <v>-63767822</v>
      </c>
      <c r="T122">
        <v>-113365017</v>
      </c>
      <c r="U122">
        <v>-579972</v>
      </c>
      <c r="V122">
        <v>0</v>
      </c>
      <c r="W122">
        <v>-21327516</v>
      </c>
      <c r="X122">
        <v>-258084606</v>
      </c>
      <c r="Y122" s="661">
        <v>7665457</v>
      </c>
      <c r="Z122" t="s">
        <v>1773</v>
      </c>
    </row>
    <row r="123" spans="1:26" ht="12.75" x14ac:dyDescent="0.2">
      <c r="A123" s="605">
        <v>116</v>
      </c>
      <c r="B123" s="606" t="s">
        <v>116</v>
      </c>
      <c r="C123" s="607" t="s">
        <v>1185</v>
      </c>
      <c r="D123" s="608" t="s">
        <v>1188</v>
      </c>
      <c r="E123" s="609" t="s">
        <v>115</v>
      </c>
      <c r="F123">
        <v>863788.16999999806</v>
      </c>
      <c r="G123">
        <v>43837114</v>
      </c>
      <c r="H123">
        <v>0</v>
      </c>
      <c r="I123">
        <v>54000</v>
      </c>
      <c r="J123">
        <v>286033</v>
      </c>
      <c r="K123">
        <v>-2791493</v>
      </c>
      <c r="L123">
        <v>41385654</v>
      </c>
      <c r="M123">
        <v>704056</v>
      </c>
      <c r="N123">
        <v>0</v>
      </c>
      <c r="O123">
        <v>0</v>
      </c>
      <c r="P123">
        <v>704056</v>
      </c>
      <c r="Q123">
        <v>0</v>
      </c>
      <c r="R123">
        <v>-10796562</v>
      </c>
      <c r="S123">
        <v>-16194842</v>
      </c>
      <c r="T123">
        <v>-16194843</v>
      </c>
      <c r="U123">
        <v>0</v>
      </c>
      <c r="V123">
        <v>0</v>
      </c>
      <c r="W123">
        <v>-2198395</v>
      </c>
      <c r="X123">
        <v>-45384642</v>
      </c>
      <c r="Y123" s="661">
        <v>-2431143.8299999982</v>
      </c>
      <c r="Z123" t="s">
        <v>1774</v>
      </c>
    </row>
    <row r="124" spans="1:26" ht="12.75" x14ac:dyDescent="0.2">
      <c r="A124" s="605">
        <v>117</v>
      </c>
      <c r="B124" s="606" t="s">
        <v>118</v>
      </c>
      <c r="C124" s="607" t="s">
        <v>1190</v>
      </c>
      <c r="D124" s="608" t="s">
        <v>1191</v>
      </c>
      <c r="E124" s="609" t="s">
        <v>117</v>
      </c>
      <c r="F124">
        <v>1761216.4699999988</v>
      </c>
      <c r="G124">
        <v>76032228</v>
      </c>
      <c r="H124">
        <v>0</v>
      </c>
      <c r="I124">
        <v>-104430</v>
      </c>
      <c r="J124">
        <v>467666</v>
      </c>
      <c r="K124">
        <v>-2662362</v>
      </c>
      <c r="L124">
        <v>73733102</v>
      </c>
      <c r="M124">
        <v>1059012</v>
      </c>
      <c r="N124">
        <v>0</v>
      </c>
      <c r="O124">
        <v>2973624</v>
      </c>
      <c r="P124">
        <v>4032636</v>
      </c>
      <c r="Q124">
        <v>0</v>
      </c>
      <c r="R124">
        <v>-18121486</v>
      </c>
      <c r="S124">
        <v>-19571204</v>
      </c>
      <c r="T124">
        <v>-34793252</v>
      </c>
      <c r="U124">
        <v>-301849</v>
      </c>
      <c r="V124">
        <v>0</v>
      </c>
      <c r="W124">
        <v>0</v>
      </c>
      <c r="X124">
        <v>-72787791</v>
      </c>
      <c r="Y124" s="661">
        <v>6739163.4699999988</v>
      </c>
      <c r="Z124" t="s">
        <v>1775</v>
      </c>
    </row>
    <row r="125" spans="1:26" ht="12.75" x14ac:dyDescent="0.2">
      <c r="A125" s="605">
        <v>118</v>
      </c>
      <c r="B125" s="606" t="s">
        <v>120</v>
      </c>
      <c r="C125" s="607" t="s">
        <v>1185</v>
      </c>
      <c r="D125" s="608" t="s">
        <v>1189</v>
      </c>
      <c r="E125" s="609" t="s">
        <v>119</v>
      </c>
      <c r="F125">
        <v>-1861323</v>
      </c>
      <c r="G125">
        <v>44429549</v>
      </c>
      <c r="H125">
        <v>0</v>
      </c>
      <c r="I125">
        <v>819980</v>
      </c>
      <c r="J125">
        <v>1902400</v>
      </c>
      <c r="K125">
        <v>213950</v>
      </c>
      <c r="L125">
        <v>47365879</v>
      </c>
      <c r="M125">
        <v>0</v>
      </c>
      <c r="N125">
        <v>1175875</v>
      </c>
      <c r="O125">
        <v>0</v>
      </c>
      <c r="P125">
        <v>1175875</v>
      </c>
      <c r="Q125">
        <v>-457447</v>
      </c>
      <c r="R125">
        <v>-22971303</v>
      </c>
      <c r="S125">
        <v>-4594261</v>
      </c>
      <c r="T125">
        <v>-18377043</v>
      </c>
      <c r="U125">
        <v>-1291514</v>
      </c>
      <c r="V125">
        <v>0</v>
      </c>
      <c r="W125">
        <v>-1958092</v>
      </c>
      <c r="X125">
        <v>-49649660</v>
      </c>
      <c r="Y125" s="661">
        <v>-2969229</v>
      </c>
      <c r="Z125" t="s">
        <v>1776</v>
      </c>
    </row>
    <row r="126" spans="1:26" ht="12.75" x14ac:dyDescent="0.2">
      <c r="A126" s="605">
        <v>119</v>
      </c>
      <c r="B126" s="606" t="s">
        <v>122</v>
      </c>
      <c r="C126" s="607" t="s">
        <v>1185</v>
      </c>
      <c r="D126" s="608" t="s">
        <v>1193</v>
      </c>
      <c r="E126" s="609" t="s">
        <v>121</v>
      </c>
      <c r="F126">
        <v>-1232343</v>
      </c>
      <c r="G126">
        <v>64144712</v>
      </c>
      <c r="H126">
        <v>0</v>
      </c>
      <c r="I126">
        <v>-660000</v>
      </c>
      <c r="J126">
        <v>800000</v>
      </c>
      <c r="K126">
        <v>-3242895</v>
      </c>
      <c r="L126">
        <v>61041817</v>
      </c>
      <c r="M126">
        <v>697405</v>
      </c>
      <c r="N126">
        <v>0</v>
      </c>
      <c r="O126">
        <v>754001</v>
      </c>
      <c r="P126">
        <v>1451406</v>
      </c>
      <c r="Q126">
        <v>-411673</v>
      </c>
      <c r="R126">
        <v>-15322855</v>
      </c>
      <c r="S126">
        <v>-13790569</v>
      </c>
      <c r="T126">
        <v>-32177995</v>
      </c>
      <c r="U126">
        <v>-507682</v>
      </c>
      <c r="V126">
        <v>0</v>
      </c>
      <c r="W126">
        <v>0</v>
      </c>
      <c r="X126">
        <v>-62210774</v>
      </c>
      <c r="Y126" s="661">
        <v>-949894</v>
      </c>
      <c r="Z126" t="s">
        <v>1777</v>
      </c>
    </row>
    <row r="127" spans="1:26" ht="12.75" x14ac:dyDescent="0.2">
      <c r="A127" s="605">
        <v>120</v>
      </c>
      <c r="B127" s="606" t="s">
        <v>124</v>
      </c>
      <c r="C127" s="607" t="s">
        <v>1190</v>
      </c>
      <c r="D127" s="608" t="s">
        <v>1191</v>
      </c>
      <c r="E127" s="609" t="s">
        <v>123</v>
      </c>
      <c r="F127">
        <v>-1224094</v>
      </c>
      <c r="G127">
        <v>50795877</v>
      </c>
      <c r="H127">
        <v>-244267</v>
      </c>
      <c r="I127">
        <v>-1228775</v>
      </c>
      <c r="J127">
        <v>0</v>
      </c>
      <c r="K127">
        <v>2600000</v>
      </c>
      <c r="L127">
        <v>51922835</v>
      </c>
      <c r="M127">
        <v>569684</v>
      </c>
      <c r="N127">
        <v>0</v>
      </c>
      <c r="O127">
        <v>1170512</v>
      </c>
      <c r="P127">
        <v>1740196</v>
      </c>
      <c r="Q127">
        <v>-569684</v>
      </c>
      <c r="R127">
        <v>-12935225</v>
      </c>
      <c r="S127">
        <v>-13970043</v>
      </c>
      <c r="T127">
        <v>-24835632</v>
      </c>
      <c r="U127">
        <v>0</v>
      </c>
      <c r="V127">
        <v>0</v>
      </c>
      <c r="W127">
        <v>0</v>
      </c>
      <c r="X127">
        <v>-52310584</v>
      </c>
      <c r="Y127" s="661">
        <v>128353</v>
      </c>
      <c r="Z127" t="s">
        <v>1778</v>
      </c>
    </row>
    <row r="128" spans="1:26" ht="12.75" x14ac:dyDescent="0.2">
      <c r="A128" s="605">
        <v>121</v>
      </c>
      <c r="B128" s="606" t="s">
        <v>126</v>
      </c>
      <c r="C128" s="607" t="s">
        <v>1185</v>
      </c>
      <c r="D128" s="608" t="s">
        <v>1186</v>
      </c>
      <c r="E128" s="609" t="s">
        <v>125</v>
      </c>
      <c r="F128">
        <v>-273167</v>
      </c>
      <c r="G128">
        <v>31288963</v>
      </c>
      <c r="H128">
        <v>0</v>
      </c>
      <c r="I128">
        <v>-170002</v>
      </c>
      <c r="J128">
        <v>152552</v>
      </c>
      <c r="K128">
        <v>-124780</v>
      </c>
      <c r="L128">
        <v>31146733</v>
      </c>
      <c r="M128">
        <v>0</v>
      </c>
      <c r="N128">
        <v>0</v>
      </c>
      <c r="O128">
        <v>0</v>
      </c>
      <c r="P128">
        <v>0</v>
      </c>
      <c r="Q128">
        <v>-391019</v>
      </c>
      <c r="R128">
        <v>-15245762</v>
      </c>
      <c r="S128">
        <v>-3049152</v>
      </c>
      <c r="T128">
        <v>-12196610</v>
      </c>
      <c r="U128">
        <v>-99445</v>
      </c>
      <c r="V128">
        <v>0</v>
      </c>
      <c r="W128">
        <v>-268478</v>
      </c>
      <c r="X128">
        <v>-31250466</v>
      </c>
      <c r="Y128" s="661">
        <v>-376900</v>
      </c>
      <c r="Z128" t="s">
        <v>1779</v>
      </c>
    </row>
    <row r="129" spans="1:26" ht="12.75" x14ac:dyDescent="0.2">
      <c r="A129" s="605">
        <v>122</v>
      </c>
      <c r="B129" s="606" t="s">
        <v>128</v>
      </c>
      <c r="C129" s="607" t="s">
        <v>524</v>
      </c>
      <c r="D129" s="608" t="s">
        <v>1197</v>
      </c>
      <c r="E129" s="609" t="s">
        <v>547</v>
      </c>
      <c r="F129">
        <v>-2722963</v>
      </c>
      <c r="G129">
        <v>33456733</v>
      </c>
      <c r="H129">
        <v>0</v>
      </c>
      <c r="I129">
        <v>-395443</v>
      </c>
      <c r="J129">
        <v>1031970</v>
      </c>
      <c r="K129">
        <v>0</v>
      </c>
      <c r="L129">
        <v>34093260</v>
      </c>
      <c r="M129">
        <v>0</v>
      </c>
      <c r="N129">
        <v>0</v>
      </c>
      <c r="O129">
        <v>537375</v>
      </c>
      <c r="P129">
        <v>537375</v>
      </c>
      <c r="Q129">
        <v>-648955</v>
      </c>
      <c r="R129">
        <v>-15541673</v>
      </c>
      <c r="S129">
        <v>-310833</v>
      </c>
      <c r="T129">
        <v>-15230839</v>
      </c>
      <c r="U129">
        <v>-112331</v>
      </c>
      <c r="V129">
        <v>0</v>
      </c>
      <c r="W129">
        <v>0</v>
      </c>
      <c r="X129">
        <v>-31844631</v>
      </c>
      <c r="Y129" s="661">
        <v>63041</v>
      </c>
      <c r="Z129" t="s">
        <v>1780</v>
      </c>
    </row>
    <row r="130" spans="1:26" ht="12.75" x14ac:dyDescent="0.2">
      <c r="A130" s="605">
        <v>123</v>
      </c>
      <c r="B130" s="606" t="s">
        <v>130</v>
      </c>
      <c r="C130" s="607" t="s">
        <v>1185</v>
      </c>
      <c r="D130" s="608" t="s">
        <v>1186</v>
      </c>
      <c r="E130" s="609" t="s">
        <v>129</v>
      </c>
      <c r="F130">
        <v>-398923</v>
      </c>
      <c r="G130">
        <v>22715261</v>
      </c>
      <c r="H130">
        <v>0</v>
      </c>
      <c r="I130">
        <v>-320795</v>
      </c>
      <c r="J130">
        <v>6431</v>
      </c>
      <c r="K130">
        <v>-1263800</v>
      </c>
      <c r="L130">
        <v>21137097</v>
      </c>
      <c r="M130">
        <v>189716</v>
      </c>
      <c r="N130">
        <v>0</v>
      </c>
      <c r="O130">
        <v>0</v>
      </c>
      <c r="P130">
        <v>189716</v>
      </c>
      <c r="Q130">
        <v>-189716</v>
      </c>
      <c r="R130">
        <v>-10526305</v>
      </c>
      <c r="S130">
        <v>-2105261</v>
      </c>
      <c r="T130">
        <v>-8421044</v>
      </c>
      <c r="U130">
        <v>-10902</v>
      </c>
      <c r="V130">
        <v>0</v>
      </c>
      <c r="W130">
        <v>-70458</v>
      </c>
      <c r="X130">
        <v>-21323686</v>
      </c>
      <c r="Y130" s="661">
        <v>-395796</v>
      </c>
      <c r="Z130" t="s">
        <v>1781</v>
      </c>
    </row>
    <row r="131" spans="1:26" ht="12.75" x14ac:dyDescent="0.2">
      <c r="A131" s="605">
        <v>124</v>
      </c>
      <c r="B131" s="606" t="s">
        <v>132</v>
      </c>
      <c r="C131" s="607" t="s">
        <v>1185</v>
      </c>
      <c r="D131" s="608" t="s">
        <v>1186</v>
      </c>
      <c r="E131" s="609" t="s">
        <v>131</v>
      </c>
      <c r="F131">
        <v>-380581.00000000023</v>
      </c>
      <c r="G131">
        <v>35515093</v>
      </c>
      <c r="H131">
        <v>0</v>
      </c>
      <c r="I131">
        <v>-91766</v>
      </c>
      <c r="J131">
        <v>0</v>
      </c>
      <c r="K131">
        <v>-150224</v>
      </c>
      <c r="L131">
        <v>35273103</v>
      </c>
      <c r="M131">
        <v>0</v>
      </c>
      <c r="N131">
        <v>0</v>
      </c>
      <c r="O131">
        <v>514874</v>
      </c>
      <c r="P131">
        <v>514874</v>
      </c>
      <c r="Q131">
        <v>-576305</v>
      </c>
      <c r="R131">
        <v>-17146222</v>
      </c>
      <c r="S131">
        <v>-3429244</v>
      </c>
      <c r="T131">
        <v>-13716977</v>
      </c>
      <c r="U131">
        <v>-134514</v>
      </c>
      <c r="V131">
        <v>0</v>
      </c>
      <c r="W131">
        <v>0</v>
      </c>
      <c r="X131">
        <v>-35003262</v>
      </c>
      <c r="Y131" s="661">
        <v>404134</v>
      </c>
      <c r="Z131" t="s">
        <v>1782</v>
      </c>
    </row>
    <row r="132" spans="1:26" ht="12.75" x14ac:dyDescent="0.2">
      <c r="A132" s="605">
        <v>125</v>
      </c>
      <c r="B132" s="606" t="s">
        <v>134</v>
      </c>
      <c r="C132" s="607" t="s">
        <v>1190</v>
      </c>
      <c r="D132" s="608" t="s">
        <v>1191</v>
      </c>
      <c r="E132" s="609" t="s">
        <v>133</v>
      </c>
      <c r="F132">
        <v>-1012093.0599999996</v>
      </c>
      <c r="G132">
        <v>83703369</v>
      </c>
      <c r="H132">
        <v>0</v>
      </c>
      <c r="I132">
        <v>-614263</v>
      </c>
      <c r="J132">
        <v>1441929</v>
      </c>
      <c r="K132">
        <v>-6211824</v>
      </c>
      <c r="L132">
        <v>78319211</v>
      </c>
      <c r="M132">
        <v>0</v>
      </c>
      <c r="N132">
        <v>0</v>
      </c>
      <c r="O132">
        <v>514947</v>
      </c>
      <c r="P132">
        <v>514947</v>
      </c>
      <c r="Q132">
        <v>-836357</v>
      </c>
      <c r="R132">
        <v>0</v>
      </c>
      <c r="S132">
        <v>-41247521</v>
      </c>
      <c r="T132">
        <v>-38074634</v>
      </c>
      <c r="U132">
        <v>-271673</v>
      </c>
      <c r="V132">
        <v>0</v>
      </c>
      <c r="W132">
        <v>0</v>
      </c>
      <c r="X132">
        <v>-80430185</v>
      </c>
      <c r="Y132" s="661">
        <v>-2608120.0600000024</v>
      </c>
      <c r="Z132" t="s">
        <v>1783</v>
      </c>
    </row>
    <row r="133" spans="1:26" ht="12.75" x14ac:dyDescent="0.2">
      <c r="A133" s="605">
        <v>126</v>
      </c>
      <c r="B133" s="606" t="s">
        <v>136</v>
      </c>
      <c r="C133" s="607" t="s">
        <v>524</v>
      </c>
      <c r="D133" s="608" t="s">
        <v>1195</v>
      </c>
      <c r="E133" s="609" t="s">
        <v>576</v>
      </c>
      <c r="F133">
        <v>362391.29999999702</v>
      </c>
      <c r="G133">
        <v>47566000</v>
      </c>
      <c r="H133">
        <v>-100000</v>
      </c>
      <c r="I133">
        <v>-300000</v>
      </c>
      <c r="J133">
        <v>0</v>
      </c>
      <c r="K133">
        <v>-2000000</v>
      </c>
      <c r="L133">
        <v>45166000</v>
      </c>
      <c r="M133">
        <v>0</v>
      </c>
      <c r="N133">
        <v>0</v>
      </c>
      <c r="O133">
        <v>1876517</v>
      </c>
      <c r="P133">
        <v>1876517</v>
      </c>
      <c r="Q133">
        <v>0</v>
      </c>
      <c r="R133">
        <v>-22927080</v>
      </c>
      <c r="S133">
        <v>-458542</v>
      </c>
      <c r="T133">
        <v>-22468538</v>
      </c>
      <c r="U133">
        <v>-654000</v>
      </c>
      <c r="V133">
        <v>0</v>
      </c>
      <c r="W133">
        <v>0</v>
      </c>
      <c r="X133">
        <v>-46508160</v>
      </c>
      <c r="Y133" s="661">
        <v>896748.29999999702</v>
      </c>
      <c r="Z133" t="s">
        <v>1784</v>
      </c>
    </row>
    <row r="134" spans="1:26" ht="12.75" x14ac:dyDescent="0.2">
      <c r="A134" s="605">
        <v>127</v>
      </c>
      <c r="B134" s="606" t="s">
        <v>138</v>
      </c>
      <c r="C134" s="607" t="s">
        <v>1185</v>
      </c>
      <c r="D134" s="608" t="s">
        <v>1189</v>
      </c>
      <c r="E134" s="609" t="s">
        <v>137</v>
      </c>
      <c r="F134">
        <v>-1365284.9999999981</v>
      </c>
      <c r="G134">
        <v>48587295</v>
      </c>
      <c r="H134">
        <v>0</v>
      </c>
      <c r="I134">
        <v>-100000</v>
      </c>
      <c r="J134">
        <v>285056</v>
      </c>
      <c r="K134">
        <v>-251348</v>
      </c>
      <c r="L134">
        <v>48521003</v>
      </c>
      <c r="M134">
        <v>0</v>
      </c>
      <c r="N134">
        <v>0</v>
      </c>
      <c r="O134">
        <v>1225073</v>
      </c>
      <c r="P134">
        <v>1225073</v>
      </c>
      <c r="Q134">
        <v>-193336</v>
      </c>
      <c r="R134">
        <v>-11330172</v>
      </c>
      <c r="S134">
        <v>-18128274</v>
      </c>
      <c r="T134">
        <v>-15862240</v>
      </c>
      <c r="U134">
        <v>-147134</v>
      </c>
      <c r="V134">
        <v>0</v>
      </c>
      <c r="W134">
        <v>0</v>
      </c>
      <c r="X134">
        <v>-45661156</v>
      </c>
      <c r="Y134" s="661">
        <v>2719635</v>
      </c>
      <c r="Z134" t="s">
        <v>1785</v>
      </c>
    </row>
    <row r="135" spans="1:26" ht="12.75" x14ac:dyDescent="0.2">
      <c r="A135" s="605">
        <v>128</v>
      </c>
      <c r="B135" s="606" t="s">
        <v>140</v>
      </c>
      <c r="C135" s="607" t="s">
        <v>1185</v>
      </c>
      <c r="D135" s="608" t="s">
        <v>1188</v>
      </c>
      <c r="E135" s="609" t="s">
        <v>139</v>
      </c>
      <c r="F135">
        <v>178467</v>
      </c>
      <c r="G135">
        <v>26987771</v>
      </c>
      <c r="H135">
        <v>-568841</v>
      </c>
      <c r="I135">
        <v>421573</v>
      </c>
      <c r="J135">
        <v>481796</v>
      </c>
      <c r="K135">
        <v>-1253744</v>
      </c>
      <c r="L135">
        <v>26068555</v>
      </c>
      <c r="M135">
        <v>776461</v>
      </c>
      <c r="N135">
        <v>0</v>
      </c>
      <c r="O135">
        <v>0</v>
      </c>
      <c r="P135">
        <v>776461</v>
      </c>
      <c r="Q135">
        <v>0</v>
      </c>
      <c r="R135">
        <v>-12828484</v>
      </c>
      <c r="S135">
        <v>-2565697</v>
      </c>
      <c r="T135">
        <v>-10262788</v>
      </c>
      <c r="U135">
        <v>-133245</v>
      </c>
      <c r="V135">
        <v>0</v>
      </c>
      <c r="W135">
        <v>-258097</v>
      </c>
      <c r="X135">
        <v>-26048311</v>
      </c>
      <c r="Y135" s="661">
        <v>975172</v>
      </c>
      <c r="Z135" t="s">
        <v>1786</v>
      </c>
    </row>
    <row r="136" spans="1:26" ht="12.75" x14ac:dyDescent="0.2">
      <c r="A136" s="605">
        <v>129</v>
      </c>
      <c r="B136" s="606" t="s">
        <v>142</v>
      </c>
      <c r="C136" s="607" t="s">
        <v>1190</v>
      </c>
      <c r="D136" s="608" t="s">
        <v>1191</v>
      </c>
      <c r="E136" s="609" t="s">
        <v>141</v>
      </c>
      <c r="F136">
        <v>-2015270</v>
      </c>
      <c r="G136">
        <v>383774000</v>
      </c>
      <c r="H136">
        <v>-1974000</v>
      </c>
      <c r="I136">
        <v>-80000</v>
      </c>
      <c r="J136">
        <v>0</v>
      </c>
      <c r="K136">
        <v>310000</v>
      </c>
      <c r="L136">
        <v>382030000</v>
      </c>
      <c r="M136">
        <v>1131435</v>
      </c>
      <c r="N136">
        <v>0</v>
      </c>
      <c r="O136">
        <v>0</v>
      </c>
      <c r="P136">
        <v>1131435</v>
      </c>
      <c r="Q136">
        <v>-11227767</v>
      </c>
      <c r="R136">
        <v>-184387000</v>
      </c>
      <c r="S136">
        <v>-73755000</v>
      </c>
      <c r="T136">
        <v>-110633000</v>
      </c>
      <c r="U136">
        <v>-572000</v>
      </c>
      <c r="V136">
        <v>0</v>
      </c>
      <c r="W136">
        <v>-582367</v>
      </c>
      <c r="X136">
        <v>-381157134</v>
      </c>
      <c r="Y136" s="661">
        <v>-10969</v>
      </c>
      <c r="Z136" t="s">
        <v>1787</v>
      </c>
    </row>
    <row r="137" spans="1:26" ht="12.75" x14ac:dyDescent="0.2">
      <c r="A137" s="605">
        <v>130</v>
      </c>
      <c r="B137" s="606" t="s">
        <v>144</v>
      </c>
      <c r="C137" s="607" t="s">
        <v>1185</v>
      </c>
      <c r="D137" s="608" t="s">
        <v>1188</v>
      </c>
      <c r="E137" s="609" t="s">
        <v>143</v>
      </c>
      <c r="F137">
        <v>-81748</v>
      </c>
      <c r="G137">
        <v>33207027</v>
      </c>
      <c r="H137">
        <v>-55049</v>
      </c>
      <c r="I137">
        <v>-60514</v>
      </c>
      <c r="J137">
        <v>941311</v>
      </c>
      <c r="K137">
        <v>-1295377</v>
      </c>
      <c r="L137">
        <v>32737398</v>
      </c>
      <c r="M137">
        <v>468097</v>
      </c>
      <c r="N137">
        <v>0</v>
      </c>
      <c r="O137">
        <v>642327</v>
      </c>
      <c r="P137">
        <v>1110424</v>
      </c>
      <c r="Q137">
        <v>-468097</v>
      </c>
      <c r="R137">
        <v>-8255944</v>
      </c>
      <c r="S137">
        <v>-12383917</v>
      </c>
      <c r="T137">
        <v>-12383917</v>
      </c>
      <c r="U137">
        <v>-353819</v>
      </c>
      <c r="V137">
        <v>-10893</v>
      </c>
      <c r="W137">
        <v>0</v>
      </c>
      <c r="X137">
        <v>-33856587</v>
      </c>
      <c r="Y137" s="661">
        <v>-90513</v>
      </c>
      <c r="Z137" t="s">
        <v>1788</v>
      </c>
    </row>
    <row r="138" spans="1:26" ht="12.75" x14ac:dyDescent="0.2">
      <c r="A138" s="605">
        <v>131</v>
      </c>
      <c r="B138" s="606" t="s">
        <v>146</v>
      </c>
      <c r="C138" s="607" t="s">
        <v>1185</v>
      </c>
      <c r="D138" s="608" t="s">
        <v>1186</v>
      </c>
      <c r="E138" s="609" t="s">
        <v>145</v>
      </c>
      <c r="F138">
        <v>-2739152.4700000016</v>
      </c>
      <c r="G138">
        <v>44227125</v>
      </c>
      <c r="H138">
        <v>0</v>
      </c>
      <c r="I138">
        <v>-95845</v>
      </c>
      <c r="J138">
        <v>156423</v>
      </c>
      <c r="K138">
        <v>494173</v>
      </c>
      <c r="L138">
        <v>44781876</v>
      </c>
      <c r="M138">
        <v>355795</v>
      </c>
      <c r="N138">
        <v>184780</v>
      </c>
      <c r="O138">
        <v>34202</v>
      </c>
      <c r="P138">
        <v>574777</v>
      </c>
      <c r="Q138">
        <v>0</v>
      </c>
      <c r="R138">
        <v>-10759108</v>
      </c>
      <c r="S138">
        <v>-23670039</v>
      </c>
      <c r="T138">
        <v>-8607287</v>
      </c>
      <c r="U138">
        <v>-184780</v>
      </c>
      <c r="V138">
        <v>0</v>
      </c>
      <c r="W138">
        <v>0</v>
      </c>
      <c r="X138">
        <v>-43221214</v>
      </c>
      <c r="Y138" s="661">
        <v>-603713.46999999881</v>
      </c>
      <c r="Z138" t="s">
        <v>1789</v>
      </c>
    </row>
    <row r="139" spans="1:26" ht="12.75" x14ac:dyDescent="0.2">
      <c r="A139" s="605">
        <v>132</v>
      </c>
      <c r="B139" s="606" t="s">
        <v>148</v>
      </c>
      <c r="C139" s="607" t="s">
        <v>1190</v>
      </c>
      <c r="D139" s="608" t="s">
        <v>1191</v>
      </c>
      <c r="E139" s="609" t="s">
        <v>147</v>
      </c>
      <c r="F139">
        <v>-22697566.300000001</v>
      </c>
      <c r="G139">
        <v>204152058</v>
      </c>
      <c r="H139">
        <v>0</v>
      </c>
      <c r="I139">
        <v>-130000</v>
      </c>
      <c r="J139">
        <v>0</v>
      </c>
      <c r="K139">
        <v>-3200000</v>
      </c>
      <c r="L139">
        <v>200822058</v>
      </c>
      <c r="M139">
        <v>843248</v>
      </c>
      <c r="N139">
        <v>0</v>
      </c>
      <c r="O139">
        <v>20138503</v>
      </c>
      <c r="P139">
        <v>20981751</v>
      </c>
      <c r="Q139">
        <v>0</v>
      </c>
      <c r="R139">
        <v>-51017623</v>
      </c>
      <c r="S139">
        <v>-55099033</v>
      </c>
      <c r="T139">
        <v>-97953837</v>
      </c>
      <c r="U139">
        <v>-411597</v>
      </c>
      <c r="V139">
        <v>0</v>
      </c>
      <c r="W139">
        <v>0</v>
      </c>
      <c r="X139">
        <v>-204482090</v>
      </c>
      <c r="Y139" s="661">
        <v>-5375847.3000000119</v>
      </c>
      <c r="Z139" t="s">
        <v>1790</v>
      </c>
    </row>
    <row r="140" spans="1:26" ht="12.75" x14ac:dyDescent="0.2">
      <c r="A140" s="605">
        <v>133</v>
      </c>
      <c r="B140" s="606" t="s">
        <v>150</v>
      </c>
      <c r="C140" s="607" t="s">
        <v>1185</v>
      </c>
      <c r="D140" s="608" t="s">
        <v>1189</v>
      </c>
      <c r="E140" s="609" t="s">
        <v>149</v>
      </c>
      <c r="F140">
        <v>1025942</v>
      </c>
      <c r="G140">
        <v>63170366</v>
      </c>
      <c r="H140">
        <v>0</v>
      </c>
      <c r="I140">
        <v>-150000</v>
      </c>
      <c r="J140">
        <v>0</v>
      </c>
      <c r="K140">
        <v>-1164229</v>
      </c>
      <c r="L140">
        <v>61856137</v>
      </c>
      <c r="M140">
        <v>0</v>
      </c>
      <c r="N140">
        <v>0</v>
      </c>
      <c r="O140">
        <v>0</v>
      </c>
      <c r="P140">
        <v>0</v>
      </c>
      <c r="Q140">
        <v>-366835</v>
      </c>
      <c r="R140">
        <v>-28586742</v>
      </c>
      <c r="S140">
        <v>-5759196</v>
      </c>
      <c r="T140">
        <v>-23246015</v>
      </c>
      <c r="U140">
        <v>-2092789</v>
      </c>
      <c r="V140">
        <v>-216658</v>
      </c>
      <c r="W140">
        <v>-1587969</v>
      </c>
      <c r="X140">
        <v>-61856204</v>
      </c>
      <c r="Y140" s="661">
        <v>1025875</v>
      </c>
      <c r="Z140" t="s">
        <v>1791</v>
      </c>
    </row>
    <row r="141" spans="1:26" ht="12.75" x14ac:dyDescent="0.2">
      <c r="A141" s="605">
        <v>134</v>
      </c>
      <c r="B141" s="606" t="s">
        <v>152</v>
      </c>
      <c r="C141" s="607" t="s">
        <v>1185</v>
      </c>
      <c r="D141" s="608" t="s">
        <v>1187</v>
      </c>
      <c r="E141" s="609" t="s">
        <v>151</v>
      </c>
      <c r="F141">
        <v>830977.80000000075</v>
      </c>
      <c r="G141">
        <v>21338380</v>
      </c>
      <c r="H141">
        <v>0</v>
      </c>
      <c r="I141">
        <v>-652456</v>
      </c>
      <c r="J141">
        <v>4069</v>
      </c>
      <c r="K141">
        <v>-3965100</v>
      </c>
      <c r="L141">
        <v>16724893</v>
      </c>
      <c r="M141">
        <v>192692</v>
      </c>
      <c r="N141">
        <v>0</v>
      </c>
      <c r="O141">
        <v>0</v>
      </c>
      <c r="P141">
        <v>192692</v>
      </c>
      <c r="Q141">
        <v>-522695</v>
      </c>
      <c r="R141">
        <v>-7957201</v>
      </c>
      <c r="S141">
        <v>-1591440</v>
      </c>
      <c r="T141">
        <v>-6365761</v>
      </c>
      <c r="U141">
        <v>-121292</v>
      </c>
      <c r="V141">
        <v>0</v>
      </c>
      <c r="W141">
        <v>-455496</v>
      </c>
      <c r="X141">
        <v>-17013885</v>
      </c>
      <c r="Y141" s="661">
        <v>734677.80000000075</v>
      </c>
      <c r="Z141" t="s">
        <v>1792</v>
      </c>
    </row>
    <row r="142" spans="1:26" ht="12.75" x14ac:dyDescent="0.2">
      <c r="A142" s="605">
        <v>135</v>
      </c>
      <c r="B142" s="606" t="s">
        <v>154</v>
      </c>
      <c r="C142" s="607" t="s">
        <v>1185</v>
      </c>
      <c r="D142" s="608" t="s">
        <v>1189</v>
      </c>
      <c r="E142" s="609" t="s">
        <v>153</v>
      </c>
      <c r="F142">
        <v>-3120670</v>
      </c>
      <c r="G142">
        <v>56164486</v>
      </c>
      <c r="H142">
        <v>0</v>
      </c>
      <c r="I142">
        <v>-128730</v>
      </c>
      <c r="J142">
        <v>897742</v>
      </c>
      <c r="K142">
        <v>-3796706</v>
      </c>
      <c r="L142">
        <v>53136792</v>
      </c>
      <c r="M142">
        <v>0</v>
      </c>
      <c r="N142">
        <v>0</v>
      </c>
      <c r="O142">
        <v>1906573</v>
      </c>
      <c r="P142">
        <v>1906573</v>
      </c>
      <c r="Q142">
        <v>-575270</v>
      </c>
      <c r="R142">
        <v>-26429467</v>
      </c>
      <c r="S142">
        <v>-5315881</v>
      </c>
      <c r="T142">
        <v>-21263524</v>
      </c>
      <c r="U142">
        <v>-188841</v>
      </c>
      <c r="V142">
        <v>0</v>
      </c>
      <c r="W142">
        <v>0</v>
      </c>
      <c r="X142">
        <v>-53772983</v>
      </c>
      <c r="Y142" s="661">
        <v>-1850288</v>
      </c>
      <c r="Z142" t="s">
        <v>1793</v>
      </c>
    </row>
    <row r="143" spans="1:26" ht="12.75" x14ac:dyDescent="0.2">
      <c r="A143" s="605">
        <v>136</v>
      </c>
      <c r="B143" s="606" t="s">
        <v>156</v>
      </c>
      <c r="C143" s="607" t="s">
        <v>524</v>
      </c>
      <c r="D143" s="608" t="s">
        <v>1186</v>
      </c>
      <c r="E143" s="609" t="s">
        <v>912</v>
      </c>
      <c r="F143">
        <v>-581629.39999999851</v>
      </c>
      <c r="G143">
        <v>39585815</v>
      </c>
      <c r="H143">
        <v>0</v>
      </c>
      <c r="I143">
        <v>-387799</v>
      </c>
      <c r="J143">
        <v>289302</v>
      </c>
      <c r="K143">
        <v>-1382529</v>
      </c>
      <c r="L143">
        <v>38104789</v>
      </c>
      <c r="M143">
        <v>1062000</v>
      </c>
      <c r="N143">
        <v>0</v>
      </c>
      <c r="O143">
        <v>869312</v>
      </c>
      <c r="P143">
        <v>1931312</v>
      </c>
      <c r="Q143">
        <v>0</v>
      </c>
      <c r="R143">
        <v>-28873636</v>
      </c>
      <c r="S143">
        <v>0</v>
      </c>
      <c r="T143">
        <v>-9624545</v>
      </c>
      <c r="U143">
        <v>-547031</v>
      </c>
      <c r="V143">
        <v>-5155</v>
      </c>
      <c r="W143">
        <v>0</v>
      </c>
      <c r="X143">
        <v>-39050367</v>
      </c>
      <c r="Y143" s="661">
        <v>404104.60000000149</v>
      </c>
      <c r="Z143" t="s">
        <v>1794</v>
      </c>
    </row>
    <row r="144" spans="1:26" ht="12.75" x14ac:dyDescent="0.2">
      <c r="A144" s="605">
        <v>137</v>
      </c>
      <c r="B144" s="606" t="s">
        <v>158</v>
      </c>
      <c r="C144" s="607" t="s">
        <v>524</v>
      </c>
      <c r="D144" s="608" t="s">
        <v>1194</v>
      </c>
      <c r="E144" s="609" t="s">
        <v>913</v>
      </c>
      <c r="F144">
        <v>10077</v>
      </c>
      <c r="G144">
        <v>1459115</v>
      </c>
      <c r="H144">
        <v>0</v>
      </c>
      <c r="I144">
        <v>-3909</v>
      </c>
      <c r="J144">
        <v>62606</v>
      </c>
      <c r="K144">
        <v>-77633</v>
      </c>
      <c r="L144">
        <v>1440179</v>
      </c>
      <c r="M144">
        <v>1805</v>
      </c>
      <c r="N144">
        <v>0</v>
      </c>
      <c r="O144">
        <v>0</v>
      </c>
      <c r="P144">
        <v>1805</v>
      </c>
      <c r="Q144">
        <v>0</v>
      </c>
      <c r="R144">
        <v>-684179</v>
      </c>
      <c r="S144">
        <v>0</v>
      </c>
      <c r="T144">
        <v>-684179</v>
      </c>
      <c r="U144">
        <v>-23703</v>
      </c>
      <c r="V144">
        <v>0</v>
      </c>
      <c r="W144">
        <v>0</v>
      </c>
      <c r="X144">
        <v>-1392061</v>
      </c>
      <c r="Y144" s="661">
        <v>60000</v>
      </c>
      <c r="Z144" t="s">
        <v>1795</v>
      </c>
    </row>
    <row r="145" spans="1:26" ht="12.75" x14ac:dyDescent="0.2">
      <c r="A145" s="605">
        <v>138</v>
      </c>
      <c r="B145" s="606" t="s">
        <v>160</v>
      </c>
      <c r="C145" s="607" t="s">
        <v>1196</v>
      </c>
      <c r="D145" s="608" t="s">
        <v>1191</v>
      </c>
      <c r="E145" s="609" t="s">
        <v>159</v>
      </c>
      <c r="F145">
        <v>13414906</v>
      </c>
      <c r="G145">
        <v>291942508</v>
      </c>
      <c r="H145">
        <v>-5956688</v>
      </c>
      <c r="I145">
        <v>35000</v>
      </c>
      <c r="J145">
        <v>11839920</v>
      </c>
      <c r="K145">
        <v>-20211612</v>
      </c>
      <c r="L145">
        <v>277649128</v>
      </c>
      <c r="M145">
        <v>9184757</v>
      </c>
      <c r="N145">
        <v>0</v>
      </c>
      <c r="O145">
        <v>0</v>
      </c>
      <c r="P145">
        <v>9184757</v>
      </c>
      <c r="Q145">
        <v>0</v>
      </c>
      <c r="R145">
        <v>-70560205</v>
      </c>
      <c r="S145">
        <v>-76205021</v>
      </c>
      <c r="T145">
        <v>-135475593</v>
      </c>
      <c r="U145">
        <v>-787876</v>
      </c>
      <c r="V145">
        <v>0</v>
      </c>
      <c r="W145">
        <v>-5946962</v>
      </c>
      <c r="X145">
        <v>-288975657</v>
      </c>
      <c r="Y145" s="661">
        <v>11273134</v>
      </c>
      <c r="Z145" t="s">
        <v>1796</v>
      </c>
    </row>
    <row r="146" spans="1:26" ht="12.75" x14ac:dyDescent="0.2">
      <c r="A146" s="605">
        <v>139</v>
      </c>
      <c r="B146" s="606" t="s">
        <v>162</v>
      </c>
      <c r="C146" s="607" t="s">
        <v>1196</v>
      </c>
      <c r="D146" s="608" t="s">
        <v>1191</v>
      </c>
      <c r="E146" s="609" t="s">
        <v>161</v>
      </c>
      <c r="F146">
        <v>631288</v>
      </c>
      <c r="G146">
        <v>354022036</v>
      </c>
      <c r="H146">
        <v>0</v>
      </c>
      <c r="I146">
        <v>-1839260</v>
      </c>
      <c r="J146">
        <v>0</v>
      </c>
      <c r="K146">
        <v>-12890036</v>
      </c>
      <c r="L146">
        <v>339292740</v>
      </c>
      <c r="M146">
        <v>5651510</v>
      </c>
      <c r="N146">
        <v>0</v>
      </c>
      <c r="O146">
        <v>0</v>
      </c>
      <c r="P146">
        <v>5651510</v>
      </c>
      <c r="Q146">
        <v>0</v>
      </c>
      <c r="R146">
        <v>0</v>
      </c>
      <c r="S146">
        <v>-173428348</v>
      </c>
      <c r="T146">
        <v>-160087706</v>
      </c>
      <c r="U146">
        <v>-643432</v>
      </c>
      <c r="V146">
        <v>0</v>
      </c>
      <c r="W146">
        <v>-3401708</v>
      </c>
      <c r="X146">
        <v>-337561194</v>
      </c>
      <c r="Y146" s="661">
        <v>8014344</v>
      </c>
      <c r="Z146" t="s">
        <v>1797</v>
      </c>
    </row>
    <row r="147" spans="1:26" ht="12.75" x14ac:dyDescent="0.2">
      <c r="A147" s="605">
        <v>140</v>
      </c>
      <c r="B147" s="606" t="s">
        <v>164</v>
      </c>
      <c r="C147" s="607" t="s">
        <v>1185</v>
      </c>
      <c r="D147" s="608" t="s">
        <v>1188</v>
      </c>
      <c r="E147" s="609" t="s">
        <v>163</v>
      </c>
      <c r="F147">
        <v>596776</v>
      </c>
      <c r="G147">
        <v>33531918</v>
      </c>
      <c r="H147">
        <v>0</v>
      </c>
      <c r="I147">
        <v>-103576</v>
      </c>
      <c r="J147">
        <v>284146</v>
      </c>
      <c r="K147">
        <v>541921</v>
      </c>
      <c r="L147">
        <v>34254409</v>
      </c>
      <c r="M147">
        <v>0</v>
      </c>
      <c r="N147">
        <v>2815</v>
      </c>
      <c r="O147">
        <v>0</v>
      </c>
      <c r="P147">
        <v>2815</v>
      </c>
      <c r="Q147">
        <v>-215774</v>
      </c>
      <c r="R147">
        <v>-7998089</v>
      </c>
      <c r="S147">
        <v>-11197324</v>
      </c>
      <c r="T147">
        <v>-12796942</v>
      </c>
      <c r="U147">
        <v>-461469</v>
      </c>
      <c r="V147">
        <v>0</v>
      </c>
      <c r="W147">
        <v>-1354391</v>
      </c>
      <c r="X147">
        <v>-34023989</v>
      </c>
      <c r="Y147" s="661">
        <v>830011</v>
      </c>
      <c r="Z147" t="s">
        <v>1798</v>
      </c>
    </row>
    <row r="148" spans="1:26" ht="12.75" x14ac:dyDescent="0.2">
      <c r="A148" s="605">
        <v>141</v>
      </c>
      <c r="B148" s="606" t="s">
        <v>166</v>
      </c>
      <c r="C148" s="607" t="s">
        <v>1185</v>
      </c>
      <c r="D148" s="608" t="s">
        <v>1189</v>
      </c>
      <c r="E148" s="609" t="s">
        <v>915</v>
      </c>
      <c r="F148">
        <v>-556596</v>
      </c>
      <c r="G148">
        <v>46376161</v>
      </c>
      <c r="H148">
        <v>0</v>
      </c>
      <c r="I148">
        <v>-96481</v>
      </c>
      <c r="J148">
        <v>181084</v>
      </c>
      <c r="K148">
        <v>1845116</v>
      </c>
      <c r="L148">
        <v>48305880</v>
      </c>
      <c r="M148">
        <v>206782</v>
      </c>
      <c r="N148">
        <v>97584</v>
      </c>
      <c r="O148">
        <v>345229</v>
      </c>
      <c r="P148">
        <v>649595</v>
      </c>
      <c r="Q148">
        <v>0</v>
      </c>
      <c r="R148">
        <v>-10984195</v>
      </c>
      <c r="S148">
        <v>-14279453</v>
      </c>
      <c r="T148">
        <v>-18673131</v>
      </c>
      <c r="U148">
        <v>-2917719</v>
      </c>
      <c r="V148">
        <v>0</v>
      </c>
      <c r="W148">
        <v>0</v>
      </c>
      <c r="X148">
        <v>-46854498</v>
      </c>
      <c r="Y148" s="661">
        <v>1544381</v>
      </c>
      <c r="Z148" t="s">
        <v>1799</v>
      </c>
    </row>
    <row r="149" spans="1:26" ht="12.75" x14ac:dyDescent="0.2">
      <c r="A149" s="605">
        <v>142</v>
      </c>
      <c r="B149" s="606" t="s">
        <v>168</v>
      </c>
      <c r="C149" s="607" t="s">
        <v>524</v>
      </c>
      <c r="D149" s="608" t="s">
        <v>1193</v>
      </c>
      <c r="E149" s="609" t="s">
        <v>911</v>
      </c>
      <c r="F149">
        <v>-15160676</v>
      </c>
      <c r="G149">
        <v>91369193</v>
      </c>
      <c r="H149">
        <v>0</v>
      </c>
      <c r="I149">
        <v>-1000000</v>
      </c>
      <c r="J149">
        <v>4000000</v>
      </c>
      <c r="K149">
        <v>-8000000</v>
      </c>
      <c r="L149">
        <v>86369193</v>
      </c>
      <c r="M149">
        <v>2300000</v>
      </c>
      <c r="N149">
        <v>0</v>
      </c>
      <c r="O149">
        <v>4192507</v>
      </c>
      <c r="P149">
        <v>6492507</v>
      </c>
      <c r="Q149">
        <v>-400000</v>
      </c>
      <c r="R149">
        <v>-41983299</v>
      </c>
      <c r="S149">
        <v>-840939</v>
      </c>
      <c r="T149">
        <v>-41206019</v>
      </c>
      <c r="U149">
        <v>-4717942</v>
      </c>
      <c r="V149">
        <v>0</v>
      </c>
      <c r="W149">
        <v>0</v>
      </c>
      <c r="X149">
        <v>-89148199</v>
      </c>
      <c r="Y149" s="661">
        <v>-11447175</v>
      </c>
      <c r="Z149" t="s">
        <v>1800</v>
      </c>
    </row>
    <row r="150" spans="1:26" ht="12.75" x14ac:dyDescent="0.2">
      <c r="A150" s="605">
        <v>143</v>
      </c>
      <c r="B150" s="606" t="s">
        <v>170</v>
      </c>
      <c r="C150" s="607" t="s">
        <v>1190</v>
      </c>
      <c r="D150" s="608" t="s">
        <v>1191</v>
      </c>
      <c r="E150" s="609" t="s">
        <v>169</v>
      </c>
      <c r="F150">
        <v>3433628.0999999996</v>
      </c>
      <c r="G150">
        <v>86933000</v>
      </c>
      <c r="H150">
        <v>-392000</v>
      </c>
      <c r="I150">
        <v>-1875011</v>
      </c>
      <c r="J150">
        <v>2662285</v>
      </c>
      <c r="K150">
        <v>-3010008</v>
      </c>
      <c r="L150">
        <v>84318266</v>
      </c>
      <c r="M150">
        <v>215000</v>
      </c>
      <c r="N150">
        <v>0</v>
      </c>
      <c r="O150">
        <v>0</v>
      </c>
      <c r="P150">
        <v>215000</v>
      </c>
      <c r="Q150">
        <v>0</v>
      </c>
      <c r="R150">
        <v>-21640541</v>
      </c>
      <c r="S150">
        <v>-23371783</v>
      </c>
      <c r="T150">
        <v>-41549837</v>
      </c>
      <c r="U150">
        <v>0</v>
      </c>
      <c r="V150">
        <v>-238803</v>
      </c>
      <c r="W150">
        <v>-4239751</v>
      </c>
      <c r="X150">
        <v>-91040715</v>
      </c>
      <c r="Y150" s="661">
        <v>-3073820.900000006</v>
      </c>
      <c r="Z150" t="s">
        <v>1801</v>
      </c>
    </row>
    <row r="151" spans="1:26" ht="12.75" x14ac:dyDescent="0.2">
      <c r="A151" s="605">
        <v>144</v>
      </c>
      <c r="B151" s="606" t="s">
        <v>172</v>
      </c>
      <c r="C151" s="607" t="s">
        <v>1192</v>
      </c>
      <c r="D151" s="608" t="s">
        <v>1193</v>
      </c>
      <c r="E151" s="609" t="s">
        <v>171</v>
      </c>
      <c r="F151">
        <v>8793963.8781110048</v>
      </c>
      <c r="G151">
        <v>106532890</v>
      </c>
      <c r="H151">
        <v>-1000000</v>
      </c>
      <c r="I151">
        <v>-2000000</v>
      </c>
      <c r="J151">
        <v>1675572</v>
      </c>
      <c r="K151">
        <v>-532000</v>
      </c>
      <c r="L151">
        <v>104676462</v>
      </c>
      <c r="M151">
        <v>0</v>
      </c>
      <c r="N151">
        <v>590235</v>
      </c>
      <c r="O151">
        <v>0</v>
      </c>
      <c r="P151">
        <v>590235</v>
      </c>
      <c r="Q151">
        <v>-551076</v>
      </c>
      <c r="R151">
        <v>-25414282</v>
      </c>
      <c r="S151">
        <v>-1020647</v>
      </c>
      <c r="T151">
        <v>-75527871</v>
      </c>
      <c r="U151">
        <v>-590235</v>
      </c>
      <c r="V151">
        <v>0</v>
      </c>
      <c r="W151">
        <v>-6999000</v>
      </c>
      <c r="X151">
        <v>-110103111</v>
      </c>
      <c r="Y151" s="661">
        <v>3957549.8781110048</v>
      </c>
      <c r="Z151" t="s">
        <v>1802</v>
      </c>
    </row>
    <row r="152" spans="1:26" ht="12.75" x14ac:dyDescent="0.2">
      <c r="A152" s="605">
        <v>145</v>
      </c>
      <c r="B152" s="606" t="s">
        <v>174</v>
      </c>
      <c r="C152" s="607" t="s">
        <v>1192</v>
      </c>
      <c r="D152" s="608" t="s">
        <v>1187</v>
      </c>
      <c r="E152" s="609" t="s">
        <v>173</v>
      </c>
      <c r="F152">
        <v>787607</v>
      </c>
      <c r="G152">
        <v>46654882</v>
      </c>
      <c r="H152">
        <v>0</v>
      </c>
      <c r="I152">
        <v>0</v>
      </c>
      <c r="J152">
        <v>1543890</v>
      </c>
      <c r="K152">
        <v>2855285</v>
      </c>
      <c r="L152">
        <v>51054057</v>
      </c>
      <c r="M152">
        <v>0</v>
      </c>
      <c r="N152">
        <v>2644</v>
      </c>
      <c r="O152">
        <v>0</v>
      </c>
      <c r="P152">
        <v>2644</v>
      </c>
      <c r="Q152">
        <v>-299162</v>
      </c>
      <c r="R152">
        <v>0</v>
      </c>
      <c r="S152">
        <v>-461939</v>
      </c>
      <c r="T152">
        <v>-45732000</v>
      </c>
      <c r="U152">
        <v>-138289</v>
      </c>
      <c r="V152">
        <v>0</v>
      </c>
      <c r="W152">
        <v>-790251</v>
      </c>
      <c r="X152">
        <v>-47421641</v>
      </c>
      <c r="Y152" s="661">
        <v>4422667</v>
      </c>
      <c r="Z152" t="s">
        <v>1803</v>
      </c>
    </row>
    <row r="153" spans="1:26" ht="12.75" x14ac:dyDescent="0.2">
      <c r="A153" s="605">
        <v>146</v>
      </c>
      <c r="B153" s="606" t="s">
        <v>176</v>
      </c>
      <c r="C153" s="607" t="s">
        <v>1196</v>
      </c>
      <c r="D153" s="608" t="s">
        <v>1191</v>
      </c>
      <c r="E153" s="609" t="s">
        <v>175</v>
      </c>
      <c r="F153">
        <v>16203214</v>
      </c>
      <c r="G153">
        <v>170836126</v>
      </c>
      <c r="H153">
        <v>0</v>
      </c>
      <c r="I153">
        <v>820706</v>
      </c>
      <c r="J153">
        <v>1341987</v>
      </c>
      <c r="K153">
        <v>-1341987</v>
      </c>
      <c r="L153">
        <v>171656832</v>
      </c>
      <c r="M153">
        <v>6326891</v>
      </c>
      <c r="N153">
        <v>0</v>
      </c>
      <c r="O153">
        <v>0</v>
      </c>
      <c r="P153">
        <v>6326891</v>
      </c>
      <c r="Q153">
        <v>0</v>
      </c>
      <c r="R153">
        <v>-42000140</v>
      </c>
      <c r="S153">
        <v>-45360150</v>
      </c>
      <c r="T153">
        <v>-80640267</v>
      </c>
      <c r="U153">
        <v>-495121</v>
      </c>
      <c r="V153">
        <v>0</v>
      </c>
      <c r="W153">
        <v>-14569289</v>
      </c>
      <c r="X153">
        <v>-183064967</v>
      </c>
      <c r="Y153" s="661">
        <v>11121970</v>
      </c>
      <c r="Z153" t="s">
        <v>1804</v>
      </c>
    </row>
    <row r="154" spans="1:26" ht="12.75" x14ac:dyDescent="0.2">
      <c r="A154" s="605">
        <v>147</v>
      </c>
      <c r="B154" s="606" t="s">
        <v>178</v>
      </c>
      <c r="C154" s="607" t="s">
        <v>1185</v>
      </c>
      <c r="D154" s="608" t="s">
        <v>1187</v>
      </c>
      <c r="E154" s="609" t="s">
        <v>177</v>
      </c>
      <c r="F154">
        <v>1496854</v>
      </c>
      <c r="G154">
        <v>69082399</v>
      </c>
      <c r="H154">
        <v>-300000</v>
      </c>
      <c r="I154">
        <v>0</v>
      </c>
      <c r="J154">
        <v>0</v>
      </c>
      <c r="K154">
        <v>-3234162</v>
      </c>
      <c r="L154">
        <v>65548237</v>
      </c>
      <c r="M154">
        <v>0</v>
      </c>
      <c r="N154">
        <v>0</v>
      </c>
      <c r="O154">
        <v>0</v>
      </c>
      <c r="P154">
        <v>0</v>
      </c>
      <c r="Q154">
        <v>-32527</v>
      </c>
      <c r="R154">
        <v>-31091710</v>
      </c>
      <c r="S154">
        <v>-6218342</v>
      </c>
      <c r="T154">
        <v>-24873368</v>
      </c>
      <c r="U154">
        <v>-918926</v>
      </c>
      <c r="V154">
        <v>-212740</v>
      </c>
      <c r="W154">
        <v>-739081</v>
      </c>
      <c r="X154">
        <v>-64086694</v>
      </c>
      <c r="Y154" s="661">
        <v>2958397</v>
      </c>
      <c r="Z154" t="s">
        <v>1805</v>
      </c>
    </row>
    <row r="155" spans="1:26" ht="12.75" x14ac:dyDescent="0.2">
      <c r="A155" s="605">
        <v>148</v>
      </c>
      <c r="B155" s="606" t="s">
        <v>180</v>
      </c>
      <c r="C155" s="607" t="s">
        <v>1192</v>
      </c>
      <c r="D155" s="608" t="s">
        <v>1193</v>
      </c>
      <c r="E155" s="609" t="s">
        <v>179</v>
      </c>
      <c r="F155">
        <v>-9223540</v>
      </c>
      <c r="G155">
        <v>382539774</v>
      </c>
      <c r="H155">
        <v>0</v>
      </c>
      <c r="I155">
        <v>-2983724</v>
      </c>
      <c r="J155">
        <v>5800445</v>
      </c>
      <c r="K155">
        <v>-8310697</v>
      </c>
      <c r="L155">
        <v>377045798</v>
      </c>
      <c r="M155">
        <v>0</v>
      </c>
      <c r="N155">
        <v>279189</v>
      </c>
      <c r="O155">
        <v>3401025</v>
      </c>
      <c r="P155">
        <v>3680214</v>
      </c>
      <c r="Q155">
        <v>-4263453</v>
      </c>
      <c r="R155">
        <v>-92414744</v>
      </c>
      <c r="S155">
        <v>-3696590</v>
      </c>
      <c r="T155">
        <v>-273547642</v>
      </c>
      <c r="U155">
        <v>-3081493</v>
      </c>
      <c r="V155">
        <v>0</v>
      </c>
      <c r="W155">
        <v>0</v>
      </c>
      <c r="X155">
        <v>-377003922</v>
      </c>
      <c r="Y155" s="661">
        <v>-5501450</v>
      </c>
      <c r="Z155" t="s">
        <v>1806</v>
      </c>
    </row>
    <row r="156" spans="1:26" ht="12.75" x14ac:dyDescent="0.2">
      <c r="A156" s="605">
        <v>149</v>
      </c>
      <c r="B156" s="606" t="s">
        <v>182</v>
      </c>
      <c r="C156" s="607" t="s">
        <v>524</v>
      </c>
      <c r="D156" s="608" t="s">
        <v>1188</v>
      </c>
      <c r="E156" s="609" t="s">
        <v>591</v>
      </c>
      <c r="F156">
        <v>-8138671.5</v>
      </c>
      <c r="G156">
        <v>114131555</v>
      </c>
      <c r="H156">
        <v>0</v>
      </c>
      <c r="I156">
        <v>-2064299</v>
      </c>
      <c r="J156">
        <v>2200000</v>
      </c>
      <c r="K156">
        <v>-4514094</v>
      </c>
      <c r="L156">
        <v>109753162</v>
      </c>
      <c r="M156">
        <v>3863090</v>
      </c>
      <c r="N156">
        <v>0</v>
      </c>
      <c r="O156">
        <v>7358557</v>
      </c>
      <c r="P156">
        <v>11221647</v>
      </c>
      <c r="Q156">
        <v>-672248</v>
      </c>
      <c r="R156">
        <v>-27418738</v>
      </c>
      <c r="S156">
        <v>-1096750</v>
      </c>
      <c r="T156">
        <v>-81159467</v>
      </c>
      <c r="U156">
        <v>-482569</v>
      </c>
      <c r="V156">
        <v>0</v>
      </c>
      <c r="W156">
        <v>0</v>
      </c>
      <c r="X156">
        <v>-110829772</v>
      </c>
      <c r="Y156" s="661">
        <v>2006365.5</v>
      </c>
      <c r="Z156" t="s">
        <v>1807</v>
      </c>
    </row>
    <row r="157" spans="1:26" ht="12.75" x14ac:dyDescent="0.2">
      <c r="A157" s="605">
        <v>150</v>
      </c>
      <c r="B157" s="606" t="s">
        <v>184</v>
      </c>
      <c r="C157" s="607" t="s">
        <v>1185</v>
      </c>
      <c r="D157" s="608" t="s">
        <v>1186</v>
      </c>
      <c r="E157" s="609" t="s">
        <v>183</v>
      </c>
      <c r="F157">
        <v>105183</v>
      </c>
      <c r="G157">
        <v>26045573</v>
      </c>
      <c r="H157">
        <v>0</v>
      </c>
      <c r="I157">
        <v>296641</v>
      </c>
      <c r="J157">
        <v>0</v>
      </c>
      <c r="K157">
        <v>-1573292</v>
      </c>
      <c r="L157">
        <v>24768922</v>
      </c>
      <c r="M157">
        <v>382287</v>
      </c>
      <c r="N157">
        <v>243957</v>
      </c>
      <c r="O157">
        <v>0</v>
      </c>
      <c r="P157">
        <v>626244</v>
      </c>
      <c r="Q157">
        <v>0</v>
      </c>
      <c r="R157">
        <v>0</v>
      </c>
      <c r="S157">
        <v>-13919008</v>
      </c>
      <c r="T157">
        <v>-10936363</v>
      </c>
      <c r="U157">
        <v>-266303</v>
      </c>
      <c r="V157">
        <v>0</v>
      </c>
      <c r="W157">
        <v>-224703</v>
      </c>
      <c r="X157">
        <v>-25346377</v>
      </c>
      <c r="Y157" s="661">
        <v>153972</v>
      </c>
      <c r="Z157" t="s">
        <v>1808</v>
      </c>
    </row>
    <row r="158" spans="1:26" ht="12.75" x14ac:dyDescent="0.2">
      <c r="A158" s="605">
        <v>151</v>
      </c>
      <c r="B158" s="606" t="s">
        <v>186</v>
      </c>
      <c r="C158" s="607" t="s">
        <v>1196</v>
      </c>
      <c r="D158" s="608" t="s">
        <v>1191</v>
      </c>
      <c r="E158" s="609" t="s">
        <v>185</v>
      </c>
      <c r="F158">
        <v>-220766.80000000168</v>
      </c>
      <c r="G158">
        <v>65272641</v>
      </c>
      <c r="H158">
        <v>0</v>
      </c>
      <c r="I158">
        <v>-430737</v>
      </c>
      <c r="J158">
        <v>0</v>
      </c>
      <c r="K158">
        <v>-3150410</v>
      </c>
      <c r="L158">
        <v>61691494</v>
      </c>
      <c r="M158">
        <v>1582936</v>
      </c>
      <c r="N158">
        <v>0</v>
      </c>
      <c r="O158">
        <v>0</v>
      </c>
      <c r="P158">
        <v>1582936</v>
      </c>
      <c r="Q158">
        <v>0</v>
      </c>
      <c r="R158">
        <v>-15922757</v>
      </c>
      <c r="S158">
        <v>-17196577</v>
      </c>
      <c r="T158">
        <v>-30571693</v>
      </c>
      <c r="U158">
        <v>-299726</v>
      </c>
      <c r="V158">
        <v>0</v>
      </c>
      <c r="W158">
        <v>-1359552</v>
      </c>
      <c r="X158">
        <v>-65350305</v>
      </c>
      <c r="Y158" s="661">
        <v>-2296641.8000000045</v>
      </c>
      <c r="Z158" t="s">
        <v>1809</v>
      </c>
    </row>
    <row r="159" spans="1:26" ht="12.75" x14ac:dyDescent="0.2">
      <c r="A159" s="605">
        <v>152</v>
      </c>
      <c r="B159" s="606" t="s">
        <v>188</v>
      </c>
      <c r="C159" s="607" t="s">
        <v>1185</v>
      </c>
      <c r="D159" s="608" t="s">
        <v>1195</v>
      </c>
      <c r="E159" s="609" t="s">
        <v>187</v>
      </c>
      <c r="F159">
        <v>598806</v>
      </c>
      <c r="G159">
        <v>36303130</v>
      </c>
      <c r="H159">
        <v>0</v>
      </c>
      <c r="I159">
        <v>-625000</v>
      </c>
      <c r="J159">
        <v>0</v>
      </c>
      <c r="K159">
        <v>-400000</v>
      </c>
      <c r="L159">
        <v>35278130</v>
      </c>
      <c r="M159">
        <v>0</v>
      </c>
      <c r="N159">
        <v>0</v>
      </c>
      <c r="O159">
        <v>0</v>
      </c>
      <c r="P159">
        <v>0</v>
      </c>
      <c r="Q159">
        <v>-100000</v>
      </c>
      <c r="R159">
        <v>-8704484</v>
      </c>
      <c r="S159">
        <v>-12186278</v>
      </c>
      <c r="T159">
        <v>-13927174</v>
      </c>
      <c r="U159">
        <v>0</v>
      </c>
      <c r="V159">
        <v>-122000</v>
      </c>
      <c r="W159">
        <v>-532000</v>
      </c>
      <c r="X159">
        <v>-35571936</v>
      </c>
      <c r="Y159" s="661">
        <v>305000</v>
      </c>
      <c r="Z159" t="s">
        <v>1810</v>
      </c>
    </row>
    <row r="160" spans="1:26" ht="12.75" x14ac:dyDescent="0.2">
      <c r="A160" s="605">
        <v>153</v>
      </c>
      <c r="B160" s="606" t="s">
        <v>190</v>
      </c>
      <c r="C160" s="607" t="s">
        <v>1185</v>
      </c>
      <c r="D160" s="608" t="s">
        <v>1188</v>
      </c>
      <c r="E160" s="609" t="s">
        <v>189</v>
      </c>
      <c r="F160">
        <v>1580530.7599999979</v>
      </c>
      <c r="G160">
        <v>45368907</v>
      </c>
      <c r="H160">
        <v>0</v>
      </c>
      <c r="I160">
        <v>-250000</v>
      </c>
      <c r="J160">
        <v>55598</v>
      </c>
      <c r="K160">
        <v>-1328987</v>
      </c>
      <c r="L160">
        <v>43845518</v>
      </c>
      <c r="M160">
        <v>0</v>
      </c>
      <c r="N160">
        <v>0</v>
      </c>
      <c r="O160">
        <v>0</v>
      </c>
      <c r="P160">
        <v>0</v>
      </c>
      <c r="Q160">
        <v>-37923</v>
      </c>
      <c r="R160">
        <v>0</v>
      </c>
      <c r="S160">
        <v>-25186227</v>
      </c>
      <c r="T160">
        <v>-16790818</v>
      </c>
      <c r="U160">
        <v>-145322</v>
      </c>
      <c r="V160">
        <v>0</v>
      </c>
      <c r="W160">
        <v>-2463736</v>
      </c>
      <c r="X160">
        <v>-44624026</v>
      </c>
      <c r="Y160" s="661">
        <v>802022.75999999791</v>
      </c>
      <c r="Z160" t="s">
        <v>1811</v>
      </c>
    </row>
    <row r="161" spans="1:26" ht="12.75" x14ac:dyDescent="0.2">
      <c r="A161" s="605">
        <v>154</v>
      </c>
      <c r="B161" s="606" t="s">
        <v>192</v>
      </c>
      <c r="C161" s="607" t="s">
        <v>1192</v>
      </c>
      <c r="D161" s="608" t="s">
        <v>1187</v>
      </c>
      <c r="E161" s="609" t="s">
        <v>191</v>
      </c>
      <c r="F161">
        <v>3748357</v>
      </c>
      <c r="G161">
        <v>213792980</v>
      </c>
      <c r="H161">
        <v>0</v>
      </c>
      <c r="I161">
        <v>-5179547</v>
      </c>
      <c r="J161">
        <v>3948906</v>
      </c>
      <c r="K161">
        <v>-12202260</v>
      </c>
      <c r="L161">
        <v>200360079</v>
      </c>
      <c r="M161">
        <v>0</v>
      </c>
      <c r="N161">
        <v>0</v>
      </c>
      <c r="O161">
        <v>0</v>
      </c>
      <c r="P161">
        <v>0</v>
      </c>
      <c r="Q161">
        <v>-1043195</v>
      </c>
      <c r="R161">
        <v>0</v>
      </c>
      <c r="S161">
        <v>-1940059</v>
      </c>
      <c r="T161">
        <v>-192065842</v>
      </c>
      <c r="U161">
        <v>0</v>
      </c>
      <c r="V161">
        <v>-1210549</v>
      </c>
      <c r="W161">
        <v>-3686394</v>
      </c>
      <c r="X161">
        <v>-199946039</v>
      </c>
      <c r="Y161" s="661">
        <v>4162397</v>
      </c>
      <c r="Z161" t="s">
        <v>1812</v>
      </c>
    </row>
    <row r="162" spans="1:26" ht="12.75" x14ac:dyDescent="0.2">
      <c r="A162" s="605">
        <v>155</v>
      </c>
      <c r="B162" s="606" t="s">
        <v>194</v>
      </c>
      <c r="C162" s="607" t="s">
        <v>524</v>
      </c>
      <c r="D162" s="608" t="s">
        <v>1189</v>
      </c>
      <c r="E162" s="609" t="s">
        <v>529</v>
      </c>
      <c r="F162">
        <v>-1127656</v>
      </c>
      <c r="G162">
        <v>71149550</v>
      </c>
      <c r="H162">
        <v>0</v>
      </c>
      <c r="I162">
        <v>-1857841</v>
      </c>
      <c r="J162">
        <v>0</v>
      </c>
      <c r="K162">
        <v>-2445716</v>
      </c>
      <c r="L162">
        <v>66845993</v>
      </c>
      <c r="M162">
        <v>633100</v>
      </c>
      <c r="N162">
        <v>0</v>
      </c>
      <c r="O162">
        <v>3526478</v>
      </c>
      <c r="P162">
        <v>4159578</v>
      </c>
      <c r="Q162">
        <v>0</v>
      </c>
      <c r="R162">
        <v>-32191880</v>
      </c>
      <c r="S162">
        <v>-643838</v>
      </c>
      <c r="T162">
        <v>-31548041</v>
      </c>
      <c r="U162">
        <v>-240365</v>
      </c>
      <c r="V162">
        <v>0</v>
      </c>
      <c r="W162">
        <v>0</v>
      </c>
      <c r="X162">
        <v>-64624124</v>
      </c>
      <c r="Y162" s="661">
        <v>5253791</v>
      </c>
      <c r="Z162" t="s">
        <v>1813</v>
      </c>
    </row>
    <row r="163" spans="1:26" ht="12.75" x14ac:dyDescent="0.2">
      <c r="A163" s="605">
        <v>156</v>
      </c>
      <c r="B163" s="606" t="s">
        <v>196</v>
      </c>
      <c r="C163" s="607" t="s">
        <v>1185</v>
      </c>
      <c r="D163" s="608" t="s">
        <v>1186</v>
      </c>
      <c r="E163" s="609" t="s">
        <v>195</v>
      </c>
      <c r="F163">
        <v>-3479449</v>
      </c>
      <c r="G163">
        <v>60748445</v>
      </c>
      <c r="H163">
        <v>0</v>
      </c>
      <c r="I163">
        <v>-27818</v>
      </c>
      <c r="J163">
        <v>1021187</v>
      </c>
      <c r="K163">
        <v>596730</v>
      </c>
      <c r="L163">
        <v>62338544</v>
      </c>
      <c r="M163">
        <v>0</v>
      </c>
      <c r="N163">
        <v>0</v>
      </c>
      <c r="O163">
        <v>3019509</v>
      </c>
      <c r="P163">
        <v>3019509</v>
      </c>
      <c r="Q163">
        <v>-974898</v>
      </c>
      <c r="R163">
        <v>-27867878</v>
      </c>
      <c r="S163">
        <v>-5584576</v>
      </c>
      <c r="T163">
        <v>-22338302</v>
      </c>
      <c r="U163">
        <v>-381858</v>
      </c>
      <c r="V163">
        <v>0</v>
      </c>
      <c r="W163">
        <v>-1781442</v>
      </c>
      <c r="X163">
        <v>-58928954</v>
      </c>
      <c r="Y163" s="661">
        <v>2949650</v>
      </c>
      <c r="Z163" t="s">
        <v>1814</v>
      </c>
    </row>
    <row r="164" spans="1:26" ht="12.75" x14ac:dyDescent="0.2">
      <c r="A164" s="605">
        <v>157</v>
      </c>
      <c r="B164" s="606" t="s">
        <v>198</v>
      </c>
      <c r="C164" s="607" t="s">
        <v>1185</v>
      </c>
      <c r="D164" s="608" t="s">
        <v>1189</v>
      </c>
      <c r="E164" s="609" t="s">
        <v>197</v>
      </c>
      <c r="F164">
        <v>-1055000</v>
      </c>
      <c r="G164">
        <v>15084106</v>
      </c>
      <c r="H164">
        <v>0</v>
      </c>
      <c r="I164">
        <v>89475</v>
      </c>
      <c r="J164">
        <v>0</v>
      </c>
      <c r="K164">
        <v>-459198</v>
      </c>
      <c r="L164">
        <v>14714383</v>
      </c>
      <c r="M164">
        <v>208984</v>
      </c>
      <c r="N164">
        <v>0</v>
      </c>
      <c r="O164">
        <v>0</v>
      </c>
      <c r="P164">
        <v>208984</v>
      </c>
      <c r="Q164">
        <v>0</v>
      </c>
      <c r="R164">
        <v>-6519414</v>
      </c>
      <c r="S164">
        <v>-6519413</v>
      </c>
      <c r="T164">
        <v>-822212</v>
      </c>
      <c r="U164">
        <v>0</v>
      </c>
      <c r="V164">
        <v>0</v>
      </c>
      <c r="W164">
        <v>-354623</v>
      </c>
      <c r="X164">
        <v>-14215662</v>
      </c>
      <c r="Y164" s="661">
        <v>-347295</v>
      </c>
      <c r="Z164" t="s">
        <v>1815</v>
      </c>
    </row>
    <row r="165" spans="1:26" ht="12.75" x14ac:dyDescent="0.2">
      <c r="A165" s="605">
        <v>158</v>
      </c>
      <c r="B165" s="606" t="s">
        <v>200</v>
      </c>
      <c r="C165" s="607" t="s">
        <v>1185</v>
      </c>
      <c r="D165" s="608" t="s">
        <v>1195</v>
      </c>
      <c r="E165" s="609" t="s">
        <v>199</v>
      </c>
      <c r="F165">
        <v>2173801</v>
      </c>
      <c r="G165">
        <v>16162891</v>
      </c>
      <c r="H165">
        <v>0</v>
      </c>
      <c r="I165">
        <v>-85000</v>
      </c>
      <c r="J165">
        <v>0</v>
      </c>
      <c r="K165">
        <v>0</v>
      </c>
      <c r="L165">
        <v>16077891</v>
      </c>
      <c r="M165">
        <v>199467</v>
      </c>
      <c r="N165">
        <v>0</v>
      </c>
      <c r="O165">
        <v>0</v>
      </c>
      <c r="P165">
        <v>199467</v>
      </c>
      <c r="Q165">
        <v>0</v>
      </c>
      <c r="R165">
        <v>-3561636</v>
      </c>
      <c r="S165">
        <v>-10684906</v>
      </c>
      <c r="T165">
        <v>0</v>
      </c>
      <c r="U165">
        <v>0</v>
      </c>
      <c r="V165">
        <v>0</v>
      </c>
      <c r="W165">
        <v>-2251653</v>
      </c>
      <c r="X165">
        <v>-16498195</v>
      </c>
      <c r="Y165" s="661">
        <v>1952964</v>
      </c>
      <c r="Z165" t="s">
        <v>1816</v>
      </c>
    </row>
    <row r="166" spans="1:26" ht="12.75" x14ac:dyDescent="0.2">
      <c r="A166" s="605">
        <v>159</v>
      </c>
      <c r="B166" s="606" t="s">
        <v>202</v>
      </c>
      <c r="C166" s="607" t="s">
        <v>1192</v>
      </c>
      <c r="D166" s="608" t="s">
        <v>1187</v>
      </c>
      <c r="E166" s="609" t="s">
        <v>201</v>
      </c>
      <c r="F166">
        <v>15890967</v>
      </c>
      <c r="G166">
        <v>378673176</v>
      </c>
      <c r="H166">
        <v>0</v>
      </c>
      <c r="I166">
        <v>-11317577</v>
      </c>
      <c r="J166">
        <v>8652445</v>
      </c>
      <c r="K166">
        <v>-30315625</v>
      </c>
      <c r="L166">
        <v>345692419</v>
      </c>
      <c r="M166">
        <v>0</v>
      </c>
      <c r="N166">
        <v>0</v>
      </c>
      <c r="O166">
        <v>0</v>
      </c>
      <c r="P166">
        <v>0</v>
      </c>
      <c r="Q166">
        <v>-1380835</v>
      </c>
      <c r="R166">
        <v>0</v>
      </c>
      <c r="S166">
        <v>-3328963</v>
      </c>
      <c r="T166">
        <v>-329567382</v>
      </c>
      <c r="U166">
        <v>-576267</v>
      </c>
      <c r="V166">
        <v>-1123529</v>
      </c>
      <c r="W166">
        <v>-13404690</v>
      </c>
      <c r="X166">
        <v>-349381666</v>
      </c>
      <c r="Y166" s="661">
        <v>12201720</v>
      </c>
      <c r="Z166" t="s">
        <v>1817</v>
      </c>
    </row>
    <row r="167" spans="1:26" ht="12.75" x14ac:dyDescent="0.2">
      <c r="A167" s="605">
        <v>160</v>
      </c>
      <c r="B167" s="606" t="s">
        <v>204</v>
      </c>
      <c r="C167" s="607" t="s">
        <v>1185</v>
      </c>
      <c r="D167" s="608" t="s">
        <v>1188</v>
      </c>
      <c r="E167" s="609" t="s">
        <v>203</v>
      </c>
      <c r="F167">
        <v>-2809015</v>
      </c>
      <c r="G167">
        <v>29668492</v>
      </c>
      <c r="H167">
        <v>0</v>
      </c>
      <c r="I167">
        <v>-684765</v>
      </c>
      <c r="J167">
        <v>121656</v>
      </c>
      <c r="K167">
        <v>393547</v>
      </c>
      <c r="L167">
        <v>29498930</v>
      </c>
      <c r="M167">
        <v>199268</v>
      </c>
      <c r="N167">
        <v>5952</v>
      </c>
      <c r="O167">
        <v>2392726</v>
      </c>
      <c r="P167">
        <v>2597946</v>
      </c>
      <c r="Q167">
        <v>0</v>
      </c>
      <c r="R167">
        <v>-14040795</v>
      </c>
      <c r="S167">
        <v>-2808159</v>
      </c>
      <c r="T167">
        <v>-11232636</v>
      </c>
      <c r="U167">
        <v>-203995</v>
      </c>
      <c r="V167">
        <v>0</v>
      </c>
      <c r="W167">
        <v>0</v>
      </c>
      <c r="X167">
        <v>-28285585</v>
      </c>
      <c r="Y167" s="661">
        <v>1002276</v>
      </c>
      <c r="Z167" t="s">
        <v>1818</v>
      </c>
    </row>
    <row r="168" spans="1:26" ht="12.75" x14ac:dyDescent="0.2">
      <c r="A168" s="605">
        <v>161</v>
      </c>
      <c r="B168" s="606" t="s">
        <v>206</v>
      </c>
      <c r="C168" s="607" t="s">
        <v>524</v>
      </c>
      <c r="D168" s="608" t="s">
        <v>1186</v>
      </c>
      <c r="E168" s="609" t="s">
        <v>584</v>
      </c>
      <c r="F168">
        <v>-3948559.099999994</v>
      </c>
      <c r="G168">
        <v>98445159</v>
      </c>
      <c r="H168">
        <v>0</v>
      </c>
      <c r="I168">
        <v>-1691000</v>
      </c>
      <c r="J168">
        <v>2082269</v>
      </c>
      <c r="K168">
        <v>12800</v>
      </c>
      <c r="L168">
        <v>98849228</v>
      </c>
      <c r="M168">
        <v>0</v>
      </c>
      <c r="N168">
        <v>0</v>
      </c>
      <c r="O168">
        <v>2872927</v>
      </c>
      <c r="P168">
        <v>2872927</v>
      </c>
      <c r="Q168">
        <v>-5323740</v>
      </c>
      <c r="R168">
        <v>-44913696</v>
      </c>
      <c r="S168">
        <v>-898274</v>
      </c>
      <c r="T168">
        <v>-44015423</v>
      </c>
      <c r="U168">
        <v>0</v>
      </c>
      <c r="V168">
        <v>-49788</v>
      </c>
      <c r="W168">
        <v>0</v>
      </c>
      <c r="X168">
        <v>-95200921</v>
      </c>
      <c r="Y168" s="661">
        <v>2572674.900000006</v>
      </c>
      <c r="Z168" t="s">
        <v>1819</v>
      </c>
    </row>
    <row r="169" spans="1:26" ht="12.75" x14ac:dyDescent="0.2">
      <c r="A169" s="605">
        <v>162</v>
      </c>
      <c r="B169" s="606" t="s">
        <v>208</v>
      </c>
      <c r="C169" s="607" t="s">
        <v>1185</v>
      </c>
      <c r="D169" s="608" t="s">
        <v>1188</v>
      </c>
      <c r="E169" s="609" t="s">
        <v>207</v>
      </c>
      <c r="F169">
        <v>-441851.29999999888</v>
      </c>
      <c r="G169">
        <v>14777364</v>
      </c>
      <c r="H169">
        <v>0</v>
      </c>
      <c r="I169">
        <v>-41950</v>
      </c>
      <c r="J169">
        <v>450000</v>
      </c>
      <c r="K169">
        <v>-80441</v>
      </c>
      <c r="L169">
        <v>15104973</v>
      </c>
      <c r="M169">
        <v>275000</v>
      </c>
      <c r="N169">
        <v>2741</v>
      </c>
      <c r="O169">
        <v>117711</v>
      </c>
      <c r="P169">
        <v>395452</v>
      </c>
      <c r="Q169">
        <v>0</v>
      </c>
      <c r="R169">
        <v>-3748640</v>
      </c>
      <c r="S169">
        <v>-5622961</v>
      </c>
      <c r="T169">
        <v>-5622960</v>
      </c>
      <c r="U169">
        <v>-199448</v>
      </c>
      <c r="V169">
        <v>0</v>
      </c>
      <c r="W169">
        <v>0</v>
      </c>
      <c r="X169">
        <v>-15194009</v>
      </c>
      <c r="Y169" s="661">
        <v>-135435.29999999888</v>
      </c>
      <c r="Z169" t="s">
        <v>1820</v>
      </c>
    </row>
    <row r="170" spans="1:26" ht="12.75" x14ac:dyDescent="0.2">
      <c r="A170" s="605">
        <v>163</v>
      </c>
      <c r="B170" s="606" t="s">
        <v>210</v>
      </c>
      <c r="C170" s="607" t="s">
        <v>1185</v>
      </c>
      <c r="D170" s="608" t="s">
        <v>1194</v>
      </c>
      <c r="E170" s="609" t="s">
        <v>209</v>
      </c>
      <c r="F170">
        <v>-1973402.9500000016</v>
      </c>
      <c r="G170">
        <v>35708613</v>
      </c>
      <c r="H170">
        <v>0</v>
      </c>
      <c r="I170">
        <v>-245868</v>
      </c>
      <c r="J170">
        <v>215043</v>
      </c>
      <c r="K170">
        <v>-406574</v>
      </c>
      <c r="L170">
        <v>35271214</v>
      </c>
      <c r="M170">
        <v>453684</v>
      </c>
      <c r="N170">
        <v>0</v>
      </c>
      <c r="O170">
        <v>2265898</v>
      </c>
      <c r="P170">
        <v>2719582</v>
      </c>
      <c r="Q170">
        <v>0</v>
      </c>
      <c r="R170">
        <v>-8870332</v>
      </c>
      <c r="S170">
        <v>-10999211</v>
      </c>
      <c r="T170">
        <v>-15611784</v>
      </c>
      <c r="U170">
        <v>-280228</v>
      </c>
      <c r="V170">
        <v>0</v>
      </c>
      <c r="W170">
        <v>0</v>
      </c>
      <c r="X170">
        <v>-35761555</v>
      </c>
      <c r="Y170" s="661">
        <v>255838.04999999702</v>
      </c>
      <c r="Z170" t="s">
        <v>1821</v>
      </c>
    </row>
    <row r="171" spans="1:26" ht="12.75" x14ac:dyDescent="0.2">
      <c r="A171" s="605">
        <v>164</v>
      </c>
      <c r="B171" s="606" t="s">
        <v>212</v>
      </c>
      <c r="C171" s="607" t="s">
        <v>1190</v>
      </c>
      <c r="D171" s="608" t="s">
        <v>1191</v>
      </c>
      <c r="E171" s="609" t="s">
        <v>211</v>
      </c>
      <c r="F171">
        <v>-3559784</v>
      </c>
      <c r="G171">
        <v>90000962</v>
      </c>
      <c r="H171">
        <v>0</v>
      </c>
      <c r="I171">
        <v>-76739</v>
      </c>
      <c r="J171">
        <v>1852369</v>
      </c>
      <c r="K171">
        <v>-6625949</v>
      </c>
      <c r="L171">
        <v>85150643</v>
      </c>
      <c r="M171">
        <v>0</v>
      </c>
      <c r="N171">
        <v>0</v>
      </c>
      <c r="O171">
        <v>4530951</v>
      </c>
      <c r="P171">
        <v>4530951</v>
      </c>
      <c r="Q171">
        <v>-568613</v>
      </c>
      <c r="R171">
        <v>-22015144</v>
      </c>
      <c r="S171">
        <v>-23776356</v>
      </c>
      <c r="T171">
        <v>-42269076</v>
      </c>
      <c r="U171">
        <v>-310923</v>
      </c>
      <c r="V171">
        <v>0</v>
      </c>
      <c r="W171">
        <v>0</v>
      </c>
      <c r="X171">
        <v>-88940112</v>
      </c>
      <c r="Y171" s="661">
        <v>-2818302</v>
      </c>
      <c r="Z171" t="s">
        <v>1822</v>
      </c>
    </row>
    <row r="172" spans="1:26" ht="12.75" x14ac:dyDescent="0.2">
      <c r="A172" s="605">
        <v>165</v>
      </c>
      <c r="B172" s="606" t="s">
        <v>214</v>
      </c>
      <c r="C172" s="607" t="s">
        <v>1185</v>
      </c>
      <c r="D172" s="608" t="s">
        <v>1194</v>
      </c>
      <c r="E172" s="609" t="s">
        <v>213</v>
      </c>
      <c r="F172">
        <v>-1769224</v>
      </c>
      <c r="G172">
        <v>15848100</v>
      </c>
      <c r="H172">
        <v>0</v>
      </c>
      <c r="I172">
        <v>-30000</v>
      </c>
      <c r="J172">
        <v>100000</v>
      </c>
      <c r="K172">
        <v>-100000</v>
      </c>
      <c r="L172">
        <v>15818100</v>
      </c>
      <c r="M172">
        <v>248481</v>
      </c>
      <c r="N172">
        <v>0</v>
      </c>
      <c r="O172">
        <v>1947266</v>
      </c>
      <c r="P172">
        <v>2195747</v>
      </c>
      <c r="Q172">
        <v>-9729</v>
      </c>
      <c r="R172">
        <v>-7749870</v>
      </c>
      <c r="S172">
        <v>-1549973</v>
      </c>
      <c r="T172">
        <v>-6199895</v>
      </c>
      <c r="U172">
        <v>-235149</v>
      </c>
      <c r="V172">
        <v>-20487</v>
      </c>
      <c r="W172">
        <v>0</v>
      </c>
      <c r="X172">
        <v>-15765103</v>
      </c>
      <c r="Y172" s="661">
        <v>479520</v>
      </c>
      <c r="Z172" t="s">
        <v>1823</v>
      </c>
    </row>
    <row r="173" spans="1:26" ht="12.75" x14ac:dyDescent="0.2">
      <c r="A173" s="605">
        <v>166</v>
      </c>
      <c r="B173" s="606" t="s">
        <v>216</v>
      </c>
      <c r="C173" s="607" t="s">
        <v>1185</v>
      </c>
      <c r="D173" s="608" t="s">
        <v>1189</v>
      </c>
      <c r="E173" s="609" t="s">
        <v>215</v>
      </c>
      <c r="F173">
        <v>-1186147.6999999993</v>
      </c>
      <c r="G173">
        <v>24047903</v>
      </c>
      <c r="H173">
        <v>0</v>
      </c>
      <c r="I173">
        <v>-182000</v>
      </c>
      <c r="J173">
        <v>135553</v>
      </c>
      <c r="K173">
        <v>-1354710</v>
      </c>
      <c r="L173">
        <v>22646746</v>
      </c>
      <c r="M173">
        <v>159053</v>
      </c>
      <c r="N173">
        <v>0</v>
      </c>
      <c r="O173">
        <v>1361158</v>
      </c>
      <c r="P173">
        <v>1520211</v>
      </c>
      <c r="Q173">
        <v>0</v>
      </c>
      <c r="R173">
        <v>-11202557</v>
      </c>
      <c r="S173">
        <v>-2240511</v>
      </c>
      <c r="T173">
        <v>-8962045</v>
      </c>
      <c r="U173">
        <v>-451058</v>
      </c>
      <c r="V173">
        <v>0</v>
      </c>
      <c r="W173">
        <v>0</v>
      </c>
      <c r="X173">
        <v>-22856171</v>
      </c>
      <c r="Y173" s="661">
        <v>124638.30000000075</v>
      </c>
      <c r="Z173" t="s">
        <v>1824</v>
      </c>
    </row>
    <row r="174" spans="1:26" ht="12.75" x14ac:dyDescent="0.2">
      <c r="A174" s="605">
        <v>167</v>
      </c>
      <c r="B174" s="606" t="s">
        <v>218</v>
      </c>
      <c r="C174" s="607" t="s">
        <v>1185</v>
      </c>
      <c r="D174" s="608" t="s">
        <v>1186</v>
      </c>
      <c r="E174" s="609" t="s">
        <v>217</v>
      </c>
      <c r="F174">
        <v>-1072963.4400000032</v>
      </c>
      <c r="G174">
        <v>47381156</v>
      </c>
      <c r="H174">
        <v>0</v>
      </c>
      <c r="I174">
        <v>-202510</v>
      </c>
      <c r="J174">
        <v>1131386</v>
      </c>
      <c r="K174">
        <v>-2576812</v>
      </c>
      <c r="L174">
        <v>45733220</v>
      </c>
      <c r="M174">
        <v>501911</v>
      </c>
      <c r="N174">
        <v>0</v>
      </c>
      <c r="O174">
        <v>0</v>
      </c>
      <c r="P174">
        <v>501911</v>
      </c>
      <c r="Q174">
        <v>0</v>
      </c>
      <c r="R174">
        <v>-11148066</v>
      </c>
      <c r="S174">
        <v>-24525744</v>
      </c>
      <c r="T174">
        <v>-8918452</v>
      </c>
      <c r="U174">
        <v>-172026</v>
      </c>
      <c r="V174">
        <v>0</v>
      </c>
      <c r="W174">
        <v>-1115570</v>
      </c>
      <c r="X174">
        <v>-45879858</v>
      </c>
      <c r="Y174" s="661">
        <v>-717690.44000000507</v>
      </c>
      <c r="Z174" t="s">
        <v>1825</v>
      </c>
    </row>
    <row r="175" spans="1:26" ht="12.75" x14ac:dyDescent="0.2">
      <c r="A175" s="605">
        <v>168</v>
      </c>
      <c r="B175" s="606" t="s">
        <v>220</v>
      </c>
      <c r="C175" s="607" t="s">
        <v>524</v>
      </c>
      <c r="D175" s="608" t="s">
        <v>1197</v>
      </c>
      <c r="E175" s="609" t="s">
        <v>549</v>
      </c>
      <c r="F175">
        <v>358835.10000000149</v>
      </c>
      <c r="G175">
        <v>36720728</v>
      </c>
      <c r="H175">
        <v>-1478</v>
      </c>
      <c r="I175">
        <v>-1416898</v>
      </c>
      <c r="J175">
        <v>899071</v>
      </c>
      <c r="K175">
        <v>-899071</v>
      </c>
      <c r="L175">
        <v>35302352</v>
      </c>
      <c r="M175">
        <v>2677941</v>
      </c>
      <c r="N175">
        <v>0</v>
      </c>
      <c r="O175">
        <v>490527</v>
      </c>
      <c r="P175">
        <v>3168468</v>
      </c>
      <c r="Q175">
        <v>-2677941</v>
      </c>
      <c r="R175">
        <v>-17807291</v>
      </c>
      <c r="S175">
        <v>-356146</v>
      </c>
      <c r="T175">
        <v>-17451146</v>
      </c>
      <c r="U175">
        <v>-301283</v>
      </c>
      <c r="V175">
        <v>-14048</v>
      </c>
      <c r="W175">
        <v>0</v>
      </c>
      <c r="X175">
        <v>-38607855</v>
      </c>
      <c r="Y175" s="661">
        <v>221800.10000000149</v>
      </c>
      <c r="Z175" t="s">
        <v>1826</v>
      </c>
    </row>
    <row r="176" spans="1:26" ht="12.75" x14ac:dyDescent="0.2">
      <c r="A176" s="605">
        <v>169</v>
      </c>
      <c r="B176" s="606" t="s">
        <v>222</v>
      </c>
      <c r="C176" s="607" t="s">
        <v>524</v>
      </c>
      <c r="D176" s="608" t="s">
        <v>1186</v>
      </c>
      <c r="E176" s="609" t="s">
        <v>537</v>
      </c>
      <c r="F176">
        <v>4722071</v>
      </c>
      <c r="G176">
        <v>183033343</v>
      </c>
      <c r="H176">
        <v>-1000000</v>
      </c>
      <c r="I176">
        <v>0</v>
      </c>
      <c r="J176">
        <v>6000000</v>
      </c>
      <c r="K176">
        <v>-27000000</v>
      </c>
      <c r="L176">
        <v>161033343</v>
      </c>
      <c r="M176">
        <v>0</v>
      </c>
      <c r="N176">
        <v>0</v>
      </c>
      <c r="O176">
        <v>0</v>
      </c>
      <c r="P176">
        <v>0</v>
      </c>
      <c r="Q176">
        <v>-886000</v>
      </c>
      <c r="R176">
        <v>-76548446</v>
      </c>
      <c r="S176">
        <v>-1530969</v>
      </c>
      <c r="T176">
        <v>-75017477</v>
      </c>
      <c r="U176">
        <v>-641871</v>
      </c>
      <c r="V176">
        <v>0</v>
      </c>
      <c r="W176">
        <v>-478090</v>
      </c>
      <c r="X176">
        <v>-155102853</v>
      </c>
      <c r="Y176" s="661">
        <v>10652561</v>
      </c>
      <c r="Z176" t="s">
        <v>1827</v>
      </c>
    </row>
    <row r="177" spans="1:26" ht="12.75" x14ac:dyDescent="0.2">
      <c r="A177" s="605">
        <v>170</v>
      </c>
      <c r="B177" s="606" t="s">
        <v>224</v>
      </c>
      <c r="C177" s="607" t="s">
        <v>1185</v>
      </c>
      <c r="D177" s="608" t="s">
        <v>1186</v>
      </c>
      <c r="E177" s="609" t="s">
        <v>223</v>
      </c>
      <c r="F177">
        <v>-1373894</v>
      </c>
      <c r="G177">
        <v>42484306</v>
      </c>
      <c r="H177">
        <v>0</v>
      </c>
      <c r="I177">
        <v>-140973</v>
      </c>
      <c r="J177">
        <v>62185</v>
      </c>
      <c r="K177">
        <v>-126386</v>
      </c>
      <c r="L177">
        <v>42279132</v>
      </c>
      <c r="M177">
        <v>545961</v>
      </c>
      <c r="N177">
        <v>0</v>
      </c>
      <c r="O177">
        <v>3308399</v>
      </c>
      <c r="P177">
        <v>3854360</v>
      </c>
      <c r="Q177">
        <v>0</v>
      </c>
      <c r="R177">
        <v>0</v>
      </c>
      <c r="S177">
        <v>-25966635</v>
      </c>
      <c r="T177">
        <v>-17311090</v>
      </c>
      <c r="U177">
        <v>-151158</v>
      </c>
      <c r="V177">
        <v>0</v>
      </c>
      <c r="W177">
        <v>0</v>
      </c>
      <c r="X177">
        <v>-43428883</v>
      </c>
      <c r="Y177" s="661">
        <v>1330715</v>
      </c>
      <c r="Z177" t="s">
        <v>1828</v>
      </c>
    </row>
    <row r="178" spans="1:26" ht="12.75" x14ac:dyDescent="0.2">
      <c r="A178" s="605">
        <v>171</v>
      </c>
      <c r="B178" s="606" t="s">
        <v>226</v>
      </c>
      <c r="C178" s="607" t="s">
        <v>1185</v>
      </c>
      <c r="D178" s="608" t="s">
        <v>1186</v>
      </c>
      <c r="E178" s="609" t="s">
        <v>225</v>
      </c>
      <c r="F178">
        <v>387479.20000000298</v>
      </c>
      <c r="G178">
        <v>69758813</v>
      </c>
      <c r="H178">
        <v>-59000</v>
      </c>
      <c r="I178">
        <v>-334000</v>
      </c>
      <c r="J178">
        <v>2009000</v>
      </c>
      <c r="K178">
        <v>-2952000</v>
      </c>
      <c r="L178">
        <v>68422813</v>
      </c>
      <c r="M178">
        <v>627974</v>
      </c>
      <c r="N178">
        <v>0</v>
      </c>
      <c r="O178">
        <v>0</v>
      </c>
      <c r="P178">
        <v>627974</v>
      </c>
      <c r="Q178">
        <v>-312563</v>
      </c>
      <c r="R178">
        <v>-33097296</v>
      </c>
      <c r="S178">
        <v>-6619459</v>
      </c>
      <c r="T178">
        <v>-26477836</v>
      </c>
      <c r="U178">
        <v>-286349</v>
      </c>
      <c r="V178">
        <v>0</v>
      </c>
      <c r="W178">
        <v>-415270</v>
      </c>
      <c r="X178">
        <v>-67208773</v>
      </c>
      <c r="Y178" s="661">
        <v>2229493.200000003</v>
      </c>
      <c r="Z178" t="s">
        <v>1829</v>
      </c>
    </row>
    <row r="179" spans="1:26" ht="12.75" x14ac:dyDescent="0.2">
      <c r="A179" s="605">
        <v>172</v>
      </c>
      <c r="B179" s="606" t="s">
        <v>228</v>
      </c>
      <c r="C179" s="607" t="s">
        <v>1185</v>
      </c>
      <c r="D179" s="608" t="s">
        <v>1188</v>
      </c>
      <c r="E179" s="609" t="s">
        <v>227</v>
      </c>
      <c r="F179">
        <v>1651579</v>
      </c>
      <c r="G179">
        <v>43885401</v>
      </c>
      <c r="H179">
        <v>0</v>
      </c>
      <c r="I179">
        <v>-250000</v>
      </c>
      <c r="J179">
        <v>418039</v>
      </c>
      <c r="K179">
        <v>-233540</v>
      </c>
      <c r="L179">
        <v>43819900</v>
      </c>
      <c r="M179">
        <v>862084</v>
      </c>
      <c r="N179">
        <v>0</v>
      </c>
      <c r="O179">
        <v>0</v>
      </c>
      <c r="P179">
        <v>862084</v>
      </c>
      <c r="Q179">
        <v>-17690</v>
      </c>
      <c r="R179">
        <v>-20640100</v>
      </c>
      <c r="S179">
        <v>-4128020</v>
      </c>
      <c r="T179">
        <v>-16512080</v>
      </c>
      <c r="U179">
        <v>-865980</v>
      </c>
      <c r="V179">
        <v>-6170</v>
      </c>
      <c r="W179">
        <v>-1875969</v>
      </c>
      <c r="X179">
        <v>-44046009</v>
      </c>
      <c r="Y179" s="661">
        <v>2287554</v>
      </c>
      <c r="Z179" t="s">
        <v>1830</v>
      </c>
    </row>
    <row r="180" spans="1:26" ht="12.75" x14ac:dyDescent="0.2">
      <c r="A180" s="605">
        <v>173</v>
      </c>
      <c r="B180" s="606" t="s">
        <v>229</v>
      </c>
      <c r="C180" s="607" t="s">
        <v>1192</v>
      </c>
      <c r="D180" s="608" t="s">
        <v>1197</v>
      </c>
      <c r="E180" s="609" t="s">
        <v>860</v>
      </c>
      <c r="F180">
        <v>-5184458</v>
      </c>
      <c r="G180">
        <v>153283415</v>
      </c>
      <c r="H180">
        <v>0</v>
      </c>
      <c r="I180">
        <v>-1111023</v>
      </c>
      <c r="J180">
        <v>2636229</v>
      </c>
      <c r="K180">
        <v>-7937993</v>
      </c>
      <c r="L180">
        <v>146870628</v>
      </c>
      <c r="M180">
        <v>0</v>
      </c>
      <c r="N180">
        <v>0</v>
      </c>
      <c r="O180">
        <v>2900686</v>
      </c>
      <c r="P180">
        <v>2900686</v>
      </c>
      <c r="Q180">
        <v>-4691751</v>
      </c>
      <c r="R180">
        <v>-33732718</v>
      </c>
      <c r="S180">
        <v>-1349309</v>
      </c>
      <c r="T180">
        <v>-99848845</v>
      </c>
      <c r="U180">
        <v>-2663651</v>
      </c>
      <c r="V180">
        <v>-231780</v>
      </c>
      <c r="W180">
        <v>0</v>
      </c>
      <c r="X180">
        <v>-142518054</v>
      </c>
      <c r="Y180" s="661">
        <v>2068802</v>
      </c>
      <c r="Z180" t="s">
        <v>1831</v>
      </c>
    </row>
    <row r="181" spans="1:26" ht="12.75" x14ac:dyDescent="0.2">
      <c r="A181" s="605">
        <v>174</v>
      </c>
      <c r="B181" s="606" t="s">
        <v>231</v>
      </c>
      <c r="C181" s="607" t="s">
        <v>1185</v>
      </c>
      <c r="D181" s="608" t="s">
        <v>1195</v>
      </c>
      <c r="E181" s="609" t="s">
        <v>230</v>
      </c>
      <c r="F181">
        <v>-179716.69999999925</v>
      </c>
      <c r="G181">
        <v>34044704</v>
      </c>
      <c r="H181">
        <v>-500000</v>
      </c>
      <c r="I181">
        <v>0</v>
      </c>
      <c r="J181">
        <v>0</v>
      </c>
      <c r="K181">
        <v>0</v>
      </c>
      <c r="L181">
        <v>33544704</v>
      </c>
      <c r="M181">
        <v>34962</v>
      </c>
      <c r="N181">
        <v>0</v>
      </c>
      <c r="O181">
        <v>716568</v>
      </c>
      <c r="P181">
        <v>751530</v>
      </c>
      <c r="Q181">
        <v>0</v>
      </c>
      <c r="R181">
        <v>-7448508</v>
      </c>
      <c r="S181">
        <v>-10427911</v>
      </c>
      <c r="T181">
        <v>-11917613</v>
      </c>
      <c r="U181">
        <v>0</v>
      </c>
      <c r="V181">
        <v>0</v>
      </c>
      <c r="W181">
        <v>0</v>
      </c>
      <c r="X181">
        <v>-29794032</v>
      </c>
      <c r="Y181" s="661">
        <v>4322485.299999997</v>
      </c>
      <c r="Z181" t="s">
        <v>1832</v>
      </c>
    </row>
    <row r="182" spans="1:26" ht="12.75" x14ac:dyDescent="0.2">
      <c r="A182" s="605">
        <v>175</v>
      </c>
      <c r="B182" s="606" t="s">
        <v>233</v>
      </c>
      <c r="C182" s="607" t="s">
        <v>1190</v>
      </c>
      <c r="D182" s="608" t="s">
        <v>1191</v>
      </c>
      <c r="E182" s="609" t="s">
        <v>232</v>
      </c>
      <c r="F182">
        <v>-3565526.5999999996</v>
      </c>
      <c r="G182">
        <v>168943372</v>
      </c>
      <c r="H182">
        <v>0</v>
      </c>
      <c r="I182">
        <v>75635</v>
      </c>
      <c r="J182">
        <v>0</v>
      </c>
      <c r="K182">
        <v>-9298249</v>
      </c>
      <c r="L182">
        <v>159720758</v>
      </c>
      <c r="M182">
        <v>72154</v>
      </c>
      <c r="N182">
        <v>0</v>
      </c>
      <c r="O182">
        <v>2767779</v>
      </c>
      <c r="P182">
        <v>2839933</v>
      </c>
      <c r="Q182">
        <v>0</v>
      </c>
      <c r="R182">
        <v>-35517807</v>
      </c>
      <c r="S182">
        <v>-38359232</v>
      </c>
      <c r="T182">
        <v>-68194189</v>
      </c>
      <c r="U182">
        <v>-1807960</v>
      </c>
      <c r="V182">
        <v>0</v>
      </c>
      <c r="W182">
        <v>0</v>
      </c>
      <c r="X182">
        <v>-143879188</v>
      </c>
      <c r="Y182" s="661">
        <v>15115976.400000006</v>
      </c>
      <c r="Z182" t="s">
        <v>1833</v>
      </c>
    </row>
    <row r="183" spans="1:26" ht="12.75" x14ac:dyDescent="0.2">
      <c r="A183" s="605">
        <v>176</v>
      </c>
      <c r="B183" s="606" t="s">
        <v>235</v>
      </c>
      <c r="C183" s="607" t="s">
        <v>1185</v>
      </c>
      <c r="D183" s="608" t="s">
        <v>1194</v>
      </c>
      <c r="E183" s="609" t="s">
        <v>234</v>
      </c>
      <c r="F183">
        <v>-883307</v>
      </c>
      <c r="G183">
        <v>32561237</v>
      </c>
      <c r="H183">
        <v>0</v>
      </c>
      <c r="I183">
        <v>-394335</v>
      </c>
      <c r="J183">
        <v>510276</v>
      </c>
      <c r="K183">
        <v>-434730</v>
      </c>
      <c r="L183">
        <v>32242448</v>
      </c>
      <c r="M183">
        <v>0</v>
      </c>
      <c r="N183">
        <v>137563</v>
      </c>
      <c r="O183">
        <v>711500</v>
      </c>
      <c r="P183">
        <v>849063</v>
      </c>
      <c r="Q183">
        <v>-398436</v>
      </c>
      <c r="R183">
        <v>-15538792</v>
      </c>
      <c r="S183">
        <v>-3107759</v>
      </c>
      <c r="T183">
        <v>-12431034</v>
      </c>
      <c r="U183">
        <v>-590043</v>
      </c>
      <c r="V183">
        <v>0</v>
      </c>
      <c r="W183">
        <v>0</v>
      </c>
      <c r="X183">
        <v>-32066064</v>
      </c>
      <c r="Y183" s="661">
        <v>142140</v>
      </c>
      <c r="Z183" t="s">
        <v>1834</v>
      </c>
    </row>
    <row r="184" spans="1:26" ht="12.75" x14ac:dyDescent="0.2">
      <c r="A184" s="605">
        <v>177</v>
      </c>
      <c r="B184" s="606" t="s">
        <v>237</v>
      </c>
      <c r="C184" s="607" t="s">
        <v>1185</v>
      </c>
      <c r="D184" s="608" t="s">
        <v>1188</v>
      </c>
      <c r="E184" s="609" t="s">
        <v>236</v>
      </c>
      <c r="F184">
        <v>-1087916</v>
      </c>
      <c r="G184">
        <v>17823903</v>
      </c>
      <c r="H184">
        <v>0</v>
      </c>
      <c r="I184">
        <v>0</v>
      </c>
      <c r="J184">
        <v>58264</v>
      </c>
      <c r="K184">
        <v>-243730</v>
      </c>
      <c r="L184">
        <v>17638437</v>
      </c>
      <c r="M184">
        <v>398909</v>
      </c>
      <c r="N184">
        <v>0</v>
      </c>
      <c r="O184">
        <v>1747670</v>
      </c>
      <c r="P184">
        <v>2146579</v>
      </c>
      <c r="Q184">
        <v>0</v>
      </c>
      <c r="R184">
        <v>-8596856</v>
      </c>
      <c r="S184">
        <v>-1719371</v>
      </c>
      <c r="T184">
        <v>-6877485</v>
      </c>
      <c r="U184">
        <v>-102265</v>
      </c>
      <c r="V184">
        <v>0</v>
      </c>
      <c r="W184">
        <v>0</v>
      </c>
      <c r="X184">
        <v>-17295977</v>
      </c>
      <c r="Y184" s="661">
        <v>1401123</v>
      </c>
      <c r="Z184" t="s">
        <v>1835</v>
      </c>
    </row>
    <row r="185" spans="1:26" ht="12.75" x14ac:dyDescent="0.2">
      <c r="A185" s="605">
        <v>178</v>
      </c>
      <c r="B185" s="606" t="s">
        <v>239</v>
      </c>
      <c r="C185" s="607" t="s">
        <v>524</v>
      </c>
      <c r="D185" s="608" t="s">
        <v>1193</v>
      </c>
      <c r="E185" s="609" t="s">
        <v>582</v>
      </c>
      <c r="F185">
        <v>-1536500</v>
      </c>
      <c r="G185">
        <v>64465780</v>
      </c>
      <c r="H185">
        <v>0</v>
      </c>
      <c r="I185">
        <v>0</v>
      </c>
      <c r="J185">
        <v>614812</v>
      </c>
      <c r="K185">
        <v>-2749412</v>
      </c>
      <c r="L185">
        <v>62331180</v>
      </c>
      <c r="M185">
        <v>0</v>
      </c>
      <c r="N185">
        <v>0</v>
      </c>
      <c r="O185">
        <v>2617035</v>
      </c>
      <c r="P185">
        <v>2617035</v>
      </c>
      <c r="Q185">
        <v>-2554470</v>
      </c>
      <c r="R185">
        <v>-29410212</v>
      </c>
      <c r="S185">
        <v>-591730</v>
      </c>
      <c r="T185">
        <v>-28994747</v>
      </c>
      <c r="U185">
        <v>-533317</v>
      </c>
      <c r="V185">
        <v>0</v>
      </c>
      <c r="W185">
        <v>0</v>
      </c>
      <c r="X185">
        <v>-62084476</v>
      </c>
      <c r="Y185" s="661">
        <v>1327239</v>
      </c>
      <c r="Z185" t="s">
        <v>1836</v>
      </c>
    </row>
    <row r="186" spans="1:26" ht="12.75" x14ac:dyDescent="0.2">
      <c r="A186" s="605">
        <v>179</v>
      </c>
      <c r="B186" s="606" t="s">
        <v>241</v>
      </c>
      <c r="C186" s="607" t="s">
        <v>1185</v>
      </c>
      <c r="D186" s="608" t="s">
        <v>1189</v>
      </c>
      <c r="E186" s="609" t="s">
        <v>240</v>
      </c>
      <c r="F186">
        <v>-1509336</v>
      </c>
      <c r="G186">
        <v>38601829</v>
      </c>
      <c r="H186">
        <v>-368484</v>
      </c>
      <c r="I186">
        <v>-8554</v>
      </c>
      <c r="J186">
        <v>344346</v>
      </c>
      <c r="K186">
        <v>158708</v>
      </c>
      <c r="L186">
        <v>38727845</v>
      </c>
      <c r="M186">
        <v>188253</v>
      </c>
      <c r="N186">
        <v>0</v>
      </c>
      <c r="O186">
        <v>144147</v>
      </c>
      <c r="P186">
        <v>332400</v>
      </c>
      <c r="Q186">
        <v>-395925</v>
      </c>
      <c r="R186">
        <v>-9397818</v>
      </c>
      <c r="S186">
        <v>-15036509</v>
      </c>
      <c r="T186">
        <v>-13156945</v>
      </c>
      <c r="U186">
        <v>-208505</v>
      </c>
      <c r="V186">
        <v>0</v>
      </c>
      <c r="W186">
        <v>0</v>
      </c>
      <c r="X186">
        <v>-38195702</v>
      </c>
      <c r="Y186" s="661">
        <v>-644793</v>
      </c>
      <c r="Z186" t="s">
        <v>1837</v>
      </c>
    </row>
    <row r="187" spans="1:26" ht="12.75" x14ac:dyDescent="0.2">
      <c r="A187" s="605">
        <v>180</v>
      </c>
      <c r="B187" s="606" t="s">
        <v>243</v>
      </c>
      <c r="C187" s="607" t="s">
        <v>1185</v>
      </c>
      <c r="D187" s="608" t="s">
        <v>1188</v>
      </c>
      <c r="E187" s="609" t="s">
        <v>242</v>
      </c>
      <c r="F187">
        <v>3229630</v>
      </c>
      <c r="G187">
        <v>28830823</v>
      </c>
      <c r="H187">
        <v>0</v>
      </c>
      <c r="I187">
        <v>-150000</v>
      </c>
      <c r="J187">
        <v>8000</v>
      </c>
      <c r="K187">
        <v>-170000</v>
      </c>
      <c r="L187">
        <v>28518823</v>
      </c>
      <c r="M187">
        <v>75394</v>
      </c>
      <c r="N187">
        <v>7599</v>
      </c>
      <c r="O187">
        <v>0</v>
      </c>
      <c r="P187">
        <v>82993</v>
      </c>
      <c r="Q187">
        <v>-536771</v>
      </c>
      <c r="R187">
        <v>-13252206</v>
      </c>
      <c r="S187">
        <v>-2650441</v>
      </c>
      <c r="T187">
        <v>-10601765</v>
      </c>
      <c r="U187">
        <v>-1807493</v>
      </c>
      <c r="V187">
        <v>0</v>
      </c>
      <c r="W187">
        <v>-2386609</v>
      </c>
      <c r="X187">
        <v>-31235285</v>
      </c>
      <c r="Y187" s="661">
        <v>596161</v>
      </c>
      <c r="Z187" t="s">
        <v>1838</v>
      </c>
    </row>
    <row r="188" spans="1:26" ht="12.75" x14ac:dyDescent="0.2">
      <c r="A188" s="605">
        <v>181</v>
      </c>
      <c r="B188" s="606" t="s">
        <v>245</v>
      </c>
      <c r="C188" s="607" t="s">
        <v>524</v>
      </c>
      <c r="D188" s="608" t="s">
        <v>1193</v>
      </c>
      <c r="E188" s="609" t="s">
        <v>583</v>
      </c>
      <c r="F188">
        <v>5082326.5</v>
      </c>
      <c r="G188">
        <v>87604045</v>
      </c>
      <c r="H188">
        <v>-388551</v>
      </c>
      <c r="I188">
        <v>-914800</v>
      </c>
      <c r="J188">
        <v>3207186</v>
      </c>
      <c r="K188">
        <v>-7401186</v>
      </c>
      <c r="L188">
        <v>82106694</v>
      </c>
      <c r="M188">
        <v>0</v>
      </c>
      <c r="N188">
        <v>0</v>
      </c>
      <c r="O188">
        <v>0</v>
      </c>
      <c r="P188">
        <v>0</v>
      </c>
      <c r="Q188">
        <v>-3333784</v>
      </c>
      <c r="R188">
        <v>-38090293</v>
      </c>
      <c r="S188">
        <v>-761806</v>
      </c>
      <c r="T188">
        <v>-37328487</v>
      </c>
      <c r="U188">
        <v>-4090931</v>
      </c>
      <c r="V188">
        <v>-236445</v>
      </c>
      <c r="W188">
        <v>-1634224</v>
      </c>
      <c r="X188">
        <v>-85475970</v>
      </c>
      <c r="Y188" s="661">
        <v>1713050.5</v>
      </c>
      <c r="Z188" t="s">
        <v>1839</v>
      </c>
    </row>
    <row r="189" spans="1:26" ht="12.75" x14ac:dyDescent="0.2">
      <c r="A189" s="605">
        <v>182</v>
      </c>
      <c r="B189" s="606" t="s">
        <v>247</v>
      </c>
      <c r="C189" s="607" t="s">
        <v>1185</v>
      </c>
      <c r="D189" s="608" t="s">
        <v>1189</v>
      </c>
      <c r="E189" s="609" t="s">
        <v>246</v>
      </c>
      <c r="F189">
        <v>473682</v>
      </c>
      <c r="G189">
        <v>26013490</v>
      </c>
      <c r="H189">
        <v>0</v>
      </c>
      <c r="I189">
        <v>-104876</v>
      </c>
      <c r="J189">
        <v>713360</v>
      </c>
      <c r="K189">
        <v>1960557</v>
      </c>
      <c r="L189">
        <v>28582531</v>
      </c>
      <c r="M189">
        <v>1361402</v>
      </c>
      <c r="N189">
        <v>459536</v>
      </c>
      <c r="O189">
        <v>0</v>
      </c>
      <c r="P189">
        <v>1820938</v>
      </c>
      <c r="Q189">
        <v>-20218</v>
      </c>
      <c r="R189">
        <v>-6137175</v>
      </c>
      <c r="S189">
        <v>-8332466</v>
      </c>
      <c r="T189">
        <v>-10896302</v>
      </c>
      <c r="U189">
        <v>-497677</v>
      </c>
      <c r="V189">
        <v>0</v>
      </c>
      <c r="W189">
        <v>-1103753</v>
      </c>
      <c r="X189">
        <v>-26987591</v>
      </c>
      <c r="Y189" s="661">
        <v>3889560</v>
      </c>
      <c r="Z189" t="s">
        <v>1840</v>
      </c>
    </row>
    <row r="190" spans="1:26" ht="12.75" x14ac:dyDescent="0.2">
      <c r="A190" s="605">
        <v>183</v>
      </c>
      <c r="B190" s="606" t="s">
        <v>249</v>
      </c>
      <c r="C190" s="607" t="s">
        <v>524</v>
      </c>
      <c r="D190" s="608" t="s">
        <v>1194</v>
      </c>
      <c r="E190" s="609" t="s">
        <v>528</v>
      </c>
      <c r="F190">
        <v>-1413144.200000003</v>
      </c>
      <c r="G190">
        <v>63497918</v>
      </c>
      <c r="H190">
        <v>0</v>
      </c>
      <c r="I190">
        <v>-599393</v>
      </c>
      <c r="J190">
        <v>658413</v>
      </c>
      <c r="K190">
        <v>-2567355</v>
      </c>
      <c r="L190">
        <v>60989583</v>
      </c>
      <c r="M190">
        <v>0</v>
      </c>
      <c r="N190">
        <v>520635</v>
      </c>
      <c r="O190">
        <v>757302</v>
      </c>
      <c r="P190">
        <v>1277937</v>
      </c>
      <c r="Q190">
        <v>-399830</v>
      </c>
      <c r="R190">
        <v>-28746336</v>
      </c>
      <c r="S190">
        <v>-574967</v>
      </c>
      <c r="T190">
        <v>-28173369</v>
      </c>
      <c r="U190">
        <v>-1670337</v>
      </c>
      <c r="V190">
        <v>0</v>
      </c>
      <c r="W190">
        <v>0</v>
      </c>
      <c r="X190">
        <v>-59564839</v>
      </c>
      <c r="Y190" s="661">
        <v>1289536.799999997</v>
      </c>
      <c r="Z190" t="s">
        <v>1841</v>
      </c>
    </row>
    <row r="191" spans="1:26" ht="12.75" x14ac:dyDescent="0.2">
      <c r="A191" s="605">
        <v>184</v>
      </c>
      <c r="B191" s="606" t="s">
        <v>251</v>
      </c>
      <c r="C191" s="607" t="s">
        <v>1192</v>
      </c>
      <c r="D191" s="608" t="s">
        <v>1197</v>
      </c>
      <c r="E191" s="609" t="s">
        <v>250</v>
      </c>
      <c r="F191">
        <v>-1736657</v>
      </c>
      <c r="G191">
        <v>60199815</v>
      </c>
      <c r="H191">
        <v>0</v>
      </c>
      <c r="I191">
        <v>-961260</v>
      </c>
      <c r="J191">
        <v>48311</v>
      </c>
      <c r="K191">
        <v>-730579</v>
      </c>
      <c r="L191">
        <v>58556287</v>
      </c>
      <c r="M191">
        <v>0</v>
      </c>
      <c r="N191">
        <v>0</v>
      </c>
      <c r="O191">
        <v>492241</v>
      </c>
      <c r="P191">
        <v>492241</v>
      </c>
      <c r="Q191">
        <v>-397724</v>
      </c>
      <c r="R191">
        <v>-14467171</v>
      </c>
      <c r="S191">
        <v>-578687</v>
      </c>
      <c r="T191">
        <v>-42822825</v>
      </c>
      <c r="U191">
        <v>-148612</v>
      </c>
      <c r="V191">
        <v>-233915</v>
      </c>
      <c r="W191">
        <v>0</v>
      </c>
      <c r="X191">
        <v>-58648934</v>
      </c>
      <c r="Y191" s="661">
        <v>-1337063</v>
      </c>
      <c r="Z191" t="s">
        <v>1842</v>
      </c>
    </row>
    <row r="192" spans="1:26" ht="12.75" x14ac:dyDescent="0.2">
      <c r="A192" s="605">
        <v>185</v>
      </c>
      <c r="B192" s="606" t="s">
        <v>253</v>
      </c>
      <c r="C192" s="607" t="s">
        <v>1185</v>
      </c>
      <c r="D192" s="608" t="s">
        <v>1195</v>
      </c>
      <c r="E192" s="609" t="s">
        <v>252</v>
      </c>
      <c r="F192">
        <v>9548542</v>
      </c>
      <c r="G192">
        <v>53460028</v>
      </c>
      <c r="H192">
        <v>0</v>
      </c>
      <c r="I192">
        <v>-200000</v>
      </c>
      <c r="J192">
        <v>0</v>
      </c>
      <c r="K192">
        <v>-4776301</v>
      </c>
      <c r="L192">
        <v>48483727</v>
      </c>
      <c r="M192">
        <v>21276</v>
      </c>
      <c r="N192">
        <v>0</v>
      </c>
      <c r="O192">
        <v>0</v>
      </c>
      <c r="P192">
        <v>21276</v>
      </c>
      <c r="Q192">
        <v>-21276</v>
      </c>
      <c r="R192">
        <v>-24546972</v>
      </c>
      <c r="S192">
        <v>-4909394</v>
      </c>
      <c r="T192">
        <v>-19637578</v>
      </c>
      <c r="U192">
        <v>-109554</v>
      </c>
      <c r="V192">
        <v>0</v>
      </c>
      <c r="W192">
        <v>-3020502</v>
      </c>
      <c r="X192">
        <v>-52245276</v>
      </c>
      <c r="Y192" s="661">
        <v>5808269</v>
      </c>
      <c r="Z192" t="s">
        <v>1843</v>
      </c>
    </row>
    <row r="193" spans="1:26" ht="12.75" x14ac:dyDescent="0.2">
      <c r="A193" s="605">
        <v>186</v>
      </c>
      <c r="B193" s="606" t="s">
        <v>259</v>
      </c>
      <c r="C193" s="607" t="s">
        <v>1185</v>
      </c>
      <c r="D193" s="608" t="s">
        <v>1188</v>
      </c>
      <c r="E193" s="609" t="s">
        <v>258</v>
      </c>
      <c r="F193">
        <v>-771936.21000000276</v>
      </c>
      <c r="G193">
        <v>61775323</v>
      </c>
      <c r="H193">
        <v>0</v>
      </c>
      <c r="I193">
        <v>28209</v>
      </c>
      <c r="J193">
        <v>1526795</v>
      </c>
      <c r="K193">
        <v>-272535</v>
      </c>
      <c r="L193">
        <v>63057792</v>
      </c>
      <c r="M193">
        <v>318365</v>
      </c>
      <c r="N193">
        <v>6736</v>
      </c>
      <c r="O193">
        <v>365720</v>
      </c>
      <c r="P193">
        <v>690821</v>
      </c>
      <c r="Q193">
        <v>0</v>
      </c>
      <c r="R193">
        <v>-15931307</v>
      </c>
      <c r="S193">
        <v>-23896961</v>
      </c>
      <c r="T193">
        <v>-23896961</v>
      </c>
      <c r="U193">
        <v>-323813</v>
      </c>
      <c r="V193">
        <v>0</v>
      </c>
      <c r="W193">
        <v>0</v>
      </c>
      <c r="X193">
        <v>-64049042</v>
      </c>
      <c r="Y193" s="661">
        <v>-1072365.2100000009</v>
      </c>
      <c r="Z193" t="s">
        <v>1844</v>
      </c>
    </row>
    <row r="194" spans="1:26" ht="12.75" x14ac:dyDescent="0.2">
      <c r="A194" s="605">
        <v>187</v>
      </c>
      <c r="B194" s="606" t="s">
        <v>261</v>
      </c>
      <c r="C194" s="607" t="s">
        <v>1185</v>
      </c>
      <c r="D194" s="608" t="s">
        <v>1188</v>
      </c>
      <c r="E194" s="609" t="s">
        <v>260</v>
      </c>
      <c r="F194">
        <v>1641659</v>
      </c>
      <c r="G194">
        <v>104622845</v>
      </c>
      <c r="H194">
        <v>-1250000</v>
      </c>
      <c r="I194">
        <v>1384564</v>
      </c>
      <c r="J194">
        <v>415641</v>
      </c>
      <c r="K194">
        <v>-3406476</v>
      </c>
      <c r="L194">
        <v>101766574</v>
      </c>
      <c r="M194">
        <v>0</v>
      </c>
      <c r="N194">
        <v>0</v>
      </c>
      <c r="O194">
        <v>0</v>
      </c>
      <c r="P194">
        <v>0</v>
      </c>
      <c r="Q194">
        <v>-842695</v>
      </c>
      <c r="R194">
        <v>-25305764</v>
      </c>
      <c r="S194">
        <v>-35428070</v>
      </c>
      <c r="T194">
        <v>-40489222</v>
      </c>
      <c r="U194">
        <v>-787594</v>
      </c>
      <c r="V194">
        <v>-284137</v>
      </c>
      <c r="W194">
        <v>-284528</v>
      </c>
      <c r="X194">
        <v>-103422010</v>
      </c>
      <c r="Y194" s="661">
        <v>-13777</v>
      </c>
      <c r="Z194" t="s">
        <v>1845</v>
      </c>
    </row>
    <row r="195" spans="1:26" ht="12.75" x14ac:dyDescent="0.2">
      <c r="A195" s="605">
        <v>188</v>
      </c>
      <c r="B195" s="606" t="s">
        <v>263</v>
      </c>
      <c r="C195" s="607" t="s">
        <v>524</v>
      </c>
      <c r="D195" s="608" t="s">
        <v>1197</v>
      </c>
      <c r="E195" s="609" t="s">
        <v>262</v>
      </c>
      <c r="F195">
        <v>-4281302.299999997</v>
      </c>
      <c r="G195">
        <v>84962775</v>
      </c>
      <c r="H195">
        <v>0</v>
      </c>
      <c r="I195">
        <v>-500000</v>
      </c>
      <c r="J195">
        <v>193743</v>
      </c>
      <c r="K195">
        <v>-3500000</v>
      </c>
      <c r="L195">
        <v>81156518</v>
      </c>
      <c r="M195">
        <v>1785270</v>
      </c>
      <c r="N195">
        <v>72044</v>
      </c>
      <c r="O195">
        <v>2692727</v>
      </c>
      <c r="P195">
        <v>4550041</v>
      </c>
      <c r="Q195">
        <v>0</v>
      </c>
      <c r="R195">
        <v>-19177050</v>
      </c>
      <c r="S195">
        <v>0</v>
      </c>
      <c r="T195">
        <v>-57819735</v>
      </c>
      <c r="U195">
        <v>-3693488</v>
      </c>
      <c r="V195">
        <v>-505067</v>
      </c>
      <c r="W195">
        <v>0</v>
      </c>
      <c r="X195">
        <v>-81195340</v>
      </c>
      <c r="Y195" s="661">
        <v>229916.70000000298</v>
      </c>
      <c r="Z195" t="s">
        <v>1846</v>
      </c>
    </row>
    <row r="196" spans="1:26" ht="12.75" x14ac:dyDescent="0.2">
      <c r="A196" s="605">
        <v>189</v>
      </c>
      <c r="B196" s="606" t="s">
        <v>265</v>
      </c>
      <c r="C196" s="607" t="s">
        <v>1185</v>
      </c>
      <c r="D196" s="608" t="s">
        <v>1189</v>
      </c>
      <c r="E196" s="609" t="s">
        <v>264</v>
      </c>
      <c r="F196">
        <v>1917295</v>
      </c>
      <c r="G196">
        <v>77673871</v>
      </c>
      <c r="H196">
        <v>0</v>
      </c>
      <c r="I196">
        <v>-769699</v>
      </c>
      <c r="J196">
        <v>913306</v>
      </c>
      <c r="K196">
        <v>-1353100</v>
      </c>
      <c r="L196">
        <v>76464378</v>
      </c>
      <c r="M196">
        <v>0</v>
      </c>
      <c r="N196">
        <v>0</v>
      </c>
      <c r="O196">
        <v>0</v>
      </c>
      <c r="P196">
        <v>0</v>
      </c>
      <c r="Q196">
        <v>-652614</v>
      </c>
      <c r="R196">
        <v>-18693229</v>
      </c>
      <c r="S196">
        <v>-24301197</v>
      </c>
      <c r="T196">
        <v>-31778489</v>
      </c>
      <c r="U196">
        <v>-272701</v>
      </c>
      <c r="V196">
        <v>0</v>
      </c>
      <c r="W196">
        <v>-620158</v>
      </c>
      <c r="X196">
        <v>-76318388</v>
      </c>
      <c r="Y196" s="661">
        <v>2063285</v>
      </c>
      <c r="Z196" t="s">
        <v>1847</v>
      </c>
    </row>
    <row r="197" spans="1:26" ht="12.75" x14ac:dyDescent="0.2">
      <c r="A197" s="605">
        <v>190</v>
      </c>
      <c r="B197" s="606" t="s">
        <v>267</v>
      </c>
      <c r="C197" s="607" t="s">
        <v>524</v>
      </c>
      <c r="D197" s="608" t="s">
        <v>1188</v>
      </c>
      <c r="E197" s="609" t="s">
        <v>601</v>
      </c>
      <c r="F197">
        <v>5900353</v>
      </c>
      <c r="G197">
        <v>139833970</v>
      </c>
      <c r="H197">
        <v>0</v>
      </c>
      <c r="I197">
        <v>-1500000</v>
      </c>
      <c r="J197">
        <v>2000000</v>
      </c>
      <c r="K197">
        <v>-2095498</v>
      </c>
      <c r="L197">
        <v>138238472</v>
      </c>
      <c r="M197">
        <v>2389740</v>
      </c>
      <c r="N197">
        <v>0</v>
      </c>
      <c r="O197">
        <v>0</v>
      </c>
      <c r="P197">
        <v>2389740</v>
      </c>
      <c r="Q197">
        <v>0</v>
      </c>
      <c r="R197">
        <v>-68381473</v>
      </c>
      <c r="S197">
        <v>-1367629</v>
      </c>
      <c r="T197">
        <v>-67013844</v>
      </c>
      <c r="U197">
        <v>-490365</v>
      </c>
      <c r="V197">
        <v>0</v>
      </c>
      <c r="W197">
        <v>-3923608</v>
      </c>
      <c r="X197">
        <v>-141176919</v>
      </c>
      <c r="Y197" s="661">
        <v>5351646</v>
      </c>
      <c r="Z197" t="s">
        <v>1848</v>
      </c>
    </row>
    <row r="198" spans="1:26" ht="12.75" x14ac:dyDescent="0.2">
      <c r="A198" s="605">
        <v>191</v>
      </c>
      <c r="B198" s="606" t="s">
        <v>269</v>
      </c>
      <c r="C198" s="607" t="s">
        <v>1185</v>
      </c>
      <c r="D198" s="608" t="s">
        <v>1195</v>
      </c>
      <c r="E198" s="609" t="s">
        <v>268</v>
      </c>
      <c r="F198">
        <v>1415426</v>
      </c>
      <c r="G198">
        <v>36056224</v>
      </c>
      <c r="H198">
        <v>-64992</v>
      </c>
      <c r="I198">
        <v>-285008</v>
      </c>
      <c r="J198">
        <v>0</v>
      </c>
      <c r="K198">
        <v>-1770961</v>
      </c>
      <c r="L198">
        <v>33935263</v>
      </c>
      <c r="M198">
        <v>0</v>
      </c>
      <c r="N198">
        <v>0</v>
      </c>
      <c r="O198">
        <v>0</v>
      </c>
      <c r="P198">
        <v>0</v>
      </c>
      <c r="Q198">
        <v>-125553</v>
      </c>
      <c r="R198">
        <v>-17176511</v>
      </c>
      <c r="S198">
        <v>-3435302</v>
      </c>
      <c r="T198">
        <v>-13741209</v>
      </c>
      <c r="U198">
        <v>-130540</v>
      </c>
      <c r="V198">
        <v>0</v>
      </c>
      <c r="W198">
        <v>-440839</v>
      </c>
      <c r="X198">
        <v>-35049954</v>
      </c>
      <c r="Y198" s="661">
        <v>300735</v>
      </c>
      <c r="Z198" t="s">
        <v>1849</v>
      </c>
    </row>
    <row r="199" spans="1:26" ht="12.75" x14ac:dyDescent="0.2">
      <c r="A199" s="605">
        <v>192</v>
      </c>
      <c r="B199" s="606" t="s">
        <v>271</v>
      </c>
      <c r="C199" s="607" t="s">
        <v>1185</v>
      </c>
      <c r="D199" s="608" t="s">
        <v>1188</v>
      </c>
      <c r="E199" s="609" t="s">
        <v>270</v>
      </c>
      <c r="F199">
        <v>-546676</v>
      </c>
      <c r="G199">
        <v>12778653</v>
      </c>
      <c r="H199">
        <v>0</v>
      </c>
      <c r="I199">
        <v>0</v>
      </c>
      <c r="J199">
        <v>0</v>
      </c>
      <c r="K199">
        <v>-485000</v>
      </c>
      <c r="L199">
        <v>12293653</v>
      </c>
      <c r="M199">
        <v>196581</v>
      </c>
      <c r="N199">
        <v>0</v>
      </c>
      <c r="O199">
        <v>249779</v>
      </c>
      <c r="P199">
        <v>446360</v>
      </c>
      <c r="Q199">
        <v>-44271</v>
      </c>
      <c r="R199">
        <v>-3060540</v>
      </c>
      <c r="S199">
        <v>-4468390</v>
      </c>
      <c r="T199">
        <v>-4590812</v>
      </c>
      <c r="U199">
        <v>-63820</v>
      </c>
      <c r="V199">
        <v>0</v>
      </c>
      <c r="W199">
        <v>0</v>
      </c>
      <c r="X199">
        <v>-12227833</v>
      </c>
      <c r="Y199" s="661">
        <v>-34496</v>
      </c>
      <c r="Z199" t="s">
        <v>1850</v>
      </c>
    </row>
    <row r="200" spans="1:26" ht="12.75" x14ac:dyDescent="0.2">
      <c r="A200" s="605">
        <v>193</v>
      </c>
      <c r="B200" s="606" t="s">
        <v>273</v>
      </c>
      <c r="C200" s="607" t="s">
        <v>1192</v>
      </c>
      <c r="D200" s="608" t="s">
        <v>1187</v>
      </c>
      <c r="E200" s="609" t="s">
        <v>272</v>
      </c>
      <c r="F200">
        <v>1167263</v>
      </c>
      <c r="G200">
        <v>56068444</v>
      </c>
      <c r="H200">
        <v>0</v>
      </c>
      <c r="I200">
        <v>-832166</v>
      </c>
      <c r="J200">
        <v>311119</v>
      </c>
      <c r="K200">
        <v>0</v>
      </c>
      <c r="L200">
        <v>55547397</v>
      </c>
      <c r="M200">
        <v>0</v>
      </c>
      <c r="N200">
        <v>0</v>
      </c>
      <c r="O200">
        <v>0</v>
      </c>
      <c r="P200">
        <v>0</v>
      </c>
      <c r="Q200">
        <v>-1043205</v>
      </c>
      <c r="R200">
        <v>0</v>
      </c>
      <c r="S200">
        <v>-542504</v>
      </c>
      <c r="T200">
        <v>-53707847</v>
      </c>
      <c r="U200">
        <v>-299915</v>
      </c>
      <c r="V200">
        <v>0</v>
      </c>
      <c r="W200">
        <v>-60693</v>
      </c>
      <c r="X200">
        <v>-55654164</v>
      </c>
      <c r="Y200" s="661">
        <v>1060496</v>
      </c>
      <c r="Z200" t="s">
        <v>1851</v>
      </c>
    </row>
    <row r="201" spans="1:26" ht="12.75" x14ac:dyDescent="0.2">
      <c r="A201" s="605">
        <v>194</v>
      </c>
      <c r="B201" s="606" t="s">
        <v>275</v>
      </c>
      <c r="C201" s="607" t="s">
        <v>1185</v>
      </c>
      <c r="D201" s="608" t="s">
        <v>1186</v>
      </c>
      <c r="E201" s="609" t="s">
        <v>274</v>
      </c>
      <c r="F201">
        <v>2434360</v>
      </c>
      <c r="G201">
        <v>105700400</v>
      </c>
      <c r="H201">
        <v>-750000</v>
      </c>
      <c r="I201">
        <v>-51468</v>
      </c>
      <c r="J201">
        <v>2360448</v>
      </c>
      <c r="K201">
        <v>-2756035</v>
      </c>
      <c r="L201">
        <v>104503345</v>
      </c>
      <c r="M201">
        <v>0</v>
      </c>
      <c r="N201">
        <v>0</v>
      </c>
      <c r="O201">
        <v>0</v>
      </c>
      <c r="P201">
        <v>0</v>
      </c>
      <c r="Q201">
        <v>-957974</v>
      </c>
      <c r="R201">
        <v>-52117997</v>
      </c>
      <c r="S201">
        <v>-10423599</v>
      </c>
      <c r="T201">
        <v>-41694397</v>
      </c>
      <c r="U201">
        <v>-240048</v>
      </c>
      <c r="V201">
        <v>-8155</v>
      </c>
      <c r="W201">
        <v>-1569709</v>
      </c>
      <c r="X201">
        <v>-107011879</v>
      </c>
      <c r="Y201" s="661">
        <v>-74174</v>
      </c>
      <c r="Z201" t="s">
        <v>1852</v>
      </c>
    </row>
    <row r="202" spans="1:26" ht="12.75" x14ac:dyDescent="0.2">
      <c r="A202" s="605">
        <v>195</v>
      </c>
      <c r="B202" s="606" t="s">
        <v>277</v>
      </c>
      <c r="C202" s="607" t="s">
        <v>1185</v>
      </c>
      <c r="D202" s="608" t="s">
        <v>1187</v>
      </c>
      <c r="E202" s="609" t="s">
        <v>276</v>
      </c>
      <c r="F202">
        <v>1006978</v>
      </c>
      <c r="G202">
        <v>19189063</v>
      </c>
      <c r="H202">
        <v>-198336</v>
      </c>
      <c r="I202">
        <v>110000</v>
      </c>
      <c r="J202">
        <v>0</v>
      </c>
      <c r="K202">
        <v>0</v>
      </c>
      <c r="L202">
        <v>19100727</v>
      </c>
      <c r="M202">
        <v>26819</v>
      </c>
      <c r="N202">
        <v>0</v>
      </c>
      <c r="O202">
        <v>0</v>
      </c>
      <c r="P202">
        <v>26819</v>
      </c>
      <c r="Q202">
        <v>0</v>
      </c>
      <c r="R202">
        <v>-4299201</v>
      </c>
      <c r="S202">
        <v>-3267393</v>
      </c>
      <c r="T202">
        <v>-9630211</v>
      </c>
      <c r="U202">
        <v>-132948</v>
      </c>
      <c r="V202">
        <v>0</v>
      </c>
      <c r="W202">
        <v>-1000000</v>
      </c>
      <c r="X202">
        <v>-18329753</v>
      </c>
      <c r="Y202" s="661">
        <v>1804771</v>
      </c>
      <c r="Z202" t="s">
        <v>1853</v>
      </c>
    </row>
    <row r="203" spans="1:26" ht="12.75" x14ac:dyDescent="0.2">
      <c r="A203" s="605">
        <v>196</v>
      </c>
      <c r="B203" s="606" t="s">
        <v>279</v>
      </c>
      <c r="C203" s="607" t="s">
        <v>524</v>
      </c>
      <c r="D203" s="608" t="s">
        <v>1189</v>
      </c>
      <c r="E203" s="609" t="s">
        <v>540</v>
      </c>
      <c r="F203">
        <v>366817</v>
      </c>
      <c r="G203">
        <v>100699528</v>
      </c>
      <c r="H203">
        <v>0</v>
      </c>
      <c r="I203">
        <v>-1290000</v>
      </c>
      <c r="J203">
        <v>2272609</v>
      </c>
      <c r="K203">
        <v>-1979762</v>
      </c>
      <c r="L203">
        <v>99702375</v>
      </c>
      <c r="M203">
        <v>655416</v>
      </c>
      <c r="N203">
        <v>0</v>
      </c>
      <c r="O203">
        <v>0</v>
      </c>
      <c r="P203">
        <v>655416</v>
      </c>
      <c r="Q203">
        <v>-1680944</v>
      </c>
      <c r="R203">
        <v>-46309180</v>
      </c>
      <c r="S203">
        <v>-926184</v>
      </c>
      <c r="T203">
        <v>-45382997</v>
      </c>
      <c r="U203">
        <v>-614539</v>
      </c>
      <c r="V203">
        <v>0</v>
      </c>
      <c r="W203">
        <v>-1032000</v>
      </c>
      <c r="X203">
        <v>-95945844</v>
      </c>
      <c r="Y203" s="661">
        <v>4778764</v>
      </c>
      <c r="Z203" t="s">
        <v>1854</v>
      </c>
    </row>
    <row r="204" spans="1:26" ht="12.75" x14ac:dyDescent="0.2">
      <c r="A204" s="605">
        <v>197</v>
      </c>
      <c r="B204" s="606" t="s">
        <v>281</v>
      </c>
      <c r="C204" s="607" t="s">
        <v>524</v>
      </c>
      <c r="D204" s="608" t="s">
        <v>1194</v>
      </c>
      <c r="E204" s="609" t="s">
        <v>557</v>
      </c>
      <c r="F204">
        <v>-14143108.799999997</v>
      </c>
      <c r="G204">
        <v>90916168</v>
      </c>
      <c r="H204">
        <v>-765254</v>
      </c>
      <c r="I204">
        <v>-794246</v>
      </c>
      <c r="J204">
        <v>1033792</v>
      </c>
      <c r="K204">
        <v>-1297326</v>
      </c>
      <c r="L204">
        <v>89093134</v>
      </c>
      <c r="M204">
        <v>0</v>
      </c>
      <c r="N204">
        <v>0</v>
      </c>
      <c r="O204">
        <v>15212489</v>
      </c>
      <c r="P204">
        <v>15212489</v>
      </c>
      <c r="Q204">
        <v>-1492428</v>
      </c>
      <c r="R204">
        <v>-44937124</v>
      </c>
      <c r="S204">
        <v>-899863</v>
      </c>
      <c r="T204">
        <v>-44093289</v>
      </c>
      <c r="U204">
        <v>-543860</v>
      </c>
      <c r="V204">
        <v>0</v>
      </c>
      <c r="W204">
        <v>0</v>
      </c>
      <c r="X204">
        <v>-91966564</v>
      </c>
      <c r="Y204" s="661">
        <v>-1804049.799999997</v>
      </c>
      <c r="Z204" t="s">
        <v>1855</v>
      </c>
    </row>
    <row r="205" spans="1:26" ht="12.75" x14ac:dyDescent="0.2">
      <c r="A205" s="605">
        <v>198</v>
      </c>
      <c r="B205" s="606" t="s">
        <v>283</v>
      </c>
      <c r="C205" s="607" t="s">
        <v>524</v>
      </c>
      <c r="D205" s="608" t="s">
        <v>1186</v>
      </c>
      <c r="E205" s="609" t="s">
        <v>572</v>
      </c>
      <c r="F205">
        <v>1686424</v>
      </c>
      <c r="G205">
        <v>88036658</v>
      </c>
      <c r="H205">
        <v>-1333400</v>
      </c>
      <c r="I205">
        <v>0</v>
      </c>
      <c r="J205">
        <v>1633836</v>
      </c>
      <c r="K205">
        <v>-3040143</v>
      </c>
      <c r="L205">
        <v>85296951</v>
      </c>
      <c r="M205">
        <v>0</v>
      </c>
      <c r="N205">
        <v>0</v>
      </c>
      <c r="O205">
        <v>0</v>
      </c>
      <c r="P205">
        <v>0</v>
      </c>
      <c r="Q205">
        <v>-971624</v>
      </c>
      <c r="R205">
        <v>-21072336</v>
      </c>
      <c r="S205">
        <v>-62374116</v>
      </c>
      <c r="T205">
        <v>-842893</v>
      </c>
      <c r="U205">
        <v>-275145</v>
      </c>
      <c r="V205">
        <v>0</v>
      </c>
      <c r="W205">
        <v>-207886</v>
      </c>
      <c r="X205">
        <v>-85744000</v>
      </c>
      <c r="Y205" s="661">
        <v>1239375</v>
      </c>
      <c r="Z205" t="s">
        <v>1856</v>
      </c>
    </row>
    <row r="206" spans="1:26" ht="12.75" x14ac:dyDescent="0.2">
      <c r="A206" s="605">
        <v>199</v>
      </c>
      <c r="B206" s="606" t="s">
        <v>285</v>
      </c>
      <c r="C206" s="607" t="s">
        <v>1185</v>
      </c>
      <c r="D206" s="608" t="s">
        <v>1187</v>
      </c>
      <c r="E206" s="609" t="s">
        <v>284</v>
      </c>
      <c r="F206">
        <v>-1435056.6000000015</v>
      </c>
      <c r="G206">
        <v>61224612</v>
      </c>
      <c r="H206">
        <v>0</v>
      </c>
      <c r="I206">
        <v>-2088765</v>
      </c>
      <c r="J206">
        <v>1336226</v>
      </c>
      <c r="K206">
        <v>-2487947</v>
      </c>
      <c r="L206">
        <v>57984126</v>
      </c>
      <c r="M206">
        <v>0</v>
      </c>
      <c r="N206">
        <v>0</v>
      </c>
      <c r="O206">
        <v>1085433</v>
      </c>
      <c r="P206">
        <v>1085433</v>
      </c>
      <c r="Q206">
        <v>-3638366</v>
      </c>
      <c r="R206">
        <v>-13465197</v>
      </c>
      <c r="S206">
        <v>-10233550</v>
      </c>
      <c r="T206">
        <v>-30162041</v>
      </c>
      <c r="U206">
        <v>-251443</v>
      </c>
      <c r="V206">
        <v>0</v>
      </c>
      <c r="W206">
        <v>0</v>
      </c>
      <c r="X206">
        <v>-57750597</v>
      </c>
      <c r="Y206" s="661">
        <v>-116094.60000000149</v>
      </c>
      <c r="Z206" t="s">
        <v>1857</v>
      </c>
    </row>
    <row r="207" spans="1:26" ht="12.75" x14ac:dyDescent="0.2">
      <c r="A207" s="605">
        <v>200</v>
      </c>
      <c r="B207" s="606" t="s">
        <v>287</v>
      </c>
      <c r="C207" s="607" t="s">
        <v>524</v>
      </c>
      <c r="D207" s="608" t="s">
        <v>1186</v>
      </c>
      <c r="E207" s="609" t="s">
        <v>534</v>
      </c>
      <c r="F207">
        <v>6759339.7200000081</v>
      </c>
      <c r="G207">
        <v>142195991</v>
      </c>
      <c r="H207">
        <v>0</v>
      </c>
      <c r="I207">
        <v>-150000</v>
      </c>
      <c r="J207">
        <v>0</v>
      </c>
      <c r="K207">
        <v>-5717000</v>
      </c>
      <c r="L207">
        <v>136328991</v>
      </c>
      <c r="M207">
        <v>266521</v>
      </c>
      <c r="N207">
        <v>0</v>
      </c>
      <c r="O207">
        <v>1798174</v>
      </c>
      <c r="P207">
        <v>2064695</v>
      </c>
      <c r="Q207">
        <v>0</v>
      </c>
      <c r="R207">
        <v>-33459886</v>
      </c>
      <c r="S207">
        <v>-1338395</v>
      </c>
      <c r="T207">
        <v>-99041260</v>
      </c>
      <c r="U207">
        <v>-285844</v>
      </c>
      <c r="V207">
        <v>0</v>
      </c>
      <c r="W207">
        <v>0</v>
      </c>
      <c r="X207">
        <v>-134125385</v>
      </c>
      <c r="Y207" s="661">
        <v>11027640.719999999</v>
      </c>
      <c r="Z207" t="s">
        <v>1858</v>
      </c>
    </row>
    <row r="208" spans="1:26" ht="12.75" x14ac:dyDescent="0.2">
      <c r="A208" s="605">
        <v>201</v>
      </c>
      <c r="B208" s="606" t="s">
        <v>289</v>
      </c>
      <c r="C208" s="607" t="s">
        <v>1190</v>
      </c>
      <c r="D208" s="608" t="s">
        <v>1191</v>
      </c>
      <c r="E208" s="609" t="s">
        <v>288</v>
      </c>
      <c r="F208">
        <v>-10893449.48</v>
      </c>
      <c r="G208">
        <v>57612000</v>
      </c>
      <c r="H208">
        <v>0</v>
      </c>
      <c r="I208">
        <v>-394000</v>
      </c>
      <c r="J208">
        <v>1371925</v>
      </c>
      <c r="K208">
        <v>-3089955</v>
      </c>
      <c r="L208">
        <v>55499970</v>
      </c>
      <c r="M208">
        <v>1441000</v>
      </c>
      <c r="N208">
        <v>0</v>
      </c>
      <c r="O208">
        <v>11405867</v>
      </c>
      <c r="P208">
        <v>12846867</v>
      </c>
      <c r="Q208">
        <v>0</v>
      </c>
      <c r="R208">
        <v>-13373338</v>
      </c>
      <c r="S208">
        <v>-14443205</v>
      </c>
      <c r="T208">
        <v>-25676890</v>
      </c>
      <c r="U208">
        <v>0</v>
      </c>
      <c r="V208">
        <v>-279720</v>
      </c>
      <c r="W208">
        <v>0</v>
      </c>
      <c r="X208">
        <v>-53773153</v>
      </c>
      <c r="Y208" s="661">
        <v>3680234.5199999958</v>
      </c>
      <c r="Z208" t="s">
        <v>1859</v>
      </c>
    </row>
    <row r="209" spans="1:26" ht="12.75" x14ac:dyDescent="0.2">
      <c r="A209" s="605">
        <v>202</v>
      </c>
      <c r="B209" s="606" t="s">
        <v>291</v>
      </c>
      <c r="C209" s="607" t="s">
        <v>524</v>
      </c>
      <c r="D209" s="608" t="s">
        <v>1197</v>
      </c>
      <c r="E209" s="609" t="s">
        <v>910</v>
      </c>
      <c r="F209">
        <v>-9538377.3999999985</v>
      </c>
      <c r="G209">
        <v>40554417</v>
      </c>
      <c r="H209">
        <v>0</v>
      </c>
      <c r="I209">
        <v>-493000</v>
      </c>
      <c r="J209">
        <v>524698</v>
      </c>
      <c r="K209">
        <v>-774827</v>
      </c>
      <c r="L209">
        <v>39811288</v>
      </c>
      <c r="M209">
        <v>0</v>
      </c>
      <c r="N209">
        <v>0</v>
      </c>
      <c r="O209">
        <v>9029276</v>
      </c>
      <c r="P209">
        <v>9029276</v>
      </c>
      <c r="Q209">
        <v>-703720</v>
      </c>
      <c r="R209">
        <v>-18300450</v>
      </c>
      <c r="S209">
        <v>-366009</v>
      </c>
      <c r="T209">
        <v>-17934441</v>
      </c>
      <c r="U209">
        <v>-1701331</v>
      </c>
      <c r="V209">
        <v>-158314</v>
      </c>
      <c r="W209">
        <v>0</v>
      </c>
      <c r="X209">
        <v>-39164265</v>
      </c>
      <c r="Y209" s="661">
        <v>137921.60000000149</v>
      </c>
      <c r="Z209" t="s">
        <v>1860</v>
      </c>
    </row>
    <row r="210" spans="1:26" ht="12.75" x14ac:dyDescent="0.2">
      <c r="A210" s="605">
        <v>203</v>
      </c>
      <c r="B210" s="606" t="s">
        <v>293</v>
      </c>
      <c r="C210" s="607" t="s">
        <v>1185</v>
      </c>
      <c r="D210" s="608" t="s">
        <v>1195</v>
      </c>
      <c r="E210" s="609" t="s">
        <v>292</v>
      </c>
      <c r="F210">
        <v>-6477742.1999999974</v>
      </c>
      <c r="G210">
        <v>34545741</v>
      </c>
      <c r="H210">
        <v>0</v>
      </c>
      <c r="I210">
        <v>-345457</v>
      </c>
      <c r="J210">
        <v>445101</v>
      </c>
      <c r="K210">
        <v>-5468</v>
      </c>
      <c r="L210">
        <v>34639917</v>
      </c>
      <c r="M210">
        <v>0</v>
      </c>
      <c r="N210">
        <v>0</v>
      </c>
      <c r="O210">
        <v>7737690</v>
      </c>
      <c r="P210">
        <v>7737690</v>
      </c>
      <c r="Q210">
        <v>-574120</v>
      </c>
      <c r="R210">
        <v>-8110268</v>
      </c>
      <c r="S210">
        <v>-24330804</v>
      </c>
      <c r="T210">
        <v>0</v>
      </c>
      <c r="U210">
        <v>-106434</v>
      </c>
      <c r="V210">
        <v>0</v>
      </c>
      <c r="W210">
        <v>0</v>
      </c>
      <c r="X210">
        <v>-33121626</v>
      </c>
      <c r="Y210" s="661">
        <v>2778238.8000000045</v>
      </c>
      <c r="Z210" t="s">
        <v>1861</v>
      </c>
    </row>
    <row r="211" spans="1:26" ht="12.75" x14ac:dyDescent="0.2">
      <c r="A211" s="605">
        <v>204</v>
      </c>
      <c r="B211" s="606" t="s">
        <v>295</v>
      </c>
      <c r="C211" s="607" t="s">
        <v>1185</v>
      </c>
      <c r="D211" s="608" t="s">
        <v>1186</v>
      </c>
      <c r="E211" s="609" t="s">
        <v>294</v>
      </c>
      <c r="F211">
        <v>-58803.969999999739</v>
      </c>
      <c r="G211">
        <v>52670510</v>
      </c>
      <c r="H211">
        <v>0</v>
      </c>
      <c r="I211">
        <v>-114363</v>
      </c>
      <c r="J211">
        <v>910194</v>
      </c>
      <c r="K211">
        <v>-4127513</v>
      </c>
      <c r="L211">
        <v>49338828</v>
      </c>
      <c r="M211">
        <v>433503</v>
      </c>
      <c r="N211">
        <v>175363</v>
      </c>
      <c r="O211">
        <v>0</v>
      </c>
      <c r="P211">
        <v>608866</v>
      </c>
      <c r="Q211">
        <v>-229536</v>
      </c>
      <c r="R211">
        <v>-26213078</v>
      </c>
      <c r="S211">
        <v>-5242616</v>
      </c>
      <c r="T211">
        <v>-20970462</v>
      </c>
      <c r="U211">
        <v>-175363</v>
      </c>
      <c r="V211">
        <v>0</v>
      </c>
      <c r="W211">
        <v>-796544</v>
      </c>
      <c r="X211">
        <v>-53627599</v>
      </c>
      <c r="Y211" s="661">
        <v>-3738708.9699999988</v>
      </c>
      <c r="Z211" t="s">
        <v>1862</v>
      </c>
    </row>
    <row r="212" spans="1:26" ht="12.75" x14ac:dyDescent="0.2">
      <c r="A212" s="605">
        <v>205</v>
      </c>
      <c r="B212" s="606" t="s">
        <v>297</v>
      </c>
      <c r="C212" s="607" t="s">
        <v>1185</v>
      </c>
      <c r="D212" s="608" t="s">
        <v>1187</v>
      </c>
      <c r="E212" s="609" t="s">
        <v>296</v>
      </c>
      <c r="F212">
        <v>575892</v>
      </c>
      <c r="G212">
        <v>15793378</v>
      </c>
      <c r="H212">
        <v>0</v>
      </c>
      <c r="I212">
        <v>-130000</v>
      </c>
      <c r="J212">
        <v>88381</v>
      </c>
      <c r="K212">
        <v>-125926</v>
      </c>
      <c r="L212">
        <v>15625833</v>
      </c>
      <c r="M212">
        <v>196891</v>
      </c>
      <c r="N212">
        <v>0</v>
      </c>
      <c r="O212">
        <v>0</v>
      </c>
      <c r="P212">
        <v>196891</v>
      </c>
      <c r="Q212">
        <v>0</v>
      </c>
      <c r="R212">
        <v>-3744068</v>
      </c>
      <c r="S212">
        <v>-2845492</v>
      </c>
      <c r="T212">
        <v>-8386713</v>
      </c>
      <c r="U212">
        <v>-405831</v>
      </c>
      <c r="V212">
        <v>0</v>
      </c>
      <c r="W212">
        <v>-560528</v>
      </c>
      <c r="X212">
        <v>-15942632</v>
      </c>
      <c r="Y212" s="661">
        <v>455984</v>
      </c>
      <c r="Z212" t="s">
        <v>1863</v>
      </c>
    </row>
    <row r="213" spans="1:26" ht="12.75" x14ac:dyDescent="0.2">
      <c r="A213" s="605">
        <v>206</v>
      </c>
      <c r="B213" s="606" t="s">
        <v>299</v>
      </c>
      <c r="C213" s="607" t="s">
        <v>1190</v>
      </c>
      <c r="D213" s="608" t="s">
        <v>1191</v>
      </c>
      <c r="E213" s="609" t="s">
        <v>298</v>
      </c>
      <c r="F213">
        <v>8105348</v>
      </c>
      <c r="G213">
        <v>85590634</v>
      </c>
      <c r="H213">
        <v>-300000</v>
      </c>
      <c r="I213">
        <v>-300000</v>
      </c>
      <c r="J213">
        <v>1200000</v>
      </c>
      <c r="K213">
        <v>-200000</v>
      </c>
      <c r="L213">
        <v>85990634</v>
      </c>
      <c r="M213">
        <v>2522691</v>
      </c>
      <c r="N213">
        <v>24751</v>
      </c>
      <c r="O213">
        <v>0</v>
      </c>
      <c r="P213">
        <v>2547442</v>
      </c>
      <c r="Q213">
        <v>0</v>
      </c>
      <c r="R213">
        <v>-22519320</v>
      </c>
      <c r="S213">
        <v>-24320865</v>
      </c>
      <c r="T213">
        <v>-43237094</v>
      </c>
      <c r="U213">
        <v>0</v>
      </c>
      <c r="V213">
        <v>-283891</v>
      </c>
      <c r="W213">
        <v>-7175956</v>
      </c>
      <c r="X213">
        <v>-97537126</v>
      </c>
      <c r="Y213" s="661">
        <v>-893702</v>
      </c>
      <c r="Z213" t="s">
        <v>1864</v>
      </c>
    </row>
    <row r="214" spans="1:26" ht="12.75" x14ac:dyDescent="0.2">
      <c r="A214" s="605">
        <v>207</v>
      </c>
      <c r="B214" s="606" t="s">
        <v>301</v>
      </c>
      <c r="C214" s="607" t="s">
        <v>1185</v>
      </c>
      <c r="D214" s="608" t="s">
        <v>1193</v>
      </c>
      <c r="E214" s="609" t="s">
        <v>300</v>
      </c>
      <c r="F214">
        <v>-597069</v>
      </c>
      <c r="G214">
        <v>12912818</v>
      </c>
      <c r="H214">
        <v>0</v>
      </c>
      <c r="I214">
        <v>-34175</v>
      </c>
      <c r="J214">
        <v>338531</v>
      </c>
      <c r="K214">
        <v>-707527</v>
      </c>
      <c r="L214">
        <v>12509647</v>
      </c>
      <c r="M214">
        <v>216626</v>
      </c>
      <c r="N214">
        <v>0</v>
      </c>
      <c r="O214">
        <v>1059984</v>
      </c>
      <c r="P214">
        <v>1276610</v>
      </c>
      <c r="Q214">
        <v>0</v>
      </c>
      <c r="R214">
        <v>-3301613</v>
      </c>
      <c r="S214">
        <v>-2971453</v>
      </c>
      <c r="T214">
        <v>-6933388</v>
      </c>
      <c r="U214">
        <v>0</v>
      </c>
      <c r="V214">
        <v>0</v>
      </c>
      <c r="W214">
        <v>0</v>
      </c>
      <c r="X214">
        <v>-13206454</v>
      </c>
      <c r="Y214" s="661">
        <v>-17266</v>
      </c>
      <c r="Z214" t="s">
        <v>1865</v>
      </c>
    </row>
    <row r="215" spans="1:26" ht="12.75" x14ac:dyDescent="0.2">
      <c r="A215" s="605">
        <v>208</v>
      </c>
      <c r="B215" s="606" t="s">
        <v>303</v>
      </c>
      <c r="C215" s="607" t="s">
        <v>1192</v>
      </c>
      <c r="D215" s="608" t="s">
        <v>1187</v>
      </c>
      <c r="E215" s="609" t="s">
        <v>302</v>
      </c>
      <c r="F215">
        <v>4044543</v>
      </c>
      <c r="G215">
        <v>67543351</v>
      </c>
      <c r="H215">
        <v>0</v>
      </c>
      <c r="I215">
        <v>-800000</v>
      </c>
      <c r="J215">
        <v>903000</v>
      </c>
      <c r="K215">
        <v>-3802000</v>
      </c>
      <c r="L215">
        <v>63844351</v>
      </c>
      <c r="M215">
        <v>506146</v>
      </c>
      <c r="N215">
        <v>0</v>
      </c>
      <c r="O215">
        <v>0</v>
      </c>
      <c r="P215">
        <v>506146</v>
      </c>
      <c r="Q215">
        <v>-990866</v>
      </c>
      <c r="R215">
        <v>0</v>
      </c>
      <c r="S215">
        <v>-612988</v>
      </c>
      <c r="T215">
        <v>-60685781</v>
      </c>
      <c r="U215">
        <v>-275905</v>
      </c>
      <c r="V215">
        <v>-613500</v>
      </c>
      <c r="W215">
        <v>-4113000</v>
      </c>
      <c r="X215">
        <v>-67292040</v>
      </c>
      <c r="Y215" s="661">
        <v>1103000</v>
      </c>
      <c r="Z215" t="s">
        <v>1866</v>
      </c>
    </row>
    <row r="216" spans="1:26" ht="12.75" x14ac:dyDescent="0.2">
      <c r="A216" s="605">
        <v>209</v>
      </c>
      <c r="B216" s="606" t="s">
        <v>305</v>
      </c>
      <c r="C216" s="607" t="s">
        <v>1185</v>
      </c>
      <c r="D216" s="608" t="s">
        <v>1189</v>
      </c>
      <c r="E216" s="609" t="s">
        <v>304</v>
      </c>
      <c r="F216">
        <v>-1195150.8599999994</v>
      </c>
      <c r="G216">
        <v>16704393</v>
      </c>
      <c r="H216">
        <v>0</v>
      </c>
      <c r="I216">
        <v>-50113</v>
      </c>
      <c r="J216">
        <v>242817</v>
      </c>
      <c r="K216">
        <v>-443361</v>
      </c>
      <c r="L216">
        <v>16453736</v>
      </c>
      <c r="M216">
        <v>212777</v>
      </c>
      <c r="N216">
        <v>2321</v>
      </c>
      <c r="O216">
        <v>1018523</v>
      </c>
      <c r="P216">
        <v>1233621</v>
      </c>
      <c r="Q216">
        <v>-79640</v>
      </c>
      <c r="R216">
        <v>-8147075</v>
      </c>
      <c r="S216">
        <v>-1629416</v>
      </c>
      <c r="T216">
        <v>-6517661</v>
      </c>
      <c r="U216">
        <v>-132000</v>
      </c>
      <c r="V216">
        <v>0</v>
      </c>
      <c r="W216">
        <v>0</v>
      </c>
      <c r="X216">
        <v>-16505792</v>
      </c>
      <c r="Y216" s="661">
        <v>-13585.859999999404</v>
      </c>
      <c r="Z216" t="s">
        <v>1867</v>
      </c>
    </row>
    <row r="217" spans="1:26" ht="12.75" x14ac:dyDescent="0.2">
      <c r="A217" s="605">
        <v>210</v>
      </c>
      <c r="B217" s="606" t="s">
        <v>307</v>
      </c>
      <c r="C217" s="607" t="s">
        <v>1185</v>
      </c>
      <c r="D217" s="608" t="s">
        <v>1187</v>
      </c>
      <c r="E217" s="609" t="s">
        <v>306</v>
      </c>
      <c r="F217">
        <v>1859060</v>
      </c>
      <c r="G217">
        <v>12951476</v>
      </c>
      <c r="H217">
        <v>0</v>
      </c>
      <c r="I217">
        <v>-270000</v>
      </c>
      <c r="J217">
        <v>0</v>
      </c>
      <c r="K217">
        <v>-250000</v>
      </c>
      <c r="L217">
        <v>12431476</v>
      </c>
      <c r="M217">
        <v>0</v>
      </c>
      <c r="N217">
        <v>0</v>
      </c>
      <c r="O217">
        <v>0</v>
      </c>
      <c r="P217">
        <v>0</v>
      </c>
      <c r="Q217">
        <v>-27900</v>
      </c>
      <c r="R217">
        <v>-3034491</v>
      </c>
      <c r="S217">
        <v>-2306215</v>
      </c>
      <c r="T217">
        <v>-6797263</v>
      </c>
      <c r="U217">
        <v>0</v>
      </c>
      <c r="V217">
        <v>-168160</v>
      </c>
      <c r="W217">
        <v>-1626909</v>
      </c>
      <c r="X217">
        <v>-13960938</v>
      </c>
      <c r="Y217" s="661">
        <v>329598</v>
      </c>
      <c r="Z217" t="s">
        <v>1868</v>
      </c>
    </row>
    <row r="218" spans="1:26" ht="12.75" x14ac:dyDescent="0.2">
      <c r="A218" s="605">
        <v>211</v>
      </c>
      <c r="B218" s="606" t="s">
        <v>309</v>
      </c>
      <c r="C218" s="607" t="s">
        <v>1185</v>
      </c>
      <c r="D218" s="608" t="s">
        <v>1186</v>
      </c>
      <c r="E218" s="609" t="s">
        <v>308</v>
      </c>
      <c r="F218">
        <v>34357.039999999106</v>
      </c>
      <c r="G218">
        <v>18255728</v>
      </c>
      <c r="H218">
        <v>-28072</v>
      </c>
      <c r="I218">
        <v>-182557</v>
      </c>
      <c r="J218">
        <v>0</v>
      </c>
      <c r="K218">
        <v>-597068</v>
      </c>
      <c r="L218">
        <v>17448031</v>
      </c>
      <c r="M218">
        <v>422099</v>
      </c>
      <c r="N218">
        <v>0</v>
      </c>
      <c r="O218">
        <v>1226371</v>
      </c>
      <c r="P218">
        <v>1648470</v>
      </c>
      <c r="Q218">
        <v>0</v>
      </c>
      <c r="R218">
        <v>-4323272</v>
      </c>
      <c r="S218">
        <v>-4496203</v>
      </c>
      <c r="T218">
        <v>-7608958</v>
      </c>
      <c r="U218">
        <v>-864654</v>
      </c>
      <c r="V218">
        <v>0</v>
      </c>
      <c r="W218">
        <v>0</v>
      </c>
      <c r="X218">
        <v>-17293087</v>
      </c>
      <c r="Y218" s="661">
        <v>1837771.0399999991</v>
      </c>
      <c r="Z218" t="s">
        <v>1869</v>
      </c>
    </row>
    <row r="219" spans="1:26" ht="12.75" x14ac:dyDescent="0.2">
      <c r="A219" s="605">
        <v>212</v>
      </c>
      <c r="B219" s="606" t="s">
        <v>311</v>
      </c>
      <c r="C219" s="607" t="s">
        <v>1192</v>
      </c>
      <c r="D219" s="608" t="s">
        <v>1193</v>
      </c>
      <c r="E219" s="609" t="s">
        <v>310</v>
      </c>
      <c r="F219">
        <v>2092610.900000006</v>
      </c>
      <c r="G219">
        <v>77618034</v>
      </c>
      <c r="H219">
        <v>0</v>
      </c>
      <c r="I219">
        <v>0</v>
      </c>
      <c r="J219">
        <v>629862</v>
      </c>
      <c r="K219">
        <v>-1401177</v>
      </c>
      <c r="L219">
        <v>76846719</v>
      </c>
      <c r="M219">
        <v>0</v>
      </c>
      <c r="N219">
        <v>0</v>
      </c>
      <c r="O219">
        <v>0</v>
      </c>
      <c r="P219">
        <v>0</v>
      </c>
      <c r="Q219">
        <v>-2113923</v>
      </c>
      <c r="R219">
        <v>-35951237</v>
      </c>
      <c r="S219">
        <v>-719025</v>
      </c>
      <c r="T219">
        <v>-35232212</v>
      </c>
      <c r="U219">
        <v>-870453</v>
      </c>
      <c r="V219">
        <v>-137352</v>
      </c>
      <c r="W219">
        <v>-2130123</v>
      </c>
      <c r="X219">
        <v>-77154325</v>
      </c>
      <c r="Y219" s="661">
        <v>1785004.900000006</v>
      </c>
      <c r="Z219" t="s">
        <v>1870</v>
      </c>
    </row>
    <row r="220" spans="1:26" ht="12.75" x14ac:dyDescent="0.2">
      <c r="A220" s="605">
        <v>213</v>
      </c>
      <c r="B220" s="606" t="s">
        <v>313</v>
      </c>
      <c r="C220" s="607" t="s">
        <v>1185</v>
      </c>
      <c r="D220" s="608" t="s">
        <v>1195</v>
      </c>
      <c r="E220" s="609" t="s">
        <v>312</v>
      </c>
      <c r="F220">
        <v>-1020326</v>
      </c>
      <c r="G220">
        <v>54217668</v>
      </c>
      <c r="H220">
        <v>0</v>
      </c>
      <c r="I220">
        <v>-163970</v>
      </c>
      <c r="J220">
        <v>947564</v>
      </c>
      <c r="K220">
        <v>-2979331</v>
      </c>
      <c r="L220">
        <v>52021931</v>
      </c>
      <c r="M220">
        <v>0</v>
      </c>
      <c r="N220">
        <v>0</v>
      </c>
      <c r="O220">
        <v>314835</v>
      </c>
      <c r="P220">
        <v>314835</v>
      </c>
      <c r="Q220">
        <v>-452349</v>
      </c>
      <c r="R220">
        <v>-26281091</v>
      </c>
      <c r="S220">
        <v>-5256218</v>
      </c>
      <c r="T220">
        <v>-21024872</v>
      </c>
      <c r="U220">
        <v>-136804</v>
      </c>
      <c r="V220">
        <v>0</v>
      </c>
      <c r="W220">
        <v>0</v>
      </c>
      <c r="X220">
        <v>-53151334</v>
      </c>
      <c r="Y220" s="661">
        <v>-1834894</v>
      </c>
      <c r="Z220" t="s">
        <v>1871</v>
      </c>
    </row>
    <row r="221" spans="1:26" ht="12.75" x14ac:dyDescent="0.2">
      <c r="A221" s="605">
        <v>214</v>
      </c>
      <c r="B221" s="606" t="s">
        <v>315</v>
      </c>
      <c r="C221" s="607" t="s">
        <v>1185</v>
      </c>
      <c r="D221" s="608" t="s">
        <v>1186</v>
      </c>
      <c r="E221" s="609" t="s">
        <v>314</v>
      </c>
      <c r="F221">
        <v>10673774.419999996</v>
      </c>
      <c r="G221">
        <v>58197620</v>
      </c>
      <c r="H221">
        <v>-250000</v>
      </c>
      <c r="I221">
        <v>-50000</v>
      </c>
      <c r="J221">
        <v>0</v>
      </c>
      <c r="K221">
        <v>-7000000</v>
      </c>
      <c r="L221">
        <v>50897620</v>
      </c>
      <c r="M221">
        <v>676800</v>
      </c>
      <c r="N221">
        <v>0</v>
      </c>
      <c r="O221">
        <v>0</v>
      </c>
      <c r="P221">
        <v>676800</v>
      </c>
      <c r="Q221">
        <v>-676800</v>
      </c>
      <c r="R221">
        <v>-29904700</v>
      </c>
      <c r="S221">
        <v>-5980940</v>
      </c>
      <c r="T221">
        <v>-23923760</v>
      </c>
      <c r="U221">
        <v>-131630</v>
      </c>
      <c r="V221">
        <v>0</v>
      </c>
      <c r="W221">
        <v>-6100802</v>
      </c>
      <c r="X221">
        <v>-66718632</v>
      </c>
      <c r="Y221" s="661">
        <v>-4470437.5800000057</v>
      </c>
      <c r="Z221" t="s">
        <v>1872</v>
      </c>
    </row>
    <row r="222" spans="1:26" ht="12.75" x14ac:dyDescent="0.2">
      <c r="A222" s="605">
        <v>215</v>
      </c>
      <c r="B222" s="606" t="s">
        <v>317</v>
      </c>
      <c r="C222" s="607" t="s">
        <v>1185</v>
      </c>
      <c r="D222" s="608" t="s">
        <v>1188</v>
      </c>
      <c r="E222" s="609" t="s">
        <v>316</v>
      </c>
      <c r="F222">
        <v>-714294</v>
      </c>
      <c r="G222">
        <v>29407985</v>
      </c>
      <c r="H222">
        <v>0</v>
      </c>
      <c r="I222">
        <v>-78986</v>
      </c>
      <c r="J222">
        <v>723022</v>
      </c>
      <c r="K222">
        <v>-680764</v>
      </c>
      <c r="L222">
        <v>29371257</v>
      </c>
      <c r="M222">
        <v>520762</v>
      </c>
      <c r="N222">
        <v>0</v>
      </c>
      <c r="O222">
        <v>498663</v>
      </c>
      <c r="P222">
        <v>1019425</v>
      </c>
      <c r="Q222">
        <v>-2491380</v>
      </c>
      <c r="R222">
        <v>-13102842</v>
      </c>
      <c r="S222">
        <v>-2620568</v>
      </c>
      <c r="T222">
        <v>-10482273</v>
      </c>
      <c r="U222">
        <v>-623508</v>
      </c>
      <c r="V222">
        <v>0</v>
      </c>
      <c r="W222">
        <v>0</v>
      </c>
      <c r="X222">
        <v>-29320571</v>
      </c>
      <c r="Y222" s="661">
        <v>355817</v>
      </c>
      <c r="Z222" t="s">
        <v>1873</v>
      </c>
    </row>
    <row r="223" spans="1:26" ht="12.75" x14ac:dyDescent="0.2">
      <c r="A223" s="605">
        <v>216</v>
      </c>
      <c r="B223" s="606" t="s">
        <v>319</v>
      </c>
      <c r="C223" s="607" t="s">
        <v>1185</v>
      </c>
      <c r="D223" s="608" t="s">
        <v>1186</v>
      </c>
      <c r="E223" s="609" t="s">
        <v>318</v>
      </c>
      <c r="F223">
        <v>-1918301.3999999985</v>
      </c>
      <c r="G223">
        <v>52156029</v>
      </c>
      <c r="H223">
        <v>0</v>
      </c>
      <c r="I223">
        <v>-450000</v>
      </c>
      <c r="J223">
        <v>2700000</v>
      </c>
      <c r="K223">
        <v>-2895000</v>
      </c>
      <c r="L223">
        <v>51511029</v>
      </c>
      <c r="M223">
        <v>0</v>
      </c>
      <c r="N223">
        <v>0</v>
      </c>
      <c r="O223">
        <v>0</v>
      </c>
      <c r="P223">
        <v>0</v>
      </c>
      <c r="Q223">
        <v>0</v>
      </c>
      <c r="R223">
        <v>-24885747</v>
      </c>
      <c r="S223">
        <v>-4977150</v>
      </c>
      <c r="T223">
        <v>-19908598</v>
      </c>
      <c r="U223">
        <v>0</v>
      </c>
      <c r="V223">
        <v>0</v>
      </c>
      <c r="W223">
        <v>-747005</v>
      </c>
      <c r="X223">
        <v>-50518500</v>
      </c>
      <c r="Y223" s="661">
        <v>-925772.39999999851</v>
      </c>
      <c r="Z223" t="s">
        <v>1874</v>
      </c>
    </row>
    <row r="224" spans="1:26" ht="12.75" x14ac:dyDescent="0.2">
      <c r="A224" s="605">
        <v>217</v>
      </c>
      <c r="B224" s="606" t="s">
        <v>321</v>
      </c>
      <c r="C224" s="607" t="s">
        <v>524</v>
      </c>
      <c r="D224" s="608" t="s">
        <v>1188</v>
      </c>
      <c r="E224" s="609" t="s">
        <v>593</v>
      </c>
      <c r="F224">
        <v>-125193.32999999996</v>
      </c>
      <c r="G224">
        <v>11534477</v>
      </c>
      <c r="H224">
        <v>-38043</v>
      </c>
      <c r="I224">
        <v>-15853</v>
      </c>
      <c r="J224">
        <v>123765</v>
      </c>
      <c r="K224">
        <v>-768922</v>
      </c>
      <c r="L224">
        <v>10835424</v>
      </c>
      <c r="M224">
        <v>407866</v>
      </c>
      <c r="N224">
        <v>0</v>
      </c>
      <c r="O224">
        <v>0</v>
      </c>
      <c r="P224">
        <v>407866</v>
      </c>
      <c r="Q224">
        <v>0</v>
      </c>
      <c r="R224">
        <v>-5634898</v>
      </c>
      <c r="S224">
        <v>-112698</v>
      </c>
      <c r="T224">
        <v>-5522201</v>
      </c>
      <c r="U224">
        <v>-97696</v>
      </c>
      <c r="V224">
        <v>0</v>
      </c>
      <c r="W224">
        <v>-4360</v>
      </c>
      <c r="X224">
        <v>-11371853</v>
      </c>
      <c r="Y224" s="661">
        <v>-253756.33000000007</v>
      </c>
      <c r="Z224" t="s">
        <v>1875</v>
      </c>
    </row>
    <row r="225" spans="1:26" ht="12.75" x14ac:dyDescent="0.2">
      <c r="A225" s="605">
        <v>218</v>
      </c>
      <c r="B225" s="606" t="s">
        <v>323</v>
      </c>
      <c r="C225" s="607" t="s">
        <v>1185</v>
      </c>
      <c r="D225" s="608" t="s">
        <v>1193</v>
      </c>
      <c r="E225" s="609" t="s">
        <v>322</v>
      </c>
      <c r="F225">
        <v>-508826</v>
      </c>
      <c r="G225">
        <v>17879598</v>
      </c>
      <c r="H225">
        <v>0</v>
      </c>
      <c r="I225">
        <v>-50000</v>
      </c>
      <c r="J225">
        <v>75450</v>
      </c>
      <c r="K225">
        <v>-970450</v>
      </c>
      <c r="L225">
        <v>16934598</v>
      </c>
      <c r="M225">
        <v>532000</v>
      </c>
      <c r="N225">
        <v>0</v>
      </c>
      <c r="O225">
        <v>938646</v>
      </c>
      <c r="P225">
        <v>1470646</v>
      </c>
      <c r="Q225">
        <v>0</v>
      </c>
      <c r="R225">
        <v>-4234426</v>
      </c>
      <c r="S225">
        <v>-3810983</v>
      </c>
      <c r="T225">
        <v>-8892295</v>
      </c>
      <c r="U225">
        <v>-131146</v>
      </c>
      <c r="V225">
        <v>0</v>
      </c>
      <c r="W225">
        <v>0</v>
      </c>
      <c r="X225">
        <v>-17068850</v>
      </c>
      <c r="Y225" s="661">
        <v>827568</v>
      </c>
      <c r="Z225" t="s">
        <v>1876</v>
      </c>
    </row>
    <row r="226" spans="1:26" ht="12.75" x14ac:dyDescent="0.2">
      <c r="A226" s="605">
        <v>219</v>
      </c>
      <c r="B226" s="606" t="s">
        <v>325</v>
      </c>
      <c r="C226" s="607" t="s">
        <v>1192</v>
      </c>
      <c r="D226" s="608" t="s">
        <v>1187</v>
      </c>
      <c r="E226" s="609" t="s">
        <v>324</v>
      </c>
      <c r="F226">
        <v>-13000</v>
      </c>
      <c r="G226">
        <v>96753899</v>
      </c>
      <c r="H226">
        <v>0</v>
      </c>
      <c r="I226">
        <v>-4000000</v>
      </c>
      <c r="J226">
        <v>2834586</v>
      </c>
      <c r="K226">
        <v>-4250000</v>
      </c>
      <c r="L226">
        <v>91338485</v>
      </c>
      <c r="M226">
        <v>0</v>
      </c>
      <c r="N226">
        <v>0</v>
      </c>
      <c r="O226">
        <v>1282412</v>
      </c>
      <c r="P226">
        <v>1282412</v>
      </c>
      <c r="Q226">
        <v>-850000</v>
      </c>
      <c r="R226">
        <v>0</v>
      </c>
      <c r="S226">
        <v>-893141</v>
      </c>
      <c r="T226">
        <v>-88420981</v>
      </c>
      <c r="U226">
        <v>-441918</v>
      </c>
      <c r="V226">
        <v>0</v>
      </c>
      <c r="W226">
        <v>0</v>
      </c>
      <c r="X226">
        <v>-90606040</v>
      </c>
      <c r="Y226" s="661">
        <v>2001857</v>
      </c>
      <c r="Z226" t="s">
        <v>1877</v>
      </c>
    </row>
    <row r="227" spans="1:26" ht="12.75" x14ac:dyDescent="0.2">
      <c r="A227" s="605">
        <v>220</v>
      </c>
      <c r="B227" s="606" t="s">
        <v>327</v>
      </c>
      <c r="C227" s="607" t="s">
        <v>1192</v>
      </c>
      <c r="D227" s="608" t="s">
        <v>1195</v>
      </c>
      <c r="E227" s="609" t="s">
        <v>326</v>
      </c>
      <c r="F227">
        <v>54651</v>
      </c>
      <c r="G227">
        <v>101345755</v>
      </c>
      <c r="H227">
        <v>-300000</v>
      </c>
      <c r="I227">
        <v>-1500000</v>
      </c>
      <c r="J227">
        <v>0</v>
      </c>
      <c r="K227">
        <v>-157643</v>
      </c>
      <c r="L227">
        <v>99388112</v>
      </c>
      <c r="M227">
        <v>0</v>
      </c>
      <c r="N227">
        <v>0</v>
      </c>
      <c r="O227">
        <v>0</v>
      </c>
      <c r="P227">
        <v>0</v>
      </c>
      <c r="Q227">
        <v>-270764</v>
      </c>
      <c r="R227">
        <v>0</v>
      </c>
      <c r="S227">
        <v>-975770</v>
      </c>
      <c r="T227">
        <v>-96601197</v>
      </c>
      <c r="U227">
        <v>-433540</v>
      </c>
      <c r="V227">
        <v>0</v>
      </c>
      <c r="W227">
        <v>-1200222</v>
      </c>
      <c r="X227">
        <v>-99481493</v>
      </c>
      <c r="Y227" s="661">
        <v>-38730</v>
      </c>
      <c r="Z227" t="s">
        <v>1878</v>
      </c>
    </row>
    <row r="228" spans="1:26" ht="12.75" x14ac:dyDescent="0.2">
      <c r="A228" s="605">
        <v>221</v>
      </c>
      <c r="B228" s="606" t="s">
        <v>329</v>
      </c>
      <c r="C228" s="607" t="s">
        <v>1185</v>
      </c>
      <c r="D228" s="608" t="s">
        <v>1193</v>
      </c>
      <c r="E228" s="609" t="s">
        <v>328</v>
      </c>
      <c r="F228">
        <v>-424833.28999999911</v>
      </c>
      <c r="G228">
        <v>37921403</v>
      </c>
      <c r="H228">
        <v>0</v>
      </c>
      <c r="I228">
        <v>-400000</v>
      </c>
      <c r="J228">
        <v>490000</v>
      </c>
      <c r="K228">
        <v>-2345000</v>
      </c>
      <c r="L228">
        <v>35666403</v>
      </c>
      <c r="M228">
        <v>0</v>
      </c>
      <c r="N228">
        <v>0</v>
      </c>
      <c r="O228">
        <v>828243</v>
      </c>
      <c r="P228">
        <v>828243</v>
      </c>
      <c r="Q228">
        <v>0</v>
      </c>
      <c r="R228">
        <v>-8550497</v>
      </c>
      <c r="S228">
        <v>-7695447</v>
      </c>
      <c r="T228">
        <v>-17956043</v>
      </c>
      <c r="U228">
        <v>-270416</v>
      </c>
      <c r="V228">
        <v>0</v>
      </c>
      <c r="W228">
        <v>0</v>
      </c>
      <c r="X228">
        <v>-34472403</v>
      </c>
      <c r="Y228" s="661">
        <v>1597409.7100000009</v>
      </c>
      <c r="Z228" t="s">
        <v>1879</v>
      </c>
    </row>
    <row r="229" spans="1:26" ht="12.75" x14ac:dyDescent="0.2">
      <c r="A229" s="605">
        <v>222</v>
      </c>
      <c r="B229" s="606" t="s">
        <v>331</v>
      </c>
      <c r="C229" s="607" t="s">
        <v>1185</v>
      </c>
      <c r="D229" s="608" t="s">
        <v>1194</v>
      </c>
      <c r="E229" s="609" t="s">
        <v>330</v>
      </c>
      <c r="F229">
        <v>1126210</v>
      </c>
      <c r="G229">
        <v>43462571</v>
      </c>
      <c r="H229">
        <v>-143199</v>
      </c>
      <c r="I229">
        <v>113652</v>
      </c>
      <c r="J229">
        <v>850221</v>
      </c>
      <c r="K229">
        <v>-119627</v>
      </c>
      <c r="L229">
        <v>44163618</v>
      </c>
      <c r="M229">
        <v>67177</v>
      </c>
      <c r="N229">
        <v>304095</v>
      </c>
      <c r="O229">
        <v>0</v>
      </c>
      <c r="P229">
        <v>371272</v>
      </c>
      <c r="Q229">
        <v>0</v>
      </c>
      <c r="R229">
        <v>-10326704</v>
      </c>
      <c r="S229">
        <v>-12805113</v>
      </c>
      <c r="T229">
        <v>-18174999</v>
      </c>
      <c r="U229">
        <v>-397666</v>
      </c>
      <c r="V229">
        <v>0</v>
      </c>
      <c r="W229">
        <v>-150041</v>
      </c>
      <c r="X229">
        <v>-41854523</v>
      </c>
      <c r="Y229" s="661">
        <v>3806577</v>
      </c>
      <c r="Z229" t="s">
        <v>1880</v>
      </c>
    </row>
    <row r="230" spans="1:26" ht="12.75" x14ac:dyDescent="0.2">
      <c r="A230" s="605">
        <v>223</v>
      </c>
      <c r="B230" s="606" t="s">
        <v>333</v>
      </c>
      <c r="C230" s="607" t="s">
        <v>1192</v>
      </c>
      <c r="D230" s="608" t="s">
        <v>1187</v>
      </c>
      <c r="E230" s="609" t="s">
        <v>332</v>
      </c>
      <c r="F230">
        <v>1860950</v>
      </c>
      <c r="G230">
        <v>71617197</v>
      </c>
      <c r="H230">
        <v>0</v>
      </c>
      <c r="I230">
        <v>-1370000</v>
      </c>
      <c r="J230">
        <v>297949</v>
      </c>
      <c r="K230">
        <v>-4332000</v>
      </c>
      <c r="L230">
        <v>66213146</v>
      </c>
      <c r="M230">
        <v>14098</v>
      </c>
      <c r="N230">
        <v>0</v>
      </c>
      <c r="O230">
        <v>0</v>
      </c>
      <c r="P230">
        <v>14098</v>
      </c>
      <c r="Q230">
        <v>0</v>
      </c>
      <c r="R230">
        <v>0</v>
      </c>
      <c r="S230">
        <v>-653931</v>
      </c>
      <c r="T230">
        <v>-64739171</v>
      </c>
      <c r="U230">
        <v>-311134</v>
      </c>
      <c r="V230">
        <v>0</v>
      </c>
      <c r="W230">
        <v>-1767878</v>
      </c>
      <c r="X230">
        <v>-67472114</v>
      </c>
      <c r="Y230" s="661">
        <v>616080</v>
      </c>
      <c r="Z230" t="s">
        <v>1881</v>
      </c>
    </row>
    <row r="231" spans="1:26" ht="12.75" x14ac:dyDescent="0.2">
      <c r="A231" s="605">
        <v>224</v>
      </c>
      <c r="B231" s="606" t="s">
        <v>335</v>
      </c>
      <c r="C231" s="607" t="s">
        <v>1185</v>
      </c>
      <c r="D231" s="608" t="s">
        <v>1193</v>
      </c>
      <c r="E231" s="609" t="s">
        <v>334</v>
      </c>
      <c r="F231">
        <v>-60386.60000000149</v>
      </c>
      <c r="G231">
        <v>39601557</v>
      </c>
      <c r="H231">
        <v>0</v>
      </c>
      <c r="I231">
        <v>-100857</v>
      </c>
      <c r="J231">
        <v>1378894</v>
      </c>
      <c r="K231">
        <v>-2915156</v>
      </c>
      <c r="L231">
        <v>37964438</v>
      </c>
      <c r="M231">
        <v>522409</v>
      </c>
      <c r="N231">
        <v>0</v>
      </c>
      <c r="O231">
        <v>0</v>
      </c>
      <c r="P231">
        <v>522409</v>
      </c>
      <c r="Q231">
        <v>-1436564</v>
      </c>
      <c r="R231">
        <v>-7184998</v>
      </c>
      <c r="S231">
        <v>-6466498</v>
      </c>
      <c r="T231">
        <v>-15088496</v>
      </c>
      <c r="U231">
        <v>-8107688</v>
      </c>
      <c r="V231">
        <v>0</v>
      </c>
      <c r="W231">
        <v>-138798</v>
      </c>
      <c r="X231">
        <v>-38423042</v>
      </c>
      <c r="Y231" s="661">
        <v>3418.3999999985099</v>
      </c>
      <c r="Z231" t="s">
        <v>1882</v>
      </c>
    </row>
    <row r="232" spans="1:26" ht="12.75" x14ac:dyDescent="0.2">
      <c r="A232" s="605">
        <v>225</v>
      </c>
      <c r="B232" s="606" t="s">
        <v>337</v>
      </c>
      <c r="C232" s="607" t="s">
        <v>1185</v>
      </c>
      <c r="D232" s="608" t="s">
        <v>1186</v>
      </c>
      <c r="E232" s="609" t="s">
        <v>336</v>
      </c>
      <c r="F232">
        <v>938010.30000000075</v>
      </c>
      <c r="G232">
        <v>36634067</v>
      </c>
      <c r="H232">
        <v>-236960</v>
      </c>
      <c r="I232">
        <v>0</v>
      </c>
      <c r="J232">
        <v>453569</v>
      </c>
      <c r="K232">
        <v>-2006053</v>
      </c>
      <c r="L232">
        <v>34844623</v>
      </c>
      <c r="M232">
        <v>358321</v>
      </c>
      <c r="N232">
        <v>0</v>
      </c>
      <c r="O232">
        <v>0</v>
      </c>
      <c r="P232">
        <v>358321</v>
      </c>
      <c r="Q232">
        <v>-120785</v>
      </c>
      <c r="R232">
        <v>-17361233</v>
      </c>
      <c r="S232">
        <v>-3472247</v>
      </c>
      <c r="T232">
        <v>-13888987</v>
      </c>
      <c r="U232">
        <v>-159224</v>
      </c>
      <c r="V232">
        <v>0</v>
      </c>
      <c r="W232">
        <v>-553533</v>
      </c>
      <c r="X232">
        <v>-35556009</v>
      </c>
      <c r="Y232" s="661">
        <v>584945.29999999702</v>
      </c>
      <c r="Z232" t="s">
        <v>1883</v>
      </c>
    </row>
    <row r="233" spans="1:26" ht="12.75" x14ac:dyDescent="0.2">
      <c r="A233" s="605">
        <v>226</v>
      </c>
      <c r="B233" s="606" t="s">
        <v>339</v>
      </c>
      <c r="C233" s="607" t="s">
        <v>1192</v>
      </c>
      <c r="D233" s="608" t="s">
        <v>1193</v>
      </c>
      <c r="E233" s="609" t="s">
        <v>338</v>
      </c>
      <c r="F233">
        <v>16880945</v>
      </c>
      <c r="G233">
        <v>218650115</v>
      </c>
      <c r="H233">
        <v>0</v>
      </c>
      <c r="I233">
        <v>-4430655</v>
      </c>
      <c r="J233">
        <v>2008000</v>
      </c>
      <c r="K233">
        <v>-9532557</v>
      </c>
      <c r="L233">
        <v>206694903</v>
      </c>
      <c r="M233">
        <v>939421</v>
      </c>
      <c r="N233">
        <v>0</v>
      </c>
      <c r="O233">
        <v>0</v>
      </c>
      <c r="P233">
        <v>939421</v>
      </c>
      <c r="Q233">
        <v>-5339566</v>
      </c>
      <c r="R233">
        <v>-99471460</v>
      </c>
      <c r="S233">
        <v>-1989429</v>
      </c>
      <c r="T233">
        <v>-97482030</v>
      </c>
      <c r="U233">
        <v>-3346495</v>
      </c>
      <c r="V233">
        <v>0</v>
      </c>
      <c r="W233">
        <v>-7822687</v>
      </c>
      <c r="X233">
        <v>-215451667</v>
      </c>
      <c r="Y233" s="661">
        <v>9063602</v>
      </c>
      <c r="Z233" t="s">
        <v>1884</v>
      </c>
    </row>
    <row r="234" spans="1:26" ht="12.75" x14ac:dyDescent="0.2">
      <c r="A234" s="605">
        <v>227</v>
      </c>
      <c r="B234" s="606" t="s">
        <v>343</v>
      </c>
      <c r="C234" s="607" t="s">
        <v>524</v>
      </c>
      <c r="D234" s="608" t="s">
        <v>1195</v>
      </c>
      <c r="E234" s="609" t="s">
        <v>342</v>
      </c>
      <c r="F234">
        <v>-2211157</v>
      </c>
      <c r="G234">
        <v>84113320</v>
      </c>
      <c r="H234">
        <v>0</v>
      </c>
      <c r="I234">
        <v>-457865</v>
      </c>
      <c r="J234">
        <v>1777623</v>
      </c>
      <c r="K234">
        <v>-4188031</v>
      </c>
      <c r="L234">
        <v>81245047</v>
      </c>
      <c r="M234">
        <v>2529514</v>
      </c>
      <c r="N234">
        <v>0</v>
      </c>
      <c r="O234">
        <v>1756682</v>
      </c>
      <c r="P234">
        <v>4286196</v>
      </c>
      <c r="Q234">
        <v>0</v>
      </c>
      <c r="R234">
        <v>-40872372</v>
      </c>
      <c r="S234">
        <v>-817447</v>
      </c>
      <c r="T234">
        <v>-40054924</v>
      </c>
      <c r="U234">
        <v>-1129353</v>
      </c>
      <c r="V234">
        <v>0</v>
      </c>
      <c r="W234">
        <v>0</v>
      </c>
      <c r="X234">
        <v>-82874096</v>
      </c>
      <c r="Y234" s="661">
        <v>445990</v>
      </c>
      <c r="Z234" t="s">
        <v>1885</v>
      </c>
    </row>
    <row r="235" spans="1:26" ht="12.75" x14ac:dyDescent="0.2">
      <c r="A235" s="605">
        <v>228</v>
      </c>
      <c r="B235" s="606" t="s">
        <v>345</v>
      </c>
      <c r="C235" s="607" t="s">
        <v>524</v>
      </c>
      <c r="D235" s="608" t="s">
        <v>1186</v>
      </c>
      <c r="E235" s="609" t="s">
        <v>535</v>
      </c>
      <c r="F235">
        <v>2505793</v>
      </c>
      <c r="G235">
        <v>109409331</v>
      </c>
      <c r="H235">
        <v>0</v>
      </c>
      <c r="I235">
        <v>0</v>
      </c>
      <c r="J235">
        <v>3929943</v>
      </c>
      <c r="K235">
        <v>-4530000</v>
      </c>
      <c r="L235">
        <v>108809274</v>
      </c>
      <c r="M235">
        <v>0</v>
      </c>
      <c r="N235">
        <v>0</v>
      </c>
      <c r="O235">
        <v>0</v>
      </c>
      <c r="P235">
        <v>0</v>
      </c>
      <c r="Q235">
        <v>-1046140</v>
      </c>
      <c r="R235">
        <v>0</v>
      </c>
      <c r="S235">
        <v>-1057225</v>
      </c>
      <c r="T235">
        <v>-106941728</v>
      </c>
      <c r="U235">
        <v>0</v>
      </c>
      <c r="V235">
        <v>0</v>
      </c>
      <c r="W235">
        <v>-339072</v>
      </c>
      <c r="X235">
        <v>-109384165</v>
      </c>
      <c r="Y235" s="661">
        <v>1930902</v>
      </c>
      <c r="Z235" t="s">
        <v>1886</v>
      </c>
    </row>
    <row r="236" spans="1:26" ht="12.75" x14ac:dyDescent="0.2">
      <c r="A236" s="605">
        <v>229</v>
      </c>
      <c r="B236" s="606" t="s">
        <v>347</v>
      </c>
      <c r="C236" s="607" t="s">
        <v>1192</v>
      </c>
      <c r="D236" s="608" t="s">
        <v>1195</v>
      </c>
      <c r="E236" s="609" t="s">
        <v>346</v>
      </c>
      <c r="F236">
        <v>2096076.5</v>
      </c>
      <c r="G236">
        <v>118529067</v>
      </c>
      <c r="H236">
        <v>0</v>
      </c>
      <c r="I236">
        <v>-824481</v>
      </c>
      <c r="J236">
        <v>1144976</v>
      </c>
      <c r="K236">
        <v>1100620</v>
      </c>
      <c r="L236">
        <v>119950182</v>
      </c>
      <c r="M236">
        <v>0</v>
      </c>
      <c r="N236">
        <v>0</v>
      </c>
      <c r="O236">
        <v>0</v>
      </c>
      <c r="P236">
        <v>0</v>
      </c>
      <c r="Q236">
        <v>-1282864</v>
      </c>
      <c r="R236">
        <v>0</v>
      </c>
      <c r="S236">
        <v>-1143578</v>
      </c>
      <c r="T236">
        <v>-113214192</v>
      </c>
      <c r="U236">
        <v>-251319</v>
      </c>
      <c r="V236">
        <v>0</v>
      </c>
      <c r="W236">
        <v>-1028074</v>
      </c>
      <c r="X236">
        <v>-116920027</v>
      </c>
      <c r="Y236" s="661">
        <v>5126231.5</v>
      </c>
      <c r="Z236" t="s">
        <v>1887</v>
      </c>
    </row>
    <row r="237" spans="1:26" ht="12.75" x14ac:dyDescent="0.2">
      <c r="A237" s="605">
        <v>230</v>
      </c>
      <c r="B237" s="606" t="s">
        <v>1130</v>
      </c>
      <c r="C237" s="607" t="s">
        <v>1185</v>
      </c>
      <c r="D237" s="608" t="s">
        <v>1194</v>
      </c>
      <c r="E237" s="609" t="s">
        <v>1129</v>
      </c>
      <c r="F237">
        <v>2036329.5199999996</v>
      </c>
      <c r="G237">
        <v>59791111</v>
      </c>
      <c r="H237">
        <v>0</v>
      </c>
      <c r="I237">
        <v>-133211</v>
      </c>
      <c r="J237">
        <v>0</v>
      </c>
      <c r="K237">
        <v>0</v>
      </c>
      <c r="L237">
        <v>59657900</v>
      </c>
      <c r="M237">
        <v>0</v>
      </c>
      <c r="N237">
        <v>0</v>
      </c>
      <c r="O237">
        <v>0</v>
      </c>
      <c r="P237">
        <v>0</v>
      </c>
      <c r="Q237">
        <v>-193185</v>
      </c>
      <c r="R237">
        <v>-14259983</v>
      </c>
      <c r="S237">
        <v>-17682377</v>
      </c>
      <c r="T237">
        <v>-25097568</v>
      </c>
      <c r="U237">
        <v>-206288</v>
      </c>
      <c r="V237">
        <v>-252094</v>
      </c>
      <c r="W237">
        <v>-3329763</v>
      </c>
      <c r="X237">
        <v>-61021258</v>
      </c>
      <c r="Y237" s="661">
        <v>672971.51999999583</v>
      </c>
      <c r="Z237" t="s">
        <v>1888</v>
      </c>
    </row>
    <row r="238" spans="1:26" ht="12.75" x14ac:dyDescent="0.2">
      <c r="A238" s="605">
        <v>231</v>
      </c>
      <c r="B238" s="606" t="s">
        <v>351</v>
      </c>
      <c r="C238" s="607" t="s">
        <v>1185</v>
      </c>
      <c r="D238" s="608" t="s">
        <v>1189</v>
      </c>
      <c r="E238" s="609" t="s">
        <v>350</v>
      </c>
      <c r="F238">
        <v>5332098</v>
      </c>
      <c r="G238">
        <v>91150671</v>
      </c>
      <c r="H238">
        <v>-11398</v>
      </c>
      <c r="I238">
        <v>-115283</v>
      </c>
      <c r="J238">
        <v>0</v>
      </c>
      <c r="K238">
        <v>-200542</v>
      </c>
      <c r="L238">
        <v>90823448</v>
      </c>
      <c r="M238">
        <v>0</v>
      </c>
      <c r="N238">
        <v>0</v>
      </c>
      <c r="O238">
        <v>0</v>
      </c>
      <c r="P238">
        <v>0</v>
      </c>
      <c r="Q238">
        <v>-202060</v>
      </c>
      <c r="R238">
        <v>-42406800</v>
      </c>
      <c r="S238">
        <v>-8481360</v>
      </c>
      <c r="T238">
        <v>-33925440</v>
      </c>
      <c r="U238">
        <v>-1706747</v>
      </c>
      <c r="V238">
        <v>0</v>
      </c>
      <c r="W238">
        <v>-8666557</v>
      </c>
      <c r="X238">
        <v>-95388964</v>
      </c>
      <c r="Y238" s="661">
        <v>766582</v>
      </c>
      <c r="Z238" t="s">
        <v>1889</v>
      </c>
    </row>
    <row r="239" spans="1:26" ht="12.75" x14ac:dyDescent="0.2">
      <c r="A239" s="605">
        <v>232</v>
      </c>
      <c r="B239" s="606" t="s">
        <v>353</v>
      </c>
      <c r="C239" s="607" t="s">
        <v>1185</v>
      </c>
      <c r="D239" s="608" t="s">
        <v>1188</v>
      </c>
      <c r="E239" s="609" t="s">
        <v>352</v>
      </c>
      <c r="F239">
        <v>-377320</v>
      </c>
      <c r="G239">
        <v>26609141</v>
      </c>
      <c r="H239">
        <v>-170042</v>
      </c>
      <c r="I239">
        <v>-60834</v>
      </c>
      <c r="J239">
        <v>0</v>
      </c>
      <c r="K239">
        <v>-268806</v>
      </c>
      <c r="L239">
        <v>26109459</v>
      </c>
      <c r="M239">
        <v>705466</v>
      </c>
      <c r="N239">
        <v>0</v>
      </c>
      <c r="O239">
        <v>472785</v>
      </c>
      <c r="P239">
        <v>1178251</v>
      </c>
      <c r="Q239">
        <v>0</v>
      </c>
      <c r="R239">
        <v>-13397828</v>
      </c>
      <c r="S239">
        <v>-2679566</v>
      </c>
      <c r="T239">
        <v>-10718262</v>
      </c>
      <c r="U239">
        <v>0</v>
      </c>
      <c r="V239">
        <v>-91209</v>
      </c>
      <c r="W239">
        <v>0</v>
      </c>
      <c r="X239">
        <v>-26886865</v>
      </c>
      <c r="Y239" s="661">
        <v>23525</v>
      </c>
      <c r="Z239" t="s">
        <v>1890</v>
      </c>
    </row>
    <row r="240" spans="1:26" ht="12.75" x14ac:dyDescent="0.2">
      <c r="A240" s="605">
        <v>233</v>
      </c>
      <c r="B240" s="606" t="s">
        <v>355</v>
      </c>
      <c r="C240" s="607" t="s">
        <v>524</v>
      </c>
      <c r="D240" s="608" t="s">
        <v>1194</v>
      </c>
      <c r="E240" s="609" t="s">
        <v>527</v>
      </c>
      <c r="F240">
        <v>1124591</v>
      </c>
      <c r="G240">
        <v>148205443</v>
      </c>
      <c r="H240">
        <v>0</v>
      </c>
      <c r="I240">
        <v>-350000</v>
      </c>
      <c r="J240">
        <v>6806576</v>
      </c>
      <c r="K240">
        <v>-7859776</v>
      </c>
      <c r="L240">
        <v>146802243</v>
      </c>
      <c r="M240">
        <v>0</v>
      </c>
      <c r="N240">
        <v>0</v>
      </c>
      <c r="O240">
        <v>0</v>
      </c>
      <c r="P240">
        <v>0</v>
      </c>
      <c r="Q240">
        <v>-2283056</v>
      </c>
      <c r="R240">
        <v>0</v>
      </c>
      <c r="S240">
        <v>-7798596</v>
      </c>
      <c r="T240">
        <v>-122178007</v>
      </c>
      <c r="U240">
        <v>-14629676</v>
      </c>
      <c r="V240">
        <v>-2486084</v>
      </c>
      <c r="W240">
        <v>-1024170</v>
      </c>
      <c r="X240">
        <v>-150399589</v>
      </c>
      <c r="Y240" s="661">
        <v>-2472755</v>
      </c>
      <c r="Z240" t="s">
        <v>1891</v>
      </c>
    </row>
    <row r="241" spans="1:26" ht="12.75" x14ac:dyDescent="0.2">
      <c r="A241" s="605">
        <v>234</v>
      </c>
      <c r="B241" s="606" t="s">
        <v>357</v>
      </c>
      <c r="C241" s="607" t="s">
        <v>1185</v>
      </c>
      <c r="D241" s="608" t="s">
        <v>1194</v>
      </c>
      <c r="E241" s="609" t="s">
        <v>356</v>
      </c>
      <c r="F241">
        <v>2035419</v>
      </c>
      <c r="G241">
        <v>30272852</v>
      </c>
      <c r="H241">
        <v>0</v>
      </c>
      <c r="I241">
        <v>-276993</v>
      </c>
      <c r="J241">
        <v>228050</v>
      </c>
      <c r="K241">
        <v>-1186789</v>
      </c>
      <c r="L241">
        <v>29037120</v>
      </c>
      <c r="M241">
        <v>757108</v>
      </c>
      <c r="N241">
        <v>0</v>
      </c>
      <c r="O241">
        <v>0</v>
      </c>
      <c r="P241">
        <v>757108</v>
      </c>
      <c r="Q241">
        <v>-389690</v>
      </c>
      <c r="R241">
        <v>-13855982</v>
      </c>
      <c r="S241">
        <v>-2771197</v>
      </c>
      <c r="T241">
        <v>-11084786</v>
      </c>
      <c r="U241">
        <v>-204380</v>
      </c>
      <c r="V241">
        <v>0</v>
      </c>
      <c r="W241">
        <v>-1488545</v>
      </c>
      <c r="X241">
        <v>-29794580</v>
      </c>
      <c r="Y241" s="661">
        <v>2035067</v>
      </c>
      <c r="Z241" t="s">
        <v>1892</v>
      </c>
    </row>
    <row r="242" spans="1:26" ht="12.75" x14ac:dyDescent="0.2">
      <c r="A242" s="605">
        <v>235</v>
      </c>
      <c r="B242" s="606" t="s">
        <v>359</v>
      </c>
      <c r="C242" s="607" t="s">
        <v>1185</v>
      </c>
      <c r="D242" s="608" t="s">
        <v>1188</v>
      </c>
      <c r="E242" s="609" t="s">
        <v>358</v>
      </c>
      <c r="F242">
        <v>2088318</v>
      </c>
      <c r="G242">
        <v>26893056</v>
      </c>
      <c r="H242">
        <v>0</v>
      </c>
      <c r="I242">
        <v>-306819</v>
      </c>
      <c r="J242">
        <v>21173</v>
      </c>
      <c r="K242">
        <v>-369173</v>
      </c>
      <c r="L242">
        <v>26238237</v>
      </c>
      <c r="M242">
        <v>0</v>
      </c>
      <c r="N242">
        <v>0</v>
      </c>
      <c r="O242">
        <v>0</v>
      </c>
      <c r="P242">
        <v>0</v>
      </c>
      <c r="Q242">
        <v>-2793004</v>
      </c>
      <c r="R242">
        <v>-12019017</v>
      </c>
      <c r="S242">
        <v>-2403803</v>
      </c>
      <c r="T242">
        <v>-9615213</v>
      </c>
      <c r="U242">
        <v>0</v>
      </c>
      <c r="V242">
        <v>-446370</v>
      </c>
      <c r="W242">
        <v>-2111999</v>
      </c>
      <c r="X242">
        <v>-29389406</v>
      </c>
      <c r="Y242" s="661">
        <v>-1062851</v>
      </c>
      <c r="Z242" t="s">
        <v>1893</v>
      </c>
    </row>
    <row r="243" spans="1:26" ht="12.75" x14ac:dyDescent="0.2">
      <c r="A243" s="605">
        <v>236</v>
      </c>
      <c r="B243" s="606" t="s">
        <v>361</v>
      </c>
      <c r="C243" s="607" t="s">
        <v>1185</v>
      </c>
      <c r="D243" s="608" t="s">
        <v>1188</v>
      </c>
      <c r="E243" s="609" t="s">
        <v>360</v>
      </c>
      <c r="F243">
        <v>2589932.0000000014</v>
      </c>
      <c r="G243">
        <v>44376311</v>
      </c>
      <c r="H243">
        <v>0</v>
      </c>
      <c r="I243">
        <v>-231119</v>
      </c>
      <c r="J243">
        <v>647279</v>
      </c>
      <c r="K243">
        <v>-1775052</v>
      </c>
      <c r="L243">
        <v>43017419</v>
      </c>
      <c r="M243">
        <v>191359</v>
      </c>
      <c r="N243">
        <v>0</v>
      </c>
      <c r="O243">
        <v>0</v>
      </c>
      <c r="P243">
        <v>191359</v>
      </c>
      <c r="Q243">
        <v>0</v>
      </c>
      <c r="R243">
        <v>-20687020</v>
      </c>
      <c r="S243">
        <v>-4137404</v>
      </c>
      <c r="T243">
        <v>-16549616</v>
      </c>
      <c r="U243">
        <v>-175681</v>
      </c>
      <c r="V243">
        <v>0</v>
      </c>
      <c r="W243">
        <v>-2306721</v>
      </c>
      <c r="X243">
        <v>-43856442</v>
      </c>
      <c r="Y243" s="661">
        <v>1942268</v>
      </c>
      <c r="Z243" t="s">
        <v>1894</v>
      </c>
    </row>
    <row r="244" spans="1:26" ht="12.75" x14ac:dyDescent="0.2">
      <c r="A244" s="605">
        <v>237</v>
      </c>
      <c r="B244" s="606" t="s">
        <v>363</v>
      </c>
      <c r="C244" s="607" t="s">
        <v>1185</v>
      </c>
      <c r="D244" s="608" t="s">
        <v>1187</v>
      </c>
      <c r="E244" s="609" t="s">
        <v>362</v>
      </c>
      <c r="F244">
        <v>1840119</v>
      </c>
      <c r="G244">
        <v>43756317</v>
      </c>
      <c r="H244">
        <v>0</v>
      </c>
      <c r="I244">
        <v>-443910</v>
      </c>
      <c r="J244">
        <v>737250</v>
      </c>
      <c r="K244">
        <v>-737250</v>
      </c>
      <c r="L244">
        <v>43312407</v>
      </c>
      <c r="M244">
        <v>0</v>
      </c>
      <c r="N244">
        <v>0</v>
      </c>
      <c r="O244">
        <v>0</v>
      </c>
      <c r="P244">
        <v>0</v>
      </c>
      <c r="Q244">
        <v>0</v>
      </c>
      <c r="R244">
        <v>-21304126</v>
      </c>
      <c r="S244">
        <v>-4260825</v>
      </c>
      <c r="T244">
        <v>-17043301</v>
      </c>
      <c r="U244">
        <v>-301048</v>
      </c>
      <c r="V244">
        <v>0</v>
      </c>
      <c r="W244">
        <v>-895293</v>
      </c>
      <c r="X244">
        <v>-43804593</v>
      </c>
      <c r="Y244" s="661">
        <v>1347933</v>
      </c>
      <c r="Z244" t="s">
        <v>1895</v>
      </c>
    </row>
    <row r="245" spans="1:26" ht="12.75" x14ac:dyDescent="0.2">
      <c r="A245" s="605">
        <v>238</v>
      </c>
      <c r="B245" s="606" t="s">
        <v>365</v>
      </c>
      <c r="C245" s="607" t="s">
        <v>1185</v>
      </c>
      <c r="D245" s="608" t="s">
        <v>1189</v>
      </c>
      <c r="E245" s="609" t="s">
        <v>364</v>
      </c>
      <c r="F245">
        <v>-285763</v>
      </c>
      <c r="G245">
        <v>31868441</v>
      </c>
      <c r="H245">
        <v>0</v>
      </c>
      <c r="I245">
        <v>208000</v>
      </c>
      <c r="J245">
        <v>393761</v>
      </c>
      <c r="K245">
        <v>-207800</v>
      </c>
      <c r="L245">
        <v>32262402</v>
      </c>
      <c r="M245">
        <v>151443</v>
      </c>
      <c r="N245">
        <v>0</v>
      </c>
      <c r="O245">
        <v>0</v>
      </c>
      <c r="P245">
        <v>151443</v>
      </c>
      <c r="Q245">
        <v>0</v>
      </c>
      <c r="R245">
        <v>-7239581</v>
      </c>
      <c r="S245">
        <v>-9811133</v>
      </c>
      <c r="T245">
        <v>-13465510</v>
      </c>
      <c r="U245">
        <v>-206238</v>
      </c>
      <c r="V245">
        <v>0</v>
      </c>
      <c r="W245">
        <v>-1719678</v>
      </c>
      <c r="X245">
        <v>-32442140</v>
      </c>
      <c r="Y245" s="661">
        <v>-314058</v>
      </c>
      <c r="Z245" t="s">
        <v>1896</v>
      </c>
    </row>
    <row r="246" spans="1:26" ht="12.75" x14ac:dyDescent="0.2">
      <c r="A246" s="605">
        <v>239</v>
      </c>
      <c r="B246" s="606" t="s">
        <v>367</v>
      </c>
      <c r="C246" s="607" t="s">
        <v>1185</v>
      </c>
      <c r="D246" s="608" t="s">
        <v>1188</v>
      </c>
      <c r="E246" s="609" t="s">
        <v>366</v>
      </c>
      <c r="F246">
        <v>802673.10000000149</v>
      </c>
      <c r="G246">
        <v>24717835</v>
      </c>
      <c r="H246">
        <v>0</v>
      </c>
      <c r="I246">
        <v>-139836</v>
      </c>
      <c r="J246">
        <v>141708</v>
      </c>
      <c r="K246">
        <v>-531905</v>
      </c>
      <c r="L246">
        <v>24187802</v>
      </c>
      <c r="M246">
        <v>276734</v>
      </c>
      <c r="N246">
        <v>0</v>
      </c>
      <c r="O246">
        <v>0</v>
      </c>
      <c r="P246">
        <v>276734</v>
      </c>
      <c r="Q246">
        <v>0</v>
      </c>
      <c r="R246">
        <v>-5951481</v>
      </c>
      <c r="S246">
        <v>-8332072</v>
      </c>
      <c r="T246">
        <v>-9522368</v>
      </c>
      <c r="U246">
        <v>-440680</v>
      </c>
      <c r="V246">
        <v>-748</v>
      </c>
      <c r="W246">
        <v>-519971</v>
      </c>
      <c r="X246">
        <v>-24767320</v>
      </c>
      <c r="Y246" s="661">
        <v>499889.10000000149</v>
      </c>
      <c r="Z246" t="s">
        <v>1897</v>
      </c>
    </row>
    <row r="247" spans="1:26" ht="12.75" x14ac:dyDescent="0.2">
      <c r="A247" s="605">
        <v>240</v>
      </c>
      <c r="B247" s="606" t="s">
        <v>369</v>
      </c>
      <c r="C247" s="607" t="s">
        <v>1185</v>
      </c>
      <c r="D247" s="608" t="s">
        <v>1186</v>
      </c>
      <c r="E247" s="609" t="s">
        <v>368</v>
      </c>
      <c r="F247">
        <v>-461020</v>
      </c>
      <c r="G247">
        <v>45359839</v>
      </c>
      <c r="H247">
        <v>0</v>
      </c>
      <c r="I247">
        <v>-613888</v>
      </c>
      <c r="J247">
        <v>761787</v>
      </c>
      <c r="K247">
        <v>-2652948</v>
      </c>
      <c r="L247">
        <v>42854790</v>
      </c>
      <c r="M247">
        <v>600527</v>
      </c>
      <c r="N247">
        <v>0</v>
      </c>
      <c r="O247">
        <v>29805</v>
      </c>
      <c r="P247">
        <v>630332</v>
      </c>
      <c r="Q247">
        <v>0</v>
      </c>
      <c r="R247">
        <v>-21653101</v>
      </c>
      <c r="S247">
        <v>-4330620</v>
      </c>
      <c r="T247">
        <v>-17322481</v>
      </c>
      <c r="U247">
        <v>-301259</v>
      </c>
      <c r="V247">
        <v>0</v>
      </c>
      <c r="W247">
        <v>0</v>
      </c>
      <c r="X247">
        <v>-43607461</v>
      </c>
      <c r="Y247" s="661">
        <v>-583359</v>
      </c>
      <c r="Z247" t="s">
        <v>1898</v>
      </c>
    </row>
    <row r="248" spans="1:26" ht="12.75" x14ac:dyDescent="0.2">
      <c r="A248" s="605">
        <v>241</v>
      </c>
      <c r="B248" s="606" t="s">
        <v>371</v>
      </c>
      <c r="C248" s="607" t="s">
        <v>1185</v>
      </c>
      <c r="D248" s="608" t="s">
        <v>1187</v>
      </c>
      <c r="E248" s="609" t="s">
        <v>370</v>
      </c>
      <c r="F248">
        <v>337528</v>
      </c>
      <c r="G248">
        <v>36960445</v>
      </c>
      <c r="H248">
        <v>0</v>
      </c>
      <c r="I248">
        <v>-369119</v>
      </c>
      <c r="J248">
        <v>133503</v>
      </c>
      <c r="K248">
        <v>-1905274</v>
      </c>
      <c r="L248">
        <v>34819555</v>
      </c>
      <c r="M248">
        <v>0</v>
      </c>
      <c r="N248">
        <v>0</v>
      </c>
      <c r="O248">
        <v>0</v>
      </c>
      <c r="P248">
        <v>0</v>
      </c>
      <c r="Q248">
        <v>-286068</v>
      </c>
      <c r="R248">
        <v>-8524625</v>
      </c>
      <c r="S248">
        <v>-6478716</v>
      </c>
      <c r="T248">
        <v>-19095162</v>
      </c>
      <c r="U248">
        <v>-281095</v>
      </c>
      <c r="V248">
        <v>0</v>
      </c>
      <c r="W248">
        <v>-461767</v>
      </c>
      <c r="X248">
        <v>-35127433</v>
      </c>
      <c r="Y248" s="661">
        <v>29650</v>
      </c>
      <c r="Z248" t="s">
        <v>1899</v>
      </c>
    </row>
    <row r="249" spans="1:26" ht="12.75" x14ac:dyDescent="0.2">
      <c r="A249" s="605">
        <v>242</v>
      </c>
      <c r="B249" s="606" t="s">
        <v>373</v>
      </c>
      <c r="C249" s="607" t="s">
        <v>1185</v>
      </c>
      <c r="D249" s="608" t="s">
        <v>1194</v>
      </c>
      <c r="E249" s="609" t="s">
        <v>372</v>
      </c>
      <c r="F249">
        <v>2234798.299999997</v>
      </c>
      <c r="G249">
        <v>46552453</v>
      </c>
      <c r="H249">
        <v>0</v>
      </c>
      <c r="I249">
        <v>-841269</v>
      </c>
      <c r="J249">
        <v>318095</v>
      </c>
      <c r="K249">
        <v>1148539</v>
      </c>
      <c r="L249">
        <v>47177818</v>
      </c>
      <c r="M249">
        <v>875565</v>
      </c>
      <c r="N249">
        <v>91940</v>
      </c>
      <c r="O249">
        <v>0</v>
      </c>
      <c r="P249">
        <v>967505</v>
      </c>
      <c r="Q249">
        <v>-1035025</v>
      </c>
      <c r="R249">
        <v>-10800792</v>
      </c>
      <c r="S249">
        <v>-13392983</v>
      </c>
      <c r="T249">
        <v>-19009395</v>
      </c>
      <c r="U249">
        <v>-698354</v>
      </c>
      <c r="V249">
        <v>0</v>
      </c>
      <c r="W249">
        <v>-1484207</v>
      </c>
      <c r="X249">
        <v>-46420756</v>
      </c>
      <c r="Y249" s="661">
        <v>3959365.299999997</v>
      </c>
      <c r="Z249" t="s">
        <v>1900</v>
      </c>
    </row>
    <row r="250" spans="1:26" ht="12.75" x14ac:dyDescent="0.2">
      <c r="A250" s="605">
        <v>243</v>
      </c>
      <c r="B250" s="606" t="s">
        <v>375</v>
      </c>
      <c r="C250" s="607" t="s">
        <v>1185</v>
      </c>
      <c r="D250" s="608" t="s">
        <v>1195</v>
      </c>
      <c r="E250" s="609" t="s">
        <v>374</v>
      </c>
      <c r="F250">
        <v>418720</v>
      </c>
      <c r="G250">
        <v>27771308</v>
      </c>
      <c r="H250">
        <v>0</v>
      </c>
      <c r="I250">
        <v>12367</v>
      </c>
      <c r="J250">
        <v>862842</v>
      </c>
      <c r="K250">
        <v>-373067</v>
      </c>
      <c r="L250">
        <v>28273450</v>
      </c>
      <c r="M250">
        <v>183957</v>
      </c>
      <c r="N250">
        <v>0</v>
      </c>
      <c r="O250">
        <v>0</v>
      </c>
      <c r="P250">
        <v>183957</v>
      </c>
      <c r="Q250">
        <v>0</v>
      </c>
      <c r="R250">
        <v>-5336512</v>
      </c>
      <c r="S250">
        <v>-7698459</v>
      </c>
      <c r="T250">
        <v>-8798238</v>
      </c>
      <c r="U250">
        <v>-3814556</v>
      </c>
      <c r="V250">
        <v>-1403519</v>
      </c>
      <c r="W250">
        <v>-689365</v>
      </c>
      <c r="X250">
        <v>-27740649</v>
      </c>
      <c r="Y250" s="661">
        <v>1135478</v>
      </c>
      <c r="Z250" t="s">
        <v>1901</v>
      </c>
    </row>
    <row r="251" spans="1:26" ht="12.75" x14ac:dyDescent="0.2">
      <c r="A251" s="605">
        <v>244</v>
      </c>
      <c r="B251" s="606" t="s">
        <v>377</v>
      </c>
      <c r="C251" s="607" t="s">
        <v>1192</v>
      </c>
      <c r="D251" s="608" t="s">
        <v>1197</v>
      </c>
      <c r="E251" s="609" t="s">
        <v>376</v>
      </c>
      <c r="F251">
        <v>-1833727.42</v>
      </c>
      <c r="G251">
        <v>31200000</v>
      </c>
      <c r="H251">
        <v>-220000</v>
      </c>
      <c r="I251">
        <v>-80000</v>
      </c>
      <c r="J251">
        <v>1000000</v>
      </c>
      <c r="K251">
        <v>-1250000</v>
      </c>
      <c r="L251">
        <v>30650000</v>
      </c>
      <c r="M251">
        <v>500000</v>
      </c>
      <c r="N251">
        <v>144941</v>
      </c>
      <c r="O251">
        <v>1111366</v>
      </c>
      <c r="P251">
        <v>1756307</v>
      </c>
      <c r="Q251">
        <v>-1903000</v>
      </c>
      <c r="R251">
        <v>-14597402</v>
      </c>
      <c r="S251">
        <v>-291948</v>
      </c>
      <c r="T251">
        <v>-14305454</v>
      </c>
      <c r="U251">
        <v>-144941</v>
      </c>
      <c r="V251">
        <v>0</v>
      </c>
      <c r="W251">
        <v>0</v>
      </c>
      <c r="X251">
        <v>-31242745</v>
      </c>
      <c r="Y251" s="661">
        <v>-670165.42000000179</v>
      </c>
      <c r="Z251" t="s">
        <v>1902</v>
      </c>
    </row>
    <row r="252" spans="1:26" ht="12.75" x14ac:dyDescent="0.2">
      <c r="A252" s="605">
        <v>245</v>
      </c>
      <c r="B252" s="606" t="s">
        <v>379</v>
      </c>
      <c r="C252" s="607" t="s">
        <v>524</v>
      </c>
      <c r="D252" s="608" t="s">
        <v>1186</v>
      </c>
      <c r="E252" s="609" t="s">
        <v>574</v>
      </c>
      <c r="F252">
        <v>5364229</v>
      </c>
      <c r="G252">
        <v>111798385</v>
      </c>
      <c r="H252">
        <v>0</v>
      </c>
      <c r="I252">
        <v>-989991</v>
      </c>
      <c r="J252">
        <v>1722073</v>
      </c>
      <c r="K252">
        <v>-3268954</v>
      </c>
      <c r="L252">
        <v>109261513</v>
      </c>
      <c r="M252">
        <v>0</v>
      </c>
      <c r="N252">
        <v>0</v>
      </c>
      <c r="O252">
        <v>0</v>
      </c>
      <c r="P252">
        <v>0</v>
      </c>
      <c r="Q252">
        <v>-1932808</v>
      </c>
      <c r="R252">
        <v>-27195080</v>
      </c>
      <c r="S252">
        <v>-1087803</v>
      </c>
      <c r="T252">
        <v>-80497437</v>
      </c>
      <c r="U252">
        <v>-310046</v>
      </c>
      <c r="V252">
        <v>0</v>
      </c>
      <c r="W252">
        <v>-3098371</v>
      </c>
      <c r="X252">
        <v>-114121545</v>
      </c>
      <c r="Y252" s="661">
        <v>504197</v>
      </c>
      <c r="Z252" t="s">
        <v>1903</v>
      </c>
    </row>
    <row r="253" spans="1:26" ht="12.75" x14ac:dyDescent="0.2">
      <c r="A253" s="605">
        <v>246</v>
      </c>
      <c r="B253" s="606" t="s">
        <v>381</v>
      </c>
      <c r="C253" s="607" t="s">
        <v>524</v>
      </c>
      <c r="D253" s="608" t="s">
        <v>1189</v>
      </c>
      <c r="E253" s="609" t="s">
        <v>567</v>
      </c>
      <c r="F253">
        <v>83408.229999996722</v>
      </c>
      <c r="G253">
        <v>45571940</v>
      </c>
      <c r="H253">
        <v>-118139</v>
      </c>
      <c r="I253">
        <v>-386681</v>
      </c>
      <c r="J253">
        <v>1115960</v>
      </c>
      <c r="K253">
        <v>-2533632</v>
      </c>
      <c r="L253">
        <v>43649448</v>
      </c>
      <c r="M253">
        <v>668698</v>
      </c>
      <c r="N253">
        <v>0</v>
      </c>
      <c r="O253">
        <v>0</v>
      </c>
      <c r="P253">
        <v>668698</v>
      </c>
      <c r="Q253">
        <v>-1107529</v>
      </c>
      <c r="R253">
        <v>-21566733</v>
      </c>
      <c r="S253">
        <v>-431335</v>
      </c>
      <c r="T253">
        <v>-21135399</v>
      </c>
      <c r="U253">
        <v>-227876</v>
      </c>
      <c r="V253">
        <v>0</v>
      </c>
      <c r="W253">
        <v>-303956</v>
      </c>
      <c r="X253">
        <v>-44772828</v>
      </c>
      <c r="Y253" s="661">
        <v>-371273.77000000328</v>
      </c>
      <c r="Z253" t="s">
        <v>1904</v>
      </c>
    </row>
    <row r="254" spans="1:26" ht="12.75" x14ac:dyDescent="0.2">
      <c r="A254" s="605">
        <v>247</v>
      </c>
      <c r="B254" s="606" t="s">
        <v>383</v>
      </c>
      <c r="C254" s="607" t="s">
        <v>1196</v>
      </c>
      <c r="D254" s="608" t="s">
        <v>1191</v>
      </c>
      <c r="E254" s="609" t="s">
        <v>382</v>
      </c>
      <c r="F254">
        <v>-21901565</v>
      </c>
      <c r="G254">
        <v>316914121</v>
      </c>
      <c r="H254">
        <v>0</v>
      </c>
      <c r="I254">
        <v>-1000000</v>
      </c>
      <c r="J254">
        <v>6179674</v>
      </c>
      <c r="K254">
        <v>5553787</v>
      </c>
      <c r="L254">
        <v>327647582</v>
      </c>
      <c r="M254">
        <v>9851349</v>
      </c>
      <c r="N254">
        <v>0</v>
      </c>
      <c r="O254">
        <v>0</v>
      </c>
      <c r="P254">
        <v>9851349</v>
      </c>
      <c r="Q254">
        <v>0</v>
      </c>
      <c r="R254">
        <v>-84276782</v>
      </c>
      <c r="S254">
        <v>-91018925</v>
      </c>
      <c r="T254">
        <v>-161811422</v>
      </c>
      <c r="U254">
        <v>-756729</v>
      </c>
      <c r="V254">
        <v>0</v>
      </c>
      <c r="W254">
        <v>-3860896</v>
      </c>
      <c r="X254">
        <v>-341724754</v>
      </c>
      <c r="Y254" s="661">
        <v>-26127388</v>
      </c>
      <c r="Z254" t="s">
        <v>1905</v>
      </c>
    </row>
    <row r="255" spans="1:26" ht="12.75" x14ac:dyDescent="0.2">
      <c r="A255" s="605">
        <v>248</v>
      </c>
      <c r="B255" s="606" t="s">
        <v>385</v>
      </c>
      <c r="C255" s="607" t="s">
        <v>1185</v>
      </c>
      <c r="D255" s="608" t="s">
        <v>1186</v>
      </c>
      <c r="E255" s="609" t="s">
        <v>384</v>
      </c>
      <c r="F255">
        <v>3593506</v>
      </c>
      <c r="G255">
        <v>51556348</v>
      </c>
      <c r="H255">
        <v>0</v>
      </c>
      <c r="I255">
        <v>752600</v>
      </c>
      <c r="J255">
        <v>733014</v>
      </c>
      <c r="K255">
        <v>-500000</v>
      </c>
      <c r="L255">
        <v>52541962</v>
      </c>
      <c r="M255">
        <v>249333</v>
      </c>
      <c r="N255">
        <v>0</v>
      </c>
      <c r="O255">
        <v>0</v>
      </c>
      <c r="P255">
        <v>249333</v>
      </c>
      <c r="Q255">
        <v>0</v>
      </c>
      <c r="R255">
        <v>-25293481</v>
      </c>
      <c r="S255">
        <v>-5058696</v>
      </c>
      <c r="T255">
        <v>-20234784</v>
      </c>
      <c r="U255">
        <v>0</v>
      </c>
      <c r="V255">
        <v>-124363</v>
      </c>
      <c r="W255">
        <v>-4264840</v>
      </c>
      <c r="X255">
        <v>-54976164</v>
      </c>
      <c r="Y255" s="661">
        <v>1408637</v>
      </c>
      <c r="Z255" t="s">
        <v>1906</v>
      </c>
    </row>
    <row r="256" spans="1:26" ht="12.75" x14ac:dyDescent="0.2">
      <c r="A256" s="605">
        <v>249</v>
      </c>
      <c r="B256" s="606" t="s">
        <v>387</v>
      </c>
      <c r="C256" s="607" t="s">
        <v>1185</v>
      </c>
      <c r="D256" s="608" t="s">
        <v>1189</v>
      </c>
      <c r="E256" s="609" t="s">
        <v>386</v>
      </c>
      <c r="F256">
        <v>-5720713.299999997</v>
      </c>
      <c r="G256">
        <v>60084878</v>
      </c>
      <c r="H256">
        <v>0</v>
      </c>
      <c r="I256">
        <v>-76000</v>
      </c>
      <c r="J256">
        <v>1666957</v>
      </c>
      <c r="K256">
        <v>-115242</v>
      </c>
      <c r="L256">
        <v>61560593</v>
      </c>
      <c r="M256">
        <v>291405</v>
      </c>
      <c r="N256">
        <v>0</v>
      </c>
      <c r="O256">
        <v>0</v>
      </c>
      <c r="P256">
        <v>291405</v>
      </c>
      <c r="Q256">
        <v>-394791</v>
      </c>
      <c r="R256">
        <v>-14862707</v>
      </c>
      <c r="S256">
        <v>-23780332</v>
      </c>
      <c r="T256">
        <v>-20807790</v>
      </c>
      <c r="U256">
        <v>-257499</v>
      </c>
      <c r="V256">
        <v>0</v>
      </c>
      <c r="W256">
        <v>-3411838</v>
      </c>
      <c r="X256">
        <v>-63514957</v>
      </c>
      <c r="Y256" s="661">
        <v>-7383672.299999997</v>
      </c>
      <c r="Z256" t="s">
        <v>1907</v>
      </c>
    </row>
    <row r="257" spans="1:26" ht="12.75" x14ac:dyDescent="0.2">
      <c r="A257" s="605">
        <v>250</v>
      </c>
      <c r="B257" s="606" t="s">
        <v>389</v>
      </c>
      <c r="C257" s="607" t="s">
        <v>1192</v>
      </c>
      <c r="D257" s="608" t="s">
        <v>1187</v>
      </c>
      <c r="E257" s="609" t="s">
        <v>909</v>
      </c>
      <c r="F257">
        <v>1279729</v>
      </c>
      <c r="G257">
        <v>53240383</v>
      </c>
      <c r="H257">
        <v>-500000</v>
      </c>
      <c r="I257">
        <v>-700000</v>
      </c>
      <c r="J257">
        <v>106518</v>
      </c>
      <c r="K257">
        <v>709902</v>
      </c>
      <c r="L257">
        <v>52856803</v>
      </c>
      <c r="M257">
        <v>0</v>
      </c>
      <c r="N257">
        <v>0</v>
      </c>
      <c r="O257">
        <v>0</v>
      </c>
      <c r="P257">
        <v>0</v>
      </c>
      <c r="Q257">
        <v>-842722</v>
      </c>
      <c r="R257">
        <v>0</v>
      </c>
      <c r="S257">
        <v>-477071</v>
      </c>
      <c r="T257">
        <v>-47230016</v>
      </c>
      <c r="U257">
        <v>-185713</v>
      </c>
      <c r="V257">
        <v>0</v>
      </c>
      <c r="W257">
        <v>-908081</v>
      </c>
      <c r="X257">
        <v>-49643603</v>
      </c>
      <c r="Y257" s="661">
        <v>4492929</v>
      </c>
      <c r="Z257" t="s">
        <v>1908</v>
      </c>
    </row>
    <row r="258" spans="1:26" ht="12.75" x14ac:dyDescent="0.2">
      <c r="A258" s="605">
        <v>251</v>
      </c>
      <c r="B258" s="606" t="s">
        <v>391</v>
      </c>
      <c r="C258" s="607" t="s">
        <v>1185</v>
      </c>
      <c r="D258" s="608" t="s">
        <v>1195</v>
      </c>
      <c r="E258" s="609" t="s">
        <v>390</v>
      </c>
      <c r="F258">
        <v>-3757560.1700000027</v>
      </c>
      <c r="G258">
        <v>49665908</v>
      </c>
      <c r="H258">
        <v>0</v>
      </c>
      <c r="I258">
        <v>-350000</v>
      </c>
      <c r="J258">
        <v>8104066</v>
      </c>
      <c r="K258">
        <v>-1680600</v>
      </c>
      <c r="L258">
        <v>55739374</v>
      </c>
      <c r="M258">
        <v>0</v>
      </c>
      <c r="N258">
        <v>0</v>
      </c>
      <c r="O258">
        <v>0</v>
      </c>
      <c r="P258">
        <v>0</v>
      </c>
      <c r="Q258">
        <v>-621994</v>
      </c>
      <c r="R258">
        <v>-12604459</v>
      </c>
      <c r="S258">
        <v>-17646243</v>
      </c>
      <c r="T258">
        <v>-20167135</v>
      </c>
      <c r="U258">
        <v>0</v>
      </c>
      <c r="V258">
        <v>-173311</v>
      </c>
      <c r="W258">
        <v>-1554503</v>
      </c>
      <c r="X258">
        <v>-52767645</v>
      </c>
      <c r="Y258" s="661">
        <v>-785831.17000000179</v>
      </c>
      <c r="Z258" t="s">
        <v>1909</v>
      </c>
    </row>
    <row r="259" spans="1:26" ht="12.75" x14ac:dyDescent="0.2">
      <c r="A259" s="605">
        <v>252</v>
      </c>
      <c r="B259" s="606" t="s">
        <v>393</v>
      </c>
      <c r="C259" s="607" t="s">
        <v>1185</v>
      </c>
      <c r="D259" s="608" t="s">
        <v>1195</v>
      </c>
      <c r="E259" s="609" t="s">
        <v>392</v>
      </c>
      <c r="F259">
        <v>-792249.5</v>
      </c>
      <c r="G259">
        <v>20422261</v>
      </c>
      <c r="H259">
        <v>-48202</v>
      </c>
      <c r="I259">
        <v>-52738</v>
      </c>
      <c r="J259">
        <v>368961</v>
      </c>
      <c r="K259">
        <v>-798446</v>
      </c>
      <c r="L259">
        <v>19891836</v>
      </c>
      <c r="M259">
        <v>911200</v>
      </c>
      <c r="N259">
        <v>0</v>
      </c>
      <c r="O259">
        <v>666273</v>
      </c>
      <c r="P259">
        <v>1577473</v>
      </c>
      <c r="Q259">
        <v>0</v>
      </c>
      <c r="R259">
        <v>-4925660</v>
      </c>
      <c r="S259">
        <v>-6895922</v>
      </c>
      <c r="T259">
        <v>-7881054</v>
      </c>
      <c r="U259">
        <v>-112496</v>
      </c>
      <c r="V259">
        <v>0</v>
      </c>
      <c r="W259">
        <v>0</v>
      </c>
      <c r="X259">
        <v>-19815132</v>
      </c>
      <c r="Y259" s="661">
        <v>861927.5</v>
      </c>
      <c r="Z259" t="s">
        <v>1910</v>
      </c>
    </row>
    <row r="260" spans="1:26" ht="12.75" x14ac:dyDescent="0.2">
      <c r="A260" s="605">
        <v>253</v>
      </c>
      <c r="B260" s="606" t="s">
        <v>395</v>
      </c>
      <c r="C260" s="607" t="s">
        <v>1185</v>
      </c>
      <c r="D260" s="608" t="s">
        <v>1189</v>
      </c>
      <c r="E260" s="609" t="s">
        <v>394</v>
      </c>
      <c r="F260">
        <v>889116.5</v>
      </c>
      <c r="G260">
        <v>48568496</v>
      </c>
      <c r="H260">
        <v>0</v>
      </c>
      <c r="I260">
        <v>-250000</v>
      </c>
      <c r="J260">
        <v>230790</v>
      </c>
      <c r="K260">
        <v>-2430790</v>
      </c>
      <c r="L260">
        <v>46118496</v>
      </c>
      <c r="M260">
        <v>0</v>
      </c>
      <c r="N260">
        <v>0</v>
      </c>
      <c r="O260">
        <v>0</v>
      </c>
      <c r="P260">
        <v>0</v>
      </c>
      <c r="Q260">
        <v>-573478</v>
      </c>
      <c r="R260">
        <v>-11340878</v>
      </c>
      <c r="S260">
        <v>-18145406</v>
      </c>
      <c r="T260">
        <v>-15877230</v>
      </c>
      <c r="U260">
        <v>-110264</v>
      </c>
      <c r="V260">
        <v>0</v>
      </c>
      <c r="W260">
        <v>-952401</v>
      </c>
      <c r="X260">
        <v>-46999657</v>
      </c>
      <c r="Y260" s="661">
        <v>7955.5</v>
      </c>
      <c r="Z260" t="s">
        <v>1911</v>
      </c>
    </row>
    <row r="261" spans="1:26" ht="12.75" x14ac:dyDescent="0.2">
      <c r="A261" s="605">
        <v>254</v>
      </c>
      <c r="B261" s="606" t="s">
        <v>397</v>
      </c>
      <c r="C261" s="607" t="s">
        <v>1192</v>
      </c>
      <c r="D261" s="608" t="s">
        <v>1187</v>
      </c>
      <c r="E261" s="609" t="s">
        <v>396</v>
      </c>
      <c r="F261">
        <v>1427623.9699999988</v>
      </c>
      <c r="G261">
        <v>90288000</v>
      </c>
      <c r="H261">
        <v>0</v>
      </c>
      <c r="I261">
        <v>-2221000</v>
      </c>
      <c r="J261">
        <v>0</v>
      </c>
      <c r="K261">
        <v>-4542000</v>
      </c>
      <c r="L261">
        <v>83525000</v>
      </c>
      <c r="M261">
        <v>0</v>
      </c>
      <c r="N261">
        <v>0</v>
      </c>
      <c r="O261">
        <v>0</v>
      </c>
      <c r="P261">
        <v>0</v>
      </c>
      <c r="Q261">
        <v>-3659791</v>
      </c>
      <c r="R261">
        <v>0</v>
      </c>
      <c r="S261">
        <v>-787886</v>
      </c>
      <c r="T261">
        <v>-78000746</v>
      </c>
      <c r="U261">
        <v>-429209</v>
      </c>
      <c r="V261">
        <v>0</v>
      </c>
      <c r="W261">
        <v>-133493</v>
      </c>
      <c r="X261">
        <v>-83011125</v>
      </c>
      <c r="Y261" s="661">
        <v>1941498.9699999988</v>
      </c>
      <c r="Z261" t="s">
        <v>1912</v>
      </c>
    </row>
    <row r="262" spans="1:26" ht="12.75" x14ac:dyDescent="0.2">
      <c r="A262" s="605">
        <v>255</v>
      </c>
      <c r="B262" s="606" t="s">
        <v>399</v>
      </c>
      <c r="C262" s="607" t="s">
        <v>524</v>
      </c>
      <c r="D262" s="608" t="s">
        <v>1197</v>
      </c>
      <c r="E262" s="609" t="s">
        <v>550</v>
      </c>
      <c r="F262">
        <v>-436221.5</v>
      </c>
      <c r="G262">
        <v>84866407</v>
      </c>
      <c r="H262">
        <v>0</v>
      </c>
      <c r="I262">
        <v>0</v>
      </c>
      <c r="J262">
        <v>927631</v>
      </c>
      <c r="K262">
        <v>-3827731</v>
      </c>
      <c r="L262">
        <v>81966307</v>
      </c>
      <c r="M262">
        <v>0</v>
      </c>
      <c r="N262">
        <v>0</v>
      </c>
      <c r="O262">
        <v>604703</v>
      </c>
      <c r="P262">
        <v>604703</v>
      </c>
      <c r="Q262">
        <v>-2907386</v>
      </c>
      <c r="R262">
        <v>-39948523</v>
      </c>
      <c r="S262">
        <v>-800400</v>
      </c>
      <c r="T262">
        <v>-39219605</v>
      </c>
      <c r="U262">
        <v>-167005</v>
      </c>
      <c r="V262">
        <v>-428814</v>
      </c>
      <c r="W262">
        <v>0</v>
      </c>
      <c r="X262">
        <v>-83471733</v>
      </c>
      <c r="Y262" s="661">
        <v>-1336944.5</v>
      </c>
      <c r="Z262" t="s">
        <v>1913</v>
      </c>
    </row>
    <row r="263" spans="1:26" ht="12.75" x14ac:dyDescent="0.2">
      <c r="A263" s="605">
        <v>256</v>
      </c>
      <c r="B263" s="606" t="s">
        <v>401</v>
      </c>
      <c r="C263" s="607" t="s">
        <v>524</v>
      </c>
      <c r="D263" s="608" t="s">
        <v>1195</v>
      </c>
      <c r="E263" s="609" t="s">
        <v>607</v>
      </c>
      <c r="F263">
        <v>-5262285</v>
      </c>
      <c r="G263">
        <v>91067730</v>
      </c>
      <c r="H263">
        <v>0</v>
      </c>
      <c r="I263">
        <v>-1290108</v>
      </c>
      <c r="J263">
        <v>0</v>
      </c>
      <c r="K263">
        <v>-1000000</v>
      </c>
      <c r="L263">
        <v>88777622</v>
      </c>
      <c r="M263">
        <v>0</v>
      </c>
      <c r="N263">
        <v>0</v>
      </c>
      <c r="O263">
        <v>4284791</v>
      </c>
      <c r="P263">
        <v>4284791</v>
      </c>
      <c r="Q263">
        <v>0</v>
      </c>
      <c r="R263">
        <v>-22812108</v>
      </c>
      <c r="S263">
        <v>-914825</v>
      </c>
      <c r="T263">
        <v>-67697026</v>
      </c>
      <c r="U263">
        <v>0</v>
      </c>
      <c r="V263">
        <v>0</v>
      </c>
      <c r="W263">
        <v>0</v>
      </c>
      <c r="X263">
        <v>-91423959</v>
      </c>
      <c r="Y263" s="661">
        <v>-3623831</v>
      </c>
      <c r="Z263" t="s">
        <v>1914</v>
      </c>
    </row>
    <row r="264" spans="1:26" ht="12.75" x14ac:dyDescent="0.2">
      <c r="A264" s="605">
        <v>257</v>
      </c>
      <c r="B264" s="606" t="s">
        <v>403</v>
      </c>
      <c r="C264" s="607" t="s">
        <v>1185</v>
      </c>
      <c r="D264" s="608" t="s">
        <v>1195</v>
      </c>
      <c r="E264" s="609" t="s">
        <v>402</v>
      </c>
      <c r="F264">
        <v>-7324161</v>
      </c>
      <c r="G264">
        <v>57586767</v>
      </c>
      <c r="H264">
        <v>0</v>
      </c>
      <c r="I264">
        <v>89584</v>
      </c>
      <c r="J264">
        <v>0</v>
      </c>
      <c r="K264">
        <v>-3200000</v>
      </c>
      <c r="L264">
        <v>54476351</v>
      </c>
      <c r="M264">
        <v>31427</v>
      </c>
      <c r="N264">
        <v>0</v>
      </c>
      <c r="O264">
        <v>5932130</v>
      </c>
      <c r="P264">
        <v>5963557</v>
      </c>
      <c r="Q264">
        <v>0</v>
      </c>
      <c r="R264">
        <v>-27066169</v>
      </c>
      <c r="S264">
        <v>-5413234</v>
      </c>
      <c r="T264">
        <v>-21652936</v>
      </c>
      <c r="U264">
        <v>-228473</v>
      </c>
      <c r="V264">
        <v>0</v>
      </c>
      <c r="W264">
        <v>0</v>
      </c>
      <c r="X264">
        <v>-54360812</v>
      </c>
      <c r="Y264" s="661">
        <v>-1245065</v>
      </c>
      <c r="Z264" t="s">
        <v>1915</v>
      </c>
    </row>
    <row r="265" spans="1:26" ht="12.75" x14ac:dyDescent="0.2">
      <c r="A265" s="605">
        <v>258</v>
      </c>
      <c r="B265" s="606" t="s">
        <v>405</v>
      </c>
      <c r="C265" s="607" t="s">
        <v>1185</v>
      </c>
      <c r="D265" s="608" t="s">
        <v>1194</v>
      </c>
      <c r="E265" s="609" t="s">
        <v>404</v>
      </c>
      <c r="F265">
        <v>350134</v>
      </c>
      <c r="G265">
        <v>29447034</v>
      </c>
      <c r="H265">
        <v>0</v>
      </c>
      <c r="I265">
        <v>24000</v>
      </c>
      <c r="J265">
        <v>105000</v>
      </c>
      <c r="K265">
        <v>-1064000</v>
      </c>
      <c r="L265">
        <v>28512034</v>
      </c>
      <c r="M265">
        <v>204171</v>
      </c>
      <c r="N265">
        <v>0</v>
      </c>
      <c r="O265">
        <v>0</v>
      </c>
      <c r="P265">
        <v>204171</v>
      </c>
      <c r="Q265">
        <v>0</v>
      </c>
      <c r="R265">
        <v>0</v>
      </c>
      <c r="S265">
        <v>-16906537</v>
      </c>
      <c r="T265">
        <v>-11271024</v>
      </c>
      <c r="U265">
        <v>-257499</v>
      </c>
      <c r="V265">
        <v>0</v>
      </c>
      <c r="W265">
        <v>-411015</v>
      </c>
      <c r="X265">
        <v>-28846075</v>
      </c>
      <c r="Y265" s="661">
        <v>220264</v>
      </c>
      <c r="Z265" t="s">
        <v>1916</v>
      </c>
    </row>
    <row r="266" spans="1:26" ht="12.75" x14ac:dyDescent="0.2">
      <c r="A266" s="605">
        <v>259</v>
      </c>
      <c r="B266" s="606" t="s">
        <v>407</v>
      </c>
      <c r="C266" s="607" t="s">
        <v>1192</v>
      </c>
      <c r="D266" s="608" t="s">
        <v>1197</v>
      </c>
      <c r="E266" s="609" t="s">
        <v>406</v>
      </c>
      <c r="F266">
        <v>3935378</v>
      </c>
      <c r="G266">
        <v>96075316</v>
      </c>
      <c r="H266">
        <v>0</v>
      </c>
      <c r="I266">
        <v>-2384434</v>
      </c>
      <c r="J266">
        <v>0</v>
      </c>
      <c r="K266">
        <v>-4482736</v>
      </c>
      <c r="L266">
        <v>89208146</v>
      </c>
      <c r="M266">
        <v>1142521</v>
      </c>
      <c r="N266">
        <v>0</v>
      </c>
      <c r="O266">
        <v>0</v>
      </c>
      <c r="P266">
        <v>1142521</v>
      </c>
      <c r="Q266">
        <v>-2353324</v>
      </c>
      <c r="R266">
        <v>-43453319</v>
      </c>
      <c r="S266">
        <v>-869066</v>
      </c>
      <c r="T266">
        <v>-42584253</v>
      </c>
      <c r="U266">
        <v>-1090705</v>
      </c>
      <c r="V266">
        <v>0</v>
      </c>
      <c r="W266">
        <v>-1475769</v>
      </c>
      <c r="X266">
        <v>-91826436</v>
      </c>
      <c r="Y266" s="661">
        <v>2459609</v>
      </c>
      <c r="Z266" t="s">
        <v>1917</v>
      </c>
    </row>
    <row r="267" spans="1:26" ht="12.75" x14ac:dyDescent="0.2">
      <c r="A267" s="605">
        <v>260</v>
      </c>
      <c r="B267" s="606" t="s">
        <v>409</v>
      </c>
      <c r="C267" s="607" t="s">
        <v>1185</v>
      </c>
      <c r="D267" s="608" t="s">
        <v>1186</v>
      </c>
      <c r="E267" s="609" t="s">
        <v>408</v>
      </c>
      <c r="F267">
        <v>2051799</v>
      </c>
      <c r="G267">
        <v>38840113</v>
      </c>
      <c r="H267">
        <v>0</v>
      </c>
      <c r="I267">
        <v>-254136</v>
      </c>
      <c r="J267">
        <v>0</v>
      </c>
      <c r="K267">
        <v>1164642</v>
      </c>
      <c r="L267">
        <v>39750619</v>
      </c>
      <c r="M267">
        <v>0</v>
      </c>
      <c r="N267">
        <v>0</v>
      </c>
      <c r="O267">
        <v>0</v>
      </c>
      <c r="P267">
        <v>0</v>
      </c>
      <c r="Q267">
        <v>-64876</v>
      </c>
      <c r="R267">
        <v>-18603322</v>
      </c>
      <c r="S267">
        <v>-3720664</v>
      </c>
      <c r="T267">
        <v>-14882658</v>
      </c>
      <c r="U267">
        <v>0</v>
      </c>
      <c r="V267">
        <v>0</v>
      </c>
      <c r="W267">
        <v>-2731956</v>
      </c>
      <c r="X267">
        <v>-40003476</v>
      </c>
      <c r="Y267" s="661">
        <v>1798942</v>
      </c>
      <c r="Z267" t="s">
        <v>1918</v>
      </c>
    </row>
    <row r="268" spans="1:26" ht="12.75" x14ac:dyDescent="0.2">
      <c r="A268" s="605">
        <v>261</v>
      </c>
      <c r="B268" s="606" t="s">
        <v>411</v>
      </c>
      <c r="C268" s="607" t="s">
        <v>1190</v>
      </c>
      <c r="D268" s="608" t="s">
        <v>1191</v>
      </c>
      <c r="E268" s="609" t="s">
        <v>410</v>
      </c>
      <c r="F268">
        <v>1069212.74</v>
      </c>
      <c r="G268">
        <v>57349500</v>
      </c>
      <c r="H268">
        <v>0</v>
      </c>
      <c r="I268">
        <v>-884000</v>
      </c>
      <c r="J268">
        <v>748404</v>
      </c>
      <c r="K268">
        <v>-1210404</v>
      </c>
      <c r="L268">
        <v>56003500</v>
      </c>
      <c r="M268">
        <v>596755</v>
      </c>
      <c r="N268">
        <v>0</v>
      </c>
      <c r="O268">
        <v>0</v>
      </c>
      <c r="P268">
        <v>596755</v>
      </c>
      <c r="Q268">
        <v>-351690</v>
      </c>
      <c r="R268">
        <v>-14217202</v>
      </c>
      <c r="S268">
        <v>-15354578</v>
      </c>
      <c r="T268">
        <v>-27297028</v>
      </c>
      <c r="U268">
        <v>-188000</v>
      </c>
      <c r="V268">
        <v>0</v>
      </c>
      <c r="W268">
        <v>-628125.6</v>
      </c>
      <c r="X268">
        <v>-58036623.600000001</v>
      </c>
      <c r="Y268" s="661">
        <v>-367155.86</v>
      </c>
      <c r="Z268" t="s">
        <v>1919</v>
      </c>
    </row>
    <row r="269" spans="1:26" ht="12.75" x14ac:dyDescent="0.2">
      <c r="A269" s="605">
        <v>262</v>
      </c>
      <c r="B269" s="606" t="s">
        <v>413</v>
      </c>
      <c r="C269" s="607" t="s">
        <v>1185</v>
      </c>
      <c r="D269" s="608" t="s">
        <v>1186</v>
      </c>
      <c r="E269" s="609" t="s">
        <v>412</v>
      </c>
      <c r="F269">
        <v>721644.60000000149</v>
      </c>
      <c r="G269">
        <v>49766655</v>
      </c>
      <c r="H269">
        <v>-23236</v>
      </c>
      <c r="I269">
        <v>-539529</v>
      </c>
      <c r="J269">
        <v>3761010</v>
      </c>
      <c r="K269">
        <v>-4686631</v>
      </c>
      <c r="L269">
        <v>48278269</v>
      </c>
      <c r="M269">
        <v>377327</v>
      </c>
      <c r="N269">
        <v>0</v>
      </c>
      <c r="O269">
        <v>362325</v>
      </c>
      <c r="P269">
        <v>739652</v>
      </c>
      <c r="Q269">
        <v>0</v>
      </c>
      <c r="R269">
        <v>-23971318</v>
      </c>
      <c r="S269">
        <v>-4794263</v>
      </c>
      <c r="T269">
        <v>-19177054</v>
      </c>
      <c r="U269">
        <v>-1423910</v>
      </c>
      <c r="V269">
        <v>0</v>
      </c>
      <c r="W269">
        <v>0</v>
      </c>
      <c r="X269">
        <v>-49366545</v>
      </c>
      <c r="Y269" s="661">
        <v>373020.60000000149</v>
      </c>
      <c r="Z269" t="s">
        <v>1920</v>
      </c>
    </row>
    <row r="270" spans="1:26" ht="12.75" x14ac:dyDescent="0.2">
      <c r="A270" s="605">
        <v>263</v>
      </c>
      <c r="B270" s="606" t="s">
        <v>415</v>
      </c>
      <c r="C270" s="607" t="s">
        <v>524</v>
      </c>
      <c r="D270" s="608" t="s">
        <v>1194</v>
      </c>
      <c r="E270" s="609" t="s">
        <v>614</v>
      </c>
      <c r="F270">
        <v>517929.99000000022</v>
      </c>
      <c r="G270">
        <v>113254265</v>
      </c>
      <c r="H270">
        <v>0</v>
      </c>
      <c r="I270">
        <v>-1472838</v>
      </c>
      <c r="J270">
        <v>1508006</v>
      </c>
      <c r="K270">
        <v>-2499595</v>
      </c>
      <c r="L270">
        <v>110789838</v>
      </c>
      <c r="M270">
        <v>491150</v>
      </c>
      <c r="N270">
        <v>220909</v>
      </c>
      <c r="O270">
        <v>0</v>
      </c>
      <c r="P270">
        <v>712059</v>
      </c>
      <c r="Q270">
        <v>-3231932</v>
      </c>
      <c r="R270">
        <v>-53041449</v>
      </c>
      <c r="S270">
        <v>-1060829</v>
      </c>
      <c r="T270">
        <v>-51980620</v>
      </c>
      <c r="U270">
        <v>-836377</v>
      </c>
      <c r="V270">
        <v>0</v>
      </c>
      <c r="W270">
        <v>-91914</v>
      </c>
      <c r="X270">
        <v>-110243121</v>
      </c>
      <c r="Y270" s="661">
        <v>1776705.9899999946</v>
      </c>
      <c r="Z270" t="s">
        <v>1921</v>
      </c>
    </row>
    <row r="271" spans="1:26" ht="12.75" x14ac:dyDescent="0.2">
      <c r="A271" s="605">
        <v>264</v>
      </c>
      <c r="B271" s="606" t="s">
        <v>417</v>
      </c>
      <c r="C271" s="607" t="s">
        <v>1192</v>
      </c>
      <c r="D271" s="608" t="s">
        <v>1187</v>
      </c>
      <c r="E271" s="609" t="s">
        <v>416</v>
      </c>
      <c r="F271">
        <v>-657302.12000000011</v>
      </c>
      <c r="G271">
        <v>57286698</v>
      </c>
      <c r="H271">
        <v>0</v>
      </c>
      <c r="I271">
        <v>-1095319</v>
      </c>
      <c r="J271">
        <v>42079</v>
      </c>
      <c r="K271">
        <v>-3833946</v>
      </c>
      <c r="L271">
        <v>52399512</v>
      </c>
      <c r="M271">
        <v>0</v>
      </c>
      <c r="N271">
        <v>0</v>
      </c>
      <c r="O271">
        <v>0</v>
      </c>
      <c r="P271">
        <v>0</v>
      </c>
      <c r="Q271">
        <v>-935042</v>
      </c>
      <c r="R271">
        <v>0</v>
      </c>
      <c r="S271">
        <v>-523286</v>
      </c>
      <c r="T271">
        <v>-51805358</v>
      </c>
      <c r="U271">
        <v>-286759</v>
      </c>
      <c r="V271">
        <v>0</v>
      </c>
      <c r="W271">
        <v>-854114</v>
      </c>
      <c r="X271">
        <v>-54404559</v>
      </c>
      <c r="Y271" s="661">
        <v>-2662349.1199999973</v>
      </c>
      <c r="Z271" t="s">
        <v>1922</v>
      </c>
    </row>
    <row r="272" spans="1:26" ht="12.75" x14ac:dyDescent="0.2">
      <c r="A272" s="605">
        <v>265</v>
      </c>
      <c r="B272" s="606" t="s">
        <v>419</v>
      </c>
      <c r="C272" s="607" t="s">
        <v>1185</v>
      </c>
      <c r="D272" s="608" t="s">
        <v>1195</v>
      </c>
      <c r="E272" s="609" t="s">
        <v>418</v>
      </c>
      <c r="F272">
        <v>2302056</v>
      </c>
      <c r="G272">
        <v>34371199</v>
      </c>
      <c r="H272">
        <v>0</v>
      </c>
      <c r="I272">
        <v>-390568</v>
      </c>
      <c r="J272">
        <v>1736697</v>
      </c>
      <c r="K272">
        <v>-1349026</v>
      </c>
      <c r="L272">
        <v>34368302</v>
      </c>
      <c r="M272">
        <v>0</v>
      </c>
      <c r="N272">
        <v>0</v>
      </c>
      <c r="O272">
        <v>0</v>
      </c>
      <c r="P272">
        <v>0</v>
      </c>
      <c r="Q272">
        <v>-429102</v>
      </c>
      <c r="R272">
        <v>-8365834</v>
      </c>
      <c r="S272">
        <v>-11711887</v>
      </c>
      <c r="T272">
        <v>-13385014</v>
      </c>
      <c r="U272">
        <v>-89758</v>
      </c>
      <c r="V272">
        <v>0</v>
      </c>
      <c r="W272">
        <v>-1882217</v>
      </c>
      <c r="X272">
        <v>-35863812</v>
      </c>
      <c r="Y272" s="661">
        <v>806546</v>
      </c>
      <c r="Z272" t="s">
        <v>1923</v>
      </c>
    </row>
    <row r="273" spans="1:26" ht="12.75" x14ac:dyDescent="0.2">
      <c r="A273" s="605">
        <v>266</v>
      </c>
      <c r="B273" s="606" t="s">
        <v>421</v>
      </c>
      <c r="C273" s="607" t="s">
        <v>1185</v>
      </c>
      <c r="D273" s="608" t="s">
        <v>1186</v>
      </c>
      <c r="E273" s="609" t="s">
        <v>420</v>
      </c>
      <c r="F273">
        <v>-703916</v>
      </c>
      <c r="G273">
        <v>21306559</v>
      </c>
      <c r="H273">
        <v>0</v>
      </c>
      <c r="I273">
        <v>0</v>
      </c>
      <c r="J273">
        <v>963000</v>
      </c>
      <c r="K273">
        <v>0</v>
      </c>
      <c r="L273">
        <v>22269559</v>
      </c>
      <c r="M273">
        <v>539000</v>
      </c>
      <c r="N273">
        <v>0</v>
      </c>
      <c r="O273">
        <v>46627</v>
      </c>
      <c r="P273">
        <v>585627</v>
      </c>
      <c r="Q273">
        <v>0</v>
      </c>
      <c r="R273">
        <v>-11129498</v>
      </c>
      <c r="S273">
        <v>-2225900</v>
      </c>
      <c r="T273">
        <v>-8903598</v>
      </c>
      <c r="U273">
        <v>0</v>
      </c>
      <c r="V273">
        <v>0</v>
      </c>
      <c r="W273">
        <v>0</v>
      </c>
      <c r="X273">
        <v>-22258996</v>
      </c>
      <c r="Y273" s="661">
        <v>-107726</v>
      </c>
      <c r="Z273" t="s">
        <v>1924</v>
      </c>
    </row>
    <row r="274" spans="1:26" ht="12.75" x14ac:dyDescent="0.2">
      <c r="A274" s="605">
        <v>267</v>
      </c>
      <c r="B274" s="606" t="s">
        <v>423</v>
      </c>
      <c r="C274" s="607" t="s">
        <v>1185</v>
      </c>
      <c r="D274" s="608" t="s">
        <v>1194</v>
      </c>
      <c r="E274" s="609" t="s">
        <v>422</v>
      </c>
      <c r="F274">
        <v>-1286825</v>
      </c>
      <c r="G274">
        <v>30867192</v>
      </c>
      <c r="H274">
        <v>0</v>
      </c>
      <c r="I274">
        <v>440000</v>
      </c>
      <c r="J274">
        <v>417112</v>
      </c>
      <c r="K274">
        <v>-217112</v>
      </c>
      <c r="L274">
        <v>31507192</v>
      </c>
      <c r="M274">
        <v>0</v>
      </c>
      <c r="N274">
        <v>0</v>
      </c>
      <c r="O274">
        <v>196898</v>
      </c>
      <c r="P274">
        <v>196898</v>
      </c>
      <c r="Q274">
        <v>-26457</v>
      </c>
      <c r="R274">
        <v>-15369789</v>
      </c>
      <c r="S274">
        <v>-3073958</v>
      </c>
      <c r="T274">
        <v>-12295831</v>
      </c>
      <c r="U274">
        <v>-275586</v>
      </c>
      <c r="V274">
        <v>0</v>
      </c>
      <c r="W274">
        <v>0</v>
      </c>
      <c r="X274">
        <v>-31041621</v>
      </c>
      <c r="Y274" s="661">
        <v>-624356</v>
      </c>
      <c r="Z274" t="s">
        <v>1925</v>
      </c>
    </row>
    <row r="275" spans="1:26" ht="12.75" x14ac:dyDescent="0.2">
      <c r="A275" s="605">
        <v>268</v>
      </c>
      <c r="B275" s="606" t="s">
        <v>425</v>
      </c>
      <c r="C275" s="607" t="s">
        <v>524</v>
      </c>
      <c r="D275" s="608" t="s">
        <v>1195</v>
      </c>
      <c r="E275" s="609" t="s">
        <v>919</v>
      </c>
      <c r="F275">
        <v>3681783.4000000013</v>
      </c>
      <c r="G275">
        <v>73617800</v>
      </c>
      <c r="H275">
        <v>0</v>
      </c>
      <c r="I275">
        <v>-479319</v>
      </c>
      <c r="J275">
        <v>2608015</v>
      </c>
      <c r="K275">
        <v>-2852015</v>
      </c>
      <c r="L275">
        <v>72894481</v>
      </c>
      <c r="M275">
        <v>427696</v>
      </c>
      <c r="N275">
        <v>0</v>
      </c>
      <c r="O275">
        <v>0</v>
      </c>
      <c r="P275">
        <v>427696</v>
      </c>
      <c r="Q275">
        <v>0</v>
      </c>
      <c r="R275">
        <v>-35620914</v>
      </c>
      <c r="S275">
        <v>-712418</v>
      </c>
      <c r="T275">
        <v>-34908495</v>
      </c>
      <c r="U275">
        <v>-298373</v>
      </c>
      <c r="V275">
        <v>0</v>
      </c>
      <c r="W275">
        <v>-1677883</v>
      </c>
      <c r="X275">
        <v>-73218083</v>
      </c>
      <c r="Y275" s="661">
        <v>3785877.400000006</v>
      </c>
      <c r="Z275" t="s">
        <v>1926</v>
      </c>
    </row>
    <row r="276" spans="1:26" ht="12.75" x14ac:dyDescent="0.2">
      <c r="A276" s="605">
        <v>269</v>
      </c>
      <c r="B276" s="606" t="s">
        <v>427</v>
      </c>
      <c r="C276" s="607" t="s">
        <v>1185</v>
      </c>
      <c r="D276" s="608" t="s">
        <v>1189</v>
      </c>
      <c r="E276" s="609" t="s">
        <v>426</v>
      </c>
      <c r="F276">
        <v>2126759</v>
      </c>
      <c r="G276">
        <v>29325798</v>
      </c>
      <c r="H276">
        <v>0</v>
      </c>
      <c r="I276">
        <v>-320000</v>
      </c>
      <c r="J276">
        <v>650000</v>
      </c>
      <c r="K276">
        <v>-2250500</v>
      </c>
      <c r="L276">
        <v>27405298</v>
      </c>
      <c r="M276">
        <v>220179</v>
      </c>
      <c r="N276">
        <v>1086</v>
      </c>
      <c r="O276">
        <v>0</v>
      </c>
      <c r="P276">
        <v>221265</v>
      </c>
      <c r="Q276">
        <v>0</v>
      </c>
      <c r="R276">
        <v>-12830814</v>
      </c>
      <c r="S276">
        <v>-2566163</v>
      </c>
      <c r="T276">
        <v>-10264651</v>
      </c>
      <c r="U276">
        <v>-575925</v>
      </c>
      <c r="V276">
        <v>0</v>
      </c>
      <c r="W276">
        <v>-1114126</v>
      </c>
      <c r="X276">
        <v>-27351679</v>
      </c>
      <c r="Y276" s="661">
        <v>2401643</v>
      </c>
      <c r="Z276" t="s">
        <v>1927</v>
      </c>
    </row>
    <row r="277" spans="1:26" ht="12.75" x14ac:dyDescent="0.2">
      <c r="A277" s="605">
        <v>270</v>
      </c>
      <c r="B277" s="606" t="s">
        <v>429</v>
      </c>
      <c r="C277" s="607" t="s">
        <v>1185</v>
      </c>
      <c r="D277" s="608" t="s">
        <v>1186</v>
      </c>
      <c r="E277" s="609" t="s">
        <v>428</v>
      </c>
      <c r="F277">
        <v>-2282265</v>
      </c>
      <c r="G277">
        <v>56053565</v>
      </c>
      <c r="H277">
        <v>0</v>
      </c>
      <c r="I277">
        <v>-370922</v>
      </c>
      <c r="J277">
        <v>552841</v>
      </c>
      <c r="K277">
        <v>-2649268</v>
      </c>
      <c r="L277">
        <v>53586216</v>
      </c>
      <c r="M277">
        <v>48537</v>
      </c>
      <c r="N277">
        <v>0</v>
      </c>
      <c r="O277">
        <v>143979</v>
      </c>
      <c r="P277">
        <v>192516</v>
      </c>
      <c r="Q277">
        <v>0</v>
      </c>
      <c r="R277">
        <v>-26815076</v>
      </c>
      <c r="S277">
        <v>-5363016</v>
      </c>
      <c r="T277">
        <v>-21452062</v>
      </c>
      <c r="U277">
        <v>-622039</v>
      </c>
      <c r="V277">
        <v>0</v>
      </c>
      <c r="W277">
        <v>0</v>
      </c>
      <c r="X277">
        <v>-54252193</v>
      </c>
      <c r="Y277" s="661">
        <v>-2755726</v>
      </c>
      <c r="Z277" t="s">
        <v>1928</v>
      </c>
    </row>
    <row r="278" spans="1:26" ht="12.75" x14ac:dyDescent="0.2">
      <c r="A278" s="605">
        <v>271</v>
      </c>
      <c r="B278" s="606" t="s">
        <v>431</v>
      </c>
      <c r="C278" s="607" t="s">
        <v>1185</v>
      </c>
      <c r="D278" s="608" t="s">
        <v>1194</v>
      </c>
      <c r="E278" s="609" t="s">
        <v>430</v>
      </c>
      <c r="F278">
        <v>950693</v>
      </c>
      <c r="G278">
        <v>39425866</v>
      </c>
      <c r="H278">
        <v>0</v>
      </c>
      <c r="I278">
        <v>-238378</v>
      </c>
      <c r="J278">
        <v>60874</v>
      </c>
      <c r="K278">
        <v>7506517</v>
      </c>
      <c r="L278">
        <v>46754879</v>
      </c>
      <c r="M278">
        <v>392574</v>
      </c>
      <c r="N278">
        <v>0</v>
      </c>
      <c r="O278">
        <v>0</v>
      </c>
      <c r="P278">
        <v>392574</v>
      </c>
      <c r="Q278">
        <v>0</v>
      </c>
      <c r="R278">
        <v>-17969247</v>
      </c>
      <c r="S278">
        <v>-3593850</v>
      </c>
      <c r="T278">
        <v>-14375398</v>
      </c>
      <c r="U278">
        <v>-258839</v>
      </c>
      <c r="V278">
        <v>0</v>
      </c>
      <c r="W278">
        <v>-846408</v>
      </c>
      <c r="X278">
        <v>-37043742</v>
      </c>
      <c r="Y278" s="661">
        <v>11054404</v>
      </c>
      <c r="Z278" t="s">
        <v>1929</v>
      </c>
    </row>
    <row r="279" spans="1:26" ht="12.75" x14ac:dyDescent="0.2">
      <c r="A279" s="605">
        <v>272</v>
      </c>
      <c r="B279" s="606" t="s">
        <v>433</v>
      </c>
      <c r="C279" s="607" t="s">
        <v>1185</v>
      </c>
      <c r="D279" s="608" t="s">
        <v>1186</v>
      </c>
      <c r="E279" s="609" t="s">
        <v>432</v>
      </c>
      <c r="F279">
        <v>1729112</v>
      </c>
      <c r="G279">
        <v>35344192</v>
      </c>
      <c r="H279">
        <v>0</v>
      </c>
      <c r="I279">
        <v>-190487</v>
      </c>
      <c r="J279">
        <v>213045</v>
      </c>
      <c r="K279">
        <v>-1292064</v>
      </c>
      <c r="L279">
        <v>34074686</v>
      </c>
      <c r="M279">
        <v>0</v>
      </c>
      <c r="N279">
        <v>0</v>
      </c>
      <c r="O279">
        <v>0</v>
      </c>
      <c r="P279">
        <v>0</v>
      </c>
      <c r="Q279">
        <v>-19261</v>
      </c>
      <c r="R279">
        <v>-16361974</v>
      </c>
      <c r="S279">
        <v>-3272396</v>
      </c>
      <c r="T279">
        <v>-13089580</v>
      </c>
      <c r="U279">
        <v>-202798</v>
      </c>
      <c r="V279">
        <v>0</v>
      </c>
      <c r="W279">
        <v>-724932</v>
      </c>
      <c r="X279">
        <v>-33670941</v>
      </c>
      <c r="Y279" s="661">
        <v>2132857</v>
      </c>
      <c r="Z279" t="s">
        <v>1930</v>
      </c>
    </row>
    <row r="280" spans="1:26" ht="12.75" x14ac:dyDescent="0.2">
      <c r="A280" s="605">
        <v>273</v>
      </c>
      <c r="B280" s="606" t="s">
        <v>435</v>
      </c>
      <c r="C280" s="607" t="s">
        <v>1185</v>
      </c>
      <c r="D280" s="608" t="s">
        <v>1189</v>
      </c>
      <c r="E280" s="609" t="s">
        <v>434</v>
      </c>
      <c r="F280">
        <v>-1580218</v>
      </c>
      <c r="G280">
        <v>28803355</v>
      </c>
      <c r="H280">
        <v>0</v>
      </c>
      <c r="I280">
        <v>-528479</v>
      </c>
      <c r="J280">
        <v>1439884</v>
      </c>
      <c r="K280">
        <v>978641</v>
      </c>
      <c r="L280">
        <v>30693401</v>
      </c>
      <c r="M280">
        <v>137255</v>
      </c>
      <c r="N280">
        <v>0</v>
      </c>
      <c r="O280">
        <v>2896731</v>
      </c>
      <c r="P280">
        <v>3033986</v>
      </c>
      <c r="Q280">
        <v>-273807</v>
      </c>
      <c r="R280">
        <v>-7094473</v>
      </c>
      <c r="S280">
        <v>-9932262</v>
      </c>
      <c r="T280">
        <v>-11442482</v>
      </c>
      <c r="U280">
        <v>0</v>
      </c>
      <c r="V280">
        <v>0</v>
      </c>
      <c r="W280">
        <v>0</v>
      </c>
      <c r="X280">
        <v>-28743024</v>
      </c>
      <c r="Y280" s="661">
        <v>3404145</v>
      </c>
      <c r="Z280" t="s">
        <v>1931</v>
      </c>
    </row>
    <row r="281" spans="1:26" ht="12.75" x14ac:dyDescent="0.2">
      <c r="A281" s="605">
        <v>274</v>
      </c>
      <c r="B281" s="606" t="s">
        <v>437</v>
      </c>
      <c r="C281" s="607" t="s">
        <v>524</v>
      </c>
      <c r="D281" s="608" t="s">
        <v>1189</v>
      </c>
      <c r="E281" s="609" t="s">
        <v>569</v>
      </c>
      <c r="F281">
        <v>3811335</v>
      </c>
      <c r="G281">
        <v>122072401</v>
      </c>
      <c r="H281">
        <v>0</v>
      </c>
      <c r="I281">
        <v>-1694062</v>
      </c>
      <c r="J281">
        <v>0</v>
      </c>
      <c r="K281">
        <v>-3293931</v>
      </c>
      <c r="L281">
        <v>117084408</v>
      </c>
      <c r="M281">
        <v>0</v>
      </c>
      <c r="N281">
        <v>0</v>
      </c>
      <c r="O281">
        <v>0</v>
      </c>
      <c r="P281">
        <v>0</v>
      </c>
      <c r="Q281">
        <v>-1375621</v>
      </c>
      <c r="R281">
        <v>-58917874</v>
      </c>
      <c r="S281">
        <v>-1178357</v>
      </c>
      <c r="T281">
        <v>-57739517</v>
      </c>
      <c r="U281">
        <v>0</v>
      </c>
      <c r="V281">
        <v>0</v>
      </c>
      <c r="W281">
        <v>-217143</v>
      </c>
      <c r="X281">
        <v>-119428512</v>
      </c>
      <c r="Y281" s="661">
        <v>1467231</v>
      </c>
      <c r="Z281" t="s">
        <v>1932</v>
      </c>
    </row>
    <row r="282" spans="1:26" ht="12.75" x14ac:dyDescent="0.2">
      <c r="A282" s="605">
        <v>275</v>
      </c>
      <c r="B282" s="606" t="s">
        <v>439</v>
      </c>
      <c r="C282" s="607" t="s">
        <v>1185</v>
      </c>
      <c r="D282" s="608" t="s">
        <v>1186</v>
      </c>
      <c r="E282" s="609" t="s">
        <v>438</v>
      </c>
      <c r="F282">
        <v>2731232</v>
      </c>
      <c r="G282">
        <v>59755149</v>
      </c>
      <c r="H282">
        <v>0</v>
      </c>
      <c r="I282">
        <v>-400000</v>
      </c>
      <c r="J282">
        <v>0</v>
      </c>
      <c r="K282">
        <v>-2177000</v>
      </c>
      <c r="L282">
        <v>57178149</v>
      </c>
      <c r="M282">
        <v>268669</v>
      </c>
      <c r="N282">
        <v>0</v>
      </c>
      <c r="O282">
        <v>0</v>
      </c>
      <c r="P282">
        <v>268669</v>
      </c>
      <c r="Q282">
        <v>0</v>
      </c>
      <c r="R282">
        <v>-27893228</v>
      </c>
      <c r="S282">
        <v>-5578646</v>
      </c>
      <c r="T282">
        <v>-22314582</v>
      </c>
      <c r="U282">
        <v>-161137</v>
      </c>
      <c r="V282">
        <v>0</v>
      </c>
      <c r="W282">
        <v>-2172722</v>
      </c>
      <c r="X282">
        <v>-58120315</v>
      </c>
      <c r="Y282" s="661">
        <v>2057735</v>
      </c>
      <c r="Z282" t="s">
        <v>1933</v>
      </c>
    </row>
    <row r="283" spans="1:26" ht="12.75" x14ac:dyDescent="0.2">
      <c r="A283" s="605">
        <v>276</v>
      </c>
      <c r="B283" s="606" t="s">
        <v>441</v>
      </c>
      <c r="C283" s="607" t="s">
        <v>524</v>
      </c>
      <c r="D283" s="608" t="s">
        <v>1194</v>
      </c>
      <c r="E283" s="609" t="s">
        <v>559</v>
      </c>
      <c r="F283">
        <v>-745637.89999999851</v>
      </c>
      <c r="G283">
        <v>32951307</v>
      </c>
      <c r="H283">
        <v>-444930</v>
      </c>
      <c r="I283">
        <v>-155070</v>
      </c>
      <c r="J283">
        <v>0</v>
      </c>
      <c r="K283">
        <v>-1878471</v>
      </c>
      <c r="L283">
        <v>30472836</v>
      </c>
      <c r="M283">
        <v>0</v>
      </c>
      <c r="N283">
        <v>0</v>
      </c>
      <c r="O283">
        <v>225705</v>
      </c>
      <c r="P283">
        <v>225705</v>
      </c>
      <c r="Q283">
        <v>-912234</v>
      </c>
      <c r="R283">
        <v>-14643137</v>
      </c>
      <c r="S283">
        <v>-292863</v>
      </c>
      <c r="T283">
        <v>-14350275</v>
      </c>
      <c r="U283">
        <v>-197875</v>
      </c>
      <c r="V283">
        <v>0</v>
      </c>
      <c r="W283">
        <v>0</v>
      </c>
      <c r="X283">
        <v>-30396384</v>
      </c>
      <c r="Y283" s="661">
        <v>-443480.89999999851</v>
      </c>
      <c r="Z283" t="s">
        <v>1934</v>
      </c>
    </row>
    <row r="284" spans="1:26" ht="12.75" x14ac:dyDescent="0.2">
      <c r="A284" s="605">
        <v>277</v>
      </c>
      <c r="B284" s="606" t="s">
        <v>443</v>
      </c>
      <c r="C284" s="607" t="s">
        <v>1185</v>
      </c>
      <c r="D284" s="608" t="s">
        <v>1194</v>
      </c>
      <c r="E284" s="609" t="s">
        <v>442</v>
      </c>
      <c r="F284">
        <v>686147.80000000075</v>
      </c>
      <c r="G284">
        <v>11519000</v>
      </c>
      <c r="H284">
        <v>0</v>
      </c>
      <c r="I284">
        <v>-37000</v>
      </c>
      <c r="J284">
        <v>228525</v>
      </c>
      <c r="K284">
        <v>-380678</v>
      </c>
      <c r="L284">
        <v>11329847</v>
      </c>
      <c r="M284">
        <v>566250</v>
      </c>
      <c r="N284">
        <v>0</v>
      </c>
      <c r="O284">
        <v>0</v>
      </c>
      <c r="P284">
        <v>566250</v>
      </c>
      <c r="Q284">
        <v>-107000</v>
      </c>
      <c r="R284">
        <v>-5601444</v>
      </c>
      <c r="S284">
        <v>-1120289</v>
      </c>
      <c r="T284">
        <v>-4481000</v>
      </c>
      <c r="U284">
        <v>-907518</v>
      </c>
      <c r="V284">
        <v>0</v>
      </c>
      <c r="W284">
        <v>-710944</v>
      </c>
      <c r="X284">
        <v>-12928195</v>
      </c>
      <c r="Y284" s="661">
        <v>-345950.19999999925</v>
      </c>
      <c r="Z284" t="s">
        <v>1935</v>
      </c>
    </row>
    <row r="285" spans="1:26" ht="12.75" x14ac:dyDescent="0.2">
      <c r="A285" s="605">
        <v>278</v>
      </c>
      <c r="B285" s="606" t="s">
        <v>445</v>
      </c>
      <c r="C285" s="607" t="s">
        <v>1196</v>
      </c>
      <c r="D285" s="608" t="s">
        <v>1191</v>
      </c>
      <c r="E285" s="609" t="s">
        <v>444</v>
      </c>
      <c r="F285">
        <v>-17060318</v>
      </c>
      <c r="G285">
        <v>455899011</v>
      </c>
      <c r="H285">
        <v>0</v>
      </c>
      <c r="I285">
        <v>-1516800</v>
      </c>
      <c r="J285">
        <v>0</v>
      </c>
      <c r="K285">
        <v>-7266000</v>
      </c>
      <c r="L285">
        <v>447116211</v>
      </c>
      <c r="M285">
        <v>11463351</v>
      </c>
      <c r="N285">
        <v>0</v>
      </c>
      <c r="O285">
        <v>0</v>
      </c>
      <c r="P285">
        <v>11463351</v>
      </c>
      <c r="Q285">
        <v>-2754652</v>
      </c>
      <c r="R285">
        <v>-117035796</v>
      </c>
      <c r="S285">
        <v>-126398660</v>
      </c>
      <c r="T285">
        <v>-224708729</v>
      </c>
      <c r="U285">
        <v>-1020853</v>
      </c>
      <c r="V285">
        <v>0</v>
      </c>
      <c r="W285">
        <v>-935055</v>
      </c>
      <c r="X285">
        <v>-472853745</v>
      </c>
      <c r="Y285" s="661">
        <v>-31334501</v>
      </c>
      <c r="Z285" t="s">
        <v>1936</v>
      </c>
    </row>
    <row r="286" spans="1:26" ht="12.75" x14ac:dyDescent="0.2">
      <c r="A286" s="605">
        <v>279</v>
      </c>
      <c r="B286" s="606" t="s">
        <v>447</v>
      </c>
      <c r="C286" s="607" t="s">
        <v>1192</v>
      </c>
      <c r="D286" s="608" t="s">
        <v>1187</v>
      </c>
      <c r="E286" s="609" t="s">
        <v>446</v>
      </c>
      <c r="F286">
        <v>142148</v>
      </c>
      <c r="G286">
        <v>157103197</v>
      </c>
      <c r="H286">
        <v>0</v>
      </c>
      <c r="I286">
        <v>-2150000</v>
      </c>
      <c r="J286">
        <v>4000000</v>
      </c>
      <c r="K286">
        <v>-8345861</v>
      </c>
      <c r="L286">
        <v>150607336</v>
      </c>
      <c r="M286">
        <v>0</v>
      </c>
      <c r="N286">
        <v>0</v>
      </c>
      <c r="O286">
        <v>351819</v>
      </c>
      <c r="P286">
        <v>351819</v>
      </c>
      <c r="Q286">
        <v>0</v>
      </c>
      <c r="R286">
        <v>0</v>
      </c>
      <c r="S286">
        <v>-1555552</v>
      </c>
      <c r="T286">
        <v>-153999673</v>
      </c>
      <c r="U286">
        <v>-511442</v>
      </c>
      <c r="V286">
        <v>0</v>
      </c>
      <c r="W286">
        <v>0</v>
      </c>
      <c r="X286">
        <v>-156066667</v>
      </c>
      <c r="Y286" s="661">
        <v>-4965364</v>
      </c>
      <c r="Z286" t="s">
        <v>1937</v>
      </c>
    </row>
    <row r="287" spans="1:26" ht="12.75" x14ac:dyDescent="0.2">
      <c r="A287" s="605">
        <v>280</v>
      </c>
      <c r="B287" s="606" t="s">
        <v>449</v>
      </c>
      <c r="C287" s="607" t="s">
        <v>1185</v>
      </c>
      <c r="D287" s="608" t="s">
        <v>1186</v>
      </c>
      <c r="E287" s="609" t="s">
        <v>448</v>
      </c>
      <c r="F287">
        <v>-160192.5700000003</v>
      </c>
      <c r="G287">
        <v>55491708</v>
      </c>
      <c r="H287">
        <v>-600000</v>
      </c>
      <c r="I287">
        <v>-300000</v>
      </c>
      <c r="J287">
        <v>345000</v>
      </c>
      <c r="K287">
        <v>-2523608</v>
      </c>
      <c r="L287">
        <v>52413100</v>
      </c>
      <c r="M287">
        <v>426481</v>
      </c>
      <c r="N287">
        <v>0</v>
      </c>
      <c r="O287">
        <v>1251566</v>
      </c>
      <c r="P287">
        <v>1678047</v>
      </c>
      <c r="Q287">
        <v>-432535</v>
      </c>
      <c r="R287">
        <v>-25551514</v>
      </c>
      <c r="S287">
        <v>-5110303</v>
      </c>
      <c r="T287">
        <v>-20441211</v>
      </c>
      <c r="U287">
        <v>-264268</v>
      </c>
      <c r="V287">
        <v>0</v>
      </c>
      <c r="W287">
        <v>0</v>
      </c>
      <c r="X287">
        <v>-51799831</v>
      </c>
      <c r="Y287" s="661">
        <v>2131123.4299999997</v>
      </c>
      <c r="Z287" t="s">
        <v>1938</v>
      </c>
    </row>
    <row r="288" spans="1:26" ht="12.75" x14ac:dyDescent="0.2">
      <c r="A288" s="605">
        <v>281</v>
      </c>
      <c r="B288" s="606" t="s">
        <v>451</v>
      </c>
      <c r="C288" s="607" t="s">
        <v>1185</v>
      </c>
      <c r="D288" s="608" t="s">
        <v>1189</v>
      </c>
      <c r="E288" s="609" t="s">
        <v>450</v>
      </c>
      <c r="F288">
        <v>2939180</v>
      </c>
      <c r="G288">
        <v>44901044</v>
      </c>
      <c r="H288">
        <v>-336758</v>
      </c>
      <c r="I288">
        <v>0</v>
      </c>
      <c r="J288">
        <v>0</v>
      </c>
      <c r="K288">
        <v>-1478086</v>
      </c>
      <c r="L288">
        <v>43086200</v>
      </c>
      <c r="M288">
        <v>376485</v>
      </c>
      <c r="N288">
        <v>0</v>
      </c>
      <c r="O288">
        <v>0</v>
      </c>
      <c r="P288">
        <v>376485</v>
      </c>
      <c r="Q288">
        <v>0</v>
      </c>
      <c r="R288">
        <v>-21763759</v>
      </c>
      <c r="S288">
        <v>-4352751</v>
      </c>
      <c r="T288">
        <v>-17411006</v>
      </c>
      <c r="U288">
        <v>-264988</v>
      </c>
      <c r="V288">
        <v>0</v>
      </c>
      <c r="W288">
        <v>-2629179</v>
      </c>
      <c r="X288">
        <v>-46421683</v>
      </c>
      <c r="Y288" s="661">
        <v>-19818</v>
      </c>
      <c r="Z288" t="s">
        <v>1939</v>
      </c>
    </row>
    <row r="289" spans="1:26" ht="12.75" x14ac:dyDescent="0.2">
      <c r="A289" s="605">
        <v>282</v>
      </c>
      <c r="B289" s="606" t="s">
        <v>453</v>
      </c>
      <c r="C289" s="607" t="s">
        <v>1185</v>
      </c>
      <c r="D289" s="608" t="s">
        <v>1186</v>
      </c>
      <c r="E289" s="609" t="s">
        <v>452</v>
      </c>
      <c r="F289">
        <v>-1725351</v>
      </c>
      <c r="G289">
        <v>64168284</v>
      </c>
      <c r="H289">
        <v>0</v>
      </c>
      <c r="I289">
        <v>-721046</v>
      </c>
      <c r="J289">
        <v>2138248</v>
      </c>
      <c r="K289">
        <v>-5202609</v>
      </c>
      <c r="L289">
        <v>60382877</v>
      </c>
      <c r="M289">
        <v>0</v>
      </c>
      <c r="N289">
        <v>0</v>
      </c>
      <c r="O289">
        <v>1489413</v>
      </c>
      <c r="P289">
        <v>1489413</v>
      </c>
      <c r="Q289">
        <v>-3094170</v>
      </c>
      <c r="R289">
        <v>-25919427</v>
      </c>
      <c r="S289">
        <v>-5306032</v>
      </c>
      <c r="T289">
        <v>-21224129</v>
      </c>
      <c r="U289">
        <v>-2583918</v>
      </c>
      <c r="V289">
        <v>0</v>
      </c>
      <c r="W289">
        <v>0</v>
      </c>
      <c r="X289">
        <v>-58127676</v>
      </c>
      <c r="Y289" s="661">
        <v>2019263</v>
      </c>
      <c r="Z289" t="s">
        <v>1940</v>
      </c>
    </row>
    <row r="290" spans="1:26" ht="12.75" x14ac:dyDescent="0.2">
      <c r="A290" s="605">
        <v>283</v>
      </c>
      <c r="B290" s="606" t="s">
        <v>455</v>
      </c>
      <c r="C290" s="607" t="s">
        <v>1192</v>
      </c>
      <c r="D290" s="608" t="s">
        <v>1193</v>
      </c>
      <c r="E290" s="609" t="s">
        <v>454</v>
      </c>
      <c r="F290">
        <v>8149084</v>
      </c>
      <c r="G290">
        <v>131479417</v>
      </c>
      <c r="H290">
        <v>0</v>
      </c>
      <c r="I290">
        <v>-1000000</v>
      </c>
      <c r="J290">
        <v>666786</v>
      </c>
      <c r="K290">
        <v>2331772</v>
      </c>
      <c r="L290">
        <v>133477975</v>
      </c>
      <c r="M290">
        <v>2775094</v>
      </c>
      <c r="N290">
        <v>0</v>
      </c>
      <c r="O290">
        <v>0</v>
      </c>
      <c r="P290">
        <v>2775094</v>
      </c>
      <c r="Q290">
        <v>-3441879</v>
      </c>
      <c r="R290">
        <v>-32122209</v>
      </c>
      <c r="S290">
        <v>-1287741</v>
      </c>
      <c r="T290">
        <v>-95364190</v>
      </c>
      <c r="U290">
        <v>-447280</v>
      </c>
      <c r="V290">
        <v>-545694</v>
      </c>
      <c r="W290">
        <v>-7722924</v>
      </c>
      <c r="X290">
        <v>-140931917</v>
      </c>
      <c r="Y290" s="661">
        <v>3470236</v>
      </c>
      <c r="Z290" t="s">
        <v>1941</v>
      </c>
    </row>
    <row r="291" spans="1:26" ht="12.75" x14ac:dyDescent="0.2">
      <c r="A291" s="605">
        <v>284</v>
      </c>
      <c r="B291" s="606" t="s">
        <v>457</v>
      </c>
      <c r="C291" s="607" t="s">
        <v>1192</v>
      </c>
      <c r="D291" s="608" t="s">
        <v>1195</v>
      </c>
      <c r="E291" s="609" t="s">
        <v>456</v>
      </c>
      <c r="F291">
        <v>-949623</v>
      </c>
      <c r="G291">
        <v>74766016</v>
      </c>
      <c r="H291">
        <v>0</v>
      </c>
      <c r="I291">
        <v>-1200000</v>
      </c>
      <c r="J291">
        <v>1197598</v>
      </c>
      <c r="K291">
        <v>-1267276</v>
      </c>
      <c r="L291">
        <v>73496338</v>
      </c>
      <c r="M291">
        <v>282472</v>
      </c>
      <c r="N291">
        <v>0</v>
      </c>
      <c r="O291">
        <v>747769</v>
      </c>
      <c r="P291">
        <v>1030241</v>
      </c>
      <c r="Q291">
        <v>0</v>
      </c>
      <c r="R291">
        <v>0</v>
      </c>
      <c r="S291">
        <v>-732772</v>
      </c>
      <c r="T291">
        <v>-72544458</v>
      </c>
      <c r="U291">
        <v>-351929</v>
      </c>
      <c r="V291">
        <v>0</v>
      </c>
      <c r="W291">
        <v>0</v>
      </c>
      <c r="X291">
        <v>-73629159</v>
      </c>
      <c r="Y291" s="661">
        <v>-52203</v>
      </c>
      <c r="Z291" t="s">
        <v>1942</v>
      </c>
    </row>
    <row r="292" spans="1:26" ht="12.75" x14ac:dyDescent="0.2">
      <c r="A292" s="605">
        <v>285</v>
      </c>
      <c r="B292" s="606" t="s">
        <v>459</v>
      </c>
      <c r="C292" s="607" t="s">
        <v>1190</v>
      </c>
      <c r="D292" s="608" t="s">
        <v>1191</v>
      </c>
      <c r="E292" s="609" t="s">
        <v>458</v>
      </c>
      <c r="F292">
        <v>254249</v>
      </c>
      <c r="G292">
        <v>66432817</v>
      </c>
      <c r="H292">
        <v>0</v>
      </c>
      <c r="I292">
        <v>-961635</v>
      </c>
      <c r="J292">
        <v>1515485</v>
      </c>
      <c r="K292">
        <v>-2867425</v>
      </c>
      <c r="L292">
        <v>64119242</v>
      </c>
      <c r="M292">
        <v>1948221</v>
      </c>
      <c r="N292">
        <v>0</v>
      </c>
      <c r="O292">
        <v>0</v>
      </c>
      <c r="P292">
        <v>1948221</v>
      </c>
      <c r="Q292">
        <v>0</v>
      </c>
      <c r="R292">
        <v>-16148434</v>
      </c>
      <c r="S292">
        <v>-17440310</v>
      </c>
      <c r="T292">
        <v>-31004995</v>
      </c>
      <c r="U292">
        <v>0</v>
      </c>
      <c r="V292">
        <v>-285401</v>
      </c>
      <c r="W292">
        <v>-212432</v>
      </c>
      <c r="X292">
        <v>-65091572</v>
      </c>
      <c r="Y292" s="661">
        <v>1230140</v>
      </c>
      <c r="Z292" t="s">
        <v>1943</v>
      </c>
    </row>
    <row r="293" spans="1:26" ht="12.75" x14ac:dyDescent="0.2">
      <c r="A293" s="605">
        <v>286</v>
      </c>
      <c r="B293" s="606" t="s">
        <v>461</v>
      </c>
      <c r="C293" s="607" t="s">
        <v>1196</v>
      </c>
      <c r="D293" s="608" t="s">
        <v>1191</v>
      </c>
      <c r="E293" s="609" t="s">
        <v>460</v>
      </c>
      <c r="F293">
        <v>3001166.5999999996</v>
      </c>
      <c r="G293">
        <v>132258506</v>
      </c>
      <c r="H293">
        <v>-50000</v>
      </c>
      <c r="I293">
        <v>-50000</v>
      </c>
      <c r="J293">
        <v>1400000</v>
      </c>
      <c r="K293">
        <v>-200000</v>
      </c>
      <c r="L293">
        <v>133358506</v>
      </c>
      <c r="M293">
        <v>1592000</v>
      </c>
      <c r="N293">
        <v>0</v>
      </c>
      <c r="O293">
        <v>0</v>
      </c>
      <c r="P293">
        <v>1592000</v>
      </c>
      <c r="Q293">
        <v>0</v>
      </c>
      <c r="R293">
        <v>-29171571</v>
      </c>
      <c r="S293">
        <v>-31505297</v>
      </c>
      <c r="T293">
        <v>-56009417</v>
      </c>
      <c r="U293">
        <v>-14213479</v>
      </c>
      <c r="V293">
        <v>-445379</v>
      </c>
      <c r="W293">
        <v>-5463768</v>
      </c>
      <c r="X293">
        <v>-136808911</v>
      </c>
      <c r="Y293" s="661">
        <v>1142761.599999994</v>
      </c>
      <c r="Z293" t="s">
        <v>1944</v>
      </c>
    </row>
    <row r="294" spans="1:26" ht="12.75" x14ac:dyDescent="0.2">
      <c r="A294" s="605">
        <v>287</v>
      </c>
      <c r="B294" s="606" t="s">
        <v>463</v>
      </c>
      <c r="C294" s="607" t="s">
        <v>524</v>
      </c>
      <c r="D294" s="608" t="s">
        <v>1187</v>
      </c>
      <c r="E294" s="609" t="s">
        <v>545</v>
      </c>
      <c r="F294">
        <v>-4210136</v>
      </c>
      <c r="G294">
        <v>105441882</v>
      </c>
      <c r="H294">
        <v>-1397</v>
      </c>
      <c r="I294">
        <v>-278779</v>
      </c>
      <c r="J294">
        <v>0</v>
      </c>
      <c r="K294">
        <v>-417333</v>
      </c>
      <c r="L294">
        <v>104744373</v>
      </c>
      <c r="M294">
        <v>0</v>
      </c>
      <c r="N294">
        <v>0</v>
      </c>
      <c r="O294">
        <v>6777376</v>
      </c>
      <c r="P294">
        <v>6777376</v>
      </c>
      <c r="Q294">
        <v>-2967073</v>
      </c>
      <c r="R294">
        <v>-53246352</v>
      </c>
      <c r="S294">
        <v>-1064927</v>
      </c>
      <c r="T294">
        <v>-52181424</v>
      </c>
      <c r="U294">
        <v>0</v>
      </c>
      <c r="V294">
        <v>0</v>
      </c>
      <c r="W294">
        <v>0</v>
      </c>
      <c r="X294">
        <v>-109459776</v>
      </c>
      <c r="Y294" s="661">
        <v>-2148163</v>
      </c>
      <c r="Z294" t="s">
        <v>1945</v>
      </c>
    </row>
    <row r="295" spans="1:26" ht="12.75" x14ac:dyDescent="0.2">
      <c r="A295" s="605">
        <v>288</v>
      </c>
      <c r="B295" s="606" t="s">
        <v>465</v>
      </c>
      <c r="C295" s="607" t="s">
        <v>1185</v>
      </c>
      <c r="D295" s="608" t="s">
        <v>1195</v>
      </c>
      <c r="E295" s="609" t="s">
        <v>464</v>
      </c>
      <c r="F295">
        <v>1931111</v>
      </c>
      <c r="G295">
        <v>69539773</v>
      </c>
      <c r="H295">
        <v>0</v>
      </c>
      <c r="I295">
        <v>-517000</v>
      </c>
      <c r="J295">
        <v>256000</v>
      </c>
      <c r="K295">
        <v>-2661400</v>
      </c>
      <c r="L295">
        <v>66617373</v>
      </c>
      <c r="M295">
        <v>0</v>
      </c>
      <c r="N295">
        <v>9560</v>
      </c>
      <c r="O295">
        <v>0</v>
      </c>
      <c r="P295">
        <v>9560</v>
      </c>
      <c r="Q295">
        <v>-335610</v>
      </c>
      <c r="R295">
        <v>-33577383</v>
      </c>
      <c r="S295">
        <v>-6715477</v>
      </c>
      <c r="T295">
        <v>-26861906</v>
      </c>
      <c r="U295">
        <v>-245654</v>
      </c>
      <c r="V295">
        <v>0</v>
      </c>
      <c r="W295">
        <v>-3824439</v>
      </c>
      <c r="X295">
        <v>-71560469</v>
      </c>
      <c r="Y295" s="661">
        <v>-3002425</v>
      </c>
      <c r="Z295" t="s">
        <v>1946</v>
      </c>
    </row>
    <row r="296" spans="1:26" ht="12.75" x14ac:dyDescent="0.2">
      <c r="A296" s="605">
        <v>289</v>
      </c>
      <c r="B296" s="606" t="s">
        <v>467</v>
      </c>
      <c r="C296" s="607" t="s">
        <v>1185</v>
      </c>
      <c r="D296" s="608" t="s">
        <v>1189</v>
      </c>
      <c r="E296" s="609" t="s">
        <v>466</v>
      </c>
      <c r="F296">
        <v>-5956813.6999999993</v>
      </c>
      <c r="G296">
        <v>61265765</v>
      </c>
      <c r="H296">
        <v>0</v>
      </c>
      <c r="I296">
        <v>-858270</v>
      </c>
      <c r="J296">
        <v>6316656</v>
      </c>
      <c r="K296">
        <v>-84740</v>
      </c>
      <c r="L296">
        <v>66639411</v>
      </c>
      <c r="M296">
        <v>0</v>
      </c>
      <c r="N296">
        <v>0</v>
      </c>
      <c r="O296">
        <v>8526711.6999999993</v>
      </c>
      <c r="P296">
        <v>8526711.6999999993</v>
      </c>
      <c r="Q296">
        <v>-75328</v>
      </c>
      <c r="R296">
        <v>-16674199</v>
      </c>
      <c r="S296">
        <v>-23510972</v>
      </c>
      <c r="T296">
        <v>-26678718</v>
      </c>
      <c r="U296">
        <v>0</v>
      </c>
      <c r="V296">
        <v>0</v>
      </c>
      <c r="W296">
        <v>0</v>
      </c>
      <c r="X296">
        <v>-66939217</v>
      </c>
      <c r="Y296" s="661">
        <v>2270092</v>
      </c>
      <c r="Z296" t="s">
        <v>1947</v>
      </c>
    </row>
    <row r="297" spans="1:26" ht="12.75" x14ac:dyDescent="0.2">
      <c r="A297" s="605">
        <v>290</v>
      </c>
      <c r="B297" s="606" t="s">
        <v>469</v>
      </c>
      <c r="C297" s="607" t="s">
        <v>1185</v>
      </c>
      <c r="D297" s="608" t="s">
        <v>1186</v>
      </c>
      <c r="E297" s="609" t="s">
        <v>468</v>
      </c>
      <c r="F297">
        <v>524492.25</v>
      </c>
      <c r="G297">
        <v>36863094</v>
      </c>
      <c r="H297">
        <v>-40000</v>
      </c>
      <c r="I297">
        <v>-560000</v>
      </c>
      <c r="J297">
        <v>148749</v>
      </c>
      <c r="K297">
        <v>-1232027</v>
      </c>
      <c r="L297">
        <v>35179816</v>
      </c>
      <c r="M297">
        <v>908622</v>
      </c>
      <c r="N297">
        <v>0</v>
      </c>
      <c r="O297">
        <v>257847</v>
      </c>
      <c r="P297">
        <v>1166469</v>
      </c>
      <c r="Q297">
        <v>-56665</v>
      </c>
      <c r="R297">
        <v>-18342822</v>
      </c>
      <c r="S297">
        <v>-3668565</v>
      </c>
      <c r="T297">
        <v>-14674258</v>
      </c>
      <c r="U297">
        <v>-177275</v>
      </c>
      <c r="V297">
        <v>0</v>
      </c>
      <c r="W297">
        <v>0</v>
      </c>
      <c r="X297">
        <v>-36919585</v>
      </c>
      <c r="Y297" s="661">
        <v>-48807.75</v>
      </c>
      <c r="Z297" t="s">
        <v>1948</v>
      </c>
    </row>
    <row r="298" spans="1:26" ht="12.75" x14ac:dyDescent="0.2">
      <c r="A298" s="605">
        <v>291</v>
      </c>
      <c r="B298" s="606" t="s">
        <v>471</v>
      </c>
      <c r="C298" s="607" t="s">
        <v>1185</v>
      </c>
      <c r="D298" s="608" t="s">
        <v>1186</v>
      </c>
      <c r="E298" s="609" t="s">
        <v>470</v>
      </c>
      <c r="F298">
        <v>211674</v>
      </c>
      <c r="G298">
        <v>32505324</v>
      </c>
      <c r="H298">
        <v>-114000</v>
      </c>
      <c r="I298">
        <v>-100000</v>
      </c>
      <c r="J298">
        <v>0</v>
      </c>
      <c r="K298">
        <v>-828000</v>
      </c>
      <c r="L298">
        <v>31463324</v>
      </c>
      <c r="M298">
        <v>0</v>
      </c>
      <c r="N298">
        <v>0</v>
      </c>
      <c r="O298">
        <v>0</v>
      </c>
      <c r="P298">
        <v>0</v>
      </c>
      <c r="Q298">
        <v>0</v>
      </c>
      <c r="R298">
        <v>-7837577</v>
      </c>
      <c r="S298">
        <v>-9718594</v>
      </c>
      <c r="T298">
        <v>-13794134</v>
      </c>
      <c r="U298">
        <v>-191220</v>
      </c>
      <c r="V298">
        <v>0</v>
      </c>
      <c r="W298">
        <v>-83434</v>
      </c>
      <c r="X298">
        <v>-31624959</v>
      </c>
      <c r="Y298" s="661">
        <v>50039</v>
      </c>
      <c r="Z298" t="s">
        <v>1949</v>
      </c>
    </row>
    <row r="299" spans="1:26" ht="12.75" x14ac:dyDescent="0.2">
      <c r="A299" s="605">
        <v>292</v>
      </c>
      <c r="B299" s="606" t="s">
        <v>473</v>
      </c>
      <c r="C299" s="607" t="s">
        <v>1185</v>
      </c>
      <c r="D299" s="608" t="s">
        <v>1188</v>
      </c>
      <c r="E299" s="609" t="s">
        <v>472</v>
      </c>
      <c r="F299">
        <v>-1674426</v>
      </c>
      <c r="G299">
        <v>28444180</v>
      </c>
      <c r="H299">
        <v>0</v>
      </c>
      <c r="I299">
        <v>-109000</v>
      </c>
      <c r="J299">
        <v>453098</v>
      </c>
      <c r="K299">
        <v>24658</v>
      </c>
      <c r="L299">
        <v>28812936</v>
      </c>
      <c r="M299">
        <v>0</v>
      </c>
      <c r="N299">
        <v>0</v>
      </c>
      <c r="O299">
        <v>1475933</v>
      </c>
      <c r="P299">
        <v>1475933</v>
      </c>
      <c r="Q299">
        <v>-71229</v>
      </c>
      <c r="R299">
        <v>-7040541</v>
      </c>
      <c r="S299">
        <v>-9856759</v>
      </c>
      <c r="T299">
        <v>-11264867</v>
      </c>
      <c r="U299">
        <v>-146857</v>
      </c>
      <c r="V299">
        <v>0</v>
      </c>
      <c r="W299">
        <v>0</v>
      </c>
      <c r="X299">
        <v>-28380253</v>
      </c>
      <c r="Y299" s="661">
        <v>234190</v>
      </c>
      <c r="Z299" t="s">
        <v>1950</v>
      </c>
    </row>
    <row r="300" spans="1:26" ht="12.75" x14ac:dyDescent="0.2">
      <c r="A300" s="605">
        <v>293</v>
      </c>
      <c r="B300" s="606" t="s">
        <v>475</v>
      </c>
      <c r="C300" s="607" t="s">
        <v>1185</v>
      </c>
      <c r="D300" s="608" t="s">
        <v>1189</v>
      </c>
      <c r="E300" s="609" t="s">
        <v>474</v>
      </c>
      <c r="F300">
        <v>-7891566</v>
      </c>
      <c r="G300">
        <v>61143651</v>
      </c>
      <c r="H300">
        <v>-37680</v>
      </c>
      <c r="I300">
        <v>-189260</v>
      </c>
      <c r="J300">
        <v>825756</v>
      </c>
      <c r="K300">
        <v>-1277120</v>
      </c>
      <c r="L300">
        <v>60465347</v>
      </c>
      <c r="M300">
        <v>0</v>
      </c>
      <c r="N300">
        <v>0</v>
      </c>
      <c r="O300">
        <v>4418963</v>
      </c>
      <c r="P300">
        <v>4418963</v>
      </c>
      <c r="Q300">
        <v>-213867</v>
      </c>
      <c r="R300">
        <v>-15232632</v>
      </c>
      <c r="S300">
        <v>-24372212</v>
      </c>
      <c r="T300">
        <v>-21325686</v>
      </c>
      <c r="U300">
        <v>-148429</v>
      </c>
      <c r="V300">
        <v>0</v>
      </c>
      <c r="W300">
        <v>0</v>
      </c>
      <c r="X300">
        <v>-61292826</v>
      </c>
      <c r="Y300" s="661">
        <v>-4300082</v>
      </c>
      <c r="Z300" t="s">
        <v>1951</v>
      </c>
    </row>
    <row r="301" spans="1:26" ht="12.75" x14ac:dyDescent="0.2">
      <c r="A301" s="605">
        <v>294</v>
      </c>
      <c r="B301" s="606" t="s">
        <v>477</v>
      </c>
      <c r="C301" s="607" t="s">
        <v>524</v>
      </c>
      <c r="D301" s="608" t="s">
        <v>1186</v>
      </c>
      <c r="E301" s="609" t="s">
        <v>533</v>
      </c>
      <c r="F301">
        <v>-6519579</v>
      </c>
      <c r="G301">
        <v>88211818</v>
      </c>
      <c r="H301">
        <v>-15000</v>
      </c>
      <c r="I301">
        <v>0</v>
      </c>
      <c r="J301">
        <v>1750000</v>
      </c>
      <c r="K301">
        <v>-2170000</v>
      </c>
      <c r="L301">
        <v>87776818</v>
      </c>
      <c r="M301">
        <v>1231566</v>
      </c>
      <c r="N301">
        <v>0</v>
      </c>
      <c r="O301">
        <v>1404247</v>
      </c>
      <c r="P301">
        <v>2635813</v>
      </c>
      <c r="Q301">
        <v>-1723078</v>
      </c>
      <c r="R301">
        <v>-21300613</v>
      </c>
      <c r="S301">
        <v>-852024</v>
      </c>
      <c r="T301">
        <v>-63049812</v>
      </c>
      <c r="U301">
        <v>-259336</v>
      </c>
      <c r="V301">
        <v>0</v>
      </c>
      <c r="W301">
        <v>0</v>
      </c>
      <c r="X301">
        <v>-87184863</v>
      </c>
      <c r="Y301" s="661">
        <v>-3291811</v>
      </c>
      <c r="Z301" t="s">
        <v>1952</v>
      </c>
    </row>
    <row r="302" spans="1:26" ht="12.75" x14ac:dyDescent="0.2">
      <c r="A302" s="605">
        <v>295</v>
      </c>
      <c r="B302" s="606" t="s">
        <v>479</v>
      </c>
      <c r="C302" s="607" t="s">
        <v>1185</v>
      </c>
      <c r="D302" s="608" t="s">
        <v>1194</v>
      </c>
      <c r="E302" s="609" t="s">
        <v>478</v>
      </c>
      <c r="F302">
        <v>545478</v>
      </c>
      <c r="G302">
        <v>10627322</v>
      </c>
      <c r="H302">
        <v>0</v>
      </c>
      <c r="I302">
        <v>-75012</v>
      </c>
      <c r="J302">
        <v>18291</v>
      </c>
      <c r="K302">
        <v>64574</v>
      </c>
      <c r="L302">
        <v>10635175</v>
      </c>
      <c r="M302">
        <v>278209</v>
      </c>
      <c r="N302">
        <v>0</v>
      </c>
      <c r="O302">
        <v>0</v>
      </c>
      <c r="P302">
        <v>278209</v>
      </c>
      <c r="Q302">
        <v>-14877</v>
      </c>
      <c r="R302">
        <v>-4956675</v>
      </c>
      <c r="S302">
        <v>-991334</v>
      </c>
      <c r="T302">
        <v>-3965340</v>
      </c>
      <c r="U302">
        <v>-81908</v>
      </c>
      <c r="V302">
        <v>0</v>
      </c>
      <c r="W302">
        <v>-780491</v>
      </c>
      <c r="X302">
        <v>-10790625</v>
      </c>
      <c r="Y302" s="661">
        <v>668237</v>
      </c>
      <c r="Z302" t="s">
        <v>1953</v>
      </c>
    </row>
    <row r="303" spans="1:26" ht="12.75" x14ac:dyDescent="0.2">
      <c r="A303" s="605">
        <v>296</v>
      </c>
      <c r="B303" s="606" t="s">
        <v>481</v>
      </c>
      <c r="C303" s="607" t="s">
        <v>1185</v>
      </c>
      <c r="D303" s="608" t="s">
        <v>1187</v>
      </c>
      <c r="E303" s="609" t="s">
        <v>480</v>
      </c>
      <c r="F303">
        <v>2193611</v>
      </c>
      <c r="G303">
        <v>31099185</v>
      </c>
      <c r="H303">
        <v>0</v>
      </c>
      <c r="I303">
        <v>-932976</v>
      </c>
      <c r="J303">
        <v>0</v>
      </c>
      <c r="K303">
        <v>-1095687</v>
      </c>
      <c r="L303">
        <v>29070522</v>
      </c>
      <c r="M303">
        <v>0</v>
      </c>
      <c r="N303">
        <v>0</v>
      </c>
      <c r="O303">
        <v>0</v>
      </c>
      <c r="P303">
        <v>0</v>
      </c>
      <c r="Q303">
        <v>-117379</v>
      </c>
      <c r="R303">
        <v>-7338644</v>
      </c>
      <c r="S303">
        <v>-5577371</v>
      </c>
      <c r="T303">
        <v>-16438565</v>
      </c>
      <c r="U303">
        <v>-127437</v>
      </c>
      <c r="V303">
        <v>0</v>
      </c>
      <c r="W303">
        <v>-763785</v>
      </c>
      <c r="X303">
        <v>-30363181</v>
      </c>
      <c r="Y303" s="661">
        <v>900952</v>
      </c>
      <c r="Z303" t="s">
        <v>1954</v>
      </c>
    </row>
    <row r="304" spans="1:26" ht="12.75" x14ac:dyDescent="0.2">
      <c r="A304" s="605">
        <v>297</v>
      </c>
      <c r="B304" s="606" t="s">
        <v>483</v>
      </c>
      <c r="C304" s="607" t="s">
        <v>1185</v>
      </c>
      <c r="D304" s="608" t="s">
        <v>1188</v>
      </c>
      <c r="E304" s="609" t="s">
        <v>482</v>
      </c>
      <c r="F304">
        <v>-74666</v>
      </c>
      <c r="G304">
        <v>17923534</v>
      </c>
      <c r="H304">
        <v>0</v>
      </c>
      <c r="I304">
        <v>-263682</v>
      </c>
      <c r="J304">
        <v>41338</v>
      </c>
      <c r="K304">
        <v>-398117</v>
      </c>
      <c r="L304">
        <v>17303073</v>
      </c>
      <c r="M304">
        <v>450833</v>
      </c>
      <c r="N304">
        <v>5707</v>
      </c>
      <c r="O304">
        <v>0</v>
      </c>
      <c r="P304">
        <v>456540</v>
      </c>
      <c r="Q304">
        <v>-83535</v>
      </c>
      <c r="R304">
        <v>-8707882</v>
      </c>
      <c r="S304">
        <v>-1741576</v>
      </c>
      <c r="T304">
        <v>-6966306</v>
      </c>
      <c r="U304">
        <v>-308484</v>
      </c>
      <c r="V304">
        <v>0</v>
      </c>
      <c r="W304">
        <v>-453252</v>
      </c>
      <c r="X304">
        <v>-18261035</v>
      </c>
      <c r="Y304" s="661">
        <v>-576088</v>
      </c>
      <c r="Z304" t="s">
        <v>1955</v>
      </c>
    </row>
    <row r="305" spans="1:26" ht="12.75" x14ac:dyDescent="0.2">
      <c r="A305" s="605">
        <v>298</v>
      </c>
      <c r="B305" s="606" t="s">
        <v>485</v>
      </c>
      <c r="C305" s="607" t="s">
        <v>1185</v>
      </c>
      <c r="D305" s="608" t="s">
        <v>1186</v>
      </c>
      <c r="E305" s="609" t="s">
        <v>484</v>
      </c>
      <c r="F305">
        <v>-1316306</v>
      </c>
      <c r="G305">
        <v>39129261</v>
      </c>
      <c r="H305">
        <v>0</v>
      </c>
      <c r="I305">
        <v>-100000</v>
      </c>
      <c r="J305">
        <v>791854</v>
      </c>
      <c r="K305">
        <v>152719</v>
      </c>
      <c r="L305">
        <v>39973834</v>
      </c>
      <c r="M305">
        <v>721613</v>
      </c>
      <c r="N305">
        <v>0</v>
      </c>
      <c r="O305">
        <v>0</v>
      </c>
      <c r="P305">
        <v>721613</v>
      </c>
      <c r="Q305">
        <v>0</v>
      </c>
      <c r="R305">
        <v>-18832339</v>
      </c>
      <c r="S305">
        <v>-3766468</v>
      </c>
      <c r="T305">
        <v>-15065871</v>
      </c>
      <c r="U305">
        <v>-162547</v>
      </c>
      <c r="V305">
        <v>-219573</v>
      </c>
      <c r="W305">
        <v>-713497</v>
      </c>
      <c r="X305">
        <v>-38760295</v>
      </c>
      <c r="Y305" s="661">
        <v>618846</v>
      </c>
      <c r="Z305" t="s">
        <v>1956</v>
      </c>
    </row>
    <row r="306" spans="1:26" ht="12.75" x14ac:dyDescent="0.2">
      <c r="A306" s="605">
        <v>299</v>
      </c>
      <c r="B306" s="606" t="s">
        <v>1132</v>
      </c>
      <c r="C306" s="607" t="s">
        <v>1185</v>
      </c>
      <c r="D306" s="608" t="s">
        <v>1194</v>
      </c>
      <c r="E306" s="609" t="s">
        <v>1131</v>
      </c>
      <c r="F306">
        <v>-826736.71999999881</v>
      </c>
      <c r="G306">
        <v>73884846</v>
      </c>
      <c r="H306">
        <v>0</v>
      </c>
      <c r="I306">
        <v>-367838</v>
      </c>
      <c r="J306">
        <v>362121</v>
      </c>
      <c r="K306">
        <v>-3079237</v>
      </c>
      <c r="L306">
        <v>70799892</v>
      </c>
      <c r="M306">
        <v>329189</v>
      </c>
      <c r="N306">
        <v>0</v>
      </c>
      <c r="O306">
        <v>1345855</v>
      </c>
      <c r="P306">
        <v>1675044</v>
      </c>
      <c r="Q306">
        <v>0</v>
      </c>
      <c r="R306">
        <v>-34780073</v>
      </c>
      <c r="S306">
        <v>-6956015</v>
      </c>
      <c r="T306">
        <v>-27824058</v>
      </c>
      <c r="U306">
        <v>-848131</v>
      </c>
      <c r="V306">
        <v>0</v>
      </c>
      <c r="W306">
        <v>0</v>
      </c>
      <c r="X306">
        <v>-70408277</v>
      </c>
      <c r="Y306" s="661">
        <v>1239922.2800000012</v>
      </c>
      <c r="Z306" t="s">
        <v>1957</v>
      </c>
    </row>
    <row r="307" spans="1:26" ht="12.75" x14ac:dyDescent="0.2">
      <c r="A307" s="605">
        <v>300</v>
      </c>
      <c r="B307" s="606" t="s">
        <v>487</v>
      </c>
      <c r="C307" s="607" t="s">
        <v>1196</v>
      </c>
      <c r="D307" s="608" t="s">
        <v>1191</v>
      </c>
      <c r="E307" s="609" t="s">
        <v>486</v>
      </c>
      <c r="F307">
        <v>7858330.601000309</v>
      </c>
      <c r="G307">
        <v>2284893173</v>
      </c>
      <c r="H307">
        <v>0</v>
      </c>
      <c r="I307">
        <v>4000000</v>
      </c>
      <c r="J307">
        <v>0</v>
      </c>
      <c r="K307">
        <v>35900000</v>
      </c>
      <c r="L307">
        <v>2324793173</v>
      </c>
      <c r="M307">
        <v>0</v>
      </c>
      <c r="N307">
        <v>0</v>
      </c>
      <c r="O307">
        <v>0</v>
      </c>
      <c r="P307">
        <v>0</v>
      </c>
      <c r="Q307">
        <v>-2236355</v>
      </c>
      <c r="R307">
        <v>-555939061</v>
      </c>
      <c r="S307">
        <v>-600414187</v>
      </c>
      <c r="T307">
        <v>-1067402999</v>
      </c>
      <c r="U307">
        <v>-3323852</v>
      </c>
      <c r="V307">
        <v>-122</v>
      </c>
      <c r="W307">
        <v>-3394928</v>
      </c>
      <c r="X307">
        <v>-2232711504</v>
      </c>
      <c r="Y307" s="661">
        <v>99939999.601000309</v>
      </c>
      <c r="Z307" t="s">
        <v>1958</v>
      </c>
    </row>
    <row r="308" spans="1:26" ht="12.75" x14ac:dyDescent="0.2">
      <c r="A308" s="605">
        <v>301</v>
      </c>
      <c r="B308" s="606" t="s">
        <v>489</v>
      </c>
      <c r="C308" s="611" t="s">
        <v>1192</v>
      </c>
      <c r="D308" s="612" t="s">
        <v>1187</v>
      </c>
      <c r="E308" s="609" t="s">
        <v>488</v>
      </c>
      <c r="F308">
        <v>11201059</v>
      </c>
      <c r="G308">
        <v>84110717</v>
      </c>
      <c r="H308">
        <v>0</v>
      </c>
      <c r="I308">
        <v>-845038</v>
      </c>
      <c r="J308">
        <v>1453881</v>
      </c>
      <c r="K308">
        <v>-2128557</v>
      </c>
      <c r="L308">
        <v>82591003</v>
      </c>
      <c r="M308">
        <v>0</v>
      </c>
      <c r="N308">
        <v>0</v>
      </c>
      <c r="O308">
        <v>0</v>
      </c>
      <c r="P308">
        <v>0</v>
      </c>
      <c r="Q308">
        <v>-1478660</v>
      </c>
      <c r="R308">
        <v>0</v>
      </c>
      <c r="S308">
        <v>-793344</v>
      </c>
      <c r="T308">
        <v>-78541038</v>
      </c>
      <c r="U308">
        <v>0</v>
      </c>
      <c r="V308">
        <v>0</v>
      </c>
      <c r="W308">
        <v>-11305868</v>
      </c>
      <c r="X308">
        <v>-92118910</v>
      </c>
      <c r="Y308" s="661">
        <v>1673152</v>
      </c>
      <c r="Z308" t="s">
        <v>1959</v>
      </c>
    </row>
    <row r="309" spans="1:26" ht="12.75" x14ac:dyDescent="0.2">
      <c r="A309" s="605">
        <v>302</v>
      </c>
      <c r="B309" s="606" t="s">
        <v>491</v>
      </c>
      <c r="C309" s="607" t="s">
        <v>524</v>
      </c>
      <c r="D309" s="608" t="s">
        <v>1194</v>
      </c>
      <c r="E309" s="609" t="s">
        <v>490</v>
      </c>
      <c r="F309">
        <v>-6281600</v>
      </c>
      <c r="G309">
        <v>152979579</v>
      </c>
      <c r="H309">
        <v>0</v>
      </c>
      <c r="I309">
        <v>-1759965</v>
      </c>
      <c r="J309">
        <v>3844900</v>
      </c>
      <c r="K309">
        <v>-3824490</v>
      </c>
      <c r="L309">
        <v>151240024</v>
      </c>
      <c r="M309">
        <v>0</v>
      </c>
      <c r="N309">
        <v>0</v>
      </c>
      <c r="O309">
        <v>8912275</v>
      </c>
      <c r="P309">
        <v>8912275</v>
      </c>
      <c r="Q309">
        <v>-845021</v>
      </c>
      <c r="R309">
        <v>-73812114</v>
      </c>
      <c r="S309">
        <v>-1476242</v>
      </c>
      <c r="T309">
        <v>-72335871</v>
      </c>
      <c r="U309">
        <v>-2115015</v>
      </c>
      <c r="V309">
        <v>0</v>
      </c>
      <c r="W309">
        <v>0</v>
      </c>
      <c r="X309">
        <v>-150584263</v>
      </c>
      <c r="Y309" s="661">
        <v>3286436</v>
      </c>
      <c r="Z309" t="s">
        <v>1960</v>
      </c>
    </row>
    <row r="310" spans="1:26" ht="12.75" x14ac:dyDescent="0.2">
      <c r="A310" s="605">
        <v>303</v>
      </c>
      <c r="B310" s="606" t="s">
        <v>493</v>
      </c>
      <c r="C310" s="607" t="s">
        <v>1185</v>
      </c>
      <c r="D310" s="608" t="s">
        <v>1186</v>
      </c>
      <c r="E310" s="609" t="s">
        <v>492</v>
      </c>
      <c r="F310">
        <v>992484.20000000019</v>
      </c>
      <c r="G310">
        <v>65009808</v>
      </c>
      <c r="H310">
        <v>-456000</v>
      </c>
      <c r="I310">
        <v>-15000</v>
      </c>
      <c r="J310">
        <v>112677</v>
      </c>
      <c r="K310">
        <v>-1522536</v>
      </c>
      <c r="L310">
        <v>63128949</v>
      </c>
      <c r="M310">
        <v>570000</v>
      </c>
      <c r="N310">
        <v>0</v>
      </c>
      <c r="O310">
        <v>0</v>
      </c>
      <c r="P310">
        <v>570000</v>
      </c>
      <c r="Q310">
        <v>0</v>
      </c>
      <c r="R310">
        <v>-30275997</v>
      </c>
      <c r="S310">
        <v>-6055199</v>
      </c>
      <c r="T310">
        <v>-24220797</v>
      </c>
      <c r="U310">
        <v>-489269</v>
      </c>
      <c r="V310">
        <v>0</v>
      </c>
      <c r="W310">
        <v>-970048</v>
      </c>
      <c r="X310">
        <v>-62011310</v>
      </c>
      <c r="Y310" s="661">
        <v>2680123.200000003</v>
      </c>
      <c r="Z310" t="s">
        <v>1961</v>
      </c>
    </row>
    <row r="311" spans="1:26" ht="12.75" x14ac:dyDescent="0.2">
      <c r="A311" s="605">
        <v>304</v>
      </c>
      <c r="B311" s="606" t="s">
        <v>495</v>
      </c>
      <c r="C311" s="607" t="s">
        <v>524</v>
      </c>
      <c r="D311" s="608" t="s">
        <v>1186</v>
      </c>
      <c r="E311" s="609" t="s">
        <v>908</v>
      </c>
      <c r="F311">
        <v>-3636279</v>
      </c>
      <c r="G311">
        <v>89285263</v>
      </c>
      <c r="H311">
        <v>-1651413</v>
      </c>
      <c r="I311">
        <v>361644</v>
      </c>
      <c r="J311">
        <v>0</v>
      </c>
      <c r="K311">
        <v>1050243</v>
      </c>
      <c r="L311">
        <v>89045737</v>
      </c>
      <c r="M311">
        <v>84585</v>
      </c>
      <c r="N311">
        <v>3357616</v>
      </c>
      <c r="O311">
        <v>2381328</v>
      </c>
      <c r="P311">
        <v>5823529</v>
      </c>
      <c r="Q311">
        <v>0</v>
      </c>
      <c r="R311">
        <v>-23456296</v>
      </c>
      <c r="S311">
        <v>-938252</v>
      </c>
      <c r="T311">
        <v>-69430638</v>
      </c>
      <c r="U311">
        <v>-13361</v>
      </c>
      <c r="V311">
        <v>-241470</v>
      </c>
      <c r="W311">
        <v>0</v>
      </c>
      <c r="X311">
        <v>-94080017</v>
      </c>
      <c r="Y311" s="661">
        <v>-2847030</v>
      </c>
      <c r="Z311" t="s">
        <v>1962</v>
      </c>
    </row>
    <row r="312" spans="1:26" ht="12.75" x14ac:dyDescent="0.2">
      <c r="A312" s="605">
        <v>305</v>
      </c>
      <c r="B312" s="606" t="s">
        <v>497</v>
      </c>
      <c r="C312" s="607" t="s">
        <v>1192</v>
      </c>
      <c r="D312" s="608" t="s">
        <v>1187</v>
      </c>
      <c r="E312" s="609" t="s">
        <v>496</v>
      </c>
      <c r="F312">
        <v>-320384</v>
      </c>
      <c r="G312">
        <v>72488690</v>
      </c>
      <c r="H312">
        <v>0</v>
      </c>
      <c r="I312">
        <v>-1100000</v>
      </c>
      <c r="J312">
        <v>232378</v>
      </c>
      <c r="K312">
        <v>-161261</v>
      </c>
      <c r="L312">
        <v>71459807</v>
      </c>
      <c r="M312">
        <v>1046707</v>
      </c>
      <c r="N312">
        <v>0</v>
      </c>
      <c r="O312">
        <v>0</v>
      </c>
      <c r="P312">
        <v>1046707</v>
      </c>
      <c r="Q312">
        <v>-1432258</v>
      </c>
      <c r="R312">
        <v>0</v>
      </c>
      <c r="S312">
        <v>-701795</v>
      </c>
      <c r="T312">
        <v>-69477731</v>
      </c>
      <c r="U312">
        <v>-328485</v>
      </c>
      <c r="V312">
        <v>0</v>
      </c>
      <c r="W312">
        <v>-69101</v>
      </c>
      <c r="X312">
        <v>-72009370</v>
      </c>
      <c r="Y312" s="661">
        <v>176760</v>
      </c>
      <c r="Z312" t="s">
        <v>1963</v>
      </c>
    </row>
    <row r="313" spans="1:26" ht="12.75" x14ac:dyDescent="0.2">
      <c r="A313" s="605">
        <v>306</v>
      </c>
      <c r="B313" s="606" t="s">
        <v>499</v>
      </c>
      <c r="C313" s="607" t="s">
        <v>1185</v>
      </c>
      <c r="D313" s="608" t="s">
        <v>1186</v>
      </c>
      <c r="E313" s="609" t="s">
        <v>498</v>
      </c>
      <c r="F313">
        <v>6766102</v>
      </c>
      <c r="G313">
        <v>47670635</v>
      </c>
      <c r="H313">
        <v>-41636</v>
      </c>
      <c r="I313">
        <v>-151000</v>
      </c>
      <c r="J313">
        <v>3896868</v>
      </c>
      <c r="K313">
        <v>-4652137</v>
      </c>
      <c r="L313">
        <v>46722730</v>
      </c>
      <c r="M313">
        <v>0</v>
      </c>
      <c r="N313">
        <v>0</v>
      </c>
      <c r="O313">
        <v>0</v>
      </c>
      <c r="P313">
        <v>0</v>
      </c>
      <c r="Q313">
        <v>-76361</v>
      </c>
      <c r="R313">
        <v>-22806037</v>
      </c>
      <c r="S313">
        <v>-4561207</v>
      </c>
      <c r="T313">
        <v>-18244829</v>
      </c>
      <c r="U313">
        <v>-132198</v>
      </c>
      <c r="V313">
        <v>0</v>
      </c>
      <c r="W313">
        <v>-6293253</v>
      </c>
      <c r="X313">
        <v>-52113885</v>
      </c>
      <c r="Y313" s="661">
        <v>1374947</v>
      </c>
      <c r="Z313" t="s">
        <v>1964</v>
      </c>
    </row>
    <row r="314" spans="1:26" ht="12.75" x14ac:dyDescent="0.2">
      <c r="A314" s="605">
        <v>307</v>
      </c>
      <c r="B314" s="606" t="s">
        <v>501</v>
      </c>
      <c r="C314" s="607" t="s">
        <v>524</v>
      </c>
      <c r="D314" s="608" t="s">
        <v>1186</v>
      </c>
      <c r="E314" s="609" t="s">
        <v>536</v>
      </c>
      <c r="F314">
        <v>-2158613.8599999994</v>
      </c>
      <c r="G314">
        <v>74232320</v>
      </c>
      <c r="H314">
        <v>0</v>
      </c>
      <c r="I314">
        <v>-1400000</v>
      </c>
      <c r="J314">
        <v>2000000</v>
      </c>
      <c r="K314">
        <v>-3803000</v>
      </c>
      <c r="L314">
        <v>71029320</v>
      </c>
      <c r="M314">
        <v>887073</v>
      </c>
      <c r="N314">
        <v>0</v>
      </c>
      <c r="O314">
        <v>0</v>
      </c>
      <c r="P314">
        <v>887073</v>
      </c>
      <c r="Q314">
        <v>0</v>
      </c>
      <c r="R314">
        <v>-18832698</v>
      </c>
      <c r="S314">
        <v>-753308</v>
      </c>
      <c r="T314">
        <v>-55744787</v>
      </c>
      <c r="U314">
        <v>-215453</v>
      </c>
      <c r="V314">
        <v>0</v>
      </c>
      <c r="W314">
        <v>-3377479</v>
      </c>
      <c r="X314">
        <v>-78923725</v>
      </c>
      <c r="Y314" s="661">
        <v>-9165945.8599999994</v>
      </c>
      <c r="Z314" t="s">
        <v>1965</v>
      </c>
    </row>
    <row r="315" spans="1:26" ht="12.75" x14ac:dyDescent="0.2">
      <c r="A315" s="605">
        <v>308</v>
      </c>
      <c r="B315" s="606" t="s">
        <v>503</v>
      </c>
      <c r="C315" s="607" t="s">
        <v>1192</v>
      </c>
      <c r="D315" s="608" t="s">
        <v>1195</v>
      </c>
      <c r="E315" s="609" t="s">
        <v>502</v>
      </c>
      <c r="F315">
        <v>-538805</v>
      </c>
      <c r="G315">
        <v>74950320</v>
      </c>
      <c r="H315">
        <v>0</v>
      </c>
      <c r="I315">
        <v>-1293020</v>
      </c>
      <c r="J315">
        <v>1177426</v>
      </c>
      <c r="K315">
        <v>-1592331</v>
      </c>
      <c r="L315">
        <v>73242395</v>
      </c>
      <c r="M315">
        <v>0</v>
      </c>
      <c r="N315">
        <v>0</v>
      </c>
      <c r="O315">
        <v>1083199</v>
      </c>
      <c r="P315">
        <v>1083199</v>
      </c>
      <c r="Q315">
        <v>-293470</v>
      </c>
      <c r="R315">
        <v>0</v>
      </c>
      <c r="S315">
        <v>-731976</v>
      </c>
      <c r="T315">
        <v>-72465613</v>
      </c>
      <c r="U315">
        <v>-417289</v>
      </c>
      <c r="V315">
        <v>0</v>
      </c>
      <c r="W315">
        <v>0</v>
      </c>
      <c r="X315">
        <v>-73908348</v>
      </c>
      <c r="Y315" s="661">
        <v>-121559</v>
      </c>
      <c r="Z315" t="s">
        <v>1966</v>
      </c>
    </row>
    <row r="316" spans="1:26" ht="12.75" x14ac:dyDescent="0.2">
      <c r="A316" s="605">
        <v>309</v>
      </c>
      <c r="B316" s="606" t="s">
        <v>505</v>
      </c>
      <c r="C316" s="607" t="s">
        <v>1185</v>
      </c>
      <c r="D316" s="608" t="s">
        <v>1195</v>
      </c>
      <c r="E316" s="609" t="s">
        <v>504</v>
      </c>
      <c r="F316">
        <v>489747.5</v>
      </c>
      <c r="G316">
        <v>41561938</v>
      </c>
      <c r="H316">
        <v>-415619</v>
      </c>
      <c r="I316">
        <v>0</v>
      </c>
      <c r="J316">
        <v>0</v>
      </c>
      <c r="K316">
        <v>0</v>
      </c>
      <c r="L316">
        <v>41146319</v>
      </c>
      <c r="M316">
        <v>0</v>
      </c>
      <c r="N316">
        <v>0</v>
      </c>
      <c r="O316">
        <v>0</v>
      </c>
      <c r="P316">
        <v>0</v>
      </c>
      <c r="Q316">
        <v>-268628</v>
      </c>
      <c r="R316">
        <v>-9574453</v>
      </c>
      <c r="S316">
        <v>-28723359</v>
      </c>
      <c r="T316">
        <v>-132392</v>
      </c>
      <c r="U316">
        <v>-4434</v>
      </c>
      <c r="V316">
        <v>0</v>
      </c>
      <c r="W316">
        <v>-591645</v>
      </c>
      <c r="X316">
        <v>-39294911</v>
      </c>
      <c r="Y316" s="661">
        <v>2341155.5</v>
      </c>
      <c r="Z316" t="s">
        <v>1967</v>
      </c>
    </row>
    <row r="317" spans="1:26" ht="12.75" x14ac:dyDescent="0.2">
      <c r="A317" s="605">
        <v>310</v>
      </c>
      <c r="B317" s="610" t="s">
        <v>507</v>
      </c>
      <c r="C317" s="607" t="s">
        <v>1185</v>
      </c>
      <c r="D317" s="608" t="s">
        <v>1186</v>
      </c>
      <c r="E317" s="613" t="s">
        <v>506</v>
      </c>
      <c r="F317">
        <v>-1875201</v>
      </c>
      <c r="G317">
        <v>31470320</v>
      </c>
      <c r="H317">
        <v>0</v>
      </c>
      <c r="I317">
        <v>55005</v>
      </c>
      <c r="J317">
        <v>0</v>
      </c>
      <c r="K317">
        <v>1301314</v>
      </c>
      <c r="L317">
        <v>32826639</v>
      </c>
      <c r="M317">
        <v>110361</v>
      </c>
      <c r="N317">
        <v>0</v>
      </c>
      <c r="O317">
        <v>1655856</v>
      </c>
      <c r="P317">
        <v>1766217</v>
      </c>
      <c r="Q317">
        <v>0</v>
      </c>
      <c r="R317">
        <v>-8140683</v>
      </c>
      <c r="S317">
        <v>-17909504</v>
      </c>
      <c r="T317">
        <v>-6512550</v>
      </c>
      <c r="U317">
        <v>-125135</v>
      </c>
      <c r="V317">
        <v>0</v>
      </c>
      <c r="W317">
        <v>0</v>
      </c>
      <c r="X317">
        <v>-32687872</v>
      </c>
      <c r="Y317" s="661">
        <v>29783</v>
      </c>
      <c r="Z317" t="s">
        <v>1968</v>
      </c>
    </row>
    <row r="318" spans="1:26" ht="12.75" x14ac:dyDescent="0.2">
      <c r="A318" s="605">
        <v>311</v>
      </c>
      <c r="B318" s="606" t="s">
        <v>509</v>
      </c>
      <c r="C318" s="607" t="s">
        <v>1185</v>
      </c>
      <c r="D318" s="608" t="s">
        <v>1195</v>
      </c>
      <c r="E318" s="609" t="s">
        <v>508</v>
      </c>
      <c r="F318">
        <v>1691181.4752079993</v>
      </c>
      <c r="G318">
        <v>43996546</v>
      </c>
      <c r="H318">
        <v>-424468</v>
      </c>
      <c r="I318">
        <v>0</v>
      </c>
      <c r="J318">
        <v>247687</v>
      </c>
      <c r="K318">
        <v>183061</v>
      </c>
      <c r="L318">
        <v>44002826</v>
      </c>
      <c r="M318">
        <v>286768</v>
      </c>
      <c r="N318">
        <v>0</v>
      </c>
      <c r="O318">
        <v>0</v>
      </c>
      <c r="P318">
        <v>286768</v>
      </c>
      <c r="Q318">
        <v>0</v>
      </c>
      <c r="R318">
        <v>-9931639</v>
      </c>
      <c r="S318">
        <v>-29794919</v>
      </c>
      <c r="T318">
        <v>0</v>
      </c>
      <c r="U318">
        <v>-563453</v>
      </c>
      <c r="V318">
        <v>-7589</v>
      </c>
      <c r="W318">
        <v>-1426553</v>
      </c>
      <c r="X318">
        <v>-41724153</v>
      </c>
      <c r="Y318" s="661">
        <v>4256622.4752079993</v>
      </c>
      <c r="Z318" t="s">
        <v>1969</v>
      </c>
    </row>
    <row r="319" spans="1:26" ht="12.75" x14ac:dyDescent="0.2">
      <c r="A319" s="605">
        <v>312</v>
      </c>
      <c r="B319" s="606" t="s">
        <v>513</v>
      </c>
      <c r="C319" s="607" t="s">
        <v>1185</v>
      </c>
      <c r="D319" s="608" t="s">
        <v>1187</v>
      </c>
      <c r="E319" s="609" t="s">
        <v>512</v>
      </c>
      <c r="F319">
        <v>-1051222.5299999993</v>
      </c>
      <c r="G319">
        <v>26708949</v>
      </c>
      <c r="H319">
        <v>-220017</v>
      </c>
      <c r="I319">
        <v>0</v>
      </c>
      <c r="J319">
        <v>515715</v>
      </c>
      <c r="K319">
        <v>-1263442</v>
      </c>
      <c r="L319">
        <v>25741205</v>
      </c>
      <c r="M319">
        <v>0</v>
      </c>
      <c r="N319">
        <v>0</v>
      </c>
      <c r="O319">
        <v>1044624</v>
      </c>
      <c r="P319">
        <v>1044624</v>
      </c>
      <c r="Q319">
        <v>-962208</v>
      </c>
      <c r="R319">
        <v>-6196421</v>
      </c>
      <c r="S319">
        <v>-4709279</v>
      </c>
      <c r="T319">
        <v>-13879981</v>
      </c>
      <c r="U319">
        <v>-288380</v>
      </c>
      <c r="V319">
        <v>0</v>
      </c>
      <c r="W319">
        <v>0</v>
      </c>
      <c r="X319">
        <v>-26036269</v>
      </c>
      <c r="Y319" s="661">
        <v>-301662.53000000119</v>
      </c>
      <c r="Z319" t="s">
        <v>1970</v>
      </c>
    </row>
    <row r="320" spans="1:26" ht="12.75" x14ac:dyDescent="0.2">
      <c r="A320" s="605">
        <v>313</v>
      </c>
      <c r="B320" s="606" t="s">
        <v>515</v>
      </c>
      <c r="C320" s="607" t="s">
        <v>1185</v>
      </c>
      <c r="D320" s="608" t="s">
        <v>1195</v>
      </c>
      <c r="E320" s="609" t="s">
        <v>514</v>
      </c>
      <c r="F320">
        <v>-1167532.3999999985</v>
      </c>
      <c r="G320">
        <v>28626837</v>
      </c>
      <c r="H320">
        <v>-29665</v>
      </c>
      <c r="I320">
        <v>-221320</v>
      </c>
      <c r="J320">
        <v>99992</v>
      </c>
      <c r="K320">
        <v>-99992</v>
      </c>
      <c r="L320">
        <v>28375852</v>
      </c>
      <c r="M320">
        <v>0</v>
      </c>
      <c r="N320">
        <v>0</v>
      </c>
      <c r="O320">
        <v>580482</v>
      </c>
      <c r="P320">
        <v>580482</v>
      </c>
      <c r="Q320">
        <v>-16615</v>
      </c>
      <c r="R320">
        <v>-6590889</v>
      </c>
      <c r="S320">
        <v>-19772670</v>
      </c>
      <c r="T320">
        <v>0</v>
      </c>
      <c r="U320">
        <v>-133232</v>
      </c>
      <c r="V320">
        <v>0</v>
      </c>
      <c r="W320">
        <v>0</v>
      </c>
      <c r="X320">
        <v>-26513406</v>
      </c>
      <c r="Y320" s="661">
        <v>1275395.6000000015</v>
      </c>
      <c r="Z320" t="s">
        <v>1971</v>
      </c>
    </row>
    <row r="321" spans="1:26" ht="13.5" thickBot="1" x14ac:dyDescent="0.25">
      <c r="A321" s="605">
        <v>314</v>
      </c>
      <c r="B321" s="606" t="s">
        <v>517</v>
      </c>
      <c r="C321" s="607" t="s">
        <v>524</v>
      </c>
      <c r="D321" s="608" t="s">
        <v>1193</v>
      </c>
      <c r="E321" s="609" t="s">
        <v>597</v>
      </c>
      <c r="F321">
        <v>2168049</v>
      </c>
      <c r="G321">
        <v>105268926</v>
      </c>
      <c r="H321">
        <v>0</v>
      </c>
      <c r="I321">
        <v>-250000</v>
      </c>
      <c r="J321">
        <v>800000</v>
      </c>
      <c r="K321">
        <v>-1450000</v>
      </c>
      <c r="L321">
        <v>104368926</v>
      </c>
      <c r="M321">
        <v>1157900</v>
      </c>
      <c r="N321">
        <v>0</v>
      </c>
      <c r="O321">
        <v>0</v>
      </c>
      <c r="P321">
        <v>1157900</v>
      </c>
      <c r="Q321">
        <v>-1807816</v>
      </c>
      <c r="R321">
        <v>-25211495</v>
      </c>
      <c r="S321">
        <v>-1008460</v>
      </c>
      <c r="T321">
        <v>-74626025</v>
      </c>
      <c r="U321">
        <v>-689970</v>
      </c>
      <c r="V321">
        <v>0</v>
      </c>
      <c r="W321">
        <v>-4259802</v>
      </c>
      <c r="X321">
        <v>-107603568</v>
      </c>
      <c r="Y321" s="661">
        <v>91307</v>
      </c>
      <c r="Z321" t="s">
        <v>1972</v>
      </c>
    </row>
    <row r="322" spans="1:26" thickBot="1" x14ac:dyDescent="0.25">
      <c r="A322" s="614">
        <v>315</v>
      </c>
      <c r="B322" s="765" t="s">
        <v>518</v>
      </c>
      <c r="C322" s="615"/>
      <c r="D322" s="766" t="s">
        <v>1189</v>
      </c>
      <c r="E322" s="616" t="s">
        <v>1979</v>
      </c>
      <c r="F322" s="774">
        <v>25679318.07431931</v>
      </c>
      <c r="G322" s="767">
        <v>26172881011</v>
      </c>
      <c r="H322" s="767">
        <v>-34351660</v>
      </c>
      <c r="I322" s="767">
        <v>-186237326</v>
      </c>
      <c r="J322" s="767">
        <v>460429746</v>
      </c>
      <c r="K322" s="767">
        <v>-773006980</v>
      </c>
      <c r="L322" s="767">
        <v>25639714791</v>
      </c>
      <c r="M322" s="767">
        <v>179188568</v>
      </c>
      <c r="N322" s="767">
        <v>15725986</v>
      </c>
      <c r="O322" s="767">
        <v>349939419.69999999</v>
      </c>
      <c r="P322" s="767">
        <v>544853973.70000005</v>
      </c>
      <c r="Q322" s="767">
        <v>-229824933</v>
      </c>
      <c r="R322" s="767">
        <v>-7438241451</v>
      </c>
      <c r="S322" s="767">
        <v>-4192570894</v>
      </c>
      <c r="T322" s="767">
        <v>-13322302701</v>
      </c>
      <c r="U322" s="767">
        <v>-242424724</v>
      </c>
      <c r="V322" s="767">
        <v>-20038936</v>
      </c>
      <c r="W322" s="767">
        <v>-404495897.60000002</v>
      </c>
      <c r="X322" s="767">
        <v>-25849899536.599998</v>
      </c>
      <c r="Y322" s="768">
        <v>360348546.17431927</v>
      </c>
    </row>
    <row r="323" spans="1:26" x14ac:dyDescent="0.2">
      <c r="D323" s="618"/>
      <c r="E323" s="619"/>
    </row>
    <row r="324" spans="1:26" x14ac:dyDescent="0.2">
      <c r="A324" s="829" t="s">
        <v>1992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C319"/>
  <sheetViews>
    <sheetView workbookViewId="0">
      <selection activeCell="L331" sqref="L331"/>
    </sheetView>
  </sheetViews>
  <sheetFormatPr defaultRowHeight="12.75" x14ac:dyDescent="0.2"/>
  <cols>
    <col min="1" max="1" width="24.42578125" customWidth="1"/>
    <col min="3" max="3" width="29.28515625" customWidth="1"/>
  </cols>
  <sheetData>
    <row r="1" spans="1:3" x14ac:dyDescent="0.2">
      <c r="A1" s="118" t="s">
        <v>892</v>
      </c>
    </row>
    <row r="2" spans="1:3" x14ac:dyDescent="0.2">
      <c r="B2" t="s">
        <v>891</v>
      </c>
    </row>
    <row r="3" spans="1:3" x14ac:dyDescent="0.2">
      <c r="A3" t="s">
        <v>674</v>
      </c>
      <c r="B3" t="s">
        <v>675</v>
      </c>
      <c r="C3" t="s">
        <v>674</v>
      </c>
    </row>
    <row r="4" spans="1:3" x14ac:dyDescent="0.2">
      <c r="A4" t="s">
        <v>676</v>
      </c>
      <c r="B4" t="s">
        <v>677</v>
      </c>
      <c r="C4" t="s">
        <v>676</v>
      </c>
    </row>
    <row r="5" spans="1:3" x14ac:dyDescent="0.2">
      <c r="A5" t="s">
        <v>678</v>
      </c>
      <c r="B5" t="s">
        <v>679</v>
      </c>
      <c r="C5" t="s">
        <v>678</v>
      </c>
    </row>
    <row r="6" spans="1:3" x14ac:dyDescent="0.2">
      <c r="A6" t="s">
        <v>680</v>
      </c>
      <c r="B6" t="s">
        <v>681</v>
      </c>
      <c r="C6" t="s">
        <v>680</v>
      </c>
    </row>
    <row r="7" spans="1:3" x14ac:dyDescent="0.2">
      <c r="A7" t="s">
        <v>682</v>
      </c>
      <c r="B7" t="s">
        <v>683</v>
      </c>
      <c r="C7" t="s">
        <v>682</v>
      </c>
    </row>
    <row r="8" spans="1:3" x14ac:dyDescent="0.2">
      <c r="A8" t="s">
        <v>684</v>
      </c>
      <c r="B8" t="s">
        <v>685</v>
      </c>
      <c r="C8" t="s">
        <v>684</v>
      </c>
    </row>
    <row r="9" spans="1:3" x14ac:dyDescent="0.2">
      <c r="A9" t="s">
        <v>686</v>
      </c>
      <c r="B9" t="s">
        <v>687</v>
      </c>
      <c r="C9" t="s">
        <v>686</v>
      </c>
    </row>
    <row r="10" spans="1:3" x14ac:dyDescent="0.2">
      <c r="A10" t="s">
        <v>688</v>
      </c>
      <c r="B10" t="s">
        <v>689</v>
      </c>
      <c r="C10" t="s">
        <v>688</v>
      </c>
    </row>
    <row r="11" spans="1:3" x14ac:dyDescent="0.2">
      <c r="A11" t="s">
        <v>690</v>
      </c>
      <c r="B11" t="s">
        <v>691</v>
      </c>
      <c r="C11" t="s">
        <v>690</v>
      </c>
    </row>
    <row r="12" spans="1:3" x14ac:dyDescent="0.2">
      <c r="A12" t="s">
        <v>692</v>
      </c>
      <c r="B12" t="s">
        <v>693</v>
      </c>
      <c r="C12" t="s">
        <v>692</v>
      </c>
    </row>
    <row r="13" spans="1:3" x14ac:dyDescent="0.2">
      <c r="A13" t="s">
        <v>694</v>
      </c>
      <c r="B13" t="s">
        <v>695</v>
      </c>
      <c r="C13" t="s">
        <v>694</v>
      </c>
    </row>
    <row r="14" spans="1:3" x14ac:dyDescent="0.2">
      <c r="A14" t="s">
        <v>696</v>
      </c>
      <c r="B14" t="s">
        <v>697</v>
      </c>
      <c r="C14" t="s">
        <v>696</v>
      </c>
    </row>
    <row r="15" spans="1:3" x14ac:dyDescent="0.2">
      <c r="A15" t="s">
        <v>698</v>
      </c>
      <c r="B15" t="s">
        <v>699</v>
      </c>
      <c r="C15" t="s">
        <v>698</v>
      </c>
    </row>
    <row r="16" spans="1:3" x14ac:dyDescent="0.2">
      <c r="A16" t="s">
        <v>700</v>
      </c>
      <c r="B16" t="s">
        <v>701</v>
      </c>
      <c r="C16" t="s">
        <v>700</v>
      </c>
    </row>
    <row r="17" spans="1:3" x14ac:dyDescent="0.2">
      <c r="A17" t="s">
        <v>702</v>
      </c>
      <c r="B17" t="s">
        <v>703</v>
      </c>
      <c r="C17" t="s">
        <v>702</v>
      </c>
    </row>
    <row r="18" spans="1:3" x14ac:dyDescent="0.2">
      <c r="A18" t="s">
        <v>704</v>
      </c>
      <c r="B18" t="s">
        <v>705</v>
      </c>
      <c r="C18" t="s">
        <v>704</v>
      </c>
    </row>
    <row r="19" spans="1:3" x14ac:dyDescent="0.2">
      <c r="A19" t="s">
        <v>706</v>
      </c>
      <c r="B19" t="s">
        <v>707</v>
      </c>
      <c r="C19" t="s">
        <v>706</v>
      </c>
    </row>
    <row r="20" spans="1:3" x14ac:dyDescent="0.2">
      <c r="A20" t="s">
        <v>708</v>
      </c>
      <c r="B20" t="s">
        <v>709</v>
      </c>
      <c r="C20" t="s">
        <v>708</v>
      </c>
    </row>
    <row r="21" spans="1:3" x14ac:dyDescent="0.2">
      <c r="A21" t="s">
        <v>710</v>
      </c>
      <c r="B21" t="s">
        <v>711</v>
      </c>
      <c r="C21" t="s">
        <v>710</v>
      </c>
    </row>
    <row r="22" spans="1:3" x14ac:dyDescent="0.2">
      <c r="A22" t="s">
        <v>712</v>
      </c>
      <c r="B22" t="s">
        <v>713</v>
      </c>
      <c r="C22" t="s">
        <v>712</v>
      </c>
    </row>
    <row r="23" spans="1:3" x14ac:dyDescent="0.2">
      <c r="A23" t="s">
        <v>714</v>
      </c>
      <c r="B23" t="s">
        <v>715</v>
      </c>
      <c r="C23" t="s">
        <v>714</v>
      </c>
    </row>
    <row r="24" spans="1:3" x14ac:dyDescent="0.2">
      <c r="A24" t="s">
        <v>716</v>
      </c>
      <c r="B24" t="s">
        <v>717</v>
      </c>
      <c r="C24" t="s">
        <v>716</v>
      </c>
    </row>
    <row r="25" spans="1:3" x14ac:dyDescent="0.2">
      <c r="A25" t="s">
        <v>718</v>
      </c>
      <c r="B25" t="s">
        <v>719</v>
      </c>
      <c r="C25" t="s">
        <v>718</v>
      </c>
    </row>
    <row r="26" spans="1:3" x14ac:dyDescent="0.2">
      <c r="A26" t="s">
        <v>720</v>
      </c>
      <c r="B26" t="s">
        <v>721</v>
      </c>
      <c r="C26" t="s">
        <v>720</v>
      </c>
    </row>
    <row r="27" spans="1:3" x14ac:dyDescent="0.2">
      <c r="A27" t="s">
        <v>722</v>
      </c>
      <c r="B27" t="s">
        <v>723</v>
      </c>
      <c r="C27" t="s">
        <v>722</v>
      </c>
    </row>
    <row r="28" spans="1:3" x14ac:dyDescent="0.2">
      <c r="A28" s="522" t="s">
        <v>1145</v>
      </c>
      <c r="B28" s="522" t="s">
        <v>1124</v>
      </c>
      <c r="C28" s="522" t="s">
        <v>1145</v>
      </c>
    </row>
    <row r="29" spans="1:3" x14ac:dyDescent="0.2">
      <c r="A29" t="s">
        <v>724</v>
      </c>
      <c r="B29" t="s">
        <v>725</v>
      </c>
      <c r="C29" t="s">
        <v>724</v>
      </c>
    </row>
    <row r="30" spans="1:3" x14ac:dyDescent="0.2">
      <c r="A30" t="s">
        <v>726</v>
      </c>
      <c r="B30" t="s">
        <v>727</v>
      </c>
      <c r="C30" t="s">
        <v>726</v>
      </c>
    </row>
    <row r="31" spans="1:3" x14ac:dyDescent="0.2">
      <c r="A31" t="s">
        <v>728</v>
      </c>
      <c r="B31" t="s">
        <v>729</v>
      </c>
      <c r="C31" t="s">
        <v>728</v>
      </c>
    </row>
    <row r="32" spans="1:3" x14ac:dyDescent="0.2">
      <c r="A32" t="s">
        <v>730</v>
      </c>
      <c r="B32" t="s">
        <v>731</v>
      </c>
      <c r="C32" t="s">
        <v>730</v>
      </c>
    </row>
    <row r="33" spans="1:3" x14ac:dyDescent="0.2">
      <c r="A33" t="s">
        <v>732</v>
      </c>
      <c r="B33" t="s">
        <v>733</v>
      </c>
      <c r="C33" t="s">
        <v>732</v>
      </c>
    </row>
    <row r="34" spans="1:3" x14ac:dyDescent="0.2">
      <c r="A34" t="s">
        <v>734</v>
      </c>
      <c r="B34" t="s">
        <v>735</v>
      </c>
      <c r="C34" t="s">
        <v>734</v>
      </c>
    </row>
    <row r="35" spans="1:3" x14ac:dyDescent="0.2">
      <c r="A35" t="s">
        <v>736</v>
      </c>
      <c r="B35" t="s">
        <v>737</v>
      </c>
      <c r="C35" t="s">
        <v>736</v>
      </c>
    </row>
    <row r="36" spans="1:3" x14ac:dyDescent="0.2">
      <c r="A36" t="s">
        <v>738</v>
      </c>
      <c r="B36" t="s">
        <v>739</v>
      </c>
      <c r="C36" t="s">
        <v>738</v>
      </c>
    </row>
    <row r="37" spans="1:3" x14ac:dyDescent="0.2">
      <c r="A37" t="s">
        <v>740</v>
      </c>
      <c r="B37" t="s">
        <v>741</v>
      </c>
      <c r="C37" t="s">
        <v>740</v>
      </c>
    </row>
    <row r="38" spans="1:3" x14ac:dyDescent="0.2">
      <c r="A38" t="s">
        <v>742</v>
      </c>
      <c r="B38" t="s">
        <v>743</v>
      </c>
      <c r="C38" t="s">
        <v>742</v>
      </c>
    </row>
    <row r="39" spans="1:3" x14ac:dyDescent="0.2">
      <c r="A39" t="s">
        <v>744</v>
      </c>
      <c r="B39" t="s">
        <v>745</v>
      </c>
      <c r="C39" t="s">
        <v>744</v>
      </c>
    </row>
    <row r="40" spans="1:3" x14ac:dyDescent="0.2">
      <c r="A40" t="s">
        <v>746</v>
      </c>
      <c r="B40" t="s">
        <v>747</v>
      </c>
      <c r="C40" t="s">
        <v>746</v>
      </c>
    </row>
    <row r="41" spans="1:3" x14ac:dyDescent="0.2">
      <c r="A41" t="s">
        <v>748</v>
      </c>
      <c r="B41" t="s">
        <v>749</v>
      </c>
      <c r="C41" t="s">
        <v>748</v>
      </c>
    </row>
    <row r="42" spans="1:3" x14ac:dyDescent="0.2">
      <c r="A42" t="s">
        <v>750</v>
      </c>
      <c r="B42" t="s">
        <v>751</v>
      </c>
      <c r="C42" t="s">
        <v>750</v>
      </c>
    </row>
    <row r="43" spans="1:3" x14ac:dyDescent="0.2">
      <c r="A43" t="s">
        <v>752</v>
      </c>
      <c r="B43" t="s">
        <v>753</v>
      </c>
      <c r="C43" t="s">
        <v>752</v>
      </c>
    </row>
    <row r="44" spans="1:3" x14ac:dyDescent="0.2">
      <c r="A44" t="s">
        <v>754</v>
      </c>
      <c r="B44" t="s">
        <v>755</v>
      </c>
      <c r="C44" t="s">
        <v>754</v>
      </c>
    </row>
    <row r="45" spans="1:3" x14ac:dyDescent="0.2">
      <c r="A45" t="s">
        <v>756</v>
      </c>
      <c r="B45" t="s">
        <v>757</v>
      </c>
      <c r="C45" t="s">
        <v>756</v>
      </c>
    </row>
    <row r="46" spans="1:3" x14ac:dyDescent="0.2">
      <c r="A46" t="s">
        <v>758</v>
      </c>
      <c r="B46" t="s">
        <v>759</v>
      </c>
      <c r="C46" t="s">
        <v>758</v>
      </c>
    </row>
    <row r="47" spans="1:3" x14ac:dyDescent="0.2">
      <c r="A47" t="s">
        <v>760</v>
      </c>
      <c r="B47" t="s">
        <v>761</v>
      </c>
      <c r="C47" t="s">
        <v>760</v>
      </c>
    </row>
    <row r="48" spans="1:3" x14ac:dyDescent="0.2">
      <c r="A48" t="s">
        <v>762</v>
      </c>
      <c r="B48" t="s">
        <v>763</v>
      </c>
      <c r="C48" t="s">
        <v>762</v>
      </c>
    </row>
    <row r="49" spans="1:3" x14ac:dyDescent="0.2">
      <c r="A49" t="s">
        <v>764</v>
      </c>
      <c r="B49" t="s">
        <v>765</v>
      </c>
      <c r="C49" t="s">
        <v>764</v>
      </c>
    </row>
    <row r="50" spans="1:3" x14ac:dyDescent="0.2">
      <c r="A50" t="s">
        <v>766</v>
      </c>
      <c r="B50" t="s">
        <v>767</v>
      </c>
      <c r="C50" t="s">
        <v>766</v>
      </c>
    </row>
    <row r="51" spans="1:3" x14ac:dyDescent="0.2">
      <c r="A51" t="s">
        <v>768</v>
      </c>
      <c r="B51" t="s">
        <v>769</v>
      </c>
      <c r="C51" t="s">
        <v>768</v>
      </c>
    </row>
    <row r="52" spans="1:3" x14ac:dyDescent="0.2">
      <c r="A52" t="s">
        <v>770</v>
      </c>
      <c r="B52" t="s">
        <v>771</v>
      </c>
      <c r="C52" t="s">
        <v>770</v>
      </c>
    </row>
    <row r="53" spans="1:3" x14ac:dyDescent="0.2">
      <c r="A53" t="s">
        <v>772</v>
      </c>
      <c r="B53" t="s">
        <v>773</v>
      </c>
      <c r="C53" t="s">
        <v>772</v>
      </c>
    </row>
    <row r="54" spans="1:3" x14ac:dyDescent="0.2">
      <c r="A54" t="s">
        <v>774</v>
      </c>
      <c r="B54" t="s">
        <v>775</v>
      </c>
      <c r="C54" t="s">
        <v>774</v>
      </c>
    </row>
    <row r="55" spans="1:3" x14ac:dyDescent="0.2">
      <c r="A55" t="s">
        <v>776</v>
      </c>
      <c r="B55" t="s">
        <v>777</v>
      </c>
      <c r="C55" t="s">
        <v>776</v>
      </c>
    </row>
    <row r="56" spans="1:3" x14ac:dyDescent="0.2">
      <c r="A56" t="s">
        <v>778</v>
      </c>
      <c r="B56" t="s">
        <v>779</v>
      </c>
      <c r="C56" t="s">
        <v>778</v>
      </c>
    </row>
    <row r="57" spans="1:3" x14ac:dyDescent="0.2">
      <c r="A57" t="s">
        <v>546</v>
      </c>
      <c r="B57" t="s">
        <v>780</v>
      </c>
      <c r="C57" t="s">
        <v>546</v>
      </c>
    </row>
    <row r="58" spans="1:3" x14ac:dyDescent="0.2">
      <c r="A58" t="s">
        <v>781</v>
      </c>
      <c r="B58" t="s">
        <v>782</v>
      </c>
      <c r="C58" t="s">
        <v>781</v>
      </c>
    </row>
    <row r="59" spans="1:3" x14ac:dyDescent="0.2">
      <c r="A59" t="s">
        <v>783</v>
      </c>
      <c r="B59" t="s">
        <v>784</v>
      </c>
      <c r="C59" t="s">
        <v>783</v>
      </c>
    </row>
    <row r="60" spans="1:3" x14ac:dyDescent="0.2">
      <c r="A60" t="s">
        <v>785</v>
      </c>
      <c r="B60" t="s">
        <v>786</v>
      </c>
      <c r="C60" t="s">
        <v>785</v>
      </c>
    </row>
    <row r="61" spans="1:3" x14ac:dyDescent="0.2">
      <c r="A61" t="s">
        <v>787</v>
      </c>
      <c r="B61" t="s">
        <v>788</v>
      </c>
      <c r="C61" t="s">
        <v>787</v>
      </c>
    </row>
    <row r="62" spans="1:3" x14ac:dyDescent="0.2">
      <c r="A62" t="s">
        <v>789</v>
      </c>
      <c r="B62" t="s">
        <v>0</v>
      </c>
      <c r="C62" t="s">
        <v>789</v>
      </c>
    </row>
    <row r="63" spans="1:3" x14ac:dyDescent="0.2">
      <c r="A63" t="s">
        <v>1</v>
      </c>
      <c r="B63" t="s">
        <v>2</v>
      </c>
      <c r="C63" t="s">
        <v>1</v>
      </c>
    </row>
    <row r="64" spans="1:3" x14ac:dyDescent="0.2">
      <c r="A64" t="s">
        <v>3</v>
      </c>
      <c r="B64" t="s">
        <v>4</v>
      </c>
      <c r="C64" t="s">
        <v>3</v>
      </c>
    </row>
    <row r="65" spans="1:3" x14ac:dyDescent="0.2">
      <c r="A65" t="s">
        <v>5</v>
      </c>
      <c r="B65" t="s">
        <v>6</v>
      </c>
      <c r="C65" t="s">
        <v>5</v>
      </c>
    </row>
    <row r="66" spans="1:3" x14ac:dyDescent="0.2">
      <c r="A66" t="s">
        <v>7</v>
      </c>
      <c r="B66" t="s">
        <v>8</v>
      </c>
      <c r="C66" t="s">
        <v>7</v>
      </c>
    </row>
    <row r="67" spans="1:3" x14ac:dyDescent="0.2">
      <c r="A67" t="s">
        <v>9</v>
      </c>
      <c r="B67" t="s">
        <v>10</v>
      </c>
      <c r="C67" t="s">
        <v>9</v>
      </c>
    </row>
    <row r="68" spans="1:3" x14ac:dyDescent="0.2">
      <c r="A68" t="s">
        <v>11</v>
      </c>
      <c r="B68" t="s">
        <v>12</v>
      </c>
      <c r="C68" t="s">
        <v>11</v>
      </c>
    </row>
    <row r="69" spans="1:3" x14ac:dyDescent="0.2">
      <c r="A69" t="s">
        <v>13</v>
      </c>
      <c r="B69" t="s">
        <v>14</v>
      </c>
      <c r="C69" t="s">
        <v>13</v>
      </c>
    </row>
    <row r="70" spans="1:3" x14ac:dyDescent="0.2">
      <c r="A70" t="s">
        <v>15</v>
      </c>
      <c r="B70" t="s">
        <v>16</v>
      </c>
      <c r="C70" t="s">
        <v>15</v>
      </c>
    </row>
    <row r="71" spans="1:3" x14ac:dyDescent="0.2">
      <c r="A71" t="s">
        <v>17</v>
      </c>
      <c r="B71" t="s">
        <v>18</v>
      </c>
      <c r="C71" t="s">
        <v>17</v>
      </c>
    </row>
    <row r="72" spans="1:3" x14ac:dyDescent="0.2">
      <c r="A72" t="s">
        <v>19</v>
      </c>
      <c r="B72" t="s">
        <v>20</v>
      </c>
      <c r="C72" t="s">
        <v>19</v>
      </c>
    </row>
    <row r="73" spans="1:3" x14ac:dyDescent="0.2">
      <c r="A73" t="s">
        <v>21</v>
      </c>
      <c r="B73" t="s">
        <v>22</v>
      </c>
      <c r="C73" t="s">
        <v>21</v>
      </c>
    </row>
    <row r="74" spans="1:3" x14ac:dyDescent="0.2">
      <c r="A74" t="s">
        <v>23</v>
      </c>
      <c r="B74" t="s">
        <v>24</v>
      </c>
      <c r="C74" t="s">
        <v>23</v>
      </c>
    </row>
    <row r="75" spans="1:3" x14ac:dyDescent="0.2">
      <c r="A75" t="s">
        <v>25</v>
      </c>
      <c r="B75" t="s">
        <v>26</v>
      </c>
      <c r="C75" t="s">
        <v>25</v>
      </c>
    </row>
    <row r="76" spans="1:3" x14ac:dyDescent="0.2">
      <c r="A76" t="s">
        <v>27</v>
      </c>
      <c r="B76" t="s">
        <v>28</v>
      </c>
      <c r="C76" t="s">
        <v>27</v>
      </c>
    </row>
    <row r="77" spans="1:3" x14ac:dyDescent="0.2">
      <c r="A77" t="s">
        <v>29</v>
      </c>
      <c r="B77" t="s">
        <v>30</v>
      </c>
      <c r="C77" t="s">
        <v>29</v>
      </c>
    </row>
    <row r="78" spans="1:3" x14ac:dyDescent="0.2">
      <c r="A78" t="s">
        <v>31</v>
      </c>
      <c r="B78" t="s">
        <v>32</v>
      </c>
      <c r="C78" t="s">
        <v>31</v>
      </c>
    </row>
    <row r="79" spans="1:3" x14ac:dyDescent="0.2">
      <c r="A79" s="522" t="s">
        <v>1125</v>
      </c>
      <c r="B79" s="522" t="s">
        <v>1126</v>
      </c>
      <c r="C79" s="522" t="s">
        <v>1125</v>
      </c>
    </row>
    <row r="80" spans="1:3" x14ac:dyDescent="0.2">
      <c r="A80" t="s">
        <v>41</v>
      </c>
      <c r="B80" t="s">
        <v>42</v>
      </c>
      <c r="C80" t="s">
        <v>41</v>
      </c>
    </row>
    <row r="81" spans="1:3" x14ac:dyDescent="0.2">
      <c r="A81" t="s">
        <v>43</v>
      </c>
      <c r="B81" t="s">
        <v>44</v>
      </c>
      <c r="C81" t="s">
        <v>43</v>
      </c>
    </row>
    <row r="82" spans="1:3" x14ac:dyDescent="0.2">
      <c r="A82" t="s">
        <v>45</v>
      </c>
      <c r="B82" t="s">
        <v>46</v>
      </c>
      <c r="C82" t="s">
        <v>45</v>
      </c>
    </row>
    <row r="83" spans="1:3" x14ac:dyDescent="0.2">
      <c r="A83" t="s">
        <v>47</v>
      </c>
      <c r="B83" t="s">
        <v>48</v>
      </c>
      <c r="C83" t="s">
        <v>47</v>
      </c>
    </row>
    <row r="84" spans="1:3" x14ac:dyDescent="0.2">
      <c r="A84" t="s">
        <v>49</v>
      </c>
      <c r="B84" t="s">
        <v>50</v>
      </c>
      <c r="C84" t="s">
        <v>49</v>
      </c>
    </row>
    <row r="85" spans="1:3" x14ac:dyDescent="0.2">
      <c r="A85" t="s">
        <v>51</v>
      </c>
      <c r="B85" t="s">
        <v>52</v>
      </c>
      <c r="C85" t="s">
        <v>51</v>
      </c>
    </row>
    <row r="86" spans="1:3" x14ac:dyDescent="0.2">
      <c r="A86" t="s">
        <v>53</v>
      </c>
      <c r="B86" t="s">
        <v>54</v>
      </c>
      <c r="C86" t="s">
        <v>53</v>
      </c>
    </row>
    <row r="87" spans="1:3" x14ac:dyDescent="0.2">
      <c r="A87" t="s">
        <v>55</v>
      </c>
      <c r="B87" t="s">
        <v>56</v>
      </c>
      <c r="C87" t="s">
        <v>55</v>
      </c>
    </row>
    <row r="88" spans="1:3" x14ac:dyDescent="0.2">
      <c r="A88" t="s">
        <v>57</v>
      </c>
      <c r="B88" t="s">
        <v>58</v>
      </c>
      <c r="C88" t="s">
        <v>57</v>
      </c>
    </row>
    <row r="89" spans="1:3" x14ac:dyDescent="0.2">
      <c r="A89" t="s">
        <v>59</v>
      </c>
      <c r="B89" t="s">
        <v>60</v>
      </c>
      <c r="C89" t="s">
        <v>59</v>
      </c>
    </row>
    <row r="90" spans="1:3" x14ac:dyDescent="0.2">
      <c r="A90" t="s">
        <v>61</v>
      </c>
      <c r="B90" t="s">
        <v>62</v>
      </c>
      <c r="C90" t="s">
        <v>61</v>
      </c>
    </row>
    <row r="91" spans="1:3" x14ac:dyDescent="0.2">
      <c r="A91" t="s">
        <v>63</v>
      </c>
      <c r="B91" t="s">
        <v>64</v>
      </c>
      <c r="C91" t="s">
        <v>63</v>
      </c>
    </row>
    <row r="92" spans="1:3" x14ac:dyDescent="0.2">
      <c r="A92" s="522" t="s">
        <v>1127</v>
      </c>
      <c r="B92" s="522" t="s">
        <v>1128</v>
      </c>
      <c r="C92" s="522" t="s">
        <v>1127</v>
      </c>
    </row>
    <row r="93" spans="1:3" x14ac:dyDescent="0.2">
      <c r="A93" t="s">
        <v>65</v>
      </c>
      <c r="B93" t="s">
        <v>66</v>
      </c>
      <c r="C93" t="s">
        <v>65</v>
      </c>
    </row>
    <row r="94" spans="1:3" x14ac:dyDescent="0.2">
      <c r="A94" t="s">
        <v>67</v>
      </c>
      <c r="B94" t="s">
        <v>68</v>
      </c>
      <c r="C94" t="s">
        <v>67</v>
      </c>
    </row>
    <row r="95" spans="1:3" x14ac:dyDescent="0.2">
      <c r="A95" t="s">
        <v>69</v>
      </c>
      <c r="B95" t="s">
        <v>70</v>
      </c>
      <c r="C95" t="s">
        <v>69</v>
      </c>
    </row>
    <row r="96" spans="1:3" x14ac:dyDescent="0.2">
      <c r="A96" t="s">
        <v>71</v>
      </c>
      <c r="B96" t="s">
        <v>72</v>
      </c>
      <c r="C96" t="s">
        <v>71</v>
      </c>
    </row>
    <row r="97" spans="1:3" x14ac:dyDescent="0.2">
      <c r="A97" t="s">
        <v>73</v>
      </c>
      <c r="B97" t="s">
        <v>74</v>
      </c>
      <c r="C97" t="s">
        <v>73</v>
      </c>
    </row>
    <row r="98" spans="1:3" x14ac:dyDescent="0.2">
      <c r="A98" t="s">
        <v>75</v>
      </c>
      <c r="B98" t="s">
        <v>76</v>
      </c>
      <c r="C98" t="s">
        <v>75</v>
      </c>
    </row>
    <row r="99" spans="1:3" x14ac:dyDescent="0.2">
      <c r="A99" t="s">
        <v>77</v>
      </c>
      <c r="B99" t="s">
        <v>78</v>
      </c>
      <c r="C99" t="s">
        <v>77</v>
      </c>
    </row>
    <row r="100" spans="1:3" x14ac:dyDescent="0.2">
      <c r="A100" t="s">
        <v>79</v>
      </c>
      <c r="B100" t="s">
        <v>80</v>
      </c>
      <c r="C100" t="s">
        <v>79</v>
      </c>
    </row>
    <row r="101" spans="1:3" x14ac:dyDescent="0.2">
      <c r="A101" t="s">
        <v>81</v>
      </c>
      <c r="B101" t="s">
        <v>82</v>
      </c>
      <c r="C101" t="s">
        <v>81</v>
      </c>
    </row>
    <row r="102" spans="1:3" x14ac:dyDescent="0.2">
      <c r="A102" t="s">
        <v>83</v>
      </c>
      <c r="B102" t="s">
        <v>84</v>
      </c>
      <c r="C102" t="s">
        <v>83</v>
      </c>
    </row>
    <row r="103" spans="1:3" x14ac:dyDescent="0.2">
      <c r="A103" t="s">
        <v>85</v>
      </c>
      <c r="B103" t="s">
        <v>86</v>
      </c>
      <c r="C103" t="s">
        <v>85</v>
      </c>
    </row>
    <row r="104" spans="1:3" x14ac:dyDescent="0.2">
      <c r="A104" t="s">
        <v>87</v>
      </c>
      <c r="B104" t="s">
        <v>88</v>
      </c>
      <c r="C104" t="s">
        <v>87</v>
      </c>
    </row>
    <row r="105" spans="1:3" x14ac:dyDescent="0.2">
      <c r="A105" t="s">
        <v>89</v>
      </c>
      <c r="B105" t="s">
        <v>90</v>
      </c>
      <c r="C105" t="s">
        <v>89</v>
      </c>
    </row>
    <row r="106" spans="1:3" x14ac:dyDescent="0.2">
      <c r="A106" t="s">
        <v>91</v>
      </c>
      <c r="B106" t="s">
        <v>92</v>
      </c>
      <c r="C106" t="s">
        <v>91</v>
      </c>
    </row>
    <row r="107" spans="1:3" x14ac:dyDescent="0.2">
      <c r="A107" t="s">
        <v>93</v>
      </c>
      <c r="B107" t="s">
        <v>94</v>
      </c>
      <c r="C107" t="s">
        <v>93</v>
      </c>
    </row>
    <row r="108" spans="1:3" x14ac:dyDescent="0.2">
      <c r="A108" t="s">
        <v>95</v>
      </c>
      <c r="B108" t="s">
        <v>96</v>
      </c>
      <c r="C108" t="s">
        <v>95</v>
      </c>
    </row>
    <row r="109" spans="1:3" x14ac:dyDescent="0.2">
      <c r="A109" t="s">
        <v>97</v>
      </c>
      <c r="B109" t="s">
        <v>98</v>
      </c>
      <c r="C109" t="s">
        <v>97</v>
      </c>
    </row>
    <row r="110" spans="1:3" x14ac:dyDescent="0.2">
      <c r="A110" t="s">
        <v>99</v>
      </c>
      <c r="B110" t="s">
        <v>100</v>
      </c>
      <c r="C110" t="s">
        <v>99</v>
      </c>
    </row>
    <row r="111" spans="1:3" x14ac:dyDescent="0.2">
      <c r="A111" t="s">
        <v>101</v>
      </c>
      <c r="B111" t="s">
        <v>102</v>
      </c>
      <c r="C111" t="s">
        <v>101</v>
      </c>
    </row>
    <row r="112" spans="1:3" x14ac:dyDescent="0.2">
      <c r="A112" t="s">
        <v>103</v>
      </c>
      <c r="B112" t="s">
        <v>104</v>
      </c>
      <c r="C112" t="s">
        <v>103</v>
      </c>
    </row>
    <row r="113" spans="1:3" x14ac:dyDescent="0.2">
      <c r="A113" t="s">
        <v>105</v>
      </c>
      <c r="B113" t="s">
        <v>106</v>
      </c>
      <c r="C113" t="s">
        <v>105</v>
      </c>
    </row>
    <row r="114" spans="1:3" x14ac:dyDescent="0.2">
      <c r="A114" t="s">
        <v>107</v>
      </c>
      <c r="B114" t="s">
        <v>108</v>
      </c>
      <c r="C114" t="s">
        <v>107</v>
      </c>
    </row>
    <row r="115" spans="1:3" x14ac:dyDescent="0.2">
      <c r="A115" t="s">
        <v>109</v>
      </c>
      <c r="B115" t="s">
        <v>110</v>
      </c>
      <c r="C115" t="s">
        <v>109</v>
      </c>
    </row>
    <row r="116" spans="1:3" x14ac:dyDescent="0.2">
      <c r="A116" t="s">
        <v>111</v>
      </c>
      <c r="B116" t="s">
        <v>112</v>
      </c>
      <c r="C116" t="s">
        <v>111</v>
      </c>
    </row>
    <row r="117" spans="1:3" x14ac:dyDescent="0.2">
      <c r="A117" t="s">
        <v>113</v>
      </c>
      <c r="B117" t="s">
        <v>114</v>
      </c>
      <c r="C117" t="s">
        <v>113</v>
      </c>
    </row>
    <row r="118" spans="1:3" x14ac:dyDescent="0.2">
      <c r="A118" t="s">
        <v>115</v>
      </c>
      <c r="B118" t="s">
        <v>116</v>
      </c>
      <c r="C118" t="s">
        <v>115</v>
      </c>
    </row>
    <row r="119" spans="1:3" x14ac:dyDescent="0.2">
      <c r="A119" t="s">
        <v>117</v>
      </c>
      <c r="B119" t="s">
        <v>118</v>
      </c>
      <c r="C119" t="s">
        <v>117</v>
      </c>
    </row>
    <row r="120" spans="1:3" x14ac:dyDescent="0.2">
      <c r="A120" t="s">
        <v>119</v>
      </c>
      <c r="B120" t="s">
        <v>120</v>
      </c>
      <c r="C120" t="s">
        <v>119</v>
      </c>
    </row>
    <row r="121" spans="1:3" x14ac:dyDescent="0.2">
      <c r="A121" t="s">
        <v>121</v>
      </c>
      <c r="B121" t="s">
        <v>122</v>
      </c>
      <c r="C121" t="s">
        <v>121</v>
      </c>
    </row>
    <row r="122" spans="1:3" x14ac:dyDescent="0.2">
      <c r="A122" t="s">
        <v>123</v>
      </c>
      <c r="B122" t="s">
        <v>124</v>
      </c>
      <c r="C122" t="s">
        <v>123</v>
      </c>
    </row>
    <row r="123" spans="1:3" x14ac:dyDescent="0.2">
      <c r="A123" t="s">
        <v>125</v>
      </c>
      <c r="B123" t="s">
        <v>126</v>
      </c>
      <c r="C123" t="s">
        <v>125</v>
      </c>
    </row>
    <row r="124" spans="1:3" x14ac:dyDescent="0.2">
      <c r="A124" t="s">
        <v>127</v>
      </c>
      <c r="B124" t="s">
        <v>128</v>
      </c>
      <c r="C124" t="s">
        <v>127</v>
      </c>
    </row>
    <row r="125" spans="1:3" x14ac:dyDescent="0.2">
      <c r="A125" t="s">
        <v>129</v>
      </c>
      <c r="B125" t="s">
        <v>130</v>
      </c>
      <c r="C125" t="s">
        <v>129</v>
      </c>
    </row>
    <row r="126" spans="1:3" x14ac:dyDescent="0.2">
      <c r="A126" t="s">
        <v>131</v>
      </c>
      <c r="B126" t="s">
        <v>132</v>
      </c>
      <c r="C126" t="s">
        <v>131</v>
      </c>
    </row>
    <row r="127" spans="1:3" x14ac:dyDescent="0.2">
      <c r="A127" t="s">
        <v>133</v>
      </c>
      <c r="B127" t="s">
        <v>134</v>
      </c>
      <c r="C127" t="s">
        <v>133</v>
      </c>
    </row>
    <row r="128" spans="1:3" x14ac:dyDescent="0.2">
      <c r="A128" t="s">
        <v>135</v>
      </c>
      <c r="B128" t="s">
        <v>136</v>
      </c>
      <c r="C128" t="s">
        <v>135</v>
      </c>
    </row>
    <row r="129" spans="1:3" x14ac:dyDescent="0.2">
      <c r="A129" t="s">
        <v>137</v>
      </c>
      <c r="B129" t="s">
        <v>138</v>
      </c>
      <c r="C129" t="s">
        <v>137</v>
      </c>
    </row>
    <row r="130" spans="1:3" x14ac:dyDescent="0.2">
      <c r="A130" t="s">
        <v>139</v>
      </c>
      <c r="B130" t="s">
        <v>140</v>
      </c>
      <c r="C130" t="s">
        <v>139</v>
      </c>
    </row>
    <row r="131" spans="1:3" x14ac:dyDescent="0.2">
      <c r="A131" t="s">
        <v>141</v>
      </c>
      <c r="B131" t="s">
        <v>142</v>
      </c>
      <c r="C131" t="s">
        <v>141</v>
      </c>
    </row>
    <row r="132" spans="1:3" x14ac:dyDescent="0.2">
      <c r="A132" t="s">
        <v>143</v>
      </c>
      <c r="B132" t="s">
        <v>144</v>
      </c>
      <c r="C132" t="s">
        <v>143</v>
      </c>
    </row>
    <row r="133" spans="1:3" x14ac:dyDescent="0.2">
      <c r="A133" t="s">
        <v>145</v>
      </c>
      <c r="B133" t="s">
        <v>146</v>
      </c>
      <c r="C133" t="s">
        <v>145</v>
      </c>
    </row>
    <row r="134" spans="1:3" x14ac:dyDescent="0.2">
      <c r="A134" t="s">
        <v>147</v>
      </c>
      <c r="B134" t="s">
        <v>148</v>
      </c>
      <c r="C134" t="s">
        <v>147</v>
      </c>
    </row>
    <row r="135" spans="1:3" x14ac:dyDescent="0.2">
      <c r="A135" t="s">
        <v>149</v>
      </c>
      <c r="B135" t="s">
        <v>150</v>
      </c>
      <c r="C135" t="s">
        <v>149</v>
      </c>
    </row>
    <row r="136" spans="1:3" x14ac:dyDescent="0.2">
      <c r="A136" t="s">
        <v>151</v>
      </c>
      <c r="B136" t="s">
        <v>152</v>
      </c>
      <c r="C136" t="s">
        <v>151</v>
      </c>
    </row>
    <row r="137" spans="1:3" x14ac:dyDescent="0.2">
      <c r="A137" t="s">
        <v>153</v>
      </c>
      <c r="B137" t="s">
        <v>154</v>
      </c>
      <c r="C137" t="s">
        <v>153</v>
      </c>
    </row>
    <row r="138" spans="1:3" x14ac:dyDescent="0.2">
      <c r="A138" t="s">
        <v>155</v>
      </c>
      <c r="B138" t="s">
        <v>156</v>
      </c>
      <c r="C138" t="s">
        <v>155</v>
      </c>
    </row>
    <row r="139" spans="1:3" x14ac:dyDescent="0.2">
      <c r="A139" t="s">
        <v>157</v>
      </c>
      <c r="B139" t="s">
        <v>158</v>
      </c>
      <c r="C139" t="s">
        <v>157</v>
      </c>
    </row>
    <row r="140" spans="1:3" x14ac:dyDescent="0.2">
      <c r="A140" t="s">
        <v>159</v>
      </c>
      <c r="B140" t="s">
        <v>160</v>
      </c>
      <c r="C140" t="s">
        <v>159</v>
      </c>
    </row>
    <row r="141" spans="1:3" x14ac:dyDescent="0.2">
      <c r="A141" t="s">
        <v>161</v>
      </c>
      <c r="B141" t="s">
        <v>162</v>
      </c>
      <c r="C141" t="s">
        <v>161</v>
      </c>
    </row>
    <row r="142" spans="1:3" x14ac:dyDescent="0.2">
      <c r="A142" t="s">
        <v>163</v>
      </c>
      <c r="B142" t="s">
        <v>164</v>
      </c>
      <c r="C142" t="s">
        <v>163</v>
      </c>
    </row>
    <row r="143" spans="1:3" x14ac:dyDescent="0.2">
      <c r="A143" t="s">
        <v>165</v>
      </c>
      <c r="B143" t="s">
        <v>166</v>
      </c>
      <c r="C143" t="s">
        <v>165</v>
      </c>
    </row>
    <row r="144" spans="1:3" x14ac:dyDescent="0.2">
      <c r="A144" t="s">
        <v>167</v>
      </c>
      <c r="B144" t="s">
        <v>168</v>
      </c>
      <c r="C144" t="s">
        <v>167</v>
      </c>
    </row>
    <row r="145" spans="1:3" x14ac:dyDescent="0.2">
      <c r="A145" t="s">
        <v>169</v>
      </c>
      <c r="B145" t="s">
        <v>170</v>
      </c>
      <c r="C145" t="s">
        <v>169</v>
      </c>
    </row>
    <row r="146" spans="1:3" x14ac:dyDescent="0.2">
      <c r="A146" t="s">
        <v>171</v>
      </c>
      <c r="B146" t="s">
        <v>172</v>
      </c>
      <c r="C146" t="s">
        <v>171</v>
      </c>
    </row>
    <row r="147" spans="1:3" x14ac:dyDescent="0.2">
      <c r="A147" t="s">
        <v>173</v>
      </c>
      <c r="B147" t="s">
        <v>174</v>
      </c>
      <c r="C147" t="s">
        <v>173</v>
      </c>
    </row>
    <row r="148" spans="1:3" x14ac:dyDescent="0.2">
      <c r="A148" t="s">
        <v>175</v>
      </c>
      <c r="B148" t="s">
        <v>176</v>
      </c>
      <c r="C148" t="s">
        <v>175</v>
      </c>
    </row>
    <row r="149" spans="1:3" x14ac:dyDescent="0.2">
      <c r="A149" t="s">
        <v>177</v>
      </c>
      <c r="B149" t="s">
        <v>178</v>
      </c>
      <c r="C149" t="s">
        <v>177</v>
      </c>
    </row>
    <row r="150" spans="1:3" x14ac:dyDescent="0.2">
      <c r="A150" t="s">
        <v>179</v>
      </c>
      <c r="B150" t="s">
        <v>180</v>
      </c>
      <c r="C150" t="s">
        <v>179</v>
      </c>
    </row>
    <row r="151" spans="1:3" x14ac:dyDescent="0.2">
      <c r="A151" t="s">
        <v>181</v>
      </c>
      <c r="B151" t="s">
        <v>182</v>
      </c>
      <c r="C151" t="s">
        <v>181</v>
      </c>
    </row>
    <row r="152" spans="1:3" x14ac:dyDescent="0.2">
      <c r="A152" t="s">
        <v>183</v>
      </c>
      <c r="B152" t="s">
        <v>184</v>
      </c>
      <c r="C152" t="s">
        <v>183</v>
      </c>
    </row>
    <row r="153" spans="1:3" x14ac:dyDescent="0.2">
      <c r="A153" t="s">
        <v>185</v>
      </c>
      <c r="B153" t="s">
        <v>186</v>
      </c>
      <c r="C153" t="s">
        <v>185</v>
      </c>
    </row>
    <row r="154" spans="1:3" x14ac:dyDescent="0.2">
      <c r="A154" t="s">
        <v>187</v>
      </c>
      <c r="B154" t="s">
        <v>188</v>
      </c>
      <c r="C154" t="s">
        <v>187</v>
      </c>
    </row>
    <row r="155" spans="1:3" x14ac:dyDescent="0.2">
      <c r="A155" t="s">
        <v>189</v>
      </c>
      <c r="B155" t="s">
        <v>190</v>
      </c>
      <c r="C155" t="s">
        <v>189</v>
      </c>
    </row>
    <row r="156" spans="1:3" x14ac:dyDescent="0.2">
      <c r="A156" t="s">
        <v>191</v>
      </c>
      <c r="B156" t="s">
        <v>192</v>
      </c>
      <c r="C156" t="s">
        <v>191</v>
      </c>
    </row>
    <row r="157" spans="1:3" x14ac:dyDescent="0.2">
      <c r="A157" t="s">
        <v>193</v>
      </c>
      <c r="B157" t="s">
        <v>194</v>
      </c>
      <c r="C157" t="s">
        <v>193</v>
      </c>
    </row>
    <row r="158" spans="1:3" x14ac:dyDescent="0.2">
      <c r="A158" t="s">
        <v>195</v>
      </c>
      <c r="B158" t="s">
        <v>196</v>
      </c>
      <c r="C158" t="s">
        <v>195</v>
      </c>
    </row>
    <row r="159" spans="1:3" x14ac:dyDescent="0.2">
      <c r="A159" t="s">
        <v>197</v>
      </c>
      <c r="B159" t="s">
        <v>198</v>
      </c>
      <c r="C159" t="s">
        <v>197</v>
      </c>
    </row>
    <row r="160" spans="1:3" x14ac:dyDescent="0.2">
      <c r="A160" t="s">
        <v>199</v>
      </c>
      <c r="B160" t="s">
        <v>200</v>
      </c>
      <c r="C160" t="s">
        <v>199</v>
      </c>
    </row>
    <row r="161" spans="1:3" x14ac:dyDescent="0.2">
      <c r="A161" t="s">
        <v>201</v>
      </c>
      <c r="B161" t="s">
        <v>202</v>
      </c>
      <c r="C161" t="s">
        <v>201</v>
      </c>
    </row>
    <row r="162" spans="1:3" x14ac:dyDescent="0.2">
      <c r="A162" t="s">
        <v>203</v>
      </c>
      <c r="B162" t="s">
        <v>204</v>
      </c>
      <c r="C162" t="s">
        <v>203</v>
      </c>
    </row>
    <row r="163" spans="1:3" x14ac:dyDescent="0.2">
      <c r="A163" t="s">
        <v>205</v>
      </c>
      <c r="B163" t="s">
        <v>206</v>
      </c>
      <c r="C163" t="s">
        <v>205</v>
      </c>
    </row>
    <row r="164" spans="1:3" x14ac:dyDescent="0.2">
      <c r="A164" t="s">
        <v>207</v>
      </c>
      <c r="B164" t="s">
        <v>208</v>
      </c>
      <c r="C164" t="s">
        <v>207</v>
      </c>
    </row>
    <row r="165" spans="1:3" x14ac:dyDescent="0.2">
      <c r="A165" t="s">
        <v>209</v>
      </c>
      <c r="B165" t="s">
        <v>210</v>
      </c>
      <c r="C165" t="s">
        <v>209</v>
      </c>
    </row>
    <row r="166" spans="1:3" x14ac:dyDescent="0.2">
      <c r="A166" t="s">
        <v>211</v>
      </c>
      <c r="B166" t="s">
        <v>212</v>
      </c>
      <c r="C166" t="s">
        <v>211</v>
      </c>
    </row>
    <row r="167" spans="1:3" x14ac:dyDescent="0.2">
      <c r="A167" t="s">
        <v>213</v>
      </c>
      <c r="B167" t="s">
        <v>214</v>
      </c>
      <c r="C167" t="s">
        <v>213</v>
      </c>
    </row>
    <row r="168" spans="1:3" x14ac:dyDescent="0.2">
      <c r="A168" t="s">
        <v>215</v>
      </c>
      <c r="B168" t="s">
        <v>216</v>
      </c>
      <c r="C168" t="s">
        <v>215</v>
      </c>
    </row>
    <row r="169" spans="1:3" x14ac:dyDescent="0.2">
      <c r="A169" t="s">
        <v>217</v>
      </c>
      <c r="B169" t="s">
        <v>218</v>
      </c>
      <c r="C169" t="s">
        <v>217</v>
      </c>
    </row>
    <row r="170" spans="1:3" x14ac:dyDescent="0.2">
      <c r="A170" t="s">
        <v>219</v>
      </c>
      <c r="B170" t="s">
        <v>220</v>
      </c>
      <c r="C170" t="s">
        <v>219</v>
      </c>
    </row>
    <row r="171" spans="1:3" x14ac:dyDescent="0.2">
      <c r="A171" t="s">
        <v>221</v>
      </c>
      <c r="B171" t="s">
        <v>222</v>
      </c>
      <c r="C171" t="s">
        <v>221</v>
      </c>
    </row>
    <row r="172" spans="1:3" x14ac:dyDescent="0.2">
      <c r="A172" t="s">
        <v>223</v>
      </c>
      <c r="B172" t="s">
        <v>224</v>
      </c>
      <c r="C172" t="s">
        <v>223</v>
      </c>
    </row>
    <row r="173" spans="1:3" x14ac:dyDescent="0.2">
      <c r="A173" t="s">
        <v>225</v>
      </c>
      <c r="B173" t="s">
        <v>226</v>
      </c>
      <c r="C173" t="s">
        <v>225</v>
      </c>
    </row>
    <row r="174" spans="1:3" x14ac:dyDescent="0.2">
      <c r="A174" t="s">
        <v>227</v>
      </c>
      <c r="B174" t="s">
        <v>228</v>
      </c>
      <c r="C174" t="s">
        <v>227</v>
      </c>
    </row>
    <row r="175" spans="1:3" x14ac:dyDescent="0.2">
      <c r="A175" t="s">
        <v>860</v>
      </c>
      <c r="B175" t="s">
        <v>229</v>
      </c>
      <c r="C175" t="s">
        <v>860</v>
      </c>
    </row>
    <row r="176" spans="1:3" x14ac:dyDescent="0.2">
      <c r="A176" t="s">
        <v>230</v>
      </c>
      <c r="B176" t="s">
        <v>231</v>
      </c>
      <c r="C176" t="s">
        <v>230</v>
      </c>
    </row>
    <row r="177" spans="1:3" x14ac:dyDescent="0.2">
      <c r="A177" t="s">
        <v>232</v>
      </c>
      <c r="B177" t="s">
        <v>233</v>
      </c>
      <c r="C177" t="s">
        <v>232</v>
      </c>
    </row>
    <row r="178" spans="1:3" x14ac:dyDescent="0.2">
      <c r="A178" t="s">
        <v>234</v>
      </c>
      <c r="B178" t="s">
        <v>235</v>
      </c>
      <c r="C178" t="s">
        <v>234</v>
      </c>
    </row>
    <row r="179" spans="1:3" x14ac:dyDescent="0.2">
      <c r="A179" t="s">
        <v>236</v>
      </c>
      <c r="B179" t="s">
        <v>237</v>
      </c>
      <c r="C179" t="s">
        <v>236</v>
      </c>
    </row>
    <row r="180" spans="1:3" x14ac:dyDescent="0.2">
      <c r="A180" t="s">
        <v>238</v>
      </c>
      <c r="B180" t="s">
        <v>239</v>
      </c>
      <c r="C180" t="s">
        <v>238</v>
      </c>
    </row>
    <row r="181" spans="1:3" x14ac:dyDescent="0.2">
      <c r="A181" t="s">
        <v>240</v>
      </c>
      <c r="B181" t="s">
        <v>241</v>
      </c>
      <c r="C181" t="s">
        <v>240</v>
      </c>
    </row>
    <row r="182" spans="1:3" x14ac:dyDescent="0.2">
      <c r="A182" t="s">
        <v>242</v>
      </c>
      <c r="B182" t="s">
        <v>243</v>
      </c>
      <c r="C182" t="s">
        <v>242</v>
      </c>
    </row>
    <row r="183" spans="1:3" x14ac:dyDescent="0.2">
      <c r="A183" t="s">
        <v>244</v>
      </c>
      <c r="B183" t="s">
        <v>245</v>
      </c>
      <c r="C183" t="s">
        <v>244</v>
      </c>
    </row>
    <row r="184" spans="1:3" x14ac:dyDescent="0.2">
      <c r="A184" t="s">
        <v>246</v>
      </c>
      <c r="B184" t="s">
        <v>247</v>
      </c>
      <c r="C184" t="s">
        <v>246</v>
      </c>
    </row>
    <row r="185" spans="1:3" x14ac:dyDescent="0.2">
      <c r="A185" t="s">
        <v>248</v>
      </c>
      <c r="B185" t="s">
        <v>249</v>
      </c>
      <c r="C185" t="s">
        <v>248</v>
      </c>
    </row>
    <row r="186" spans="1:3" x14ac:dyDescent="0.2">
      <c r="A186" t="s">
        <v>250</v>
      </c>
      <c r="B186" t="s">
        <v>251</v>
      </c>
      <c r="C186" t="s">
        <v>250</v>
      </c>
    </row>
    <row r="187" spans="1:3" x14ac:dyDescent="0.2">
      <c r="A187" t="s">
        <v>252</v>
      </c>
      <c r="B187" t="s">
        <v>253</v>
      </c>
      <c r="C187" t="s">
        <v>252</v>
      </c>
    </row>
    <row r="188" spans="1:3" x14ac:dyDescent="0.2">
      <c r="A188" t="s">
        <v>258</v>
      </c>
      <c r="B188" t="s">
        <v>259</v>
      </c>
      <c r="C188" t="s">
        <v>258</v>
      </c>
    </row>
    <row r="189" spans="1:3" x14ac:dyDescent="0.2">
      <c r="A189" t="s">
        <v>260</v>
      </c>
      <c r="B189" t="s">
        <v>261</v>
      </c>
      <c r="C189" t="s">
        <v>260</v>
      </c>
    </row>
    <row r="190" spans="1:3" x14ac:dyDescent="0.2">
      <c r="A190" t="s">
        <v>262</v>
      </c>
      <c r="B190" t="s">
        <v>263</v>
      </c>
      <c r="C190" t="s">
        <v>262</v>
      </c>
    </row>
    <row r="191" spans="1:3" x14ac:dyDescent="0.2">
      <c r="A191" t="s">
        <v>264</v>
      </c>
      <c r="B191" t="s">
        <v>265</v>
      </c>
      <c r="C191" t="s">
        <v>264</v>
      </c>
    </row>
    <row r="192" spans="1:3" x14ac:dyDescent="0.2">
      <c r="A192" t="s">
        <v>266</v>
      </c>
      <c r="B192" t="s">
        <v>267</v>
      </c>
      <c r="C192" t="s">
        <v>266</v>
      </c>
    </row>
    <row r="193" spans="1:3" x14ac:dyDescent="0.2">
      <c r="A193" t="s">
        <v>268</v>
      </c>
      <c r="B193" t="s">
        <v>269</v>
      </c>
      <c r="C193" t="s">
        <v>268</v>
      </c>
    </row>
    <row r="194" spans="1:3" x14ac:dyDescent="0.2">
      <c r="A194" t="s">
        <v>270</v>
      </c>
      <c r="B194" t="s">
        <v>271</v>
      </c>
      <c r="C194" t="s">
        <v>270</v>
      </c>
    </row>
    <row r="195" spans="1:3" x14ac:dyDescent="0.2">
      <c r="A195" t="s">
        <v>272</v>
      </c>
      <c r="B195" t="s">
        <v>273</v>
      </c>
      <c r="C195" t="s">
        <v>272</v>
      </c>
    </row>
    <row r="196" spans="1:3" x14ac:dyDescent="0.2">
      <c r="A196" t="s">
        <v>274</v>
      </c>
      <c r="B196" t="s">
        <v>275</v>
      </c>
      <c r="C196" t="s">
        <v>274</v>
      </c>
    </row>
    <row r="197" spans="1:3" x14ac:dyDescent="0.2">
      <c r="A197" t="s">
        <v>276</v>
      </c>
      <c r="B197" t="s">
        <v>277</v>
      </c>
      <c r="C197" t="s">
        <v>276</v>
      </c>
    </row>
    <row r="198" spans="1:3" x14ac:dyDescent="0.2">
      <c r="A198" t="s">
        <v>278</v>
      </c>
      <c r="B198" t="s">
        <v>279</v>
      </c>
      <c r="C198" t="s">
        <v>278</v>
      </c>
    </row>
    <row r="199" spans="1:3" x14ac:dyDescent="0.2">
      <c r="A199" t="s">
        <v>280</v>
      </c>
      <c r="B199" t="s">
        <v>281</v>
      </c>
      <c r="C199" t="s">
        <v>280</v>
      </c>
    </row>
    <row r="200" spans="1:3" x14ac:dyDescent="0.2">
      <c r="A200" t="s">
        <v>282</v>
      </c>
      <c r="B200" t="s">
        <v>283</v>
      </c>
      <c r="C200" t="s">
        <v>282</v>
      </c>
    </row>
    <row r="201" spans="1:3" x14ac:dyDescent="0.2">
      <c r="A201" t="s">
        <v>284</v>
      </c>
      <c r="B201" t="s">
        <v>285</v>
      </c>
      <c r="C201" t="s">
        <v>284</v>
      </c>
    </row>
    <row r="202" spans="1:3" x14ac:dyDescent="0.2">
      <c r="A202" t="s">
        <v>286</v>
      </c>
      <c r="B202" t="s">
        <v>287</v>
      </c>
      <c r="C202" t="s">
        <v>286</v>
      </c>
    </row>
    <row r="203" spans="1:3" x14ac:dyDescent="0.2">
      <c r="A203" t="s">
        <v>288</v>
      </c>
      <c r="B203" t="s">
        <v>289</v>
      </c>
      <c r="C203" t="s">
        <v>288</v>
      </c>
    </row>
    <row r="204" spans="1:3" x14ac:dyDescent="0.2">
      <c r="A204" t="s">
        <v>290</v>
      </c>
      <c r="B204" t="s">
        <v>291</v>
      </c>
      <c r="C204" t="s">
        <v>290</v>
      </c>
    </row>
    <row r="205" spans="1:3" x14ac:dyDescent="0.2">
      <c r="A205" t="s">
        <v>292</v>
      </c>
      <c r="B205" t="s">
        <v>293</v>
      </c>
      <c r="C205" t="s">
        <v>292</v>
      </c>
    </row>
    <row r="206" spans="1:3" x14ac:dyDescent="0.2">
      <c r="A206" t="s">
        <v>294</v>
      </c>
      <c r="B206" t="s">
        <v>295</v>
      </c>
      <c r="C206" t="s">
        <v>294</v>
      </c>
    </row>
    <row r="207" spans="1:3" x14ac:dyDescent="0.2">
      <c r="A207" t="s">
        <v>296</v>
      </c>
      <c r="B207" t="s">
        <v>297</v>
      </c>
      <c r="C207" t="s">
        <v>296</v>
      </c>
    </row>
    <row r="208" spans="1:3" x14ac:dyDescent="0.2">
      <c r="A208" t="s">
        <v>298</v>
      </c>
      <c r="B208" t="s">
        <v>299</v>
      </c>
      <c r="C208" t="s">
        <v>298</v>
      </c>
    </row>
    <row r="209" spans="1:3" x14ac:dyDescent="0.2">
      <c r="A209" t="s">
        <v>300</v>
      </c>
      <c r="B209" t="s">
        <v>301</v>
      </c>
      <c r="C209" t="s">
        <v>300</v>
      </c>
    </row>
    <row r="210" spans="1:3" x14ac:dyDescent="0.2">
      <c r="A210" t="s">
        <v>302</v>
      </c>
      <c r="B210" t="s">
        <v>303</v>
      </c>
      <c r="C210" t="s">
        <v>302</v>
      </c>
    </row>
    <row r="211" spans="1:3" x14ac:dyDescent="0.2">
      <c r="A211" t="s">
        <v>304</v>
      </c>
      <c r="B211" t="s">
        <v>305</v>
      </c>
      <c r="C211" t="s">
        <v>304</v>
      </c>
    </row>
    <row r="212" spans="1:3" x14ac:dyDescent="0.2">
      <c r="A212" t="s">
        <v>306</v>
      </c>
      <c r="B212" t="s">
        <v>307</v>
      </c>
      <c r="C212" t="s">
        <v>306</v>
      </c>
    </row>
    <row r="213" spans="1:3" x14ac:dyDescent="0.2">
      <c r="A213" t="s">
        <v>308</v>
      </c>
      <c r="B213" t="s">
        <v>309</v>
      </c>
      <c r="C213" t="s">
        <v>308</v>
      </c>
    </row>
    <row r="214" spans="1:3" x14ac:dyDescent="0.2">
      <c r="A214" t="s">
        <v>310</v>
      </c>
      <c r="B214" t="s">
        <v>311</v>
      </c>
      <c r="C214" t="s">
        <v>310</v>
      </c>
    </row>
    <row r="215" spans="1:3" x14ac:dyDescent="0.2">
      <c r="A215" t="s">
        <v>312</v>
      </c>
      <c r="B215" t="s">
        <v>313</v>
      </c>
      <c r="C215" t="s">
        <v>312</v>
      </c>
    </row>
    <row r="216" spans="1:3" x14ac:dyDescent="0.2">
      <c r="A216" t="s">
        <v>314</v>
      </c>
      <c r="B216" t="s">
        <v>315</v>
      </c>
      <c r="C216" t="s">
        <v>314</v>
      </c>
    </row>
    <row r="217" spans="1:3" x14ac:dyDescent="0.2">
      <c r="A217" t="s">
        <v>316</v>
      </c>
      <c r="B217" t="s">
        <v>317</v>
      </c>
      <c r="C217" t="s">
        <v>316</v>
      </c>
    </row>
    <row r="218" spans="1:3" x14ac:dyDescent="0.2">
      <c r="A218" t="s">
        <v>318</v>
      </c>
      <c r="B218" t="s">
        <v>319</v>
      </c>
      <c r="C218" t="s">
        <v>318</v>
      </c>
    </row>
    <row r="219" spans="1:3" x14ac:dyDescent="0.2">
      <c r="A219" t="s">
        <v>320</v>
      </c>
      <c r="B219" t="s">
        <v>321</v>
      </c>
      <c r="C219" t="s">
        <v>320</v>
      </c>
    </row>
    <row r="220" spans="1:3" x14ac:dyDescent="0.2">
      <c r="A220" t="s">
        <v>322</v>
      </c>
      <c r="B220" t="s">
        <v>323</v>
      </c>
      <c r="C220" t="s">
        <v>322</v>
      </c>
    </row>
    <row r="221" spans="1:3" x14ac:dyDescent="0.2">
      <c r="A221" t="s">
        <v>324</v>
      </c>
      <c r="B221" t="s">
        <v>325</v>
      </c>
      <c r="C221" t="s">
        <v>324</v>
      </c>
    </row>
    <row r="222" spans="1:3" x14ac:dyDescent="0.2">
      <c r="A222" t="s">
        <v>326</v>
      </c>
      <c r="B222" t="s">
        <v>327</v>
      </c>
      <c r="C222" t="s">
        <v>326</v>
      </c>
    </row>
    <row r="223" spans="1:3" x14ac:dyDescent="0.2">
      <c r="A223" t="s">
        <v>328</v>
      </c>
      <c r="B223" t="s">
        <v>329</v>
      </c>
      <c r="C223" t="s">
        <v>328</v>
      </c>
    </row>
    <row r="224" spans="1:3" x14ac:dyDescent="0.2">
      <c r="A224" t="s">
        <v>330</v>
      </c>
      <c r="B224" t="s">
        <v>331</v>
      </c>
      <c r="C224" t="s">
        <v>330</v>
      </c>
    </row>
    <row r="225" spans="1:3" x14ac:dyDescent="0.2">
      <c r="A225" t="s">
        <v>332</v>
      </c>
      <c r="B225" t="s">
        <v>333</v>
      </c>
      <c r="C225" t="s">
        <v>332</v>
      </c>
    </row>
    <row r="226" spans="1:3" x14ac:dyDescent="0.2">
      <c r="A226" t="s">
        <v>334</v>
      </c>
      <c r="B226" t="s">
        <v>335</v>
      </c>
      <c r="C226" t="s">
        <v>334</v>
      </c>
    </row>
    <row r="227" spans="1:3" x14ac:dyDescent="0.2">
      <c r="A227" t="s">
        <v>336</v>
      </c>
      <c r="B227" t="s">
        <v>337</v>
      </c>
      <c r="C227" t="s">
        <v>336</v>
      </c>
    </row>
    <row r="228" spans="1:3" x14ac:dyDescent="0.2">
      <c r="A228" t="s">
        <v>338</v>
      </c>
      <c r="B228" t="s">
        <v>339</v>
      </c>
      <c r="C228" t="s">
        <v>338</v>
      </c>
    </row>
    <row r="229" spans="1:3" x14ac:dyDescent="0.2">
      <c r="A229" t="s">
        <v>340</v>
      </c>
      <c r="B229" t="s">
        <v>341</v>
      </c>
      <c r="C229" t="s">
        <v>340</v>
      </c>
    </row>
    <row r="230" spans="1:3" x14ac:dyDescent="0.2">
      <c r="A230" t="s">
        <v>342</v>
      </c>
      <c r="B230" t="s">
        <v>343</v>
      </c>
      <c r="C230" t="s">
        <v>342</v>
      </c>
    </row>
    <row r="231" spans="1:3" x14ac:dyDescent="0.2">
      <c r="A231" t="s">
        <v>344</v>
      </c>
      <c r="B231" t="s">
        <v>345</v>
      </c>
      <c r="C231" t="s">
        <v>344</v>
      </c>
    </row>
    <row r="232" spans="1:3" x14ac:dyDescent="0.2">
      <c r="A232" t="s">
        <v>346</v>
      </c>
      <c r="B232" t="s">
        <v>347</v>
      </c>
      <c r="C232" t="s">
        <v>346</v>
      </c>
    </row>
    <row r="233" spans="1:3" x14ac:dyDescent="0.2">
      <c r="A233" s="522" t="s">
        <v>1129</v>
      </c>
      <c r="B233" s="522" t="s">
        <v>1130</v>
      </c>
      <c r="C233" s="522" t="s">
        <v>1129</v>
      </c>
    </row>
    <row r="234" spans="1:3" x14ac:dyDescent="0.2">
      <c r="A234" t="s">
        <v>348</v>
      </c>
      <c r="B234" t="s">
        <v>349</v>
      </c>
      <c r="C234" t="s">
        <v>348</v>
      </c>
    </row>
    <row r="235" spans="1:3" x14ac:dyDescent="0.2">
      <c r="A235" t="s">
        <v>350</v>
      </c>
      <c r="B235" t="s">
        <v>351</v>
      </c>
      <c r="C235" t="s">
        <v>350</v>
      </c>
    </row>
    <row r="236" spans="1:3" x14ac:dyDescent="0.2">
      <c r="A236" t="s">
        <v>352</v>
      </c>
      <c r="B236" t="s">
        <v>353</v>
      </c>
      <c r="C236" t="s">
        <v>352</v>
      </c>
    </row>
    <row r="237" spans="1:3" x14ac:dyDescent="0.2">
      <c r="A237" t="s">
        <v>354</v>
      </c>
      <c r="B237" t="s">
        <v>355</v>
      </c>
      <c r="C237" t="s">
        <v>354</v>
      </c>
    </row>
    <row r="238" spans="1:3" x14ac:dyDescent="0.2">
      <c r="A238" t="s">
        <v>356</v>
      </c>
      <c r="B238" t="s">
        <v>357</v>
      </c>
      <c r="C238" t="s">
        <v>356</v>
      </c>
    </row>
    <row r="239" spans="1:3" x14ac:dyDescent="0.2">
      <c r="A239" t="s">
        <v>358</v>
      </c>
      <c r="B239" t="s">
        <v>359</v>
      </c>
      <c r="C239" t="s">
        <v>358</v>
      </c>
    </row>
    <row r="240" spans="1:3" x14ac:dyDescent="0.2">
      <c r="A240" t="s">
        <v>360</v>
      </c>
      <c r="B240" t="s">
        <v>361</v>
      </c>
      <c r="C240" t="s">
        <v>360</v>
      </c>
    </row>
    <row r="241" spans="1:3" x14ac:dyDescent="0.2">
      <c r="A241" t="s">
        <v>362</v>
      </c>
      <c r="B241" t="s">
        <v>363</v>
      </c>
      <c r="C241" t="s">
        <v>362</v>
      </c>
    </row>
    <row r="242" spans="1:3" x14ac:dyDescent="0.2">
      <c r="A242" t="s">
        <v>364</v>
      </c>
      <c r="B242" t="s">
        <v>365</v>
      </c>
      <c r="C242" t="s">
        <v>364</v>
      </c>
    </row>
    <row r="243" spans="1:3" x14ac:dyDescent="0.2">
      <c r="A243" t="s">
        <v>366</v>
      </c>
      <c r="B243" t="s">
        <v>367</v>
      </c>
      <c r="C243" t="s">
        <v>366</v>
      </c>
    </row>
    <row r="244" spans="1:3" x14ac:dyDescent="0.2">
      <c r="A244" t="s">
        <v>368</v>
      </c>
      <c r="B244" t="s">
        <v>369</v>
      </c>
      <c r="C244" t="s">
        <v>368</v>
      </c>
    </row>
    <row r="245" spans="1:3" x14ac:dyDescent="0.2">
      <c r="A245" t="s">
        <v>370</v>
      </c>
      <c r="B245" t="s">
        <v>371</v>
      </c>
      <c r="C245" t="s">
        <v>370</v>
      </c>
    </row>
    <row r="246" spans="1:3" x14ac:dyDescent="0.2">
      <c r="A246" t="s">
        <v>372</v>
      </c>
      <c r="B246" t="s">
        <v>373</v>
      </c>
      <c r="C246" t="s">
        <v>372</v>
      </c>
    </row>
    <row r="247" spans="1:3" x14ac:dyDescent="0.2">
      <c r="A247" t="s">
        <v>374</v>
      </c>
      <c r="B247" t="s">
        <v>375</v>
      </c>
      <c r="C247" t="s">
        <v>374</v>
      </c>
    </row>
    <row r="248" spans="1:3" x14ac:dyDescent="0.2">
      <c r="A248" t="s">
        <v>376</v>
      </c>
      <c r="B248" t="s">
        <v>377</v>
      </c>
      <c r="C248" t="s">
        <v>376</v>
      </c>
    </row>
    <row r="249" spans="1:3" x14ac:dyDescent="0.2">
      <c r="A249" t="s">
        <v>378</v>
      </c>
      <c r="B249" t="s">
        <v>379</v>
      </c>
      <c r="C249" t="s">
        <v>378</v>
      </c>
    </row>
    <row r="250" spans="1:3" x14ac:dyDescent="0.2">
      <c r="A250" t="s">
        <v>380</v>
      </c>
      <c r="B250" t="s">
        <v>381</v>
      </c>
      <c r="C250" t="s">
        <v>380</v>
      </c>
    </row>
    <row r="251" spans="1:3" x14ac:dyDescent="0.2">
      <c r="A251" t="s">
        <v>382</v>
      </c>
      <c r="B251" t="s">
        <v>383</v>
      </c>
      <c r="C251" t="s">
        <v>382</v>
      </c>
    </row>
    <row r="252" spans="1:3" x14ac:dyDescent="0.2">
      <c r="A252" t="s">
        <v>384</v>
      </c>
      <c r="B252" t="s">
        <v>385</v>
      </c>
      <c r="C252" t="s">
        <v>384</v>
      </c>
    </row>
    <row r="253" spans="1:3" x14ac:dyDescent="0.2">
      <c r="A253" t="s">
        <v>386</v>
      </c>
      <c r="B253" t="s">
        <v>387</v>
      </c>
      <c r="C253" t="s">
        <v>386</v>
      </c>
    </row>
    <row r="254" spans="1:3" x14ac:dyDescent="0.2">
      <c r="A254" t="s">
        <v>388</v>
      </c>
      <c r="B254" t="s">
        <v>389</v>
      </c>
      <c r="C254" t="s">
        <v>388</v>
      </c>
    </row>
    <row r="255" spans="1:3" x14ac:dyDescent="0.2">
      <c r="A255" t="s">
        <v>390</v>
      </c>
      <c r="B255" t="s">
        <v>391</v>
      </c>
      <c r="C255" t="s">
        <v>390</v>
      </c>
    </row>
    <row r="256" spans="1:3" x14ac:dyDescent="0.2">
      <c r="A256" t="s">
        <v>392</v>
      </c>
      <c r="B256" t="s">
        <v>393</v>
      </c>
      <c r="C256" t="s">
        <v>392</v>
      </c>
    </row>
    <row r="257" spans="1:3" x14ac:dyDescent="0.2">
      <c r="A257" t="s">
        <v>394</v>
      </c>
      <c r="B257" t="s">
        <v>395</v>
      </c>
      <c r="C257" t="s">
        <v>394</v>
      </c>
    </row>
    <row r="258" spans="1:3" x14ac:dyDescent="0.2">
      <c r="A258" t="s">
        <v>396</v>
      </c>
      <c r="B258" t="s">
        <v>397</v>
      </c>
      <c r="C258" t="s">
        <v>396</v>
      </c>
    </row>
    <row r="259" spans="1:3" x14ac:dyDescent="0.2">
      <c r="A259" t="s">
        <v>398</v>
      </c>
      <c r="B259" t="s">
        <v>399</v>
      </c>
      <c r="C259" t="s">
        <v>398</v>
      </c>
    </row>
    <row r="260" spans="1:3" x14ac:dyDescent="0.2">
      <c r="A260" t="s">
        <v>400</v>
      </c>
      <c r="B260" t="s">
        <v>401</v>
      </c>
      <c r="C260" t="s">
        <v>400</v>
      </c>
    </row>
    <row r="261" spans="1:3" x14ac:dyDescent="0.2">
      <c r="A261" t="s">
        <v>402</v>
      </c>
      <c r="B261" t="s">
        <v>403</v>
      </c>
      <c r="C261" t="s">
        <v>402</v>
      </c>
    </row>
    <row r="262" spans="1:3" x14ac:dyDescent="0.2">
      <c r="A262" t="s">
        <v>404</v>
      </c>
      <c r="B262" t="s">
        <v>405</v>
      </c>
      <c r="C262" t="s">
        <v>404</v>
      </c>
    </row>
    <row r="263" spans="1:3" x14ac:dyDescent="0.2">
      <c r="A263" t="s">
        <v>406</v>
      </c>
      <c r="B263" t="s">
        <v>407</v>
      </c>
      <c r="C263" t="s">
        <v>406</v>
      </c>
    </row>
    <row r="264" spans="1:3" x14ac:dyDescent="0.2">
      <c r="A264" t="s">
        <v>408</v>
      </c>
      <c r="B264" t="s">
        <v>409</v>
      </c>
      <c r="C264" t="s">
        <v>408</v>
      </c>
    </row>
    <row r="265" spans="1:3" x14ac:dyDescent="0.2">
      <c r="A265" t="s">
        <v>410</v>
      </c>
      <c r="B265" t="s">
        <v>411</v>
      </c>
      <c r="C265" t="s">
        <v>410</v>
      </c>
    </row>
    <row r="266" spans="1:3" x14ac:dyDescent="0.2">
      <c r="A266" t="s">
        <v>412</v>
      </c>
      <c r="B266" t="s">
        <v>413</v>
      </c>
      <c r="C266" t="s">
        <v>412</v>
      </c>
    </row>
    <row r="267" spans="1:3" x14ac:dyDescent="0.2">
      <c r="A267" t="s">
        <v>414</v>
      </c>
      <c r="B267" t="s">
        <v>415</v>
      </c>
      <c r="C267" t="s">
        <v>414</v>
      </c>
    </row>
    <row r="268" spans="1:3" x14ac:dyDescent="0.2">
      <c r="A268" t="s">
        <v>416</v>
      </c>
      <c r="B268" t="s">
        <v>417</v>
      </c>
      <c r="C268" t="s">
        <v>416</v>
      </c>
    </row>
    <row r="269" spans="1:3" x14ac:dyDescent="0.2">
      <c r="A269" t="s">
        <v>418</v>
      </c>
      <c r="B269" t="s">
        <v>419</v>
      </c>
      <c r="C269" t="s">
        <v>418</v>
      </c>
    </row>
    <row r="270" spans="1:3" x14ac:dyDescent="0.2">
      <c r="A270" t="s">
        <v>420</v>
      </c>
      <c r="B270" t="s">
        <v>421</v>
      </c>
      <c r="C270" t="s">
        <v>420</v>
      </c>
    </row>
    <row r="271" spans="1:3" x14ac:dyDescent="0.2">
      <c r="A271" t="s">
        <v>422</v>
      </c>
      <c r="B271" t="s">
        <v>423</v>
      </c>
      <c r="C271" t="s">
        <v>422</v>
      </c>
    </row>
    <row r="272" spans="1:3" x14ac:dyDescent="0.2">
      <c r="A272" t="s">
        <v>424</v>
      </c>
      <c r="B272" t="s">
        <v>425</v>
      </c>
      <c r="C272" t="s">
        <v>424</v>
      </c>
    </row>
    <row r="273" spans="1:3" x14ac:dyDescent="0.2">
      <c r="A273" t="s">
        <v>426</v>
      </c>
      <c r="B273" t="s">
        <v>427</v>
      </c>
      <c r="C273" t="s">
        <v>426</v>
      </c>
    </row>
    <row r="274" spans="1:3" x14ac:dyDescent="0.2">
      <c r="A274" t="s">
        <v>428</v>
      </c>
      <c r="B274" t="s">
        <v>429</v>
      </c>
      <c r="C274" t="s">
        <v>428</v>
      </c>
    </row>
    <row r="275" spans="1:3" x14ac:dyDescent="0.2">
      <c r="A275" t="s">
        <v>430</v>
      </c>
      <c r="B275" t="s">
        <v>431</v>
      </c>
      <c r="C275" t="s">
        <v>430</v>
      </c>
    </row>
    <row r="276" spans="1:3" x14ac:dyDescent="0.2">
      <c r="A276" t="s">
        <v>432</v>
      </c>
      <c r="B276" t="s">
        <v>433</v>
      </c>
      <c r="C276" t="s">
        <v>432</v>
      </c>
    </row>
    <row r="277" spans="1:3" x14ac:dyDescent="0.2">
      <c r="A277" t="s">
        <v>434</v>
      </c>
      <c r="B277" t="s">
        <v>435</v>
      </c>
      <c r="C277" t="s">
        <v>434</v>
      </c>
    </row>
    <row r="278" spans="1:3" x14ac:dyDescent="0.2">
      <c r="A278" t="s">
        <v>436</v>
      </c>
      <c r="B278" t="s">
        <v>437</v>
      </c>
      <c r="C278" t="s">
        <v>436</v>
      </c>
    </row>
    <row r="279" spans="1:3" x14ac:dyDescent="0.2">
      <c r="A279" t="s">
        <v>438</v>
      </c>
      <c r="B279" t="s">
        <v>439</v>
      </c>
      <c r="C279" t="s">
        <v>438</v>
      </c>
    </row>
    <row r="280" spans="1:3" x14ac:dyDescent="0.2">
      <c r="A280" t="s">
        <v>440</v>
      </c>
      <c r="B280" t="s">
        <v>441</v>
      </c>
      <c r="C280" t="s">
        <v>440</v>
      </c>
    </row>
    <row r="281" spans="1:3" x14ac:dyDescent="0.2">
      <c r="A281" t="s">
        <v>442</v>
      </c>
      <c r="B281" t="s">
        <v>443</v>
      </c>
      <c r="C281" t="s">
        <v>442</v>
      </c>
    </row>
    <row r="282" spans="1:3" x14ac:dyDescent="0.2">
      <c r="A282" t="s">
        <v>444</v>
      </c>
      <c r="B282" t="s">
        <v>445</v>
      </c>
      <c r="C282" t="s">
        <v>444</v>
      </c>
    </row>
    <row r="283" spans="1:3" x14ac:dyDescent="0.2">
      <c r="A283" t="s">
        <v>446</v>
      </c>
      <c r="B283" t="s">
        <v>447</v>
      </c>
      <c r="C283" t="s">
        <v>446</v>
      </c>
    </row>
    <row r="284" spans="1:3" x14ac:dyDescent="0.2">
      <c r="A284" t="s">
        <v>448</v>
      </c>
      <c r="B284" t="s">
        <v>449</v>
      </c>
      <c r="C284" t="s">
        <v>448</v>
      </c>
    </row>
    <row r="285" spans="1:3" x14ac:dyDescent="0.2">
      <c r="A285" t="s">
        <v>450</v>
      </c>
      <c r="B285" t="s">
        <v>451</v>
      </c>
      <c r="C285" t="s">
        <v>450</v>
      </c>
    </row>
    <row r="286" spans="1:3" x14ac:dyDescent="0.2">
      <c r="A286" t="s">
        <v>452</v>
      </c>
      <c r="B286" t="s">
        <v>453</v>
      </c>
      <c r="C286" t="s">
        <v>452</v>
      </c>
    </row>
    <row r="287" spans="1:3" x14ac:dyDescent="0.2">
      <c r="A287" t="s">
        <v>454</v>
      </c>
      <c r="B287" t="s">
        <v>455</v>
      </c>
      <c r="C287" t="s">
        <v>454</v>
      </c>
    </row>
    <row r="288" spans="1:3" x14ac:dyDescent="0.2">
      <c r="A288" t="s">
        <v>456</v>
      </c>
      <c r="B288" t="s">
        <v>457</v>
      </c>
      <c r="C288" t="s">
        <v>456</v>
      </c>
    </row>
    <row r="289" spans="1:3" x14ac:dyDescent="0.2">
      <c r="A289" t="s">
        <v>458</v>
      </c>
      <c r="B289" t="s">
        <v>459</v>
      </c>
      <c r="C289" t="s">
        <v>458</v>
      </c>
    </row>
    <row r="290" spans="1:3" x14ac:dyDescent="0.2">
      <c r="A290" t="s">
        <v>460</v>
      </c>
      <c r="B290" t="s">
        <v>461</v>
      </c>
      <c r="C290" t="s">
        <v>460</v>
      </c>
    </row>
    <row r="291" spans="1:3" x14ac:dyDescent="0.2">
      <c r="A291" t="s">
        <v>462</v>
      </c>
      <c r="B291" t="s">
        <v>463</v>
      </c>
      <c r="C291" t="s">
        <v>462</v>
      </c>
    </row>
    <row r="292" spans="1:3" x14ac:dyDescent="0.2">
      <c r="A292" t="s">
        <v>464</v>
      </c>
      <c r="B292" t="s">
        <v>465</v>
      </c>
      <c r="C292" t="s">
        <v>464</v>
      </c>
    </row>
    <row r="293" spans="1:3" x14ac:dyDescent="0.2">
      <c r="A293" t="s">
        <v>466</v>
      </c>
      <c r="B293" t="s">
        <v>467</v>
      </c>
      <c r="C293" t="s">
        <v>466</v>
      </c>
    </row>
    <row r="294" spans="1:3" x14ac:dyDescent="0.2">
      <c r="A294" t="s">
        <v>468</v>
      </c>
      <c r="B294" t="s">
        <v>469</v>
      </c>
      <c r="C294" t="s">
        <v>468</v>
      </c>
    </row>
    <row r="295" spans="1:3" x14ac:dyDescent="0.2">
      <c r="A295" t="s">
        <v>470</v>
      </c>
      <c r="B295" t="s">
        <v>471</v>
      </c>
      <c r="C295" t="s">
        <v>470</v>
      </c>
    </row>
    <row r="296" spans="1:3" x14ac:dyDescent="0.2">
      <c r="A296" t="s">
        <v>472</v>
      </c>
      <c r="B296" t="s">
        <v>473</v>
      </c>
      <c r="C296" t="s">
        <v>472</v>
      </c>
    </row>
    <row r="297" spans="1:3" x14ac:dyDescent="0.2">
      <c r="A297" t="s">
        <v>474</v>
      </c>
      <c r="B297" t="s">
        <v>475</v>
      </c>
      <c r="C297" t="s">
        <v>474</v>
      </c>
    </row>
    <row r="298" spans="1:3" x14ac:dyDescent="0.2">
      <c r="A298" t="s">
        <v>476</v>
      </c>
      <c r="B298" t="s">
        <v>477</v>
      </c>
      <c r="C298" t="s">
        <v>476</v>
      </c>
    </row>
    <row r="299" spans="1:3" x14ac:dyDescent="0.2">
      <c r="A299" t="s">
        <v>478</v>
      </c>
      <c r="B299" t="s">
        <v>479</v>
      </c>
      <c r="C299" t="s">
        <v>478</v>
      </c>
    </row>
    <row r="300" spans="1:3" x14ac:dyDescent="0.2">
      <c r="A300" t="s">
        <v>480</v>
      </c>
      <c r="B300" t="s">
        <v>481</v>
      </c>
      <c r="C300" t="s">
        <v>480</v>
      </c>
    </row>
    <row r="301" spans="1:3" x14ac:dyDescent="0.2">
      <c r="A301" t="s">
        <v>482</v>
      </c>
      <c r="B301" t="s">
        <v>483</v>
      </c>
      <c r="C301" t="s">
        <v>482</v>
      </c>
    </row>
    <row r="302" spans="1:3" x14ac:dyDescent="0.2">
      <c r="A302" t="s">
        <v>484</v>
      </c>
      <c r="B302" t="s">
        <v>485</v>
      </c>
      <c r="C302" t="s">
        <v>484</v>
      </c>
    </row>
    <row r="303" spans="1:3" x14ac:dyDescent="0.2">
      <c r="A303" s="522" t="s">
        <v>1131</v>
      </c>
      <c r="B303" s="522" t="s">
        <v>1132</v>
      </c>
      <c r="C303" s="522" t="s">
        <v>1131</v>
      </c>
    </row>
    <row r="304" spans="1:3" x14ac:dyDescent="0.2">
      <c r="A304" t="s">
        <v>486</v>
      </c>
      <c r="B304" t="s">
        <v>487</v>
      </c>
      <c r="C304" t="s">
        <v>486</v>
      </c>
    </row>
    <row r="305" spans="1:3" x14ac:dyDescent="0.2">
      <c r="A305" t="s">
        <v>488</v>
      </c>
      <c r="B305" t="s">
        <v>489</v>
      </c>
      <c r="C305" t="s">
        <v>488</v>
      </c>
    </row>
    <row r="306" spans="1:3" x14ac:dyDescent="0.2">
      <c r="A306" t="s">
        <v>490</v>
      </c>
      <c r="B306" t="s">
        <v>491</v>
      </c>
      <c r="C306" t="s">
        <v>490</v>
      </c>
    </row>
    <row r="307" spans="1:3" x14ac:dyDescent="0.2">
      <c r="A307" t="s">
        <v>492</v>
      </c>
      <c r="B307" t="s">
        <v>493</v>
      </c>
      <c r="C307" t="s">
        <v>492</v>
      </c>
    </row>
    <row r="308" spans="1:3" x14ac:dyDescent="0.2">
      <c r="A308" t="s">
        <v>494</v>
      </c>
      <c r="B308" t="s">
        <v>495</v>
      </c>
      <c r="C308" t="s">
        <v>494</v>
      </c>
    </row>
    <row r="309" spans="1:3" x14ac:dyDescent="0.2">
      <c r="A309" t="s">
        <v>496</v>
      </c>
      <c r="B309" t="s">
        <v>497</v>
      </c>
      <c r="C309" t="s">
        <v>496</v>
      </c>
    </row>
    <row r="310" spans="1:3" x14ac:dyDescent="0.2">
      <c r="A310" t="s">
        <v>498</v>
      </c>
      <c r="B310" t="s">
        <v>499</v>
      </c>
      <c r="C310" t="s">
        <v>498</v>
      </c>
    </row>
    <row r="311" spans="1:3" x14ac:dyDescent="0.2">
      <c r="A311" t="s">
        <v>500</v>
      </c>
      <c r="B311" t="s">
        <v>501</v>
      </c>
      <c r="C311" t="s">
        <v>500</v>
      </c>
    </row>
    <row r="312" spans="1:3" x14ac:dyDescent="0.2">
      <c r="A312" t="s">
        <v>502</v>
      </c>
      <c r="B312" t="s">
        <v>503</v>
      </c>
      <c r="C312" t="s">
        <v>502</v>
      </c>
    </row>
    <row r="313" spans="1:3" x14ac:dyDescent="0.2">
      <c r="A313" t="s">
        <v>504</v>
      </c>
      <c r="B313" t="s">
        <v>505</v>
      </c>
      <c r="C313" t="s">
        <v>504</v>
      </c>
    </row>
    <row r="314" spans="1:3" x14ac:dyDescent="0.2">
      <c r="A314" t="s">
        <v>506</v>
      </c>
      <c r="B314" t="s">
        <v>507</v>
      </c>
      <c r="C314" t="s">
        <v>506</v>
      </c>
    </row>
    <row r="315" spans="1:3" x14ac:dyDescent="0.2">
      <c r="A315" t="s">
        <v>508</v>
      </c>
      <c r="B315" t="s">
        <v>509</v>
      </c>
      <c r="C315" t="s">
        <v>508</v>
      </c>
    </row>
    <row r="316" spans="1:3" x14ac:dyDescent="0.2">
      <c r="A316" t="s">
        <v>510</v>
      </c>
      <c r="B316" t="s">
        <v>511</v>
      </c>
      <c r="C316" t="s">
        <v>510</v>
      </c>
    </row>
    <row r="317" spans="1:3" x14ac:dyDescent="0.2">
      <c r="A317" t="s">
        <v>512</v>
      </c>
      <c r="B317" t="s">
        <v>513</v>
      </c>
      <c r="C317" t="s">
        <v>512</v>
      </c>
    </row>
    <row r="318" spans="1:3" x14ac:dyDescent="0.2">
      <c r="A318" t="s">
        <v>514</v>
      </c>
      <c r="B318" t="s">
        <v>515</v>
      </c>
      <c r="C318" t="s">
        <v>514</v>
      </c>
    </row>
    <row r="319" spans="1:3" x14ac:dyDescent="0.2">
      <c r="A319" t="s">
        <v>516</v>
      </c>
      <c r="B319" t="s">
        <v>517</v>
      </c>
      <c r="C319" t="s">
        <v>516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CS560"/>
  <sheetViews>
    <sheetView zoomScaleNormal="100" workbookViewId="0">
      <pane xSplit="3" ySplit="7" topLeftCell="D8"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
  <cols>
    <col min="1" max="1" width="8.42578125" style="9" customWidth="1"/>
    <col min="2" max="2" width="33.140625" style="9" customWidth="1"/>
    <col min="3" max="3" width="8.140625" style="9" bestFit="1" customWidth="1"/>
    <col min="4" max="4" width="14.7109375" style="9" bestFit="1" customWidth="1"/>
    <col min="5" max="15" width="18.28515625" customWidth="1"/>
    <col min="16" max="17" width="18.42578125" customWidth="1"/>
    <col min="18" max="18" width="15.140625" customWidth="1"/>
    <col min="19" max="19" width="16.85546875" customWidth="1"/>
    <col min="20" max="20" width="13.140625" customWidth="1"/>
    <col min="21" max="22" width="13.85546875" customWidth="1"/>
    <col min="23" max="23" width="13.42578125" style="749" customWidth="1"/>
    <col min="24" max="24" width="13.28515625" style="749" customWidth="1"/>
    <col min="25" max="25" width="13.7109375" style="749" customWidth="1"/>
    <col min="26" max="27" width="13.7109375" style="750" customWidth="1"/>
    <col min="28" max="29" width="13.7109375" customWidth="1"/>
    <col min="30" max="30" width="3" style="238" customWidth="1"/>
    <col min="31" max="42" width="13.7109375" customWidth="1"/>
    <col min="43" max="44" width="13.7109375" style="749" hidden="1" customWidth="1"/>
    <col min="45" max="50" width="13.7109375" customWidth="1"/>
    <col min="51" max="51" width="12.28515625" style="238" customWidth="1"/>
    <col min="52" max="52" width="14.140625" style="238" customWidth="1"/>
    <col min="53" max="53" width="18.42578125" hidden="1" customWidth="1"/>
    <col min="54" max="55" width="18.42578125" style="238" customWidth="1"/>
    <col min="56" max="56" width="18.5703125" style="238" customWidth="1"/>
    <col min="57" max="60" width="9.140625" style="238"/>
    <col min="61" max="61" width="9.7109375" style="238" bestFit="1" customWidth="1"/>
    <col min="62" max="62" width="10.85546875" style="238" bestFit="1" customWidth="1"/>
    <col min="63" max="96" width="9.140625" style="238"/>
  </cols>
  <sheetData>
    <row r="1" spans="1:96" ht="15.75" thickBot="1" x14ac:dyDescent="0.3">
      <c r="A1" s="663"/>
      <c r="B1" s="570"/>
      <c r="C1" s="571"/>
      <c r="D1" s="1066" t="s">
        <v>866</v>
      </c>
      <c r="E1" s="1067"/>
      <c r="F1" s="1065" t="s">
        <v>1497</v>
      </c>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664"/>
      <c r="AE1" s="1068" t="s">
        <v>1498</v>
      </c>
      <c r="AF1" s="1069"/>
      <c r="AG1" s="1069"/>
      <c r="AH1" s="1069"/>
      <c r="AI1" s="1069"/>
      <c r="AJ1" s="1069"/>
      <c r="AK1" s="1069"/>
      <c r="AL1" s="1069"/>
      <c r="AM1" s="1069"/>
      <c r="AN1" s="1069"/>
      <c r="AO1" s="1069"/>
      <c r="AP1" s="1069"/>
      <c r="AQ1" s="1069"/>
      <c r="AR1" s="1069"/>
      <c r="AS1" s="1069"/>
      <c r="AT1" s="1069"/>
      <c r="AU1" s="1069"/>
      <c r="AV1" s="1069"/>
      <c r="AW1" s="1069"/>
      <c r="AX1" s="665" t="s">
        <v>866</v>
      </c>
      <c r="AY1" s="1070" t="s">
        <v>1499</v>
      </c>
      <c r="AZ1" s="1071"/>
      <c r="BA1" s="666" t="s">
        <v>1500</v>
      </c>
      <c r="BB1" s="667" t="s">
        <v>1501</v>
      </c>
      <c r="BC1" s="667" t="s">
        <v>1501</v>
      </c>
      <c r="BD1" s="667" t="s">
        <v>1502</v>
      </c>
      <c r="BG1" s="668"/>
      <c r="BH1" s="420"/>
      <c r="BI1" s="668"/>
      <c r="BJ1" s="420"/>
      <c r="BK1" s="668"/>
      <c r="BL1" s="420"/>
      <c r="BM1" s="668"/>
      <c r="BN1" s="420"/>
      <c r="BX1" s="569" t="s">
        <v>1466</v>
      </c>
      <c r="CJ1" s="669"/>
      <c r="CK1" s="669"/>
      <c r="CL1" s="669"/>
      <c r="CM1" s="669"/>
      <c r="CN1" s="669"/>
      <c r="CO1" s="669"/>
    </row>
    <row r="2" spans="1:96" ht="12.75" x14ac:dyDescent="0.2">
      <c r="A2" s="663"/>
      <c r="B2" s="570"/>
      <c r="C2" s="571"/>
      <c r="D2" s="670"/>
      <c r="E2" s="671"/>
      <c r="F2" s="672"/>
      <c r="G2" s="672"/>
      <c r="H2" s="672"/>
      <c r="I2" s="672"/>
      <c r="J2" s="672"/>
      <c r="K2" s="672"/>
      <c r="L2" s="672"/>
      <c r="M2" s="672"/>
      <c r="N2" s="672"/>
      <c r="O2" s="672"/>
      <c r="P2" s="672"/>
      <c r="Q2" s="672"/>
      <c r="R2" s="673"/>
      <c r="S2" s="673"/>
      <c r="T2" s="673"/>
      <c r="U2" s="673"/>
      <c r="V2" s="673"/>
      <c r="W2" s="674"/>
      <c r="X2" s="674"/>
      <c r="Y2" s="674"/>
      <c r="Z2" s="673"/>
      <c r="AA2" s="674"/>
      <c r="AB2" s="673"/>
      <c r="AC2" s="673"/>
      <c r="AD2" s="675"/>
      <c r="AE2" s="676"/>
      <c r="AF2" s="676"/>
      <c r="AG2" s="676"/>
      <c r="AH2" s="676"/>
      <c r="AI2" s="676"/>
      <c r="AJ2" s="676"/>
      <c r="AK2" s="676"/>
      <c r="AL2" s="676"/>
      <c r="AM2" s="676"/>
      <c r="AN2" s="676"/>
      <c r="AO2" s="676"/>
      <c r="AP2" s="676"/>
      <c r="AQ2" s="674"/>
      <c r="AR2" s="674"/>
      <c r="AS2" s="676"/>
      <c r="AT2" s="676"/>
      <c r="AU2" s="676"/>
      <c r="AV2" s="676"/>
      <c r="AW2" s="676"/>
      <c r="AX2" s="677"/>
      <c r="AY2" s="673"/>
      <c r="AZ2" s="673"/>
      <c r="BA2" s="674"/>
      <c r="BB2" s="676"/>
      <c r="BC2" s="676"/>
      <c r="BD2" s="676"/>
      <c r="BG2" s="668"/>
      <c r="BH2" s="420"/>
      <c r="BI2" s="668"/>
      <c r="BJ2" s="420"/>
      <c r="BK2" s="668"/>
      <c r="BL2" s="420"/>
      <c r="BM2" s="668"/>
      <c r="BN2" s="420"/>
      <c r="CJ2" s="669"/>
      <c r="CK2" s="669"/>
      <c r="CL2" s="669"/>
      <c r="CM2" s="669"/>
      <c r="CN2" s="669"/>
      <c r="CO2" s="669"/>
    </row>
    <row r="3" spans="1:96" ht="12.75" x14ac:dyDescent="0.2">
      <c r="A3" s="633">
        <v>1</v>
      </c>
      <c r="B3" s="678">
        <v>2</v>
      </c>
      <c r="C3" s="679">
        <v>3</v>
      </c>
      <c r="D3" s="633">
        <v>4</v>
      </c>
      <c r="E3" s="678">
        <v>5</v>
      </c>
      <c r="F3" s="679">
        <v>6</v>
      </c>
      <c r="G3" s="633">
        <v>7</v>
      </c>
      <c r="H3" s="678">
        <v>8</v>
      </c>
      <c r="I3" s="679">
        <v>9</v>
      </c>
      <c r="J3" s="633">
        <v>10</v>
      </c>
      <c r="K3" s="678">
        <v>11</v>
      </c>
      <c r="L3" s="679">
        <v>12</v>
      </c>
      <c r="M3" s="633">
        <v>13</v>
      </c>
      <c r="N3" s="678">
        <v>14</v>
      </c>
      <c r="O3" s="679">
        <v>15</v>
      </c>
      <c r="P3" s="633">
        <v>16</v>
      </c>
      <c r="Q3" s="678">
        <v>17</v>
      </c>
      <c r="R3" s="679">
        <v>18</v>
      </c>
      <c r="S3" s="633">
        <v>19</v>
      </c>
      <c r="T3" s="678">
        <v>20</v>
      </c>
      <c r="U3" s="679">
        <v>21</v>
      </c>
      <c r="V3" s="633">
        <v>22</v>
      </c>
      <c r="W3" s="680">
        <v>23</v>
      </c>
      <c r="X3" s="681">
        <v>24</v>
      </c>
      <c r="Y3" s="682">
        <v>25</v>
      </c>
      <c r="Z3" s="678">
        <v>26</v>
      </c>
      <c r="AA3" s="681">
        <v>27</v>
      </c>
      <c r="AB3" s="633">
        <v>28</v>
      </c>
      <c r="AC3" s="678">
        <v>29</v>
      </c>
      <c r="AD3" s="679">
        <v>30</v>
      </c>
      <c r="AE3" s="633">
        <v>31</v>
      </c>
      <c r="AF3" s="678">
        <v>32</v>
      </c>
      <c r="AG3" s="679">
        <v>33</v>
      </c>
      <c r="AH3" s="633">
        <v>34</v>
      </c>
      <c r="AI3" s="678">
        <v>35</v>
      </c>
      <c r="AJ3" s="679">
        <v>36</v>
      </c>
      <c r="AK3" s="633">
        <v>37</v>
      </c>
      <c r="AL3" s="678">
        <v>38</v>
      </c>
      <c r="AM3" s="679">
        <v>39</v>
      </c>
      <c r="AN3" s="633">
        <v>40</v>
      </c>
      <c r="AO3" s="678">
        <v>41</v>
      </c>
      <c r="AP3" s="679">
        <v>42</v>
      </c>
      <c r="AQ3" s="682">
        <v>43</v>
      </c>
      <c r="AR3" s="680">
        <v>44</v>
      </c>
      <c r="AS3" s="679">
        <v>45</v>
      </c>
      <c r="AT3" s="633">
        <v>46</v>
      </c>
      <c r="AU3" s="678">
        <v>47</v>
      </c>
      <c r="AV3" s="679">
        <v>48</v>
      </c>
      <c r="AW3" s="633">
        <v>49</v>
      </c>
      <c r="AX3" s="678">
        <v>50</v>
      </c>
      <c r="AY3" s="633">
        <v>51</v>
      </c>
      <c r="AZ3" s="633">
        <v>52</v>
      </c>
      <c r="BA3" s="682">
        <v>53</v>
      </c>
      <c r="BB3" s="633">
        <v>54</v>
      </c>
      <c r="BC3" s="633">
        <v>55</v>
      </c>
      <c r="BD3" s="633">
        <v>56</v>
      </c>
      <c r="BG3" s="683"/>
      <c r="BI3" s="668"/>
      <c r="BJ3" s="420"/>
    </row>
    <row r="4" spans="1:96" ht="13.5" thickBot="1" x14ac:dyDescent="0.25">
      <c r="A4" s="684"/>
      <c r="B4" s="685"/>
      <c r="C4" s="686"/>
      <c r="D4" s="687"/>
      <c r="E4" s="688"/>
      <c r="F4" s="689"/>
      <c r="G4" s="689"/>
      <c r="H4" s="689"/>
      <c r="I4" s="689"/>
      <c r="J4" s="689"/>
      <c r="K4" s="689"/>
      <c r="L4" s="689"/>
      <c r="M4" s="689"/>
      <c r="N4" s="689"/>
      <c r="O4" s="689"/>
      <c r="P4" s="689"/>
      <c r="Q4" s="689"/>
      <c r="R4" s="690"/>
      <c r="S4" s="690"/>
      <c r="T4" s="690"/>
      <c r="U4" s="690"/>
      <c r="V4" s="690"/>
      <c r="W4" s="691"/>
      <c r="X4" s="691"/>
      <c r="Y4" s="691"/>
      <c r="Z4" s="690"/>
      <c r="AA4" s="691"/>
      <c r="AB4" s="690"/>
      <c r="AC4" s="690"/>
      <c r="AD4" s="675"/>
      <c r="AE4" s="692"/>
      <c r="AF4" s="692"/>
      <c r="AG4" s="692"/>
      <c r="AH4" s="692"/>
      <c r="AI4" s="692"/>
      <c r="AJ4" s="692"/>
      <c r="AK4" s="692"/>
      <c r="AL4" s="692"/>
      <c r="AM4" s="692"/>
      <c r="AN4" s="692"/>
      <c r="AO4" s="692"/>
      <c r="AP4" s="692"/>
      <c r="AQ4" s="691"/>
      <c r="AR4" s="691"/>
      <c r="AS4" s="692"/>
      <c r="AT4" s="692"/>
      <c r="AU4" s="692"/>
      <c r="AV4" s="692"/>
      <c r="AW4" s="692"/>
      <c r="AX4" s="693"/>
      <c r="AY4" s="690"/>
      <c r="AZ4" s="690"/>
      <c r="BA4" s="691"/>
      <c r="BB4" s="692"/>
      <c r="BC4" s="692"/>
      <c r="BD4" s="692"/>
      <c r="BI4" s="668"/>
      <c r="BJ4" s="420"/>
      <c r="BK4" s="683"/>
      <c r="BM4" s="683"/>
    </row>
    <row r="5" spans="1:96" ht="102.75" thickBot="1" x14ac:dyDescent="0.25">
      <c r="A5" s="776" t="s">
        <v>671</v>
      </c>
      <c r="B5" s="777" t="s">
        <v>672</v>
      </c>
      <c r="C5" s="778" t="s">
        <v>673</v>
      </c>
      <c r="D5" s="694" t="s">
        <v>1503</v>
      </c>
      <c r="E5" s="695" t="s">
        <v>1504</v>
      </c>
      <c r="F5" s="696" t="s">
        <v>1505</v>
      </c>
      <c r="G5" s="696" t="s">
        <v>1506</v>
      </c>
      <c r="H5" s="696" t="s">
        <v>855</v>
      </c>
      <c r="I5" s="696" t="s">
        <v>856</v>
      </c>
      <c r="J5" s="696" t="s">
        <v>1507</v>
      </c>
      <c r="K5" s="696" t="s">
        <v>1508</v>
      </c>
      <c r="L5" s="696" t="s">
        <v>1509</v>
      </c>
      <c r="M5" s="696" t="s">
        <v>1510</v>
      </c>
      <c r="N5" s="696" t="s">
        <v>1511</v>
      </c>
      <c r="O5" s="696" t="s">
        <v>1507</v>
      </c>
      <c r="P5" s="696" t="s">
        <v>1512</v>
      </c>
      <c r="Q5" s="696" t="s">
        <v>1513</v>
      </c>
      <c r="R5" s="696" t="s">
        <v>1514</v>
      </c>
      <c r="S5" s="696" t="s">
        <v>1515</v>
      </c>
      <c r="T5" s="696" t="s">
        <v>1516</v>
      </c>
      <c r="U5" s="696" t="s">
        <v>829</v>
      </c>
      <c r="V5" s="696" t="s">
        <v>830</v>
      </c>
      <c r="W5" s="697" t="s">
        <v>1095</v>
      </c>
      <c r="X5" s="697" t="s">
        <v>1096</v>
      </c>
      <c r="Y5" s="697" t="s">
        <v>1100</v>
      </c>
      <c r="Z5" s="696" t="s">
        <v>1517</v>
      </c>
      <c r="AA5" s="697" t="s">
        <v>1518</v>
      </c>
      <c r="AB5" s="696" t="s">
        <v>857</v>
      </c>
      <c r="AC5" s="696" t="s">
        <v>1118</v>
      </c>
      <c r="AD5" s="675"/>
      <c r="AE5" s="698" t="s">
        <v>1519</v>
      </c>
      <c r="AF5" s="698" t="s">
        <v>1520</v>
      </c>
      <c r="AG5" s="698" t="s">
        <v>1521</v>
      </c>
      <c r="AH5" s="698" t="s">
        <v>1522</v>
      </c>
      <c r="AI5" s="698" t="s">
        <v>1523</v>
      </c>
      <c r="AJ5" s="698" t="s">
        <v>1524</v>
      </c>
      <c r="AK5" s="698" t="s">
        <v>1525</v>
      </c>
      <c r="AL5" s="698" t="s">
        <v>1526</v>
      </c>
      <c r="AM5" s="698" t="s">
        <v>1527</v>
      </c>
      <c r="AN5" s="698" t="s">
        <v>1528</v>
      </c>
      <c r="AO5" s="698" t="s">
        <v>1529</v>
      </c>
      <c r="AP5" s="698" t="s">
        <v>1530</v>
      </c>
      <c r="AQ5" s="699" t="s">
        <v>1098</v>
      </c>
      <c r="AR5" s="699" t="s">
        <v>1099</v>
      </c>
      <c r="AS5" s="698" t="s">
        <v>1531</v>
      </c>
      <c r="AT5" s="698" t="s">
        <v>1532</v>
      </c>
      <c r="AU5" s="698" t="s">
        <v>1123</v>
      </c>
      <c r="AV5" s="698" t="s">
        <v>1097</v>
      </c>
      <c r="AW5" s="698" t="s">
        <v>1533</v>
      </c>
      <c r="AX5" s="700" t="s">
        <v>1534</v>
      </c>
      <c r="AY5" s="698" t="s">
        <v>1535</v>
      </c>
      <c r="AZ5" s="698" t="s">
        <v>1536</v>
      </c>
      <c r="BA5" s="699" t="s">
        <v>1537</v>
      </c>
      <c r="BB5" s="698" t="s">
        <v>1172</v>
      </c>
      <c r="BC5" s="698" t="s">
        <v>1173</v>
      </c>
      <c r="BD5" s="698" t="s">
        <v>1174</v>
      </c>
      <c r="BI5" s="668"/>
      <c r="BJ5" s="420"/>
    </row>
    <row r="6" spans="1:96" ht="51.75" thickBot="1" x14ac:dyDescent="0.25">
      <c r="A6" s="701"/>
      <c r="B6" s="702"/>
      <c r="C6" s="702"/>
      <c r="D6" s="780" t="s">
        <v>1538</v>
      </c>
      <c r="E6" s="781" t="s">
        <v>1539</v>
      </c>
      <c r="F6" s="703" t="s">
        <v>867</v>
      </c>
      <c r="G6" s="703" t="s">
        <v>868</v>
      </c>
      <c r="H6" s="703" t="s">
        <v>869</v>
      </c>
      <c r="I6" s="703" t="s">
        <v>870</v>
      </c>
      <c r="J6" s="703" t="s">
        <v>871</v>
      </c>
      <c r="K6" s="703" t="s">
        <v>872</v>
      </c>
      <c r="L6" s="703" t="s">
        <v>873</v>
      </c>
      <c r="M6" s="703" t="s">
        <v>874</v>
      </c>
      <c r="N6" s="703" t="s">
        <v>1540</v>
      </c>
      <c r="O6" s="703" t="s">
        <v>875</v>
      </c>
      <c r="P6" s="703" t="s">
        <v>876</v>
      </c>
      <c r="Q6" s="703" t="s">
        <v>877</v>
      </c>
      <c r="R6" s="703" t="s">
        <v>878</v>
      </c>
      <c r="S6" s="703" t="s">
        <v>879</v>
      </c>
      <c r="T6" s="703" t="s">
        <v>880</v>
      </c>
      <c r="U6" s="703" t="s">
        <v>881</v>
      </c>
      <c r="V6" s="703" t="s">
        <v>1541</v>
      </c>
      <c r="W6" s="704" t="s">
        <v>1542</v>
      </c>
      <c r="X6" s="704" t="s">
        <v>1543</v>
      </c>
      <c r="Y6" s="704" t="s">
        <v>1544</v>
      </c>
      <c r="Z6" s="782" t="s">
        <v>882</v>
      </c>
      <c r="AA6" s="704" t="s">
        <v>1543</v>
      </c>
      <c r="AB6" s="703" t="s">
        <v>907</v>
      </c>
      <c r="AC6" s="703" t="s">
        <v>884</v>
      </c>
      <c r="AD6" s="783"/>
      <c r="AE6" s="703"/>
      <c r="AF6" s="703"/>
      <c r="AG6" s="703"/>
      <c r="AH6" s="703"/>
      <c r="AI6" s="703"/>
      <c r="AJ6" s="703"/>
      <c r="AK6" s="703"/>
      <c r="AL6" s="703"/>
      <c r="AM6" s="703"/>
      <c r="AN6" s="703"/>
      <c r="AO6" s="703"/>
      <c r="AP6" s="703"/>
      <c r="AQ6" s="704"/>
      <c r="AR6" s="704"/>
      <c r="AS6" s="703"/>
      <c r="AT6" s="703"/>
      <c r="AU6" s="703"/>
      <c r="AV6" s="703"/>
      <c r="AW6" s="703"/>
      <c r="AX6" s="703"/>
      <c r="AY6" s="784" t="s">
        <v>883</v>
      </c>
      <c r="AZ6" s="784" t="s">
        <v>1122</v>
      </c>
      <c r="BA6" s="785" t="s">
        <v>1545</v>
      </c>
      <c r="BB6" s="786" t="s">
        <v>1546</v>
      </c>
      <c r="BC6" s="786" t="s">
        <v>1547</v>
      </c>
      <c r="BD6" s="787" t="s">
        <v>1548</v>
      </c>
      <c r="BI6" s="683"/>
    </row>
    <row r="7" spans="1:96" s="118" customFormat="1" ht="12.75" x14ac:dyDescent="0.2">
      <c r="A7" s="705">
        <v>1</v>
      </c>
      <c r="B7" s="706" t="s">
        <v>674</v>
      </c>
      <c r="C7" s="707" t="s">
        <v>675</v>
      </c>
      <c r="D7" s="708">
        <v>83823</v>
      </c>
      <c r="E7" s="708">
        <v>46458000</v>
      </c>
      <c r="F7" s="133">
        <v>22948492</v>
      </c>
      <c r="G7" s="133">
        <v>-2123329</v>
      </c>
      <c r="H7" s="133">
        <v>402044</v>
      </c>
      <c r="I7" s="133">
        <v>-1721285</v>
      </c>
      <c r="J7" s="133">
        <v>-1802654</v>
      </c>
      <c r="K7" s="133">
        <v>-34654</v>
      </c>
      <c r="L7" s="133">
        <v>0</v>
      </c>
      <c r="M7" s="133">
        <v>0</v>
      </c>
      <c r="N7" s="133">
        <v>-129374</v>
      </c>
      <c r="O7" s="133">
        <v>-49012</v>
      </c>
      <c r="P7" s="133">
        <v>-20254</v>
      </c>
      <c r="Q7" s="133">
        <v>0</v>
      </c>
      <c r="R7" s="133">
        <v>0</v>
      </c>
      <c r="S7" s="133">
        <v>0</v>
      </c>
      <c r="T7" s="133">
        <v>0</v>
      </c>
      <c r="U7" s="133">
        <v>0</v>
      </c>
      <c r="V7" s="133">
        <v>0</v>
      </c>
      <c r="W7" s="709"/>
      <c r="X7" s="709"/>
      <c r="Y7" s="709"/>
      <c r="Z7" s="133">
        <v>0</v>
      </c>
      <c r="AA7" s="133">
        <v>0</v>
      </c>
      <c r="AB7" s="133">
        <v>19726590</v>
      </c>
      <c r="AC7" s="133">
        <v>-350000</v>
      </c>
      <c r="AD7" s="709"/>
      <c r="AE7" s="710">
        <v>91</v>
      </c>
      <c r="AF7" s="711">
        <v>7</v>
      </c>
      <c r="AG7" s="710">
        <v>0</v>
      </c>
      <c r="AH7" s="710">
        <v>0</v>
      </c>
      <c r="AI7" s="710">
        <v>65</v>
      </c>
      <c r="AJ7" s="710">
        <v>27</v>
      </c>
      <c r="AK7" s="710">
        <v>2</v>
      </c>
      <c r="AL7" s="710">
        <v>0</v>
      </c>
      <c r="AM7" s="710">
        <v>0</v>
      </c>
      <c r="AN7" s="710">
        <v>0</v>
      </c>
      <c r="AO7" s="710">
        <v>0</v>
      </c>
      <c r="AP7" s="711">
        <v>0</v>
      </c>
      <c r="AQ7" s="709"/>
      <c r="AR7" s="709"/>
      <c r="AS7" s="779">
        <v>315</v>
      </c>
      <c r="AT7" s="779">
        <v>1162</v>
      </c>
      <c r="AU7" s="779">
        <v>1122</v>
      </c>
      <c r="AV7" s="779">
        <v>40</v>
      </c>
      <c r="AW7" s="779">
        <v>786</v>
      </c>
      <c r="AX7" s="712">
        <v>2270</v>
      </c>
      <c r="AY7" s="683">
        <v>-12297</v>
      </c>
      <c r="AZ7" s="713">
        <v>-1602178</v>
      </c>
      <c r="BA7" s="714">
        <v>-1569363</v>
      </c>
      <c r="BB7" s="715">
        <v>7226700</v>
      </c>
      <c r="BC7" s="715">
        <v>0</v>
      </c>
      <c r="BD7" s="716">
        <v>-1569362.1099999985</v>
      </c>
      <c r="BE7" s="420"/>
      <c r="BF7" s="717" t="s">
        <v>675</v>
      </c>
      <c r="BG7" s="118" t="b">
        <v>1</v>
      </c>
      <c r="BH7" s="494"/>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row>
    <row r="8" spans="1:96" s="118" customFormat="1" ht="12.75" x14ac:dyDescent="0.2">
      <c r="A8" s="705">
        <v>2</v>
      </c>
      <c r="B8" s="718" t="s">
        <v>676</v>
      </c>
      <c r="C8" s="719" t="s">
        <v>677</v>
      </c>
      <c r="D8" s="708">
        <v>181416</v>
      </c>
      <c r="E8" s="708">
        <v>79579000</v>
      </c>
      <c r="F8" s="133">
        <v>38546013</v>
      </c>
      <c r="G8" s="133">
        <v>-5606545</v>
      </c>
      <c r="H8" s="133">
        <v>584326</v>
      </c>
      <c r="I8" s="133">
        <v>-5022219</v>
      </c>
      <c r="J8" s="133">
        <v>-2249197</v>
      </c>
      <c r="K8" s="133">
        <v>-63625</v>
      </c>
      <c r="L8" s="133">
        <v>-41818</v>
      </c>
      <c r="M8" s="133">
        <v>0</v>
      </c>
      <c r="N8" s="133">
        <v>-473360</v>
      </c>
      <c r="O8" s="133">
        <v>-173044</v>
      </c>
      <c r="P8" s="133">
        <v>-75136</v>
      </c>
      <c r="Q8" s="133">
        <v>-1260</v>
      </c>
      <c r="R8" s="133">
        <v>0</v>
      </c>
      <c r="S8" s="133">
        <v>0</v>
      </c>
      <c r="T8" s="133">
        <v>0</v>
      </c>
      <c r="U8" s="133">
        <v>0</v>
      </c>
      <c r="V8" s="133">
        <v>0</v>
      </c>
      <c r="W8" s="709"/>
      <c r="X8" s="709"/>
      <c r="Y8" s="709"/>
      <c r="Z8" s="133">
        <v>-41818</v>
      </c>
      <c r="AA8" s="133">
        <v>0</v>
      </c>
      <c r="AB8" s="133">
        <v>28359546</v>
      </c>
      <c r="AC8" s="133">
        <v>-885338</v>
      </c>
      <c r="AD8" s="709"/>
      <c r="AE8" s="710">
        <v>282</v>
      </c>
      <c r="AF8" s="711">
        <v>8</v>
      </c>
      <c r="AG8" s="710">
        <v>38</v>
      </c>
      <c r="AH8" s="710">
        <v>0</v>
      </c>
      <c r="AI8" s="710">
        <v>213</v>
      </c>
      <c r="AJ8" s="710">
        <v>134</v>
      </c>
      <c r="AK8" s="710">
        <v>15</v>
      </c>
      <c r="AL8" s="710">
        <v>2</v>
      </c>
      <c r="AM8" s="710">
        <v>0</v>
      </c>
      <c r="AN8" s="710">
        <v>0</v>
      </c>
      <c r="AO8" s="710">
        <v>0</v>
      </c>
      <c r="AP8" s="711">
        <v>0</v>
      </c>
      <c r="AQ8" s="709"/>
      <c r="AR8" s="709"/>
      <c r="AS8" s="720">
        <v>944</v>
      </c>
      <c r="AT8" s="710">
        <v>2463</v>
      </c>
      <c r="AU8" s="710">
        <v>2393</v>
      </c>
      <c r="AV8" s="710">
        <v>70</v>
      </c>
      <c r="AW8" s="710">
        <v>1636</v>
      </c>
      <c r="AX8" s="712">
        <v>5110</v>
      </c>
      <c r="AY8" s="683">
        <v>-25745</v>
      </c>
      <c r="AZ8" s="713">
        <v>32213</v>
      </c>
      <c r="BA8" s="714">
        <v>65526</v>
      </c>
      <c r="BB8" s="715">
        <v>13801050</v>
      </c>
      <c r="BC8" s="715">
        <v>0</v>
      </c>
      <c r="BD8" s="716">
        <v>65527</v>
      </c>
      <c r="BE8" s="420"/>
      <c r="BF8" s="717" t="s">
        <v>677</v>
      </c>
      <c r="BG8" s="118" t="b">
        <v>1</v>
      </c>
      <c r="BH8" s="494"/>
      <c r="BI8" s="420"/>
      <c r="BJ8" s="420"/>
      <c r="BK8" s="420"/>
      <c r="BL8" s="420"/>
      <c r="BM8" s="420"/>
      <c r="BN8" s="420"/>
      <c r="BO8" s="420"/>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c r="CO8" s="420"/>
      <c r="CP8" s="420"/>
      <c r="CQ8" s="420"/>
      <c r="CR8" s="420"/>
    </row>
    <row r="9" spans="1:96" s="118" customFormat="1" ht="12.75" x14ac:dyDescent="0.2">
      <c r="A9" s="705">
        <v>3</v>
      </c>
      <c r="B9" s="718" t="s">
        <v>678</v>
      </c>
      <c r="C9" s="719" t="s">
        <v>679</v>
      </c>
      <c r="D9" s="708">
        <v>146420</v>
      </c>
      <c r="E9" s="708">
        <v>83833000</v>
      </c>
      <c r="F9" s="133">
        <v>41006033</v>
      </c>
      <c r="G9" s="133">
        <v>-4582604</v>
      </c>
      <c r="H9" s="133">
        <v>701408</v>
      </c>
      <c r="I9" s="133">
        <v>-3881196</v>
      </c>
      <c r="J9" s="133">
        <v>-1866064</v>
      </c>
      <c r="K9" s="133">
        <v>-22982</v>
      </c>
      <c r="L9" s="133">
        <v>-16700</v>
      </c>
      <c r="M9" s="133">
        <v>-59102</v>
      </c>
      <c r="N9" s="133">
        <v>-1259848</v>
      </c>
      <c r="O9" s="133">
        <v>-49000</v>
      </c>
      <c r="P9" s="133">
        <v>-404697</v>
      </c>
      <c r="Q9" s="133">
        <v>0</v>
      </c>
      <c r="R9" s="133">
        <v>-2344</v>
      </c>
      <c r="S9" s="133">
        <v>-1001</v>
      </c>
      <c r="T9" s="133">
        <v>0</v>
      </c>
      <c r="U9" s="133">
        <v>0</v>
      </c>
      <c r="V9" s="133">
        <v>0</v>
      </c>
      <c r="W9" s="709"/>
      <c r="X9" s="709"/>
      <c r="Y9" s="709"/>
      <c r="Z9" s="133">
        <v>-14356</v>
      </c>
      <c r="AA9" s="133">
        <v>0</v>
      </c>
      <c r="AB9" s="133">
        <v>32149687</v>
      </c>
      <c r="AC9" s="133">
        <v>-2144300</v>
      </c>
      <c r="AD9" s="709"/>
      <c r="AE9" s="710">
        <v>190</v>
      </c>
      <c r="AF9" s="711">
        <v>2</v>
      </c>
      <c r="AG9" s="710">
        <v>15</v>
      </c>
      <c r="AH9" s="710">
        <v>1</v>
      </c>
      <c r="AI9" s="710">
        <v>336</v>
      </c>
      <c r="AJ9" s="710">
        <v>57</v>
      </c>
      <c r="AK9" s="710">
        <v>22</v>
      </c>
      <c r="AL9" s="710">
        <v>0</v>
      </c>
      <c r="AM9" s="710">
        <v>1</v>
      </c>
      <c r="AN9" s="710">
        <v>1</v>
      </c>
      <c r="AO9" s="710">
        <v>0</v>
      </c>
      <c r="AP9" s="711">
        <v>0</v>
      </c>
      <c r="AQ9" s="709"/>
      <c r="AR9" s="709"/>
      <c r="AS9" s="720">
        <v>813</v>
      </c>
      <c r="AT9" s="710">
        <v>1877</v>
      </c>
      <c r="AU9" s="710">
        <v>1794</v>
      </c>
      <c r="AV9" s="710">
        <v>83</v>
      </c>
      <c r="AW9" s="710">
        <v>1213</v>
      </c>
      <c r="AX9" s="712">
        <v>3941</v>
      </c>
      <c r="AY9" s="683">
        <v>-46602</v>
      </c>
      <c r="AZ9" s="713">
        <v>290286</v>
      </c>
      <c r="BA9" s="714">
        <v>485420</v>
      </c>
      <c r="BB9" s="715">
        <v>13338650</v>
      </c>
      <c r="BC9" s="715">
        <v>0</v>
      </c>
      <c r="BD9" s="716">
        <v>485418</v>
      </c>
      <c r="BE9" s="420"/>
      <c r="BF9" s="717" t="s">
        <v>679</v>
      </c>
      <c r="BG9" s="118" t="b">
        <v>1</v>
      </c>
      <c r="BH9" s="494"/>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row>
    <row r="10" spans="1:96" s="118" customFormat="1" ht="12.75" x14ac:dyDescent="0.2">
      <c r="A10" s="705">
        <v>4</v>
      </c>
      <c r="B10" s="718" t="s">
        <v>680</v>
      </c>
      <c r="C10" s="719" t="s">
        <v>681</v>
      </c>
      <c r="D10" s="708">
        <v>182456</v>
      </c>
      <c r="E10" s="708">
        <v>99112000</v>
      </c>
      <c r="F10" s="133">
        <v>48169614</v>
      </c>
      <c r="G10" s="133">
        <v>-5455694</v>
      </c>
      <c r="H10" s="133">
        <v>796513</v>
      </c>
      <c r="I10" s="133">
        <v>-4659181</v>
      </c>
      <c r="J10" s="133">
        <v>-3002505</v>
      </c>
      <c r="K10" s="133">
        <v>-120996</v>
      </c>
      <c r="L10" s="133">
        <v>0</v>
      </c>
      <c r="M10" s="133">
        <v>0</v>
      </c>
      <c r="N10" s="133">
        <v>-297995</v>
      </c>
      <c r="O10" s="133">
        <v>-105321</v>
      </c>
      <c r="P10" s="133">
        <v>-55520</v>
      </c>
      <c r="Q10" s="133">
        <v>-488</v>
      </c>
      <c r="R10" s="133">
        <v>0</v>
      </c>
      <c r="S10" s="133">
        <v>0</v>
      </c>
      <c r="T10" s="133">
        <v>0</v>
      </c>
      <c r="U10" s="133">
        <v>0</v>
      </c>
      <c r="V10" s="133">
        <v>0</v>
      </c>
      <c r="W10" s="709"/>
      <c r="X10" s="709"/>
      <c r="Y10" s="709"/>
      <c r="Z10" s="133">
        <v>0</v>
      </c>
      <c r="AA10" s="133">
        <v>0</v>
      </c>
      <c r="AB10" s="133">
        <v>38324392</v>
      </c>
      <c r="AC10" s="133">
        <v>-1796000</v>
      </c>
      <c r="AD10" s="709"/>
      <c r="AE10" s="710">
        <v>238</v>
      </c>
      <c r="AF10" s="711">
        <v>25</v>
      </c>
      <c r="AG10" s="710">
        <v>0</v>
      </c>
      <c r="AH10" s="710">
        <v>0</v>
      </c>
      <c r="AI10" s="710">
        <v>303</v>
      </c>
      <c r="AJ10" s="710">
        <v>64</v>
      </c>
      <c r="AK10" s="710">
        <v>12</v>
      </c>
      <c r="AL10" s="710">
        <v>3</v>
      </c>
      <c r="AM10" s="710">
        <v>0</v>
      </c>
      <c r="AN10" s="710">
        <v>0</v>
      </c>
      <c r="AO10" s="710">
        <v>0</v>
      </c>
      <c r="AP10" s="711">
        <v>0</v>
      </c>
      <c r="AQ10" s="709"/>
      <c r="AR10" s="709"/>
      <c r="AS10" s="720">
        <v>848</v>
      </c>
      <c r="AT10" s="710">
        <v>2432</v>
      </c>
      <c r="AU10" s="710">
        <v>2319</v>
      </c>
      <c r="AV10" s="710">
        <v>113</v>
      </c>
      <c r="AW10" s="710">
        <v>1584</v>
      </c>
      <c r="AX10" s="712">
        <v>4963</v>
      </c>
      <c r="AY10" s="683">
        <v>-42028</v>
      </c>
      <c r="AZ10" s="713">
        <v>-1029849</v>
      </c>
      <c r="BA10" s="714">
        <v>-1886110</v>
      </c>
      <c r="BB10" s="715">
        <v>16689700</v>
      </c>
      <c r="BC10" s="715">
        <v>0</v>
      </c>
      <c r="BD10" s="716">
        <v>-1886108.6999999993</v>
      </c>
      <c r="BE10" s="420"/>
      <c r="BF10" s="717" t="s">
        <v>681</v>
      </c>
      <c r="BG10" s="118" t="b">
        <v>1</v>
      </c>
      <c r="BH10" s="494"/>
      <c r="BI10" s="420"/>
      <c r="BJ10" s="420"/>
      <c r="BK10" s="420"/>
      <c r="BL10" s="420"/>
      <c r="BM10" s="420"/>
      <c r="BN10" s="420"/>
      <c r="BO10" s="420"/>
      <c r="BP10" s="420"/>
      <c r="BQ10" s="420"/>
      <c r="BR10" s="420"/>
      <c r="BS10" s="420"/>
      <c r="BT10" s="420"/>
      <c r="BU10" s="420"/>
      <c r="BV10" s="420"/>
      <c r="BW10" s="420"/>
      <c r="BX10" s="420"/>
      <c r="BY10" s="420"/>
      <c r="BZ10" s="420"/>
      <c r="CA10" s="420"/>
      <c r="CB10" s="420"/>
      <c r="CC10" s="420"/>
      <c r="CD10" s="420"/>
      <c r="CE10" s="420"/>
      <c r="CF10" s="420"/>
      <c r="CG10" s="420"/>
      <c r="CH10" s="420"/>
      <c r="CI10" s="420"/>
      <c r="CJ10" s="420"/>
      <c r="CK10" s="420"/>
      <c r="CL10" s="420"/>
      <c r="CM10" s="420"/>
      <c r="CN10" s="420"/>
      <c r="CO10" s="420"/>
      <c r="CP10" s="420"/>
      <c r="CQ10" s="420"/>
      <c r="CR10" s="420"/>
    </row>
    <row r="11" spans="1:96" s="118" customFormat="1" ht="12.75" x14ac:dyDescent="0.2">
      <c r="A11" s="705">
        <v>5</v>
      </c>
      <c r="B11" s="718" t="s">
        <v>682</v>
      </c>
      <c r="C11" s="719" t="s">
        <v>683</v>
      </c>
      <c r="D11" s="708">
        <v>148328</v>
      </c>
      <c r="E11" s="708">
        <v>91744000</v>
      </c>
      <c r="F11" s="133">
        <v>44600028</v>
      </c>
      <c r="G11" s="133">
        <v>-3314089</v>
      </c>
      <c r="H11" s="133">
        <v>882835</v>
      </c>
      <c r="I11" s="133">
        <v>-2431254</v>
      </c>
      <c r="J11" s="133">
        <v>-2131208</v>
      </c>
      <c r="K11" s="133">
        <v>-23527</v>
      </c>
      <c r="L11" s="133">
        <v>-11029</v>
      </c>
      <c r="M11" s="133">
        <v>0</v>
      </c>
      <c r="N11" s="133">
        <v>-643660</v>
      </c>
      <c r="O11" s="133">
        <v>-156137</v>
      </c>
      <c r="P11" s="133">
        <v>-38792</v>
      </c>
      <c r="Q11" s="133">
        <v>0</v>
      </c>
      <c r="R11" s="133">
        <v>-9000</v>
      </c>
      <c r="S11" s="133">
        <v>-4832</v>
      </c>
      <c r="T11" s="133">
        <v>0</v>
      </c>
      <c r="U11" s="133">
        <v>0</v>
      </c>
      <c r="V11" s="133">
        <v>0</v>
      </c>
      <c r="W11" s="709"/>
      <c r="X11" s="709"/>
      <c r="Y11" s="709"/>
      <c r="Z11" s="133">
        <v>-13832</v>
      </c>
      <c r="AA11" s="133">
        <v>0</v>
      </c>
      <c r="AB11" s="133">
        <v>38411606</v>
      </c>
      <c r="AC11" s="133">
        <v>-260300</v>
      </c>
      <c r="AD11" s="709"/>
      <c r="AE11" s="710">
        <v>125</v>
      </c>
      <c r="AF11" s="711">
        <v>3</v>
      </c>
      <c r="AG11" s="710">
        <v>10</v>
      </c>
      <c r="AH11" s="710">
        <v>0</v>
      </c>
      <c r="AI11" s="710">
        <v>442</v>
      </c>
      <c r="AJ11" s="710">
        <v>50</v>
      </c>
      <c r="AK11" s="710">
        <v>2</v>
      </c>
      <c r="AL11" s="710">
        <v>0</v>
      </c>
      <c r="AM11" s="710">
        <v>8</v>
      </c>
      <c r="AN11" s="710">
        <v>4</v>
      </c>
      <c r="AO11" s="710">
        <v>0</v>
      </c>
      <c r="AP11" s="711">
        <v>0</v>
      </c>
      <c r="AQ11" s="709"/>
      <c r="AR11" s="709"/>
      <c r="AS11" s="720">
        <v>991</v>
      </c>
      <c r="AT11" s="710">
        <v>1492</v>
      </c>
      <c r="AU11" s="710">
        <v>1434</v>
      </c>
      <c r="AV11" s="710">
        <v>58</v>
      </c>
      <c r="AW11" s="710">
        <v>1352</v>
      </c>
      <c r="AX11" s="712">
        <v>3865</v>
      </c>
      <c r="AY11" s="683">
        <v>-15120</v>
      </c>
      <c r="AZ11" s="713">
        <v>-2688269</v>
      </c>
      <c r="BA11" s="714">
        <v>-2577805</v>
      </c>
      <c r="BB11" s="715">
        <v>11634500</v>
      </c>
      <c r="BC11" s="715">
        <v>45000</v>
      </c>
      <c r="BD11" s="716">
        <v>-2577806</v>
      </c>
      <c r="BE11" s="420"/>
      <c r="BF11" s="717" t="s">
        <v>683</v>
      </c>
      <c r="BG11" s="118" t="b">
        <v>1</v>
      </c>
      <c r="BH11" s="494"/>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row>
    <row r="12" spans="1:96" s="118" customFormat="1" ht="12.75" x14ac:dyDescent="0.2">
      <c r="A12" s="705">
        <v>6</v>
      </c>
      <c r="B12" s="718" t="s">
        <v>684</v>
      </c>
      <c r="C12" s="719" t="s">
        <v>685</v>
      </c>
      <c r="D12" s="708">
        <v>191808</v>
      </c>
      <c r="E12" s="708">
        <v>129985000</v>
      </c>
      <c r="F12" s="133">
        <v>63261554</v>
      </c>
      <c r="G12" s="133">
        <v>-4851630</v>
      </c>
      <c r="H12" s="133">
        <v>1200092</v>
      </c>
      <c r="I12" s="133">
        <v>-3651538</v>
      </c>
      <c r="J12" s="133">
        <v>-3861055</v>
      </c>
      <c r="K12" s="133">
        <v>-95344</v>
      </c>
      <c r="L12" s="133">
        <v>-11602</v>
      </c>
      <c r="M12" s="133">
        <v>0</v>
      </c>
      <c r="N12" s="133">
        <v>-1412597</v>
      </c>
      <c r="O12" s="133">
        <v>-163604</v>
      </c>
      <c r="P12" s="133">
        <v>-50000</v>
      </c>
      <c r="Q12" s="133">
        <v>-13867</v>
      </c>
      <c r="R12" s="133">
        <v>0</v>
      </c>
      <c r="S12" s="133">
        <v>-46293</v>
      </c>
      <c r="T12" s="133">
        <v>0</v>
      </c>
      <c r="U12" s="133">
        <v>0</v>
      </c>
      <c r="V12" s="133">
        <v>0</v>
      </c>
      <c r="W12" s="709"/>
      <c r="X12" s="709"/>
      <c r="Y12" s="709"/>
      <c r="Z12" s="133">
        <v>-11602</v>
      </c>
      <c r="AA12" s="133">
        <v>0</v>
      </c>
      <c r="AB12" s="133">
        <v>51314402</v>
      </c>
      <c r="AC12" s="133">
        <v>-1385488</v>
      </c>
      <c r="AD12" s="709"/>
      <c r="AE12" s="710">
        <v>254</v>
      </c>
      <c r="AF12" s="711">
        <v>34</v>
      </c>
      <c r="AG12" s="710">
        <v>21</v>
      </c>
      <c r="AH12" s="710">
        <v>0</v>
      </c>
      <c r="AI12" s="710">
        <v>381</v>
      </c>
      <c r="AJ12" s="710">
        <v>70</v>
      </c>
      <c r="AK12" s="710">
        <v>19</v>
      </c>
      <c r="AL12" s="710">
        <v>28</v>
      </c>
      <c r="AM12" s="710">
        <v>17</v>
      </c>
      <c r="AN12" s="710">
        <v>8</v>
      </c>
      <c r="AO12" s="710">
        <v>0</v>
      </c>
      <c r="AP12" s="711">
        <v>0</v>
      </c>
      <c r="AQ12" s="709"/>
      <c r="AR12" s="709"/>
      <c r="AS12" s="720">
        <v>1368</v>
      </c>
      <c r="AT12" s="710">
        <v>1886</v>
      </c>
      <c r="AU12" s="710">
        <v>1769</v>
      </c>
      <c r="AV12" s="710">
        <v>117</v>
      </c>
      <c r="AW12" s="710">
        <v>1510</v>
      </c>
      <c r="AX12" s="712">
        <v>4927</v>
      </c>
      <c r="AY12" s="683">
        <v>-28310</v>
      </c>
      <c r="AZ12" s="713">
        <v>248753</v>
      </c>
      <c r="BA12" s="714">
        <v>221724</v>
      </c>
      <c r="BB12" s="715">
        <v>15639150</v>
      </c>
      <c r="BC12" s="715">
        <v>0</v>
      </c>
      <c r="BD12" s="716">
        <v>222871.60999999987</v>
      </c>
      <c r="BE12" s="420"/>
      <c r="BF12" s="717" t="s">
        <v>685</v>
      </c>
      <c r="BG12" s="118" t="b">
        <v>1</v>
      </c>
      <c r="BH12" s="494"/>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row>
    <row r="13" spans="1:96" s="118" customFormat="1" ht="12.75" x14ac:dyDescent="0.2">
      <c r="A13" s="705">
        <v>7</v>
      </c>
      <c r="B13" s="718" t="s">
        <v>688</v>
      </c>
      <c r="C13" s="719" t="s">
        <v>689</v>
      </c>
      <c r="D13" s="708">
        <v>130952</v>
      </c>
      <c r="E13" s="708">
        <v>64448000</v>
      </c>
      <c r="F13" s="133">
        <v>31452306</v>
      </c>
      <c r="G13" s="133">
        <v>-3720758</v>
      </c>
      <c r="H13" s="133">
        <v>495462</v>
      </c>
      <c r="I13" s="133">
        <v>-3225296</v>
      </c>
      <c r="J13" s="133">
        <v>-2332198</v>
      </c>
      <c r="K13" s="133">
        <v>-46761</v>
      </c>
      <c r="L13" s="133">
        <v>-75390</v>
      </c>
      <c r="M13" s="133">
        <v>-25449</v>
      </c>
      <c r="N13" s="133">
        <v>-1029626</v>
      </c>
      <c r="O13" s="133">
        <v>-49261</v>
      </c>
      <c r="P13" s="133">
        <v>-17455</v>
      </c>
      <c r="Q13" s="133">
        <v>-5845</v>
      </c>
      <c r="R13" s="133">
        <v>0</v>
      </c>
      <c r="S13" s="133">
        <v>-15368</v>
      </c>
      <c r="T13" s="133">
        <v>0</v>
      </c>
      <c r="U13" s="133">
        <v>0</v>
      </c>
      <c r="V13" s="133">
        <v>0</v>
      </c>
      <c r="W13" s="709"/>
      <c r="X13" s="709"/>
      <c r="Y13" s="709"/>
      <c r="Z13" s="133">
        <v>-75390</v>
      </c>
      <c r="AA13" s="133">
        <v>-1500</v>
      </c>
      <c r="AB13" s="133">
        <v>23747373</v>
      </c>
      <c r="AC13" s="133">
        <v>-1189719</v>
      </c>
      <c r="AD13" s="709"/>
      <c r="AE13" s="710">
        <v>217</v>
      </c>
      <c r="AF13" s="711">
        <v>26</v>
      </c>
      <c r="AG13" s="710">
        <v>51</v>
      </c>
      <c r="AH13" s="710">
        <v>1</v>
      </c>
      <c r="AI13" s="710">
        <v>204</v>
      </c>
      <c r="AJ13" s="710">
        <v>131</v>
      </c>
      <c r="AK13" s="710">
        <v>2</v>
      </c>
      <c r="AL13" s="710">
        <v>26</v>
      </c>
      <c r="AM13" s="710">
        <v>51</v>
      </c>
      <c r="AN13" s="710">
        <v>3</v>
      </c>
      <c r="AO13" s="710">
        <v>0</v>
      </c>
      <c r="AP13" s="711">
        <v>0</v>
      </c>
      <c r="AQ13" s="709"/>
      <c r="AR13" s="709"/>
      <c r="AS13" s="720">
        <v>886</v>
      </c>
      <c r="AT13" s="710">
        <v>1602</v>
      </c>
      <c r="AU13" s="710">
        <v>1522</v>
      </c>
      <c r="AV13" s="710">
        <v>80</v>
      </c>
      <c r="AW13" s="710">
        <v>1038</v>
      </c>
      <c r="AX13" s="712">
        <v>3601</v>
      </c>
      <c r="AY13" s="683">
        <v>-38654</v>
      </c>
      <c r="AZ13" s="713">
        <v>144587</v>
      </c>
      <c r="BA13" s="714">
        <v>331818</v>
      </c>
      <c r="BB13" s="715">
        <v>11482025</v>
      </c>
      <c r="BC13" s="715">
        <v>0</v>
      </c>
      <c r="BD13" s="716">
        <v>331819.94000000088</v>
      </c>
      <c r="BE13" s="420"/>
      <c r="BF13" s="717" t="s">
        <v>689</v>
      </c>
      <c r="BG13" s="118" t="b">
        <v>1</v>
      </c>
      <c r="BH13" s="494"/>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row>
    <row r="14" spans="1:96" s="118" customFormat="1" ht="12.75" x14ac:dyDescent="0.2">
      <c r="A14" s="705">
        <v>8</v>
      </c>
      <c r="B14" s="718" t="s">
        <v>690</v>
      </c>
      <c r="C14" s="719" t="s">
        <v>691</v>
      </c>
      <c r="D14" s="708">
        <v>199469</v>
      </c>
      <c r="E14" s="708">
        <v>153850000</v>
      </c>
      <c r="F14" s="133">
        <v>75585562</v>
      </c>
      <c r="G14" s="133">
        <v>-4955542</v>
      </c>
      <c r="H14" s="133">
        <v>1460680</v>
      </c>
      <c r="I14" s="133">
        <v>-3494862</v>
      </c>
      <c r="J14" s="133">
        <v>-4690663</v>
      </c>
      <c r="K14" s="133">
        <v>-17640</v>
      </c>
      <c r="L14" s="133">
        <v>0</v>
      </c>
      <c r="M14" s="133">
        <v>0</v>
      </c>
      <c r="N14" s="133">
        <v>-2329331</v>
      </c>
      <c r="O14" s="133">
        <v>-233349</v>
      </c>
      <c r="P14" s="133">
        <v>0</v>
      </c>
      <c r="Q14" s="133">
        <v>-3528</v>
      </c>
      <c r="R14" s="133">
        <v>0</v>
      </c>
      <c r="S14" s="133">
        <v>0</v>
      </c>
      <c r="T14" s="133">
        <v>0</v>
      </c>
      <c r="U14" s="133">
        <v>0</v>
      </c>
      <c r="V14" s="133">
        <v>0</v>
      </c>
      <c r="W14" s="709"/>
      <c r="X14" s="709"/>
      <c r="Y14" s="709"/>
      <c r="Z14" s="133">
        <v>0</v>
      </c>
      <c r="AA14" s="133">
        <v>0</v>
      </c>
      <c r="AB14" s="133">
        <v>63075540</v>
      </c>
      <c r="AC14" s="133">
        <v>-1500000</v>
      </c>
      <c r="AD14" s="709"/>
      <c r="AE14" s="710">
        <v>164</v>
      </c>
      <c r="AF14" s="711">
        <v>2</v>
      </c>
      <c r="AG14" s="710">
        <v>0</v>
      </c>
      <c r="AH14" s="710">
        <v>0</v>
      </c>
      <c r="AI14" s="710">
        <v>248</v>
      </c>
      <c r="AJ14" s="710">
        <v>30</v>
      </c>
      <c r="AK14" s="710">
        <v>0</v>
      </c>
      <c r="AL14" s="710">
        <v>2</v>
      </c>
      <c r="AM14" s="710">
        <v>0</v>
      </c>
      <c r="AN14" s="710">
        <v>0</v>
      </c>
      <c r="AO14" s="710">
        <v>0</v>
      </c>
      <c r="AP14" s="711">
        <v>0</v>
      </c>
      <c r="AQ14" s="709"/>
      <c r="AR14" s="709"/>
      <c r="AS14" s="720">
        <v>1019</v>
      </c>
      <c r="AT14" s="710">
        <v>1501</v>
      </c>
      <c r="AU14" s="710">
        <v>1337</v>
      </c>
      <c r="AV14" s="710">
        <v>164</v>
      </c>
      <c r="AW14" s="710">
        <v>1995</v>
      </c>
      <c r="AX14" s="712">
        <v>4537</v>
      </c>
      <c r="AY14" s="683">
        <v>-49455</v>
      </c>
      <c r="AZ14" s="713">
        <v>-5846981</v>
      </c>
      <c r="BA14" s="714">
        <v>-2489392</v>
      </c>
      <c r="BB14" s="715">
        <v>0</v>
      </c>
      <c r="BC14" s="715">
        <v>0</v>
      </c>
      <c r="BD14" s="716">
        <v>-2490002.5</v>
      </c>
      <c r="BE14" s="420"/>
      <c r="BF14" s="717" t="s">
        <v>691</v>
      </c>
      <c r="BG14" s="118" t="b">
        <v>1</v>
      </c>
      <c r="BH14" s="494"/>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row>
    <row r="15" spans="1:96" s="118" customFormat="1" ht="12.75" x14ac:dyDescent="0.2">
      <c r="A15" s="705">
        <v>9</v>
      </c>
      <c r="B15" s="718" t="s">
        <v>692</v>
      </c>
      <c r="C15" s="719" t="s">
        <v>693</v>
      </c>
      <c r="D15" s="708">
        <v>395432</v>
      </c>
      <c r="E15" s="708">
        <v>297897000</v>
      </c>
      <c r="F15" s="133">
        <v>144293429</v>
      </c>
      <c r="G15" s="133">
        <v>-7590820</v>
      </c>
      <c r="H15" s="133">
        <v>2674107</v>
      </c>
      <c r="I15" s="133">
        <v>-4916713</v>
      </c>
      <c r="J15" s="133">
        <v>-13501125</v>
      </c>
      <c r="K15" s="133">
        <v>-229018</v>
      </c>
      <c r="L15" s="133">
        <v>0</v>
      </c>
      <c r="M15" s="133">
        <v>0</v>
      </c>
      <c r="N15" s="133">
        <v>-4427954</v>
      </c>
      <c r="O15" s="133">
        <v>-352078</v>
      </c>
      <c r="P15" s="133">
        <v>-19757</v>
      </c>
      <c r="Q15" s="133">
        <v>-3732</v>
      </c>
      <c r="R15" s="133">
        <v>0</v>
      </c>
      <c r="S15" s="133">
        <v>0</v>
      </c>
      <c r="T15" s="133">
        <v>0</v>
      </c>
      <c r="U15" s="133">
        <v>0</v>
      </c>
      <c r="V15" s="133">
        <v>0</v>
      </c>
      <c r="W15" s="709"/>
      <c r="X15" s="709"/>
      <c r="Y15" s="709"/>
      <c r="Z15" s="133">
        <v>0</v>
      </c>
      <c r="AA15" s="133">
        <v>0</v>
      </c>
      <c r="AB15" s="133">
        <v>115379256</v>
      </c>
      <c r="AC15" s="133">
        <v>-5422825</v>
      </c>
      <c r="AD15" s="709"/>
      <c r="AE15" s="710">
        <v>458</v>
      </c>
      <c r="AF15" s="711">
        <v>13</v>
      </c>
      <c r="AG15" s="710">
        <v>0</v>
      </c>
      <c r="AH15" s="710">
        <v>0</v>
      </c>
      <c r="AI15" s="710">
        <v>874</v>
      </c>
      <c r="AJ15" s="710">
        <v>53</v>
      </c>
      <c r="AK15" s="710">
        <v>4</v>
      </c>
      <c r="AL15" s="710">
        <v>1</v>
      </c>
      <c r="AM15" s="710">
        <v>0</v>
      </c>
      <c r="AN15" s="710">
        <v>0</v>
      </c>
      <c r="AO15" s="710">
        <v>0</v>
      </c>
      <c r="AP15" s="711">
        <v>0</v>
      </c>
      <c r="AQ15" s="709"/>
      <c r="AR15" s="709"/>
      <c r="AS15" s="720">
        <v>1925</v>
      </c>
      <c r="AT15" s="710">
        <v>2262</v>
      </c>
      <c r="AU15" s="710">
        <v>1860</v>
      </c>
      <c r="AV15" s="710">
        <v>402</v>
      </c>
      <c r="AW15" s="710">
        <v>4210</v>
      </c>
      <c r="AX15" s="712">
        <v>8694</v>
      </c>
      <c r="AY15" s="683">
        <v>-144050</v>
      </c>
      <c r="AZ15" s="713">
        <v>-8763719</v>
      </c>
      <c r="BA15" s="714">
        <v>-9087209</v>
      </c>
      <c r="BB15" s="715">
        <v>35612050</v>
      </c>
      <c r="BC15" s="715">
        <v>398250</v>
      </c>
      <c r="BD15" s="716">
        <v>-9088036</v>
      </c>
      <c r="BE15" s="420"/>
      <c r="BF15" s="717" t="s">
        <v>693</v>
      </c>
      <c r="BG15" s="118" t="b">
        <v>1</v>
      </c>
      <c r="BH15" s="494"/>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row>
    <row r="16" spans="1:96" s="118" customFormat="1" ht="12.75" x14ac:dyDescent="0.2">
      <c r="A16" s="705">
        <v>10</v>
      </c>
      <c r="B16" s="718" t="s">
        <v>694</v>
      </c>
      <c r="C16" s="719" t="s">
        <v>695</v>
      </c>
      <c r="D16" s="708">
        <v>314763</v>
      </c>
      <c r="E16" s="708">
        <v>139778000</v>
      </c>
      <c r="F16" s="133">
        <v>68272072</v>
      </c>
      <c r="G16" s="133">
        <v>-7332273</v>
      </c>
      <c r="H16" s="133">
        <v>1212633</v>
      </c>
      <c r="I16" s="133">
        <v>-6119640</v>
      </c>
      <c r="J16" s="133">
        <v>-4661649</v>
      </c>
      <c r="K16" s="133">
        <v>-66135</v>
      </c>
      <c r="L16" s="133">
        <v>-3371</v>
      </c>
      <c r="M16" s="133">
        <v>-20981</v>
      </c>
      <c r="N16" s="133">
        <v>-2288078</v>
      </c>
      <c r="O16" s="133">
        <v>-21234</v>
      </c>
      <c r="P16" s="133">
        <v>-9855</v>
      </c>
      <c r="Q16" s="133">
        <v>-710</v>
      </c>
      <c r="R16" s="133">
        <v>-4674</v>
      </c>
      <c r="S16" s="133">
        <v>0</v>
      </c>
      <c r="T16" s="133">
        <v>-221816</v>
      </c>
      <c r="U16" s="133">
        <v>-211874</v>
      </c>
      <c r="V16" s="133">
        <v>0</v>
      </c>
      <c r="W16" s="709"/>
      <c r="X16" s="709"/>
      <c r="Y16" s="709"/>
      <c r="Z16" s="133">
        <v>-2955</v>
      </c>
      <c r="AA16" s="133">
        <v>-1500</v>
      </c>
      <c r="AB16" s="133">
        <v>53146955</v>
      </c>
      <c r="AC16" s="133">
        <v>-2642575</v>
      </c>
      <c r="AD16" s="709"/>
      <c r="AE16" s="710">
        <v>280</v>
      </c>
      <c r="AF16" s="711">
        <v>7</v>
      </c>
      <c r="AG16" s="710">
        <v>5</v>
      </c>
      <c r="AH16" s="710">
        <v>0</v>
      </c>
      <c r="AI16" s="710">
        <v>1282</v>
      </c>
      <c r="AJ16" s="710">
        <v>4</v>
      </c>
      <c r="AK16" s="710">
        <v>0</v>
      </c>
      <c r="AL16" s="710">
        <v>0</v>
      </c>
      <c r="AM16" s="710">
        <v>1</v>
      </c>
      <c r="AN16" s="710">
        <v>0</v>
      </c>
      <c r="AO16" s="710">
        <v>12</v>
      </c>
      <c r="AP16" s="711">
        <v>1</v>
      </c>
      <c r="AQ16" s="709"/>
      <c r="AR16" s="709"/>
      <c r="AS16" s="720">
        <v>1970</v>
      </c>
      <c r="AT16" s="710">
        <v>3183</v>
      </c>
      <c r="AU16" s="710">
        <v>3062</v>
      </c>
      <c r="AV16" s="710">
        <v>121</v>
      </c>
      <c r="AW16" s="710">
        <v>3643</v>
      </c>
      <c r="AX16" s="712">
        <v>8845</v>
      </c>
      <c r="AY16" s="683">
        <v>-20998</v>
      </c>
      <c r="AZ16" s="713">
        <v>2429077</v>
      </c>
      <c r="BA16" s="714">
        <v>2643130</v>
      </c>
      <c r="BB16" s="715">
        <v>18676650</v>
      </c>
      <c r="BC16" s="715">
        <v>269250</v>
      </c>
      <c r="BD16" s="716">
        <v>2982869.1</v>
      </c>
      <c r="BE16" s="420"/>
      <c r="BF16" s="717" t="s">
        <v>695</v>
      </c>
      <c r="BG16" s="118" t="b">
        <v>1</v>
      </c>
      <c r="BH16" s="494"/>
      <c r="BI16" s="420"/>
      <c r="BJ16" s="420"/>
      <c r="BK16" s="420"/>
      <c r="BL16" s="420"/>
      <c r="BM16" s="420"/>
      <c r="BN16" s="420"/>
      <c r="BO16" s="420"/>
      <c r="BP16" s="420"/>
      <c r="BQ16" s="420"/>
      <c r="BR16" s="420"/>
      <c r="BS16" s="420"/>
      <c r="BT16" s="420"/>
      <c r="BU16" s="420"/>
      <c r="BV16" s="420"/>
      <c r="BW16" s="420"/>
      <c r="BX16" s="420"/>
      <c r="BY16" s="420"/>
      <c r="BZ16" s="420"/>
      <c r="CA16" s="420"/>
      <c r="CB16" s="420"/>
      <c r="CC16" s="420"/>
      <c r="CD16" s="420"/>
      <c r="CE16" s="420"/>
      <c r="CF16" s="420"/>
      <c r="CG16" s="420"/>
      <c r="CH16" s="420"/>
      <c r="CI16" s="420"/>
      <c r="CJ16" s="420"/>
      <c r="CK16" s="420"/>
      <c r="CL16" s="420"/>
      <c r="CM16" s="420"/>
      <c r="CN16" s="420"/>
      <c r="CO16" s="420"/>
      <c r="CP16" s="420"/>
      <c r="CQ16" s="420"/>
      <c r="CR16" s="420"/>
    </row>
    <row r="17" spans="1:97" s="118" customFormat="1" ht="12.75" x14ac:dyDescent="0.2">
      <c r="A17" s="705">
        <v>11</v>
      </c>
      <c r="B17" s="718" t="s">
        <v>696</v>
      </c>
      <c r="C17" s="719" t="s">
        <v>697</v>
      </c>
      <c r="D17" s="708">
        <v>90352</v>
      </c>
      <c r="E17" s="708">
        <v>53995000</v>
      </c>
      <c r="F17" s="133">
        <v>26381346</v>
      </c>
      <c r="G17" s="133">
        <v>-2162400</v>
      </c>
      <c r="H17" s="133">
        <v>498543</v>
      </c>
      <c r="I17" s="133">
        <v>-1663857</v>
      </c>
      <c r="J17" s="133">
        <v>-1867588</v>
      </c>
      <c r="K17" s="133">
        <v>-97311</v>
      </c>
      <c r="L17" s="133">
        <v>0</v>
      </c>
      <c r="M17" s="133">
        <v>0</v>
      </c>
      <c r="N17" s="133">
        <v>-507075</v>
      </c>
      <c r="O17" s="133">
        <v>0</v>
      </c>
      <c r="P17" s="133">
        <v>0</v>
      </c>
      <c r="Q17" s="133">
        <v>0</v>
      </c>
      <c r="R17" s="133">
        <v>0</v>
      </c>
      <c r="S17" s="133">
        <v>0</v>
      </c>
      <c r="T17" s="133">
        <v>0</v>
      </c>
      <c r="U17" s="133">
        <v>0</v>
      </c>
      <c r="V17" s="133">
        <v>0</v>
      </c>
      <c r="W17" s="709"/>
      <c r="X17" s="709"/>
      <c r="Y17" s="709"/>
      <c r="Z17" s="133">
        <v>0</v>
      </c>
      <c r="AA17" s="133">
        <v>-1500</v>
      </c>
      <c r="AB17" s="133">
        <v>23134982</v>
      </c>
      <c r="AC17" s="133">
        <v>-270279</v>
      </c>
      <c r="AD17" s="709"/>
      <c r="AE17" s="710">
        <v>130</v>
      </c>
      <c r="AF17" s="711">
        <v>28</v>
      </c>
      <c r="AG17" s="710">
        <v>0</v>
      </c>
      <c r="AH17" s="710">
        <v>0</v>
      </c>
      <c r="AI17" s="710">
        <v>196</v>
      </c>
      <c r="AJ17" s="710">
        <v>0</v>
      </c>
      <c r="AK17" s="710">
        <v>0</v>
      </c>
      <c r="AL17" s="710">
        <v>0</v>
      </c>
      <c r="AM17" s="710">
        <v>0</v>
      </c>
      <c r="AN17" s="710">
        <v>0</v>
      </c>
      <c r="AO17" s="710">
        <v>0</v>
      </c>
      <c r="AP17" s="711">
        <v>0</v>
      </c>
      <c r="AQ17" s="709"/>
      <c r="AR17" s="709"/>
      <c r="AS17" s="720">
        <v>477</v>
      </c>
      <c r="AT17" s="710">
        <v>1034</v>
      </c>
      <c r="AU17" s="710">
        <v>1002</v>
      </c>
      <c r="AV17" s="710">
        <v>32</v>
      </c>
      <c r="AW17" s="710">
        <v>872</v>
      </c>
      <c r="AX17" s="712">
        <v>2408</v>
      </c>
      <c r="AY17" s="683">
        <v>-3801</v>
      </c>
      <c r="AZ17" s="713">
        <v>318651</v>
      </c>
      <c r="BA17" s="714">
        <v>526592</v>
      </c>
      <c r="BB17" s="715">
        <v>6414400</v>
      </c>
      <c r="BC17" s="715">
        <v>0</v>
      </c>
      <c r="BD17" s="716">
        <v>526595</v>
      </c>
      <c r="BE17" s="420"/>
      <c r="BF17" s="717" t="s">
        <v>697</v>
      </c>
      <c r="BG17" s="118" t="b">
        <v>1</v>
      </c>
      <c r="BH17" s="494"/>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row>
    <row r="18" spans="1:97" s="118" customFormat="1" ht="12.75" x14ac:dyDescent="0.2">
      <c r="A18" s="705">
        <v>12</v>
      </c>
      <c r="B18" s="718" t="s">
        <v>698</v>
      </c>
      <c r="C18" s="719" t="s">
        <v>699</v>
      </c>
      <c r="D18" s="708">
        <v>222381</v>
      </c>
      <c r="E18" s="708">
        <v>191819000</v>
      </c>
      <c r="F18" s="133">
        <v>94914701</v>
      </c>
      <c r="G18" s="133">
        <v>-5149251</v>
      </c>
      <c r="H18" s="133">
        <v>1870953</v>
      </c>
      <c r="I18" s="133">
        <v>-3278298</v>
      </c>
      <c r="J18" s="133">
        <v>-4158121</v>
      </c>
      <c r="K18" s="133">
        <v>-64994</v>
      </c>
      <c r="L18" s="133">
        <v>-1688</v>
      </c>
      <c r="M18" s="133">
        <v>-11823</v>
      </c>
      <c r="N18" s="133">
        <v>-1341049</v>
      </c>
      <c r="O18" s="133">
        <v>-292</v>
      </c>
      <c r="P18" s="133">
        <v>-19814</v>
      </c>
      <c r="Q18" s="133">
        <v>0</v>
      </c>
      <c r="R18" s="133">
        <v>0</v>
      </c>
      <c r="S18" s="133">
        <v>0</v>
      </c>
      <c r="T18" s="133">
        <v>0</v>
      </c>
      <c r="U18" s="133">
        <v>0</v>
      </c>
      <c r="V18" s="133">
        <v>0</v>
      </c>
      <c r="W18" s="709"/>
      <c r="X18" s="709"/>
      <c r="Y18" s="709"/>
      <c r="Z18" s="133">
        <v>-1688</v>
      </c>
      <c r="AA18" s="133">
        <v>-1500</v>
      </c>
      <c r="AB18" s="133">
        <v>84464561</v>
      </c>
      <c r="AC18" s="133">
        <v>-4025000</v>
      </c>
      <c r="AD18" s="709"/>
      <c r="AE18" s="710">
        <v>219</v>
      </c>
      <c r="AF18" s="711">
        <v>13</v>
      </c>
      <c r="AG18" s="710">
        <v>1</v>
      </c>
      <c r="AH18" s="710">
        <v>1</v>
      </c>
      <c r="AI18" s="710">
        <v>197</v>
      </c>
      <c r="AJ18" s="710">
        <v>4</v>
      </c>
      <c r="AK18" s="710">
        <v>8</v>
      </c>
      <c r="AL18" s="710">
        <v>0</v>
      </c>
      <c r="AM18" s="710">
        <v>1</v>
      </c>
      <c r="AN18" s="710">
        <v>0</v>
      </c>
      <c r="AO18" s="710">
        <v>0</v>
      </c>
      <c r="AP18" s="711">
        <v>0</v>
      </c>
      <c r="AQ18" s="709"/>
      <c r="AR18" s="709"/>
      <c r="AS18" s="720">
        <v>1169</v>
      </c>
      <c r="AT18" s="710">
        <v>1626</v>
      </c>
      <c r="AU18" s="710">
        <v>1430</v>
      </c>
      <c r="AV18" s="710">
        <v>196</v>
      </c>
      <c r="AW18" s="710">
        <v>2184</v>
      </c>
      <c r="AX18" s="712">
        <v>4955</v>
      </c>
      <c r="AY18" s="683">
        <v>-20945</v>
      </c>
      <c r="AZ18" s="713">
        <v>-468814</v>
      </c>
      <c r="BA18" s="714">
        <v>-1936721</v>
      </c>
      <c r="BB18" s="715">
        <v>27922325</v>
      </c>
      <c r="BC18" s="715">
        <v>0</v>
      </c>
      <c r="BD18" s="716">
        <v>-1936721.200000003</v>
      </c>
      <c r="BE18" s="420"/>
      <c r="BF18" s="717" t="s">
        <v>699</v>
      </c>
      <c r="BG18" s="118" t="b">
        <v>1</v>
      </c>
      <c r="BH18" s="494"/>
      <c r="BI18" s="420"/>
      <c r="BJ18" s="420"/>
      <c r="BK18" s="420"/>
      <c r="BL18" s="420"/>
      <c r="BM18" s="420"/>
      <c r="BN18" s="420"/>
      <c r="BO18" s="420"/>
      <c r="BP18" s="420"/>
      <c r="BQ18" s="420"/>
      <c r="BR18" s="420"/>
      <c r="BS18" s="420"/>
      <c r="BT18" s="420"/>
      <c r="BU18" s="420"/>
      <c r="BV18" s="420"/>
      <c r="BW18" s="420"/>
      <c r="BX18" s="420"/>
      <c r="BY18" s="420"/>
      <c r="BZ18" s="420"/>
      <c r="CA18" s="420"/>
      <c r="CB18" s="420"/>
      <c r="CC18" s="420"/>
      <c r="CD18" s="420"/>
      <c r="CE18" s="420"/>
      <c r="CF18" s="420"/>
      <c r="CG18" s="420"/>
      <c r="CH18" s="420"/>
      <c r="CI18" s="420"/>
      <c r="CJ18" s="420"/>
      <c r="CK18" s="420"/>
      <c r="CL18" s="420"/>
      <c r="CM18" s="420"/>
      <c r="CN18" s="420"/>
      <c r="CO18" s="420"/>
      <c r="CP18" s="420"/>
      <c r="CQ18" s="420"/>
      <c r="CR18" s="420"/>
    </row>
    <row r="19" spans="1:97" s="118" customFormat="1" ht="12.75" x14ac:dyDescent="0.2">
      <c r="A19" s="705">
        <v>13</v>
      </c>
      <c r="B19" s="718" t="s">
        <v>917</v>
      </c>
      <c r="C19" s="719" t="s">
        <v>701</v>
      </c>
      <c r="D19" s="708">
        <v>201296</v>
      </c>
      <c r="E19" s="708">
        <v>180244000</v>
      </c>
      <c r="F19" s="133">
        <v>90007729</v>
      </c>
      <c r="G19" s="133">
        <v>-2955094</v>
      </c>
      <c r="H19" s="133">
        <v>1847328</v>
      </c>
      <c r="I19" s="133">
        <v>-1107766</v>
      </c>
      <c r="J19" s="133">
        <v>-4077351</v>
      </c>
      <c r="K19" s="133">
        <v>-11471</v>
      </c>
      <c r="L19" s="133">
        <v>-24988</v>
      </c>
      <c r="M19" s="133">
        <v>-600000</v>
      </c>
      <c r="N19" s="133">
        <v>-2328216</v>
      </c>
      <c r="O19" s="133">
        <v>-554657</v>
      </c>
      <c r="P19" s="133">
        <v>-144893</v>
      </c>
      <c r="Q19" s="133">
        <v>-2868</v>
      </c>
      <c r="R19" s="133">
        <v>-57221</v>
      </c>
      <c r="S19" s="133">
        <v>0</v>
      </c>
      <c r="T19" s="133">
        <v>-500000</v>
      </c>
      <c r="U19" s="133">
        <v>-500000</v>
      </c>
      <c r="V19" s="133">
        <v>0</v>
      </c>
      <c r="W19" s="709"/>
      <c r="X19" s="709"/>
      <c r="Y19" s="709"/>
      <c r="Z19" s="133">
        <v>-24988</v>
      </c>
      <c r="AA19" s="133">
        <v>-1500</v>
      </c>
      <c r="AB19" s="133">
        <v>77451769</v>
      </c>
      <c r="AC19" s="133">
        <v>-3200000</v>
      </c>
      <c r="AD19" s="709"/>
      <c r="AE19" s="710">
        <v>240</v>
      </c>
      <c r="AF19" s="711">
        <v>5</v>
      </c>
      <c r="AG19" s="710">
        <v>11</v>
      </c>
      <c r="AH19" s="710">
        <v>2</v>
      </c>
      <c r="AI19" s="710">
        <v>450</v>
      </c>
      <c r="AJ19" s="710">
        <v>198</v>
      </c>
      <c r="AK19" s="710">
        <v>35</v>
      </c>
      <c r="AL19" s="710">
        <v>5</v>
      </c>
      <c r="AM19" s="710">
        <v>11</v>
      </c>
      <c r="AN19" s="710">
        <v>0</v>
      </c>
      <c r="AO19" s="710">
        <v>60</v>
      </c>
      <c r="AP19" s="711">
        <v>0</v>
      </c>
      <c r="AQ19" s="709"/>
      <c r="AR19" s="709"/>
      <c r="AS19" s="720">
        <v>1612</v>
      </c>
      <c r="AT19" s="710">
        <v>1005</v>
      </c>
      <c r="AU19" s="710">
        <v>908</v>
      </c>
      <c r="AV19" s="710">
        <v>97</v>
      </c>
      <c r="AW19" s="710">
        <v>2047</v>
      </c>
      <c r="AX19" s="712">
        <v>4576</v>
      </c>
      <c r="AY19" s="683">
        <v>-25681</v>
      </c>
      <c r="AZ19" s="713">
        <v>-5289582</v>
      </c>
      <c r="BA19" s="714">
        <v>-5111408</v>
      </c>
      <c r="BB19" s="715">
        <v>23249733</v>
      </c>
      <c r="BC19" s="715">
        <v>463250</v>
      </c>
      <c r="BD19" s="716">
        <v>-5111409.099999994</v>
      </c>
      <c r="BE19" s="420"/>
      <c r="BF19" s="717" t="s">
        <v>701</v>
      </c>
      <c r="BG19" s="118" t="b">
        <v>1</v>
      </c>
      <c r="BH19" s="494"/>
      <c r="BI19" s="420"/>
      <c r="BJ19" s="420"/>
      <c r="BK19" s="420"/>
      <c r="BL19" s="420"/>
      <c r="BM19" s="420"/>
      <c r="BN19" s="420"/>
      <c r="BO19" s="420"/>
      <c r="BP19" s="420"/>
      <c r="BQ19" s="420"/>
      <c r="BR19" s="420"/>
      <c r="BS19" s="420"/>
      <c r="BT19" s="420"/>
      <c r="BU19" s="420"/>
      <c r="BV19" s="420"/>
      <c r="BW19" s="420"/>
      <c r="BX19" s="420"/>
      <c r="BY19" s="420"/>
      <c r="BZ19" s="420"/>
      <c r="CA19" s="420"/>
      <c r="CB19" s="420"/>
      <c r="CC19" s="420"/>
      <c r="CD19" s="420"/>
      <c r="CE19" s="420"/>
      <c r="CF19" s="420"/>
      <c r="CG19" s="420"/>
      <c r="CH19" s="420"/>
      <c r="CI19" s="420"/>
      <c r="CJ19" s="420"/>
      <c r="CK19" s="420"/>
      <c r="CL19" s="420"/>
      <c r="CM19" s="420"/>
      <c r="CN19" s="420"/>
      <c r="CO19" s="420"/>
      <c r="CP19" s="420"/>
      <c r="CQ19" s="420"/>
      <c r="CR19" s="420"/>
    </row>
    <row r="20" spans="1:97" s="118" customFormat="1" ht="12.75" x14ac:dyDescent="0.2">
      <c r="A20" s="705">
        <v>14</v>
      </c>
      <c r="B20" s="718" t="s">
        <v>702</v>
      </c>
      <c r="C20" s="719" t="s">
        <v>703</v>
      </c>
      <c r="D20" s="708">
        <v>167984</v>
      </c>
      <c r="E20" s="708">
        <v>112719000</v>
      </c>
      <c r="F20" s="133">
        <v>55223588</v>
      </c>
      <c r="G20" s="133">
        <v>-4303361</v>
      </c>
      <c r="H20" s="133">
        <v>1060284</v>
      </c>
      <c r="I20" s="133">
        <v>-3243077</v>
      </c>
      <c r="J20" s="133">
        <v>-3224240</v>
      </c>
      <c r="K20" s="133">
        <v>-35874</v>
      </c>
      <c r="L20" s="133">
        <v>-33789</v>
      </c>
      <c r="M20" s="133">
        <v>-200900</v>
      </c>
      <c r="N20" s="133">
        <v>-912232</v>
      </c>
      <c r="O20" s="133">
        <v>-95000</v>
      </c>
      <c r="P20" s="133">
        <v>-32000</v>
      </c>
      <c r="Q20" s="133">
        <v>-2608</v>
      </c>
      <c r="R20" s="133">
        <v>0</v>
      </c>
      <c r="S20" s="133">
        <v>-2762</v>
      </c>
      <c r="T20" s="133">
        <v>0</v>
      </c>
      <c r="U20" s="133">
        <v>0</v>
      </c>
      <c r="V20" s="133">
        <v>0</v>
      </c>
      <c r="W20" s="709"/>
      <c r="X20" s="709"/>
      <c r="Y20" s="709"/>
      <c r="Z20" s="133">
        <v>-33789</v>
      </c>
      <c r="AA20" s="133">
        <v>0</v>
      </c>
      <c r="AB20" s="133">
        <v>52093892</v>
      </c>
      <c r="AC20" s="133">
        <v>-1249203</v>
      </c>
      <c r="AD20" s="709"/>
      <c r="AE20" s="710">
        <v>238</v>
      </c>
      <c r="AF20" s="711">
        <v>5</v>
      </c>
      <c r="AG20" s="710">
        <v>25</v>
      </c>
      <c r="AH20" s="710">
        <v>0</v>
      </c>
      <c r="AI20" s="710">
        <v>370</v>
      </c>
      <c r="AJ20" s="710">
        <v>62</v>
      </c>
      <c r="AK20" s="710">
        <v>4</v>
      </c>
      <c r="AL20" s="710">
        <v>2</v>
      </c>
      <c r="AM20" s="710">
        <v>0</v>
      </c>
      <c r="AN20" s="710">
        <v>1</v>
      </c>
      <c r="AO20" s="710">
        <v>0</v>
      </c>
      <c r="AP20" s="711">
        <v>0</v>
      </c>
      <c r="AQ20" s="709"/>
      <c r="AR20" s="709"/>
      <c r="AS20" s="720">
        <v>969</v>
      </c>
      <c r="AT20" s="710">
        <v>1849</v>
      </c>
      <c r="AU20" s="710">
        <v>1776</v>
      </c>
      <c r="AV20" s="710">
        <v>73</v>
      </c>
      <c r="AW20" s="710">
        <v>1452</v>
      </c>
      <c r="AX20" s="712">
        <v>4302</v>
      </c>
      <c r="AY20" s="683">
        <v>-39059</v>
      </c>
      <c r="AZ20" s="713">
        <v>4477883</v>
      </c>
      <c r="BA20" s="714">
        <v>3443405</v>
      </c>
      <c r="BB20" s="715">
        <v>13695000</v>
      </c>
      <c r="BC20" s="715">
        <v>0</v>
      </c>
      <c r="BD20" s="716">
        <v>3443406</v>
      </c>
      <c r="BE20" s="420"/>
      <c r="BF20" s="717" t="s">
        <v>703</v>
      </c>
      <c r="BG20" s="118" t="b">
        <v>1</v>
      </c>
      <c r="BH20" s="494"/>
      <c r="BI20" s="420"/>
      <c r="BJ20" s="420"/>
      <c r="BK20" s="420"/>
      <c r="BL20" s="420"/>
      <c r="BM20" s="420"/>
      <c r="BN20" s="420"/>
      <c r="BO20" s="420"/>
      <c r="BP20" s="420"/>
      <c r="BQ20" s="420"/>
      <c r="BR20" s="420"/>
      <c r="BS20" s="420"/>
      <c r="BT20" s="420"/>
      <c r="BU20" s="420"/>
      <c r="BV20" s="420"/>
      <c r="BW20" s="420"/>
      <c r="BX20" s="420"/>
      <c r="BY20" s="420"/>
      <c r="BZ20" s="420"/>
      <c r="CA20" s="420"/>
      <c r="CB20" s="420"/>
      <c r="CC20" s="420"/>
      <c r="CD20" s="420"/>
      <c r="CE20" s="420"/>
      <c r="CF20" s="420"/>
      <c r="CG20" s="420"/>
      <c r="CH20" s="420"/>
      <c r="CI20" s="420"/>
      <c r="CJ20" s="420"/>
      <c r="CK20" s="420"/>
      <c r="CL20" s="420"/>
      <c r="CM20" s="420"/>
      <c r="CN20" s="420"/>
      <c r="CO20" s="420"/>
      <c r="CP20" s="420"/>
      <c r="CQ20" s="420"/>
      <c r="CR20" s="420"/>
    </row>
    <row r="21" spans="1:97" s="118" customFormat="1" ht="12.75" x14ac:dyDescent="0.2">
      <c r="A21" s="705">
        <v>15</v>
      </c>
      <c r="B21" s="718" t="s">
        <v>918</v>
      </c>
      <c r="C21" s="719" t="s">
        <v>705</v>
      </c>
      <c r="D21" s="708">
        <v>268778</v>
      </c>
      <c r="E21" s="708">
        <v>185429000</v>
      </c>
      <c r="F21" s="133">
        <v>90498334</v>
      </c>
      <c r="G21" s="133">
        <v>-6755382</v>
      </c>
      <c r="H21" s="133">
        <v>1691032</v>
      </c>
      <c r="I21" s="133">
        <v>-5064350</v>
      </c>
      <c r="J21" s="133">
        <v>-9537421</v>
      </c>
      <c r="K21" s="133">
        <v>-167668</v>
      </c>
      <c r="L21" s="133">
        <v>-19896</v>
      </c>
      <c r="M21" s="133">
        <v>0</v>
      </c>
      <c r="N21" s="133">
        <v>-3204411</v>
      </c>
      <c r="O21" s="133">
        <v>-95370</v>
      </c>
      <c r="P21" s="133">
        <v>-33515</v>
      </c>
      <c r="Q21" s="133">
        <v>-22221</v>
      </c>
      <c r="R21" s="133">
        <v>0</v>
      </c>
      <c r="S21" s="133">
        <v>-32116</v>
      </c>
      <c r="T21" s="133">
        <v>-146702</v>
      </c>
      <c r="U21" s="133">
        <v>-146702</v>
      </c>
      <c r="V21" s="133">
        <v>0</v>
      </c>
      <c r="W21" s="709"/>
      <c r="X21" s="709"/>
      <c r="Y21" s="709"/>
      <c r="Z21" s="133">
        <v>-19896</v>
      </c>
      <c r="AA21" s="133">
        <v>0</v>
      </c>
      <c r="AB21" s="133">
        <v>70144851</v>
      </c>
      <c r="AC21" s="133">
        <v>-3124420</v>
      </c>
      <c r="AD21" s="709"/>
      <c r="AE21" s="710">
        <v>408</v>
      </c>
      <c r="AF21" s="711">
        <v>41</v>
      </c>
      <c r="AG21" s="710">
        <v>12</v>
      </c>
      <c r="AH21" s="710">
        <v>0</v>
      </c>
      <c r="AI21" s="710">
        <v>576</v>
      </c>
      <c r="AJ21" s="710">
        <v>59</v>
      </c>
      <c r="AK21" s="710">
        <v>18</v>
      </c>
      <c r="AL21" s="710">
        <v>27</v>
      </c>
      <c r="AM21" s="710">
        <v>0</v>
      </c>
      <c r="AN21" s="710">
        <v>36</v>
      </c>
      <c r="AO21" s="710">
        <v>2</v>
      </c>
      <c r="AP21" s="711">
        <v>0</v>
      </c>
      <c r="AQ21" s="709"/>
      <c r="AR21" s="709"/>
      <c r="AS21" s="720">
        <v>1641</v>
      </c>
      <c r="AT21" s="710">
        <v>2453</v>
      </c>
      <c r="AU21" s="710">
        <v>2292</v>
      </c>
      <c r="AV21" s="710">
        <v>161</v>
      </c>
      <c r="AW21" s="710">
        <v>2531</v>
      </c>
      <c r="AX21" s="712">
        <v>6619</v>
      </c>
      <c r="AY21" s="683">
        <v>-25813</v>
      </c>
      <c r="AZ21" s="713">
        <v>-291512</v>
      </c>
      <c r="BA21" s="714">
        <v>808947</v>
      </c>
      <c r="BB21" s="715">
        <v>26406500</v>
      </c>
      <c r="BC21" s="715">
        <v>1149000</v>
      </c>
      <c r="BD21" s="716">
        <v>808947</v>
      </c>
      <c r="BE21" s="420"/>
      <c r="BF21" s="717" t="s">
        <v>705</v>
      </c>
      <c r="BG21" s="118" t="b">
        <v>1</v>
      </c>
      <c r="BH21" s="494"/>
      <c r="BI21" s="420"/>
      <c r="BJ21" s="420"/>
      <c r="BK21" s="420"/>
      <c r="BL21" s="420"/>
      <c r="BM21" s="420"/>
      <c r="BN21" s="420"/>
      <c r="BO21" s="420"/>
      <c r="BP21" s="420"/>
      <c r="BQ21" s="420"/>
      <c r="BR21" s="420"/>
      <c r="BS21" s="420"/>
      <c r="BT21" s="420"/>
      <c r="BU21" s="420"/>
      <c r="BV21" s="420"/>
      <c r="BW21" s="420"/>
      <c r="BX21" s="420"/>
      <c r="BY21" s="420"/>
      <c r="BZ21" s="420"/>
      <c r="CA21" s="420"/>
      <c r="CB21" s="420"/>
      <c r="CC21" s="420"/>
      <c r="CD21" s="420"/>
      <c r="CE21" s="420"/>
      <c r="CF21" s="420"/>
      <c r="CG21" s="420"/>
      <c r="CH21" s="420"/>
      <c r="CI21" s="420"/>
      <c r="CJ21" s="420"/>
      <c r="CK21" s="420"/>
      <c r="CL21" s="420"/>
      <c r="CM21" s="420"/>
      <c r="CN21" s="420"/>
      <c r="CO21" s="420"/>
      <c r="CP21" s="420"/>
      <c r="CQ21" s="420"/>
      <c r="CR21" s="420"/>
    </row>
    <row r="22" spans="1:97" s="118" customFormat="1" ht="12.75" x14ac:dyDescent="0.2">
      <c r="A22" s="705">
        <v>16</v>
      </c>
      <c r="B22" s="718" t="s">
        <v>706</v>
      </c>
      <c r="C22" s="719" t="s">
        <v>707</v>
      </c>
      <c r="D22" s="708">
        <v>230177</v>
      </c>
      <c r="E22" s="708">
        <v>164005000</v>
      </c>
      <c r="F22" s="133">
        <v>81203799</v>
      </c>
      <c r="G22" s="133">
        <v>-5617325</v>
      </c>
      <c r="H22" s="133">
        <v>1574961</v>
      </c>
      <c r="I22" s="133">
        <v>-4042364</v>
      </c>
      <c r="J22" s="133">
        <v>-6543223</v>
      </c>
      <c r="K22" s="133">
        <v>-154446</v>
      </c>
      <c r="L22" s="133">
        <v>-38242</v>
      </c>
      <c r="M22" s="133">
        <v>0</v>
      </c>
      <c r="N22" s="133">
        <v>-1495000</v>
      </c>
      <c r="O22" s="133">
        <v>-94640</v>
      </c>
      <c r="P22" s="133">
        <v>0</v>
      </c>
      <c r="Q22" s="133">
        <v>-691</v>
      </c>
      <c r="R22" s="133">
        <v>0</v>
      </c>
      <c r="S22" s="133">
        <v>-2087</v>
      </c>
      <c r="T22" s="133">
        <v>0</v>
      </c>
      <c r="U22" s="133">
        <v>0</v>
      </c>
      <c r="V22" s="133">
        <v>0</v>
      </c>
      <c r="W22" s="709"/>
      <c r="X22" s="709"/>
      <c r="Y22" s="709"/>
      <c r="Z22" s="133">
        <v>-31816</v>
      </c>
      <c r="AA22" s="133">
        <v>0</v>
      </c>
      <c r="AB22" s="133">
        <v>70474189</v>
      </c>
      <c r="AC22" s="133">
        <v>-3203064</v>
      </c>
      <c r="AD22" s="709"/>
      <c r="AE22" s="710">
        <v>370</v>
      </c>
      <c r="AF22" s="711">
        <v>18</v>
      </c>
      <c r="AG22" s="710">
        <v>26</v>
      </c>
      <c r="AH22" s="710">
        <v>0</v>
      </c>
      <c r="AI22" s="710">
        <v>542</v>
      </c>
      <c r="AJ22" s="710">
        <v>141</v>
      </c>
      <c r="AK22" s="710">
        <v>0</v>
      </c>
      <c r="AL22" s="710">
        <v>3</v>
      </c>
      <c r="AM22" s="710">
        <v>25</v>
      </c>
      <c r="AN22" s="710">
        <v>1</v>
      </c>
      <c r="AO22" s="710">
        <v>0</v>
      </c>
      <c r="AP22" s="711">
        <v>0</v>
      </c>
      <c r="AQ22" s="709"/>
      <c r="AR22" s="709"/>
      <c r="AS22" s="720">
        <v>1447</v>
      </c>
      <c r="AT22" s="710">
        <v>2078</v>
      </c>
      <c r="AU22" s="710">
        <v>1958</v>
      </c>
      <c r="AV22" s="710">
        <v>120</v>
      </c>
      <c r="AW22" s="710">
        <v>2038</v>
      </c>
      <c r="AX22" s="712">
        <v>5608</v>
      </c>
      <c r="AY22" s="683">
        <v>-15052</v>
      </c>
      <c r="AZ22" s="713">
        <v>-922925</v>
      </c>
      <c r="BA22" s="714">
        <v>-1168610</v>
      </c>
      <c r="BB22" s="715">
        <v>19919450</v>
      </c>
      <c r="BC22" s="715">
        <v>0</v>
      </c>
      <c r="BD22" s="716">
        <v>-1168609.83</v>
      </c>
      <c r="BE22" s="420"/>
      <c r="BF22" s="717" t="s">
        <v>707</v>
      </c>
      <c r="BG22" s="118" t="b">
        <v>1</v>
      </c>
      <c r="BH22" s="494"/>
      <c r="BI22" s="420"/>
      <c r="BJ22" s="420"/>
      <c r="BK22" s="420"/>
      <c r="BL22" s="420"/>
      <c r="BM22" s="420"/>
      <c r="BN22" s="420"/>
      <c r="BO22" s="420"/>
      <c r="BP22" s="420"/>
      <c r="BQ22" s="420"/>
      <c r="BR22" s="420"/>
      <c r="BS22" s="420"/>
      <c r="BT22" s="420"/>
      <c r="BU22" s="420"/>
      <c r="BV22" s="420"/>
      <c r="BW22" s="420"/>
      <c r="BX22" s="420"/>
      <c r="BY22" s="420"/>
      <c r="BZ22" s="420"/>
      <c r="CA22" s="420"/>
      <c r="CB22" s="420"/>
      <c r="CC22" s="420"/>
      <c r="CD22" s="420"/>
      <c r="CE22" s="420"/>
      <c r="CF22" s="420"/>
      <c r="CG22" s="420"/>
      <c r="CH22" s="420"/>
      <c r="CI22" s="420"/>
      <c r="CJ22" s="420"/>
      <c r="CK22" s="420"/>
      <c r="CL22" s="420"/>
      <c r="CM22" s="420"/>
      <c r="CN22" s="420"/>
      <c r="CO22" s="420"/>
      <c r="CP22" s="420"/>
      <c r="CQ22" s="420"/>
      <c r="CR22" s="420"/>
    </row>
    <row r="23" spans="1:97" s="118" customFormat="1" ht="12.75" x14ac:dyDescent="0.2">
      <c r="A23" s="705">
        <v>17</v>
      </c>
      <c r="B23" s="718" t="s">
        <v>708</v>
      </c>
      <c r="C23" s="719" t="s">
        <v>709</v>
      </c>
      <c r="D23" s="708">
        <v>245296</v>
      </c>
      <c r="E23" s="708">
        <v>192714000</v>
      </c>
      <c r="F23" s="133">
        <v>92796837</v>
      </c>
      <c r="G23" s="133">
        <v>-6626247</v>
      </c>
      <c r="H23" s="133">
        <v>1825963</v>
      </c>
      <c r="I23" s="133">
        <v>-4800284</v>
      </c>
      <c r="J23" s="133">
        <v>-8256465</v>
      </c>
      <c r="K23" s="133">
        <v>-106922</v>
      </c>
      <c r="L23" s="133">
        <v>0</v>
      </c>
      <c r="M23" s="133">
        <v>-10603</v>
      </c>
      <c r="N23" s="133">
        <v>-1362459</v>
      </c>
      <c r="O23" s="133">
        <v>0</v>
      </c>
      <c r="P23" s="133">
        <v>0</v>
      </c>
      <c r="Q23" s="133">
        <v>0</v>
      </c>
      <c r="R23" s="133">
        <v>0</v>
      </c>
      <c r="S23" s="133">
        <v>0</v>
      </c>
      <c r="T23" s="133">
        <v>0</v>
      </c>
      <c r="U23" s="133">
        <v>0</v>
      </c>
      <c r="V23" s="133">
        <v>0</v>
      </c>
      <c r="W23" s="709"/>
      <c r="X23" s="709"/>
      <c r="Y23" s="709"/>
      <c r="Z23" s="133">
        <v>0</v>
      </c>
      <c r="AA23" s="133">
        <v>0</v>
      </c>
      <c r="AB23" s="133">
        <v>76772461</v>
      </c>
      <c r="AC23" s="133">
        <v>-3838623</v>
      </c>
      <c r="AD23" s="709"/>
      <c r="AE23" s="710">
        <v>269</v>
      </c>
      <c r="AF23" s="711">
        <v>13</v>
      </c>
      <c r="AG23" s="710">
        <v>0</v>
      </c>
      <c r="AH23" s="710">
        <v>2</v>
      </c>
      <c r="AI23" s="710">
        <v>324</v>
      </c>
      <c r="AJ23" s="710">
        <v>0</v>
      </c>
      <c r="AK23" s="710">
        <v>0</v>
      </c>
      <c r="AL23" s="710">
        <v>0</v>
      </c>
      <c r="AM23" s="710">
        <v>0</v>
      </c>
      <c r="AN23" s="710">
        <v>0</v>
      </c>
      <c r="AO23" s="710">
        <v>0</v>
      </c>
      <c r="AP23" s="711">
        <v>0</v>
      </c>
      <c r="AQ23" s="709"/>
      <c r="AR23" s="709"/>
      <c r="AS23" s="720">
        <v>1109</v>
      </c>
      <c r="AT23" s="710">
        <v>2107</v>
      </c>
      <c r="AU23" s="710">
        <v>1950</v>
      </c>
      <c r="AV23" s="710">
        <v>157</v>
      </c>
      <c r="AW23" s="710">
        <v>2310</v>
      </c>
      <c r="AX23" s="712">
        <v>5552</v>
      </c>
      <c r="AY23" s="683">
        <v>-34087</v>
      </c>
      <c r="AZ23" s="713">
        <v>3996249</v>
      </c>
      <c r="BA23" s="714">
        <v>6529228</v>
      </c>
      <c r="BB23" s="715">
        <v>17651000</v>
      </c>
      <c r="BC23" s="715">
        <v>0</v>
      </c>
      <c r="BD23" s="716">
        <v>6529228.6999999974</v>
      </c>
      <c r="BE23" s="420"/>
      <c r="BF23" s="717" t="s">
        <v>709</v>
      </c>
      <c r="BG23" s="118" t="b">
        <v>1</v>
      </c>
      <c r="BH23" s="494"/>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420"/>
      <c r="CM23" s="420"/>
      <c r="CN23" s="420"/>
      <c r="CO23" s="420"/>
      <c r="CP23" s="420"/>
      <c r="CQ23" s="420"/>
      <c r="CR23" s="420"/>
    </row>
    <row r="24" spans="1:97" s="118" customFormat="1" ht="12.75" x14ac:dyDescent="0.2">
      <c r="A24" s="705">
        <v>18</v>
      </c>
      <c r="B24" s="718" t="s">
        <v>710</v>
      </c>
      <c r="C24" s="719" t="s">
        <v>711</v>
      </c>
      <c r="D24" s="708">
        <v>1822825</v>
      </c>
      <c r="E24" s="708">
        <v>1131125000</v>
      </c>
      <c r="F24" s="133">
        <v>574371438</v>
      </c>
      <c r="G24" s="133">
        <v>-38420852</v>
      </c>
      <c r="H24" s="133">
        <v>11583819</v>
      </c>
      <c r="I24" s="133">
        <v>-26837033</v>
      </c>
      <c r="J24" s="133">
        <v>-41933055</v>
      </c>
      <c r="K24" s="133">
        <v>-130000</v>
      </c>
      <c r="L24" s="133">
        <v>0</v>
      </c>
      <c r="M24" s="133">
        <v>-517948</v>
      </c>
      <c r="N24" s="133">
        <v>-23008064</v>
      </c>
      <c r="O24" s="133">
        <v>-50000</v>
      </c>
      <c r="P24" s="133">
        <v>-867090</v>
      </c>
      <c r="Q24" s="133">
        <v>0</v>
      </c>
      <c r="R24" s="133">
        <v>0</v>
      </c>
      <c r="S24" s="133">
        <v>0</v>
      </c>
      <c r="T24" s="133">
        <v>-858385</v>
      </c>
      <c r="U24" s="133">
        <v>-858385</v>
      </c>
      <c r="V24" s="133">
        <v>0</v>
      </c>
      <c r="W24" s="709"/>
      <c r="X24" s="709"/>
      <c r="Y24" s="709"/>
      <c r="Z24" s="133">
        <v>0</v>
      </c>
      <c r="AA24" s="133">
        <v>0</v>
      </c>
      <c r="AB24" s="133">
        <v>477451957</v>
      </c>
      <c r="AC24" s="133">
        <v>-18548111</v>
      </c>
      <c r="AD24" s="709"/>
      <c r="AE24" s="710">
        <v>1908</v>
      </c>
      <c r="AF24" s="711">
        <v>17</v>
      </c>
      <c r="AG24" s="710">
        <v>0</v>
      </c>
      <c r="AH24" s="710">
        <v>11</v>
      </c>
      <c r="AI24" s="710">
        <v>8378</v>
      </c>
      <c r="AJ24" s="710">
        <v>20</v>
      </c>
      <c r="AK24" s="710">
        <v>28</v>
      </c>
      <c r="AL24" s="710">
        <v>0</v>
      </c>
      <c r="AM24" s="710">
        <v>0</v>
      </c>
      <c r="AN24" s="710">
        <v>0</v>
      </c>
      <c r="AO24" s="710">
        <v>35</v>
      </c>
      <c r="AP24" s="711">
        <v>0</v>
      </c>
      <c r="AQ24" s="709"/>
      <c r="AR24" s="709"/>
      <c r="AS24" s="720">
        <v>15503</v>
      </c>
      <c r="AT24" s="710">
        <v>14282</v>
      </c>
      <c r="AU24" s="710">
        <v>13444</v>
      </c>
      <c r="AV24" s="710">
        <v>838</v>
      </c>
      <c r="AW24" s="710">
        <v>17518</v>
      </c>
      <c r="AX24" s="712">
        <v>47445</v>
      </c>
      <c r="AY24" s="683">
        <v>-521119</v>
      </c>
      <c r="AZ24" s="713">
        <v>12808383</v>
      </c>
      <c r="BA24" s="714">
        <v>7546221</v>
      </c>
      <c r="BB24" s="715">
        <v>128172300</v>
      </c>
      <c r="BC24" s="715">
        <v>3725500</v>
      </c>
      <c r="BD24" s="716">
        <v>7546221</v>
      </c>
      <c r="BE24" s="420"/>
      <c r="BF24" s="717" t="s">
        <v>711</v>
      </c>
      <c r="BG24" s="118" t="b">
        <v>1</v>
      </c>
      <c r="BH24" s="494"/>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row>
    <row r="25" spans="1:97" s="118" customFormat="1" ht="12.75" x14ac:dyDescent="0.2">
      <c r="A25" s="705">
        <v>19</v>
      </c>
      <c r="B25" s="718" t="s">
        <v>712</v>
      </c>
      <c r="C25" s="719" t="s">
        <v>713</v>
      </c>
      <c r="D25" s="708">
        <v>103266</v>
      </c>
      <c r="E25" s="708">
        <v>106877000</v>
      </c>
      <c r="F25" s="133">
        <v>52850450</v>
      </c>
      <c r="G25" s="133">
        <v>-2246927</v>
      </c>
      <c r="H25" s="133">
        <v>1145067</v>
      </c>
      <c r="I25" s="133">
        <v>-1101860</v>
      </c>
      <c r="J25" s="133">
        <v>-1116688</v>
      </c>
      <c r="K25" s="133">
        <v>-47124</v>
      </c>
      <c r="L25" s="133">
        <v>0</v>
      </c>
      <c r="M25" s="133">
        <v>0</v>
      </c>
      <c r="N25" s="133">
        <v>-750000</v>
      </c>
      <c r="O25" s="133">
        <v>-57604</v>
      </c>
      <c r="P25" s="133">
        <v>-4222</v>
      </c>
      <c r="Q25" s="133">
        <v>-5002</v>
      </c>
      <c r="R25" s="133">
        <v>0</v>
      </c>
      <c r="S25" s="133">
        <v>0</v>
      </c>
      <c r="T25" s="133">
        <v>0</v>
      </c>
      <c r="U25" s="133">
        <v>0</v>
      </c>
      <c r="V25" s="133">
        <v>0</v>
      </c>
      <c r="W25" s="709"/>
      <c r="X25" s="709"/>
      <c r="Y25" s="709"/>
      <c r="Z25" s="133">
        <v>0</v>
      </c>
      <c r="AA25" s="133">
        <v>0</v>
      </c>
      <c r="AB25" s="133">
        <v>49397854</v>
      </c>
      <c r="AC25" s="133">
        <v>-1490000</v>
      </c>
      <c r="AD25" s="709"/>
      <c r="AE25" s="710">
        <v>89</v>
      </c>
      <c r="AF25" s="711">
        <v>13</v>
      </c>
      <c r="AG25" s="710">
        <v>0</v>
      </c>
      <c r="AH25" s="710">
        <v>0</v>
      </c>
      <c r="AI25" s="710">
        <v>128</v>
      </c>
      <c r="AJ25" s="710">
        <v>25</v>
      </c>
      <c r="AK25" s="710">
        <v>3</v>
      </c>
      <c r="AL25" s="710">
        <v>8</v>
      </c>
      <c r="AM25" s="710">
        <v>0</v>
      </c>
      <c r="AN25" s="710">
        <v>0</v>
      </c>
      <c r="AO25" s="710">
        <v>0</v>
      </c>
      <c r="AP25" s="711">
        <v>0</v>
      </c>
      <c r="AQ25" s="709"/>
      <c r="AR25" s="709"/>
      <c r="AS25" s="720">
        <v>631</v>
      </c>
      <c r="AT25" s="710">
        <v>892</v>
      </c>
      <c r="AU25" s="710">
        <v>845</v>
      </c>
      <c r="AV25" s="710">
        <v>47</v>
      </c>
      <c r="AW25" s="710">
        <v>807</v>
      </c>
      <c r="AX25" s="712">
        <v>2333</v>
      </c>
      <c r="AY25" s="683">
        <v>-15963</v>
      </c>
      <c r="AZ25" s="713">
        <v>-881657</v>
      </c>
      <c r="BA25" s="714">
        <v>-540042</v>
      </c>
      <c r="BB25" s="715">
        <v>9942650</v>
      </c>
      <c r="BC25" s="715">
        <v>0</v>
      </c>
      <c r="BD25" s="716">
        <v>-540040</v>
      </c>
      <c r="BE25" s="420"/>
      <c r="BF25" s="717" t="s">
        <v>713</v>
      </c>
      <c r="BG25" s="118" t="b">
        <v>1</v>
      </c>
      <c r="BH25" s="494"/>
      <c r="BI25" s="420"/>
      <c r="BJ25" s="420"/>
      <c r="BK25" s="420"/>
      <c r="BL25" s="420"/>
      <c r="BM25" s="420"/>
      <c r="BN25" s="420"/>
      <c r="BO25" s="420"/>
      <c r="BP25" s="420"/>
      <c r="BQ25" s="420"/>
      <c r="BR25" s="420"/>
      <c r="BS25" s="420"/>
      <c r="BT25" s="420"/>
      <c r="BU25" s="420"/>
      <c r="BV25" s="420"/>
      <c r="BW25" s="420"/>
      <c r="BX25" s="420"/>
      <c r="BY25" s="420"/>
      <c r="BZ25" s="420"/>
      <c r="CA25" s="420"/>
      <c r="CB25" s="420"/>
      <c r="CC25" s="420"/>
      <c r="CD25" s="420"/>
      <c r="CE25" s="420"/>
      <c r="CF25" s="420"/>
      <c r="CG25" s="420"/>
      <c r="CH25" s="420"/>
      <c r="CI25" s="420"/>
      <c r="CJ25" s="420"/>
      <c r="CK25" s="420"/>
      <c r="CL25" s="420"/>
      <c r="CM25" s="420"/>
      <c r="CN25" s="420"/>
      <c r="CO25" s="420"/>
      <c r="CP25" s="420"/>
      <c r="CQ25" s="420"/>
      <c r="CR25" s="420"/>
    </row>
    <row r="26" spans="1:97" s="118" customFormat="1" ht="12.75" x14ac:dyDescent="0.2">
      <c r="A26" s="705">
        <v>20</v>
      </c>
      <c r="B26" s="718" t="s">
        <v>587</v>
      </c>
      <c r="C26" s="719" t="s">
        <v>715</v>
      </c>
      <c r="D26" s="708">
        <v>246883</v>
      </c>
      <c r="E26" s="708">
        <v>120430000</v>
      </c>
      <c r="F26" s="133">
        <v>59890612</v>
      </c>
      <c r="G26" s="133">
        <v>-7500000</v>
      </c>
      <c r="H26" s="133">
        <v>1050000</v>
      </c>
      <c r="I26" s="133">
        <v>-6450000</v>
      </c>
      <c r="J26" s="133">
        <v>-4800000</v>
      </c>
      <c r="K26" s="133">
        <v>-78000</v>
      </c>
      <c r="L26" s="133">
        <v>-3000</v>
      </c>
      <c r="M26" s="133">
        <v>-300000</v>
      </c>
      <c r="N26" s="133">
        <v>-2500000</v>
      </c>
      <c r="O26" s="133">
        <v>-28000</v>
      </c>
      <c r="P26" s="133">
        <v>0</v>
      </c>
      <c r="Q26" s="133">
        <v>-2000</v>
      </c>
      <c r="R26" s="133">
        <v>0</v>
      </c>
      <c r="S26" s="133">
        <v>0</v>
      </c>
      <c r="T26" s="133">
        <v>-60000</v>
      </c>
      <c r="U26" s="133">
        <v>0</v>
      </c>
      <c r="V26" s="133">
        <v>0</v>
      </c>
      <c r="W26" s="709"/>
      <c r="X26" s="709"/>
      <c r="Y26" s="709"/>
      <c r="Z26" s="133">
        <v>-3000</v>
      </c>
      <c r="AA26" s="133">
        <v>0</v>
      </c>
      <c r="AB26" s="133">
        <v>46411612</v>
      </c>
      <c r="AC26" s="133">
        <v>-1500000</v>
      </c>
      <c r="AD26" s="709"/>
      <c r="AE26" s="710">
        <v>259</v>
      </c>
      <c r="AF26" s="711">
        <v>8</v>
      </c>
      <c r="AG26" s="710">
        <v>2</v>
      </c>
      <c r="AH26" s="710">
        <v>0</v>
      </c>
      <c r="AI26" s="710">
        <v>840</v>
      </c>
      <c r="AJ26" s="710">
        <v>34</v>
      </c>
      <c r="AK26" s="710">
        <v>0</v>
      </c>
      <c r="AL26" s="710">
        <v>0</v>
      </c>
      <c r="AM26" s="710">
        <v>2</v>
      </c>
      <c r="AN26" s="710">
        <v>0</v>
      </c>
      <c r="AO26" s="710">
        <v>0</v>
      </c>
      <c r="AP26" s="711">
        <v>0</v>
      </c>
      <c r="AQ26" s="709"/>
      <c r="AR26" s="709"/>
      <c r="AS26" s="720">
        <v>1730</v>
      </c>
      <c r="AT26" s="710">
        <v>3492</v>
      </c>
      <c r="AU26" s="710">
        <v>3364</v>
      </c>
      <c r="AV26" s="710">
        <v>128</v>
      </c>
      <c r="AW26" s="710">
        <v>1567</v>
      </c>
      <c r="AX26" s="712">
        <v>6844</v>
      </c>
      <c r="AY26" s="683">
        <v>-20000</v>
      </c>
      <c r="AZ26" s="713">
        <v>1619400</v>
      </c>
      <c r="BA26" s="714">
        <v>2962494</v>
      </c>
      <c r="BB26" s="715">
        <v>5147500</v>
      </c>
      <c r="BC26" s="715">
        <v>0</v>
      </c>
      <c r="BD26" s="716">
        <v>2962493</v>
      </c>
      <c r="BE26" s="420"/>
      <c r="BF26" s="717" t="s">
        <v>715</v>
      </c>
      <c r="BG26" s="118" t="b">
        <v>1</v>
      </c>
      <c r="BH26" s="494"/>
      <c r="BI26" s="420"/>
      <c r="BJ26" s="420"/>
      <c r="BK26" s="420"/>
      <c r="BL26" s="420"/>
      <c r="BM26" s="420"/>
      <c r="BN26" s="420"/>
      <c r="BO26" s="420"/>
      <c r="BP26" s="420"/>
      <c r="BQ26" s="420"/>
      <c r="BR26" s="420"/>
      <c r="BS26" s="420"/>
      <c r="BT26" s="420"/>
      <c r="BU26" s="420"/>
      <c r="BV26" s="420"/>
      <c r="BW26" s="420"/>
      <c r="BX26" s="420"/>
      <c r="BY26" s="420"/>
      <c r="BZ26" s="420"/>
      <c r="CA26" s="420"/>
      <c r="CB26" s="420"/>
      <c r="CC26" s="420"/>
      <c r="CD26" s="420"/>
      <c r="CE26" s="420"/>
      <c r="CF26" s="420"/>
      <c r="CG26" s="420"/>
      <c r="CH26" s="420"/>
      <c r="CI26" s="420"/>
      <c r="CJ26" s="420"/>
      <c r="CK26" s="420"/>
      <c r="CL26" s="420"/>
      <c r="CM26" s="420"/>
      <c r="CN26" s="420"/>
      <c r="CO26" s="420"/>
      <c r="CP26" s="420"/>
      <c r="CQ26" s="420"/>
      <c r="CR26" s="420"/>
    </row>
    <row r="27" spans="1:97" s="118" customFormat="1" ht="12.75" x14ac:dyDescent="0.2">
      <c r="A27" s="705">
        <v>21</v>
      </c>
      <c r="B27" s="718" t="s">
        <v>589</v>
      </c>
      <c r="C27" s="719" t="s">
        <v>717</v>
      </c>
      <c r="D27" s="708">
        <v>248229</v>
      </c>
      <c r="E27" s="708">
        <v>128247000</v>
      </c>
      <c r="F27" s="133">
        <v>60789429</v>
      </c>
      <c r="G27" s="133">
        <v>-9418700</v>
      </c>
      <c r="H27" s="133">
        <v>1087615</v>
      </c>
      <c r="I27" s="133">
        <v>-8331085</v>
      </c>
      <c r="J27" s="133">
        <v>-2936168</v>
      </c>
      <c r="K27" s="133">
        <v>0</v>
      </c>
      <c r="L27" s="133">
        <v>0</v>
      </c>
      <c r="M27" s="133">
        <v>-10000</v>
      </c>
      <c r="N27" s="133">
        <v>-1778642</v>
      </c>
      <c r="O27" s="133">
        <v>-4259</v>
      </c>
      <c r="P27" s="133">
        <v>-24624</v>
      </c>
      <c r="Q27" s="133">
        <v>0</v>
      </c>
      <c r="R27" s="133">
        <v>0</v>
      </c>
      <c r="S27" s="133">
        <v>0</v>
      </c>
      <c r="T27" s="133">
        <v>-251514</v>
      </c>
      <c r="U27" s="133">
        <v>-251514</v>
      </c>
      <c r="V27" s="133">
        <v>0</v>
      </c>
      <c r="W27" s="709"/>
      <c r="X27" s="709"/>
      <c r="Y27" s="709"/>
      <c r="Z27" s="133">
        <v>0</v>
      </c>
      <c r="AA27" s="133">
        <v>0</v>
      </c>
      <c r="AB27" s="133">
        <v>44640250</v>
      </c>
      <c r="AC27" s="133">
        <v>-3000000</v>
      </c>
      <c r="AD27" s="709"/>
      <c r="AE27" s="710">
        <v>154</v>
      </c>
      <c r="AF27" s="711">
        <v>0</v>
      </c>
      <c r="AG27" s="710">
        <v>0</v>
      </c>
      <c r="AH27" s="710">
        <v>0</v>
      </c>
      <c r="AI27" s="710">
        <v>1000</v>
      </c>
      <c r="AJ27" s="710">
        <v>1</v>
      </c>
      <c r="AK27" s="710">
        <v>6</v>
      </c>
      <c r="AL27" s="710">
        <v>0</v>
      </c>
      <c r="AM27" s="710">
        <v>0</v>
      </c>
      <c r="AN27" s="710">
        <v>0</v>
      </c>
      <c r="AO27" s="710">
        <v>30</v>
      </c>
      <c r="AP27" s="711">
        <v>0</v>
      </c>
      <c r="AQ27" s="709"/>
      <c r="AR27" s="709"/>
      <c r="AS27" s="720">
        <v>1501</v>
      </c>
      <c r="AT27" s="710">
        <v>3578</v>
      </c>
      <c r="AU27" s="710">
        <v>3434</v>
      </c>
      <c r="AV27" s="710">
        <v>144</v>
      </c>
      <c r="AW27" s="710">
        <v>1678</v>
      </c>
      <c r="AX27" s="712">
        <v>6814</v>
      </c>
      <c r="AY27" s="683">
        <v>-48389</v>
      </c>
      <c r="AZ27" s="713">
        <v>-3005434</v>
      </c>
      <c r="BA27" s="714">
        <v>-2310278</v>
      </c>
      <c r="BB27" s="715">
        <v>15048750</v>
      </c>
      <c r="BC27" s="715">
        <v>1026250</v>
      </c>
      <c r="BD27" s="716">
        <v>-2310278</v>
      </c>
      <c r="BE27" s="420"/>
      <c r="BF27" s="717" t="s">
        <v>717</v>
      </c>
      <c r="BG27" s="118" t="b">
        <v>1</v>
      </c>
      <c r="BH27" s="494"/>
      <c r="BI27" s="420"/>
      <c r="BJ27" s="420"/>
      <c r="BK27" s="420"/>
      <c r="BL27" s="420"/>
      <c r="BM27" s="420"/>
      <c r="BN27" s="420"/>
      <c r="BO27" s="420"/>
      <c r="BP27" s="420"/>
      <c r="BQ27" s="420"/>
      <c r="BR27" s="420"/>
      <c r="BS27" s="420"/>
      <c r="BT27" s="420"/>
      <c r="BU27" s="420"/>
      <c r="BV27" s="420"/>
      <c r="BW27" s="420"/>
      <c r="BX27" s="420"/>
      <c r="BY27" s="420"/>
      <c r="BZ27" s="420"/>
      <c r="CA27" s="420"/>
      <c r="CB27" s="420"/>
      <c r="CC27" s="420"/>
      <c r="CD27" s="420"/>
      <c r="CE27" s="420"/>
      <c r="CF27" s="420"/>
      <c r="CG27" s="420"/>
      <c r="CH27" s="420"/>
      <c r="CI27" s="420"/>
      <c r="CJ27" s="420"/>
      <c r="CK27" s="420"/>
      <c r="CL27" s="420"/>
      <c r="CM27" s="420"/>
      <c r="CN27" s="420"/>
      <c r="CO27" s="420"/>
      <c r="CP27" s="420"/>
      <c r="CQ27" s="420"/>
      <c r="CR27" s="420"/>
    </row>
    <row r="28" spans="1:97" s="118" customFormat="1" ht="12.75" x14ac:dyDescent="0.2">
      <c r="A28" s="705">
        <v>22</v>
      </c>
      <c r="B28" s="718" t="s">
        <v>718</v>
      </c>
      <c r="C28" s="719" t="s">
        <v>719</v>
      </c>
      <c r="D28" s="708">
        <v>94339</v>
      </c>
      <c r="E28" s="708">
        <v>65567000</v>
      </c>
      <c r="F28" s="133">
        <v>31307652</v>
      </c>
      <c r="G28" s="133">
        <v>-1969470</v>
      </c>
      <c r="H28" s="133">
        <v>638173</v>
      </c>
      <c r="I28" s="133">
        <v>-1331297</v>
      </c>
      <c r="J28" s="133">
        <v>-982831</v>
      </c>
      <c r="K28" s="133">
        <v>0</v>
      </c>
      <c r="L28" s="133">
        <v>-9163</v>
      </c>
      <c r="M28" s="133">
        <v>0</v>
      </c>
      <c r="N28" s="133">
        <v>-374002</v>
      </c>
      <c r="O28" s="133">
        <v>0</v>
      </c>
      <c r="P28" s="133">
        <v>-24325</v>
      </c>
      <c r="Q28" s="133">
        <v>0</v>
      </c>
      <c r="R28" s="133">
        <v>0</v>
      </c>
      <c r="S28" s="133">
        <v>0</v>
      </c>
      <c r="T28" s="133">
        <v>0</v>
      </c>
      <c r="U28" s="133">
        <v>0</v>
      </c>
      <c r="V28" s="133">
        <v>0</v>
      </c>
      <c r="W28" s="709"/>
      <c r="X28" s="709"/>
      <c r="Y28" s="709"/>
      <c r="Z28" s="133">
        <v>-9163</v>
      </c>
      <c r="AA28" s="133">
        <v>0</v>
      </c>
      <c r="AB28" s="133">
        <v>28171078</v>
      </c>
      <c r="AC28" s="133">
        <v>-1002458</v>
      </c>
      <c r="AD28" s="709"/>
      <c r="AE28" s="710">
        <v>70</v>
      </c>
      <c r="AF28" s="711">
        <v>0</v>
      </c>
      <c r="AG28" s="710">
        <v>8</v>
      </c>
      <c r="AH28" s="710">
        <v>0</v>
      </c>
      <c r="AI28" s="710">
        <v>335</v>
      </c>
      <c r="AJ28" s="710">
        <v>0</v>
      </c>
      <c r="AK28" s="710">
        <v>11</v>
      </c>
      <c r="AL28" s="710">
        <v>0</v>
      </c>
      <c r="AM28" s="710">
        <v>0</v>
      </c>
      <c r="AN28" s="710">
        <v>0</v>
      </c>
      <c r="AO28" s="710">
        <v>0</v>
      </c>
      <c r="AP28" s="711">
        <v>0</v>
      </c>
      <c r="AQ28" s="709"/>
      <c r="AR28" s="709"/>
      <c r="AS28" s="720">
        <v>574</v>
      </c>
      <c r="AT28" s="710">
        <v>986</v>
      </c>
      <c r="AU28" s="710">
        <v>957</v>
      </c>
      <c r="AV28" s="710">
        <v>29</v>
      </c>
      <c r="AW28" s="710">
        <v>854</v>
      </c>
      <c r="AX28" s="712">
        <v>2428</v>
      </c>
      <c r="AY28" s="683">
        <v>-8321</v>
      </c>
      <c r="AZ28" s="713">
        <v>-1636519</v>
      </c>
      <c r="BA28" s="714">
        <v>-252198</v>
      </c>
      <c r="BB28" s="715">
        <v>7510500</v>
      </c>
      <c r="BC28" s="715">
        <v>0</v>
      </c>
      <c r="BD28" s="716">
        <v>-252198</v>
      </c>
      <c r="BE28" s="420"/>
      <c r="BF28" s="717" t="s">
        <v>719</v>
      </c>
      <c r="BG28" s="118" t="b">
        <v>1</v>
      </c>
      <c r="BH28" s="494"/>
      <c r="BI28" s="420"/>
      <c r="BJ28" s="420"/>
      <c r="BK28" s="420"/>
      <c r="BL28" s="420"/>
      <c r="BM28" s="420"/>
      <c r="BN28" s="420"/>
      <c r="BO28" s="420"/>
      <c r="BP28" s="420"/>
      <c r="BQ28" s="420"/>
      <c r="BR28" s="420"/>
      <c r="BS28" s="420"/>
      <c r="BT28" s="420"/>
      <c r="BU28" s="420"/>
      <c r="BV28" s="420"/>
      <c r="BW28" s="420"/>
      <c r="BX28" s="420"/>
      <c r="BY28" s="420"/>
      <c r="BZ28" s="420"/>
      <c r="CA28" s="420"/>
      <c r="CB28" s="420"/>
      <c r="CC28" s="420"/>
      <c r="CD28" s="420"/>
      <c r="CE28" s="420"/>
      <c r="CF28" s="420"/>
      <c r="CG28" s="420"/>
      <c r="CH28" s="420"/>
      <c r="CI28" s="420"/>
      <c r="CJ28" s="420"/>
      <c r="CK28" s="420"/>
      <c r="CL28" s="420"/>
      <c r="CM28" s="420"/>
      <c r="CN28" s="420"/>
      <c r="CO28" s="420"/>
      <c r="CP28" s="420"/>
      <c r="CQ28" s="420"/>
      <c r="CR28" s="420"/>
    </row>
    <row r="29" spans="1:97" s="118" customFormat="1" ht="12.75" x14ac:dyDescent="0.2">
      <c r="A29" s="705">
        <v>23</v>
      </c>
      <c r="B29" s="718" t="s">
        <v>720</v>
      </c>
      <c r="C29" s="719" t="s">
        <v>721</v>
      </c>
      <c r="D29" s="708">
        <v>398909</v>
      </c>
      <c r="E29" s="708">
        <v>233732000</v>
      </c>
      <c r="F29" s="133">
        <v>113244864</v>
      </c>
      <c r="G29" s="133">
        <v>-12000000</v>
      </c>
      <c r="H29" s="133">
        <v>2000000</v>
      </c>
      <c r="I29" s="133">
        <v>-10000000</v>
      </c>
      <c r="J29" s="133">
        <v>-7500000</v>
      </c>
      <c r="K29" s="133">
        <v>-100000</v>
      </c>
      <c r="L29" s="133">
        <v>0</v>
      </c>
      <c r="M29" s="133">
        <v>0</v>
      </c>
      <c r="N29" s="133">
        <v>-4530000</v>
      </c>
      <c r="O29" s="133">
        <v>-600000</v>
      </c>
      <c r="P29" s="133">
        <v>-310000</v>
      </c>
      <c r="Q29" s="133">
        <v>-5000</v>
      </c>
      <c r="R29" s="133">
        <v>0</v>
      </c>
      <c r="S29" s="133">
        <v>0</v>
      </c>
      <c r="T29" s="133">
        <v>0</v>
      </c>
      <c r="U29" s="133">
        <v>0</v>
      </c>
      <c r="V29" s="133">
        <v>0</v>
      </c>
      <c r="W29" s="709"/>
      <c r="X29" s="709"/>
      <c r="Y29" s="709"/>
      <c r="Z29" s="133">
        <v>0</v>
      </c>
      <c r="AA29" s="133">
        <v>-1500</v>
      </c>
      <c r="AB29" s="133">
        <v>89961893</v>
      </c>
      <c r="AC29" s="133">
        <v>-5322509</v>
      </c>
      <c r="AD29" s="709"/>
      <c r="AE29" s="710">
        <v>397</v>
      </c>
      <c r="AF29" s="711">
        <v>10</v>
      </c>
      <c r="AG29" s="710">
        <v>0</v>
      </c>
      <c r="AH29" s="710">
        <v>0</v>
      </c>
      <c r="AI29" s="710">
        <v>1384</v>
      </c>
      <c r="AJ29" s="710">
        <v>207</v>
      </c>
      <c r="AK29" s="710">
        <v>34</v>
      </c>
      <c r="AL29" s="710">
        <v>6</v>
      </c>
      <c r="AM29" s="710">
        <v>0</v>
      </c>
      <c r="AN29" s="710">
        <v>0</v>
      </c>
      <c r="AO29" s="710">
        <v>0</v>
      </c>
      <c r="AP29" s="711">
        <v>0</v>
      </c>
      <c r="AQ29" s="709"/>
      <c r="AR29" s="709"/>
      <c r="AS29" s="720">
        <v>2531</v>
      </c>
      <c r="AT29" s="710">
        <v>4572</v>
      </c>
      <c r="AU29" s="710">
        <v>4393</v>
      </c>
      <c r="AV29" s="710">
        <v>179</v>
      </c>
      <c r="AW29" s="710">
        <v>3272</v>
      </c>
      <c r="AX29" s="712">
        <v>10470</v>
      </c>
      <c r="AY29" s="683">
        <v>-40000</v>
      </c>
      <c r="AZ29" s="713">
        <v>2298612</v>
      </c>
      <c r="BA29" s="714">
        <v>1871023</v>
      </c>
      <c r="BB29" s="715">
        <v>29117500</v>
      </c>
      <c r="BC29" s="715">
        <v>0</v>
      </c>
      <c r="BD29" s="716">
        <v>1871023</v>
      </c>
      <c r="BE29" s="420"/>
      <c r="BF29" s="717" t="s">
        <v>721</v>
      </c>
      <c r="BG29" s="118" t="b">
        <v>1</v>
      </c>
      <c r="BH29" s="494"/>
      <c r="BI29" s="420"/>
      <c r="BJ29" s="420"/>
      <c r="BK29" s="420"/>
      <c r="BL29" s="420"/>
      <c r="BM29" s="420"/>
      <c r="BN29" s="420"/>
      <c r="BO29" s="420"/>
      <c r="BP29" s="420"/>
      <c r="BQ29" s="420"/>
      <c r="BR29" s="420"/>
      <c r="BS29" s="420"/>
      <c r="BT29" s="420"/>
      <c r="BU29" s="420"/>
      <c r="BV29" s="420"/>
      <c r="BW29" s="420"/>
      <c r="BX29" s="420"/>
      <c r="BY29" s="420"/>
      <c r="BZ29" s="420"/>
      <c r="CA29" s="420"/>
      <c r="CB29" s="420"/>
      <c r="CC29" s="420"/>
      <c r="CD29" s="420"/>
      <c r="CE29" s="420"/>
      <c r="CF29" s="420"/>
      <c r="CG29" s="420"/>
      <c r="CH29" s="420"/>
      <c r="CI29" s="420"/>
      <c r="CJ29" s="420"/>
      <c r="CK29" s="420"/>
      <c r="CL29" s="420"/>
      <c r="CM29" s="420"/>
      <c r="CN29" s="420"/>
      <c r="CO29" s="420"/>
      <c r="CP29" s="420"/>
      <c r="CQ29" s="420"/>
      <c r="CR29" s="420"/>
    </row>
    <row r="30" spans="1:97" s="118" customFormat="1" ht="12.75" x14ac:dyDescent="0.2">
      <c r="A30" s="705">
        <v>24</v>
      </c>
      <c r="B30" s="718" t="s">
        <v>722</v>
      </c>
      <c r="C30" s="719" t="s">
        <v>723</v>
      </c>
      <c r="D30" s="708">
        <v>92263</v>
      </c>
      <c r="E30" s="708">
        <v>54177000</v>
      </c>
      <c r="F30" s="133">
        <v>26385161</v>
      </c>
      <c r="G30" s="133">
        <v>-2568103</v>
      </c>
      <c r="H30" s="133">
        <v>475544</v>
      </c>
      <c r="I30" s="133">
        <v>-2092559</v>
      </c>
      <c r="J30" s="133">
        <v>-1747931</v>
      </c>
      <c r="K30" s="133">
        <v>-83396</v>
      </c>
      <c r="L30" s="133">
        <v>-17837</v>
      </c>
      <c r="M30" s="133">
        <v>0</v>
      </c>
      <c r="N30" s="133">
        <v>-766089</v>
      </c>
      <c r="O30" s="133">
        <v>-49189</v>
      </c>
      <c r="P30" s="133">
        <v>-13947</v>
      </c>
      <c r="Q30" s="133">
        <v>-15637</v>
      </c>
      <c r="R30" s="133">
        <v>0</v>
      </c>
      <c r="S30" s="133">
        <v>0</v>
      </c>
      <c r="T30" s="133">
        <v>0</v>
      </c>
      <c r="U30" s="133">
        <v>0</v>
      </c>
      <c r="V30" s="133">
        <v>0</v>
      </c>
      <c r="W30" s="709"/>
      <c r="X30" s="709"/>
      <c r="Y30" s="709"/>
      <c r="Z30" s="133">
        <v>-15971</v>
      </c>
      <c r="AA30" s="133">
        <v>-3000</v>
      </c>
      <c r="AB30" s="133">
        <v>20505615</v>
      </c>
      <c r="AC30" s="133">
        <v>-500000</v>
      </c>
      <c r="AD30" s="709"/>
      <c r="AE30" s="710">
        <v>162</v>
      </c>
      <c r="AF30" s="711">
        <v>12</v>
      </c>
      <c r="AG30" s="710">
        <v>14</v>
      </c>
      <c r="AH30" s="710">
        <v>0</v>
      </c>
      <c r="AI30" s="710">
        <v>204</v>
      </c>
      <c r="AJ30" s="710">
        <v>65</v>
      </c>
      <c r="AK30" s="710">
        <v>3</v>
      </c>
      <c r="AL30" s="710">
        <v>12</v>
      </c>
      <c r="AM30" s="710">
        <v>0</v>
      </c>
      <c r="AN30" s="710">
        <v>0</v>
      </c>
      <c r="AO30" s="710">
        <v>0</v>
      </c>
      <c r="AP30" s="711">
        <v>0</v>
      </c>
      <c r="AQ30" s="709"/>
      <c r="AR30" s="709"/>
      <c r="AS30" s="720">
        <v>599</v>
      </c>
      <c r="AT30" s="710">
        <v>1058</v>
      </c>
      <c r="AU30" s="710">
        <v>1017</v>
      </c>
      <c r="AV30" s="710">
        <v>41</v>
      </c>
      <c r="AW30" s="710">
        <v>752</v>
      </c>
      <c r="AX30" s="712">
        <v>2472</v>
      </c>
      <c r="AY30" s="683">
        <v>-7249</v>
      </c>
      <c r="AZ30" s="713">
        <v>2603268</v>
      </c>
      <c r="BA30" s="714">
        <v>2325542</v>
      </c>
      <c r="BB30" s="715">
        <v>7627450</v>
      </c>
      <c r="BC30" s="715">
        <v>0</v>
      </c>
      <c r="BD30" s="716">
        <v>2325541.6</v>
      </c>
      <c r="BE30" s="420"/>
      <c r="BF30" s="717" t="s">
        <v>723</v>
      </c>
      <c r="BG30" s="118" t="b">
        <v>1</v>
      </c>
      <c r="BH30" s="494"/>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20"/>
      <c r="CM30" s="420"/>
      <c r="CN30" s="420"/>
      <c r="CO30" s="420"/>
      <c r="CP30" s="420"/>
      <c r="CQ30" s="420"/>
      <c r="CR30" s="420"/>
    </row>
    <row r="31" spans="1:97" s="118" customFormat="1" ht="12.75" x14ac:dyDescent="0.2">
      <c r="A31" s="705">
        <v>25</v>
      </c>
      <c r="B31" s="721" t="s">
        <v>1145</v>
      </c>
      <c r="C31" s="722" t="s">
        <v>1124</v>
      </c>
      <c r="D31" s="723">
        <v>596261</v>
      </c>
      <c r="E31" s="723">
        <v>375944000</v>
      </c>
      <c r="F31" s="133">
        <v>180432925</v>
      </c>
      <c r="G31" s="133">
        <v>-15338090</v>
      </c>
      <c r="H31" s="133">
        <v>3450890</v>
      </c>
      <c r="I31" s="133">
        <v>-11887200</v>
      </c>
      <c r="J31" s="133">
        <v>-13401503</v>
      </c>
      <c r="K31" s="133">
        <v>-235314</v>
      </c>
      <c r="L31" s="133">
        <v>0</v>
      </c>
      <c r="M31" s="133">
        <v>0</v>
      </c>
      <c r="N31" s="133">
        <v>-1900145</v>
      </c>
      <c r="O31" s="133">
        <v>-223303</v>
      </c>
      <c r="P31" s="133">
        <v>-58097</v>
      </c>
      <c r="Q31" s="133">
        <v>-6913</v>
      </c>
      <c r="R31" s="133">
        <v>0</v>
      </c>
      <c r="S31" s="133">
        <v>0</v>
      </c>
      <c r="T31" s="133">
        <v>0</v>
      </c>
      <c r="U31" s="133">
        <v>0</v>
      </c>
      <c r="V31" s="133">
        <v>0</v>
      </c>
      <c r="W31" s="709">
        <v>0</v>
      </c>
      <c r="X31" s="709">
        <v>0</v>
      </c>
      <c r="Y31" s="709">
        <v>0</v>
      </c>
      <c r="Z31" s="133">
        <v>0</v>
      </c>
      <c r="AA31" s="133">
        <v>-1500</v>
      </c>
      <c r="AB31" s="133">
        <v>147199347</v>
      </c>
      <c r="AC31" s="133">
        <v>-10335000</v>
      </c>
      <c r="AD31" s="709">
        <v>0</v>
      </c>
      <c r="AE31" s="710">
        <v>543</v>
      </c>
      <c r="AF31" s="711">
        <v>16</v>
      </c>
      <c r="AG31" s="710">
        <v>0</v>
      </c>
      <c r="AH31" s="710">
        <v>0</v>
      </c>
      <c r="AI31" s="710">
        <v>639</v>
      </c>
      <c r="AJ31" s="710">
        <v>111</v>
      </c>
      <c r="AK31" s="710">
        <v>10</v>
      </c>
      <c r="AL31" s="710">
        <v>8</v>
      </c>
      <c r="AM31" s="710">
        <v>0</v>
      </c>
      <c r="AN31" s="710">
        <v>0</v>
      </c>
      <c r="AO31" s="710">
        <v>0</v>
      </c>
      <c r="AP31" s="711">
        <v>0</v>
      </c>
      <c r="AQ31" s="709">
        <v>0</v>
      </c>
      <c r="AR31" s="709">
        <v>0</v>
      </c>
      <c r="AS31" s="720">
        <v>2800</v>
      </c>
      <c r="AT31" s="710">
        <v>7581</v>
      </c>
      <c r="AU31" s="710">
        <v>7204</v>
      </c>
      <c r="AV31" s="710">
        <v>377</v>
      </c>
      <c r="AW31" s="710">
        <v>5117</v>
      </c>
      <c r="AX31" s="712">
        <v>15718</v>
      </c>
      <c r="AY31" s="683">
        <v>-73904</v>
      </c>
      <c r="AZ31" s="713">
        <v>-0.40999999642372131</v>
      </c>
      <c r="BA31" s="714">
        <v>-1529463</v>
      </c>
      <c r="BB31" s="715">
        <v>53137250</v>
      </c>
      <c r="BC31" s="715">
        <v>0</v>
      </c>
      <c r="BD31" s="716">
        <v>-1529462.7099999934</v>
      </c>
      <c r="BE31" s="420"/>
      <c r="BF31" s="717" t="s">
        <v>1124</v>
      </c>
      <c r="BG31" s="118" t="b">
        <v>1</v>
      </c>
      <c r="BH31" s="494"/>
      <c r="BI31" s="420"/>
      <c r="BJ31" s="420"/>
      <c r="BK31" s="420"/>
      <c r="BL31" s="420"/>
      <c r="BM31" s="420"/>
      <c r="BN31" s="420"/>
      <c r="BO31" s="420"/>
      <c r="BP31" s="420"/>
      <c r="BQ31" s="420"/>
      <c r="BR31" s="420"/>
      <c r="BS31" s="420"/>
      <c r="BT31" s="420"/>
      <c r="BU31" s="420"/>
      <c r="BV31" s="420"/>
      <c r="BW31" s="420"/>
      <c r="BX31" s="420"/>
      <c r="BY31" s="420"/>
      <c r="BZ31" s="420"/>
      <c r="CA31" s="420"/>
      <c r="CB31" s="420"/>
      <c r="CC31" s="420"/>
      <c r="CD31" s="420"/>
      <c r="CE31" s="420"/>
      <c r="CF31" s="420"/>
      <c r="CG31" s="420"/>
      <c r="CH31" s="420"/>
      <c r="CI31" s="420"/>
      <c r="CJ31" s="420"/>
      <c r="CK31" s="420"/>
      <c r="CL31" s="420"/>
      <c r="CM31" s="420"/>
      <c r="CN31" s="420"/>
      <c r="CO31" s="420"/>
      <c r="CP31" s="420"/>
      <c r="CQ31" s="420"/>
      <c r="CR31" s="420"/>
      <c r="CS31" s="420"/>
    </row>
    <row r="32" spans="1:97" s="118" customFormat="1" ht="12.75" x14ac:dyDescent="0.2">
      <c r="A32" s="705">
        <v>26</v>
      </c>
      <c r="B32" s="718" t="s">
        <v>531</v>
      </c>
      <c r="C32" s="719" t="s">
        <v>725</v>
      </c>
      <c r="D32" s="708">
        <v>151487</v>
      </c>
      <c r="E32" s="708">
        <v>169302000</v>
      </c>
      <c r="F32" s="133">
        <v>83852750</v>
      </c>
      <c r="G32" s="133">
        <v>-1442107</v>
      </c>
      <c r="H32" s="133">
        <v>1888681</v>
      </c>
      <c r="I32" s="133">
        <v>446574</v>
      </c>
      <c r="J32" s="133">
        <v>-3410478</v>
      </c>
      <c r="K32" s="133">
        <v>-3510</v>
      </c>
      <c r="L32" s="133">
        <v>0</v>
      </c>
      <c r="M32" s="133">
        <v>-118316</v>
      </c>
      <c r="N32" s="133">
        <v>-2007184</v>
      </c>
      <c r="O32" s="133">
        <v>-85072</v>
      </c>
      <c r="P32" s="133">
        <v>-44481</v>
      </c>
      <c r="Q32" s="133">
        <v>-3510</v>
      </c>
      <c r="R32" s="133">
        <v>0</v>
      </c>
      <c r="S32" s="133">
        <v>0</v>
      </c>
      <c r="T32" s="133">
        <v>0</v>
      </c>
      <c r="U32" s="133">
        <v>0</v>
      </c>
      <c r="V32" s="133">
        <v>0</v>
      </c>
      <c r="W32" s="709"/>
      <c r="X32" s="709"/>
      <c r="Y32" s="709"/>
      <c r="Z32" s="133">
        <v>0</v>
      </c>
      <c r="AA32" s="133">
        <v>0</v>
      </c>
      <c r="AB32" s="133">
        <v>78104233</v>
      </c>
      <c r="AC32" s="133">
        <v>-4373632</v>
      </c>
      <c r="AD32" s="709"/>
      <c r="AE32" s="710">
        <v>112</v>
      </c>
      <c r="AF32" s="711">
        <v>2</v>
      </c>
      <c r="AG32" s="710">
        <v>14</v>
      </c>
      <c r="AH32" s="710">
        <v>0</v>
      </c>
      <c r="AI32" s="710">
        <v>244</v>
      </c>
      <c r="AJ32" s="710">
        <v>67</v>
      </c>
      <c r="AK32" s="710">
        <v>13</v>
      </c>
      <c r="AL32" s="710">
        <v>2</v>
      </c>
      <c r="AM32" s="710">
        <v>14</v>
      </c>
      <c r="AN32" s="710">
        <v>0</v>
      </c>
      <c r="AO32" s="710">
        <v>0</v>
      </c>
      <c r="AP32" s="711">
        <v>0</v>
      </c>
      <c r="AQ32" s="709"/>
      <c r="AR32" s="709"/>
      <c r="AS32" s="720">
        <v>511</v>
      </c>
      <c r="AT32" s="710">
        <v>438</v>
      </c>
      <c r="AU32" s="710">
        <v>374</v>
      </c>
      <c r="AV32" s="710">
        <v>64</v>
      </c>
      <c r="AW32" s="710">
        <v>1435</v>
      </c>
      <c r="AX32" s="712">
        <v>2837</v>
      </c>
      <c r="AY32" s="683">
        <v>-2803</v>
      </c>
      <c r="AZ32" s="713">
        <v>-10629949</v>
      </c>
      <c r="BA32" s="714">
        <v>-958919</v>
      </c>
      <c r="BB32" s="715">
        <v>9577400</v>
      </c>
      <c r="BC32" s="715">
        <v>0</v>
      </c>
      <c r="BD32" s="716">
        <v>-958920</v>
      </c>
      <c r="BE32" s="420"/>
      <c r="BF32" s="717" t="s">
        <v>725</v>
      </c>
      <c r="BG32" s="118" t="b">
        <v>1</v>
      </c>
      <c r="BH32" s="494"/>
      <c r="BI32" s="420"/>
      <c r="BJ32" s="420"/>
      <c r="BK32" s="420"/>
      <c r="BL32" s="420"/>
      <c r="BM32" s="420"/>
      <c r="BN32" s="420"/>
      <c r="BO32" s="420"/>
      <c r="BP32" s="420"/>
      <c r="BQ32" s="420"/>
      <c r="BR32" s="420"/>
      <c r="BS32" s="420"/>
      <c r="BT32" s="420"/>
      <c r="BU32" s="420"/>
      <c r="BV32" s="420"/>
      <c r="BW32" s="420"/>
      <c r="BX32" s="420"/>
      <c r="BY32" s="420"/>
      <c r="BZ32" s="420"/>
      <c r="CA32" s="420"/>
      <c r="CB32" s="420"/>
      <c r="CC32" s="420"/>
      <c r="CD32" s="420"/>
      <c r="CE32" s="420"/>
      <c r="CF32" s="420"/>
      <c r="CG32" s="420"/>
      <c r="CH32" s="420"/>
      <c r="CI32" s="420"/>
      <c r="CJ32" s="420"/>
      <c r="CK32" s="420"/>
      <c r="CL32" s="420"/>
      <c r="CM32" s="420"/>
      <c r="CN32" s="420"/>
      <c r="CO32" s="420"/>
      <c r="CP32" s="420"/>
      <c r="CQ32" s="420"/>
      <c r="CR32" s="420"/>
    </row>
    <row r="33" spans="1:96" s="118" customFormat="1" ht="12.75" x14ac:dyDescent="0.2">
      <c r="A33" s="705">
        <v>27</v>
      </c>
      <c r="B33" s="718" t="s">
        <v>726</v>
      </c>
      <c r="C33" s="719" t="s">
        <v>727</v>
      </c>
      <c r="D33" s="708">
        <v>720021</v>
      </c>
      <c r="E33" s="708">
        <v>389670000</v>
      </c>
      <c r="F33" s="133">
        <v>191688375</v>
      </c>
      <c r="G33" s="133">
        <v>-26500000</v>
      </c>
      <c r="H33" s="133">
        <v>3350969</v>
      </c>
      <c r="I33" s="133">
        <v>-23149031</v>
      </c>
      <c r="J33" s="133">
        <v>-16687492</v>
      </c>
      <c r="K33" s="133">
        <v>-180025</v>
      </c>
      <c r="L33" s="133">
        <v>-4864</v>
      </c>
      <c r="M33" s="133">
        <v>-300000</v>
      </c>
      <c r="N33" s="133">
        <v>-7773635</v>
      </c>
      <c r="O33" s="133">
        <v>-3054</v>
      </c>
      <c r="P33" s="133">
        <v>0</v>
      </c>
      <c r="Q33" s="133">
        <v>0</v>
      </c>
      <c r="R33" s="133">
        <v>0</v>
      </c>
      <c r="S33" s="133">
        <v>-5401</v>
      </c>
      <c r="T33" s="133">
        <v>-40000</v>
      </c>
      <c r="U33" s="133">
        <v>0</v>
      </c>
      <c r="V33" s="133">
        <v>0</v>
      </c>
      <c r="W33" s="709"/>
      <c r="X33" s="709"/>
      <c r="Y33" s="709"/>
      <c r="Z33" s="133">
        <v>-4864</v>
      </c>
      <c r="AA33" s="133">
        <v>0</v>
      </c>
      <c r="AB33" s="133">
        <v>140103591</v>
      </c>
      <c r="AC33" s="133">
        <v>-6596539</v>
      </c>
      <c r="AD33" s="709"/>
      <c r="AE33" s="710">
        <v>843</v>
      </c>
      <c r="AF33" s="711">
        <v>24</v>
      </c>
      <c r="AG33" s="710">
        <v>5</v>
      </c>
      <c r="AH33" s="710">
        <v>0</v>
      </c>
      <c r="AI33" s="710">
        <v>1951</v>
      </c>
      <c r="AJ33" s="710">
        <v>8</v>
      </c>
      <c r="AK33" s="710">
        <v>0</v>
      </c>
      <c r="AL33" s="710">
        <v>0</v>
      </c>
      <c r="AM33" s="710">
        <v>0</v>
      </c>
      <c r="AN33" s="710">
        <v>4</v>
      </c>
      <c r="AO33" s="710">
        <v>0</v>
      </c>
      <c r="AP33" s="711">
        <v>1</v>
      </c>
      <c r="AQ33" s="709"/>
      <c r="AR33" s="709"/>
      <c r="AS33" s="720">
        <v>4654</v>
      </c>
      <c r="AT33" s="710">
        <v>9346</v>
      </c>
      <c r="AU33" s="710">
        <v>8904</v>
      </c>
      <c r="AV33" s="710">
        <v>442</v>
      </c>
      <c r="AW33" s="710">
        <v>5337</v>
      </c>
      <c r="AX33" s="712">
        <v>19456</v>
      </c>
      <c r="AY33" s="683">
        <v>-60682</v>
      </c>
      <c r="AZ33" s="713">
        <v>-628003</v>
      </c>
      <c r="BA33" s="714">
        <v>-88334</v>
      </c>
      <c r="BB33" s="715">
        <v>51408976</v>
      </c>
      <c r="BC33" s="715">
        <v>0</v>
      </c>
      <c r="BD33" s="716">
        <v>-88335</v>
      </c>
      <c r="BE33" s="420"/>
      <c r="BF33" s="717" t="s">
        <v>727</v>
      </c>
      <c r="BG33" s="118" t="b">
        <v>1</v>
      </c>
      <c r="BH33" s="494"/>
      <c r="BI33" s="420"/>
      <c r="BJ33" s="420"/>
      <c r="BK33" s="420"/>
      <c r="BL33" s="420"/>
      <c r="BM33" s="420"/>
      <c r="BN33" s="420"/>
      <c r="BO33" s="420"/>
      <c r="BP33" s="420"/>
      <c r="BQ33" s="420"/>
      <c r="BR33" s="420"/>
      <c r="BS33" s="420"/>
      <c r="BT33" s="420"/>
      <c r="BU33" s="420"/>
      <c r="BV33" s="420"/>
      <c r="BW33" s="420"/>
      <c r="BX33" s="420"/>
      <c r="BY33" s="420"/>
      <c r="BZ33" s="420"/>
      <c r="CA33" s="420"/>
      <c r="CB33" s="420"/>
      <c r="CC33" s="420"/>
      <c r="CD33" s="420"/>
      <c r="CE33" s="420"/>
      <c r="CF33" s="420"/>
      <c r="CG33" s="420"/>
      <c r="CH33" s="420"/>
      <c r="CI33" s="420"/>
      <c r="CJ33" s="420"/>
      <c r="CK33" s="420"/>
      <c r="CL33" s="420"/>
      <c r="CM33" s="420"/>
      <c r="CN33" s="420"/>
      <c r="CO33" s="420"/>
      <c r="CP33" s="420"/>
      <c r="CQ33" s="420"/>
      <c r="CR33" s="420"/>
    </row>
    <row r="34" spans="1:96" s="118" customFormat="1" ht="12.75" x14ac:dyDescent="0.2">
      <c r="A34" s="705">
        <v>28</v>
      </c>
      <c r="B34" s="718" t="s">
        <v>728</v>
      </c>
      <c r="C34" s="719" t="s">
        <v>729</v>
      </c>
      <c r="D34" s="708">
        <v>186947</v>
      </c>
      <c r="E34" s="708">
        <v>110556000</v>
      </c>
      <c r="F34" s="133">
        <v>54155000</v>
      </c>
      <c r="G34" s="133">
        <v>-5335000</v>
      </c>
      <c r="H34" s="133">
        <v>915000</v>
      </c>
      <c r="I34" s="133">
        <v>-4420000</v>
      </c>
      <c r="J34" s="133">
        <v>-3184274</v>
      </c>
      <c r="K34" s="133">
        <v>-117089</v>
      </c>
      <c r="L34" s="133">
        <v>-16637</v>
      </c>
      <c r="M34" s="133">
        <v>0</v>
      </c>
      <c r="N34" s="133">
        <v>-1530000</v>
      </c>
      <c r="O34" s="133">
        <v>0</v>
      </c>
      <c r="P34" s="133">
        <v>-251139</v>
      </c>
      <c r="Q34" s="133">
        <v>0</v>
      </c>
      <c r="R34" s="133">
        <v>-12422</v>
      </c>
      <c r="S34" s="133">
        <v>0</v>
      </c>
      <c r="T34" s="133">
        <v>-4439</v>
      </c>
      <c r="U34" s="133">
        <v>0</v>
      </c>
      <c r="V34" s="133">
        <v>0</v>
      </c>
      <c r="W34" s="709"/>
      <c r="X34" s="709"/>
      <c r="Y34" s="709"/>
      <c r="Z34" s="133">
        <v>-13500</v>
      </c>
      <c r="AA34" s="133">
        <v>-1500</v>
      </c>
      <c r="AB34" s="133">
        <v>43149277</v>
      </c>
      <c r="AC34" s="133">
        <v>-1080000</v>
      </c>
      <c r="AD34" s="709"/>
      <c r="AE34" s="710">
        <v>239</v>
      </c>
      <c r="AF34" s="711">
        <v>23</v>
      </c>
      <c r="AG34" s="710">
        <v>11</v>
      </c>
      <c r="AH34" s="710">
        <v>0</v>
      </c>
      <c r="AI34" s="710">
        <v>352</v>
      </c>
      <c r="AJ34" s="710">
        <v>121</v>
      </c>
      <c r="AK34" s="710">
        <v>23</v>
      </c>
      <c r="AL34" s="710">
        <v>21</v>
      </c>
      <c r="AM34" s="710">
        <v>10</v>
      </c>
      <c r="AN34" s="710">
        <v>0</v>
      </c>
      <c r="AO34" s="710">
        <v>0</v>
      </c>
      <c r="AP34" s="711">
        <v>0</v>
      </c>
      <c r="AQ34" s="709"/>
      <c r="AR34" s="709"/>
      <c r="AS34" s="720">
        <v>1043</v>
      </c>
      <c r="AT34" s="710">
        <v>2062</v>
      </c>
      <c r="AU34" s="710">
        <v>1949</v>
      </c>
      <c r="AV34" s="710">
        <v>113</v>
      </c>
      <c r="AW34" s="710">
        <v>1747</v>
      </c>
      <c r="AX34" s="712">
        <v>4922</v>
      </c>
      <c r="AY34" s="683">
        <v>-18000</v>
      </c>
      <c r="AZ34" s="713">
        <v>142584</v>
      </c>
      <c r="BA34" s="714">
        <v>825820</v>
      </c>
      <c r="BB34" s="715">
        <v>22689250</v>
      </c>
      <c r="BC34" s="715">
        <v>0</v>
      </c>
      <c r="BD34" s="716">
        <v>825817</v>
      </c>
      <c r="BE34" s="420"/>
      <c r="BF34" s="717" t="s">
        <v>729</v>
      </c>
      <c r="BG34" s="118" t="b">
        <v>1</v>
      </c>
      <c r="BH34" s="494"/>
      <c r="BI34" s="420"/>
      <c r="BJ34" s="420"/>
      <c r="BK34" s="420"/>
      <c r="BL34" s="420"/>
      <c r="BM34" s="420"/>
      <c r="BN34" s="420"/>
      <c r="BO34" s="420"/>
      <c r="BP34" s="420"/>
      <c r="BQ34" s="420"/>
      <c r="BR34" s="420"/>
      <c r="BS34" s="420"/>
      <c r="BT34" s="420"/>
      <c r="BU34" s="420"/>
      <c r="BV34" s="420"/>
      <c r="BW34" s="420"/>
      <c r="BX34" s="420"/>
      <c r="BY34" s="420"/>
      <c r="BZ34" s="420"/>
      <c r="CA34" s="420"/>
      <c r="CB34" s="420"/>
      <c r="CC34" s="420"/>
      <c r="CD34" s="420"/>
      <c r="CE34" s="420"/>
      <c r="CF34" s="420"/>
      <c r="CG34" s="420"/>
      <c r="CH34" s="420"/>
      <c r="CI34" s="420"/>
      <c r="CJ34" s="420"/>
      <c r="CK34" s="420"/>
      <c r="CL34" s="420"/>
      <c r="CM34" s="420"/>
      <c r="CN34" s="420"/>
      <c r="CO34" s="420"/>
      <c r="CP34" s="420"/>
      <c r="CQ34" s="420"/>
      <c r="CR34" s="420"/>
    </row>
    <row r="35" spans="1:96" s="118" customFormat="1" ht="12.75" x14ac:dyDescent="0.2">
      <c r="A35" s="705">
        <v>29</v>
      </c>
      <c r="B35" s="718" t="s">
        <v>730</v>
      </c>
      <c r="C35" s="719" t="s">
        <v>731</v>
      </c>
      <c r="D35" s="708">
        <v>166471</v>
      </c>
      <c r="E35" s="708">
        <v>89945000</v>
      </c>
      <c r="F35" s="133">
        <v>43957926</v>
      </c>
      <c r="G35" s="133">
        <v>-4880164</v>
      </c>
      <c r="H35" s="133">
        <v>715248</v>
      </c>
      <c r="I35" s="133">
        <v>-4164916</v>
      </c>
      <c r="J35" s="133">
        <v>-2522553</v>
      </c>
      <c r="K35" s="133">
        <v>-38747</v>
      </c>
      <c r="L35" s="133">
        <v>-60865</v>
      </c>
      <c r="M35" s="133">
        <v>0</v>
      </c>
      <c r="N35" s="133">
        <v>-799069</v>
      </c>
      <c r="O35" s="133">
        <v>-41118</v>
      </c>
      <c r="P35" s="133">
        <v>-227469</v>
      </c>
      <c r="Q35" s="133">
        <v>-2419</v>
      </c>
      <c r="R35" s="133">
        <v>0</v>
      </c>
      <c r="S35" s="133">
        <v>0</v>
      </c>
      <c r="T35" s="133">
        <v>-7366</v>
      </c>
      <c r="U35" s="133">
        <v>0</v>
      </c>
      <c r="V35" s="133">
        <v>0</v>
      </c>
      <c r="W35" s="709"/>
      <c r="X35" s="709"/>
      <c r="Y35" s="709"/>
      <c r="Z35" s="133">
        <v>-62019</v>
      </c>
      <c r="AA35" s="133">
        <v>-1252</v>
      </c>
      <c r="AB35" s="133">
        <v>34691361</v>
      </c>
      <c r="AC35" s="133">
        <v>-1635822</v>
      </c>
      <c r="AD35" s="709"/>
      <c r="AE35" s="710">
        <v>336</v>
      </c>
      <c r="AF35" s="711">
        <v>11</v>
      </c>
      <c r="AG35" s="710">
        <v>49</v>
      </c>
      <c r="AH35" s="710">
        <v>0</v>
      </c>
      <c r="AI35" s="710">
        <v>314</v>
      </c>
      <c r="AJ35" s="710">
        <v>109</v>
      </c>
      <c r="AK35" s="710">
        <v>4</v>
      </c>
      <c r="AL35" s="710">
        <v>4</v>
      </c>
      <c r="AM35" s="710">
        <v>0</v>
      </c>
      <c r="AN35" s="710">
        <v>0</v>
      </c>
      <c r="AO35" s="710">
        <v>0</v>
      </c>
      <c r="AP35" s="711">
        <v>2</v>
      </c>
      <c r="AQ35" s="709"/>
      <c r="AR35" s="709"/>
      <c r="AS35" s="720">
        <v>884</v>
      </c>
      <c r="AT35" s="710">
        <v>2011</v>
      </c>
      <c r="AU35" s="710">
        <v>1920</v>
      </c>
      <c r="AV35" s="710">
        <v>91</v>
      </c>
      <c r="AW35" s="710">
        <v>1587</v>
      </c>
      <c r="AX35" s="712">
        <v>4532</v>
      </c>
      <c r="AY35" s="683">
        <v>-38690</v>
      </c>
      <c r="AZ35" s="713">
        <v>-2297027</v>
      </c>
      <c r="BA35" s="714">
        <v>-2816517</v>
      </c>
      <c r="BB35" s="715">
        <v>15723275</v>
      </c>
      <c r="BC35" s="715">
        <v>0</v>
      </c>
      <c r="BD35" s="716">
        <v>-2816515</v>
      </c>
      <c r="BE35" s="420"/>
      <c r="BF35" s="717" t="s">
        <v>731</v>
      </c>
      <c r="BG35" s="118" t="b">
        <v>1</v>
      </c>
      <c r="BH35" s="494"/>
      <c r="BI35" s="420"/>
      <c r="BJ35" s="420"/>
      <c r="BK35" s="420"/>
      <c r="BL35" s="420"/>
      <c r="BM35" s="420"/>
      <c r="BN35" s="420"/>
      <c r="BO35" s="420"/>
      <c r="BP35" s="420"/>
      <c r="BQ35" s="420"/>
      <c r="BR35" s="420"/>
      <c r="BS35" s="420"/>
      <c r="BT35" s="420"/>
      <c r="BU35" s="420"/>
      <c r="BV35" s="420"/>
      <c r="BW35" s="420"/>
      <c r="BX35" s="420"/>
      <c r="BY35" s="420"/>
      <c r="BZ35" s="420"/>
      <c r="CA35" s="420"/>
      <c r="CB35" s="420"/>
      <c r="CC35" s="420"/>
      <c r="CD35" s="420"/>
      <c r="CE35" s="420"/>
      <c r="CF35" s="420"/>
      <c r="CG35" s="420"/>
      <c r="CH35" s="420"/>
      <c r="CI35" s="420"/>
      <c r="CJ35" s="420"/>
      <c r="CK35" s="420"/>
      <c r="CL35" s="420"/>
      <c r="CM35" s="420"/>
      <c r="CN35" s="420"/>
      <c r="CO35" s="420"/>
      <c r="CP35" s="420"/>
      <c r="CQ35" s="420"/>
      <c r="CR35" s="420"/>
    </row>
    <row r="36" spans="1:96" s="118" customFormat="1" ht="12.75" x14ac:dyDescent="0.2">
      <c r="A36" s="705">
        <v>30</v>
      </c>
      <c r="B36" s="718" t="s">
        <v>732</v>
      </c>
      <c r="C36" s="719" t="s">
        <v>733</v>
      </c>
      <c r="D36" s="708">
        <v>423967</v>
      </c>
      <c r="E36" s="708">
        <v>320147000</v>
      </c>
      <c r="F36" s="133">
        <v>157765016</v>
      </c>
      <c r="G36" s="133">
        <v>-9029804</v>
      </c>
      <c r="H36" s="133">
        <v>2942476</v>
      </c>
      <c r="I36" s="133">
        <v>-6087328</v>
      </c>
      <c r="J36" s="133">
        <v>-9136427</v>
      </c>
      <c r="K36" s="133">
        <v>-23789</v>
      </c>
      <c r="L36" s="133">
        <v>0</v>
      </c>
      <c r="M36" s="133">
        <v>0</v>
      </c>
      <c r="N36" s="133">
        <v>-3456458</v>
      </c>
      <c r="O36" s="133">
        <v>-423595</v>
      </c>
      <c r="P36" s="133">
        <v>-12207</v>
      </c>
      <c r="Q36" s="133">
        <v>0</v>
      </c>
      <c r="R36" s="133">
        <v>0</v>
      </c>
      <c r="S36" s="133">
        <v>0</v>
      </c>
      <c r="T36" s="133">
        <v>0</v>
      </c>
      <c r="U36" s="133">
        <v>0</v>
      </c>
      <c r="V36" s="133">
        <v>0</v>
      </c>
      <c r="W36" s="709"/>
      <c r="X36" s="709"/>
      <c r="Y36" s="709"/>
      <c r="Z36" s="133">
        <v>0</v>
      </c>
      <c r="AA36" s="133">
        <v>0</v>
      </c>
      <c r="AB36" s="133">
        <v>132336191</v>
      </c>
      <c r="AC36" s="133">
        <v>-2000000</v>
      </c>
      <c r="AD36" s="709"/>
      <c r="AE36" s="710">
        <v>352</v>
      </c>
      <c r="AF36" s="711">
        <v>6</v>
      </c>
      <c r="AG36" s="710">
        <v>0</v>
      </c>
      <c r="AH36" s="710">
        <v>0</v>
      </c>
      <c r="AI36" s="710">
        <v>828</v>
      </c>
      <c r="AJ36" s="710">
        <v>104</v>
      </c>
      <c r="AK36" s="710">
        <v>4</v>
      </c>
      <c r="AL36" s="710">
        <v>0</v>
      </c>
      <c r="AM36" s="710">
        <v>0</v>
      </c>
      <c r="AN36" s="710">
        <v>0</v>
      </c>
      <c r="AO36" s="710">
        <v>0</v>
      </c>
      <c r="AP36" s="711">
        <v>1</v>
      </c>
      <c r="AQ36" s="709"/>
      <c r="AR36" s="709"/>
      <c r="AS36" s="720">
        <v>2076</v>
      </c>
      <c r="AT36" s="710">
        <v>2779</v>
      </c>
      <c r="AU36" s="710">
        <v>2331</v>
      </c>
      <c r="AV36" s="710">
        <v>448</v>
      </c>
      <c r="AW36" s="710">
        <v>4221</v>
      </c>
      <c r="AX36" s="712">
        <v>9312</v>
      </c>
      <c r="AY36" s="683">
        <v>-116076</v>
      </c>
      <c r="AZ36" s="713">
        <v>2083641</v>
      </c>
      <c r="BA36" s="714">
        <v>-2457072</v>
      </c>
      <c r="BB36" s="715">
        <v>36594750</v>
      </c>
      <c r="BC36" s="715">
        <v>0</v>
      </c>
      <c r="BD36" s="716">
        <v>-2457072</v>
      </c>
      <c r="BE36" s="420"/>
      <c r="BF36" s="717" t="s">
        <v>733</v>
      </c>
      <c r="BG36" s="118" t="b">
        <v>1</v>
      </c>
      <c r="BH36" s="494"/>
      <c r="BI36" s="420"/>
      <c r="BJ36" s="420"/>
      <c r="BK36" s="420"/>
      <c r="BL36" s="420"/>
      <c r="BM36" s="420"/>
      <c r="BN36" s="420"/>
      <c r="BO36" s="420"/>
      <c r="BP36" s="420"/>
      <c r="BQ36" s="420"/>
      <c r="BR36" s="420"/>
      <c r="BS36" s="420"/>
      <c r="BT36" s="420"/>
      <c r="BU36" s="420"/>
      <c r="BV36" s="420"/>
      <c r="BW36" s="420"/>
      <c r="BX36" s="420"/>
      <c r="BY36" s="420"/>
      <c r="BZ36" s="420"/>
      <c r="CA36" s="420"/>
      <c r="CB36" s="420"/>
      <c r="CC36" s="420"/>
      <c r="CD36" s="420"/>
      <c r="CE36" s="420"/>
      <c r="CF36" s="420"/>
      <c r="CG36" s="420"/>
      <c r="CH36" s="420"/>
      <c r="CI36" s="420"/>
      <c r="CJ36" s="420"/>
      <c r="CK36" s="420"/>
      <c r="CL36" s="420"/>
      <c r="CM36" s="420"/>
      <c r="CN36" s="420"/>
      <c r="CO36" s="420"/>
      <c r="CP36" s="420"/>
      <c r="CQ36" s="420"/>
      <c r="CR36" s="420"/>
    </row>
    <row r="37" spans="1:96" s="118" customFormat="1" ht="12.75" x14ac:dyDescent="0.2">
      <c r="A37" s="705">
        <v>31</v>
      </c>
      <c r="B37" s="718" t="s">
        <v>734</v>
      </c>
      <c r="C37" s="719" t="s">
        <v>735</v>
      </c>
      <c r="D37" s="708">
        <v>103770</v>
      </c>
      <c r="E37" s="708">
        <v>71898000</v>
      </c>
      <c r="F37" s="133">
        <v>34077970</v>
      </c>
      <c r="G37" s="133">
        <v>-2485725</v>
      </c>
      <c r="H37" s="133">
        <v>589811</v>
      </c>
      <c r="I37" s="133">
        <v>-1895914</v>
      </c>
      <c r="J37" s="133">
        <v>-2384541</v>
      </c>
      <c r="K37" s="133">
        <v>-41025</v>
      </c>
      <c r="L37" s="133">
        <v>0</v>
      </c>
      <c r="M37" s="133">
        <v>0</v>
      </c>
      <c r="N37" s="133">
        <v>-800000</v>
      </c>
      <c r="O37" s="133">
        <v>-36555</v>
      </c>
      <c r="P37" s="133">
        <v>-8666</v>
      </c>
      <c r="Q37" s="133">
        <v>0</v>
      </c>
      <c r="R37" s="133">
        <v>0</v>
      </c>
      <c r="S37" s="133">
        <v>0</v>
      </c>
      <c r="T37" s="133">
        <v>0</v>
      </c>
      <c r="U37" s="133">
        <v>0</v>
      </c>
      <c r="V37" s="133">
        <v>0</v>
      </c>
      <c r="W37" s="709"/>
      <c r="X37" s="709"/>
      <c r="Y37" s="709"/>
      <c r="Z37" s="133">
        <v>0</v>
      </c>
      <c r="AA37" s="133">
        <v>0</v>
      </c>
      <c r="AB37" s="133">
        <v>27853974</v>
      </c>
      <c r="AC37" s="133">
        <v>-850000</v>
      </c>
      <c r="AD37" s="709"/>
      <c r="AE37" s="710">
        <v>104</v>
      </c>
      <c r="AF37" s="711">
        <v>2</v>
      </c>
      <c r="AG37" s="710">
        <v>0</v>
      </c>
      <c r="AH37" s="710">
        <v>0</v>
      </c>
      <c r="AI37" s="710">
        <v>121</v>
      </c>
      <c r="AJ37" s="710">
        <v>6</v>
      </c>
      <c r="AK37" s="710">
        <v>4</v>
      </c>
      <c r="AL37" s="710">
        <v>0</v>
      </c>
      <c r="AM37" s="710">
        <v>0</v>
      </c>
      <c r="AN37" s="710">
        <v>0</v>
      </c>
      <c r="AO37" s="710">
        <v>0</v>
      </c>
      <c r="AP37" s="711">
        <v>0</v>
      </c>
      <c r="AQ37" s="709"/>
      <c r="AR37" s="709"/>
      <c r="AS37" s="720">
        <v>540</v>
      </c>
      <c r="AT37" s="710">
        <v>766</v>
      </c>
      <c r="AU37" s="710">
        <v>701</v>
      </c>
      <c r="AV37" s="710">
        <v>65</v>
      </c>
      <c r="AW37" s="710">
        <v>1045</v>
      </c>
      <c r="AX37" s="712">
        <v>2479</v>
      </c>
      <c r="AY37" s="683">
        <v>-5110</v>
      </c>
      <c r="AZ37" s="713">
        <v>-942644</v>
      </c>
      <c r="BA37" s="714">
        <v>-1032786</v>
      </c>
      <c r="BB37" s="715">
        <v>14184850</v>
      </c>
      <c r="BC37" s="715">
        <v>0</v>
      </c>
      <c r="BD37" s="716">
        <v>-1181999.8999999985</v>
      </c>
      <c r="BE37" s="420"/>
      <c r="BF37" s="717" t="s">
        <v>735</v>
      </c>
      <c r="BG37" s="118" t="b">
        <v>1</v>
      </c>
      <c r="BH37" s="494"/>
      <c r="BI37" s="420"/>
      <c r="BJ37" s="420"/>
      <c r="BK37" s="420"/>
      <c r="BL37" s="420"/>
      <c r="BM37" s="420"/>
      <c r="BN37" s="420"/>
      <c r="BO37" s="420"/>
      <c r="BP37" s="420"/>
      <c r="BQ37" s="420"/>
      <c r="BR37" s="420"/>
      <c r="BS37" s="420"/>
      <c r="BT37" s="420"/>
      <c r="BU37" s="420"/>
      <c r="BV37" s="420"/>
      <c r="BW37" s="420"/>
      <c r="BX37" s="420"/>
      <c r="BY37" s="420"/>
      <c r="BZ37" s="420"/>
      <c r="CA37" s="420"/>
      <c r="CB37" s="420"/>
      <c r="CC37" s="420"/>
      <c r="CD37" s="420"/>
      <c r="CE37" s="420"/>
      <c r="CF37" s="420"/>
      <c r="CG37" s="420"/>
      <c r="CH37" s="420"/>
      <c r="CI37" s="420"/>
      <c r="CJ37" s="420"/>
      <c r="CK37" s="420"/>
      <c r="CL37" s="420"/>
      <c r="CM37" s="420"/>
      <c r="CN37" s="420"/>
      <c r="CO37" s="420"/>
      <c r="CP37" s="420"/>
      <c r="CQ37" s="420"/>
      <c r="CR37" s="420"/>
    </row>
    <row r="38" spans="1:96" s="118" customFormat="1" ht="12.75" x14ac:dyDescent="0.2">
      <c r="A38" s="705">
        <v>32</v>
      </c>
      <c r="B38" s="718" t="s">
        <v>916</v>
      </c>
      <c r="C38" s="719" t="s">
        <v>737</v>
      </c>
      <c r="D38" s="708">
        <v>444672</v>
      </c>
      <c r="E38" s="708">
        <v>311798000</v>
      </c>
      <c r="F38" s="133">
        <v>154258990</v>
      </c>
      <c r="G38" s="133">
        <v>-11296549</v>
      </c>
      <c r="H38" s="133">
        <v>2816949</v>
      </c>
      <c r="I38" s="133">
        <v>-8479600</v>
      </c>
      <c r="J38" s="133">
        <v>-11902423</v>
      </c>
      <c r="K38" s="133">
        <v>-54775</v>
      </c>
      <c r="L38" s="133">
        <v>0</v>
      </c>
      <c r="M38" s="133">
        <v>0</v>
      </c>
      <c r="N38" s="133">
        <v>-2975665</v>
      </c>
      <c r="O38" s="133">
        <v>-35751</v>
      </c>
      <c r="P38" s="133">
        <v>-35597</v>
      </c>
      <c r="Q38" s="133">
        <v>-2404</v>
      </c>
      <c r="R38" s="133">
        <v>0</v>
      </c>
      <c r="S38" s="133">
        <v>0</v>
      </c>
      <c r="T38" s="133">
        <v>0</v>
      </c>
      <c r="U38" s="133">
        <v>0</v>
      </c>
      <c r="V38" s="133">
        <v>0</v>
      </c>
      <c r="W38" s="709"/>
      <c r="X38" s="709"/>
      <c r="Y38" s="709"/>
      <c r="Z38" s="133">
        <v>0</v>
      </c>
      <c r="AA38" s="133">
        <v>0</v>
      </c>
      <c r="AB38" s="133">
        <v>122615031</v>
      </c>
      <c r="AC38" s="133">
        <v>-6599858</v>
      </c>
      <c r="AD38" s="709"/>
      <c r="AE38" s="710">
        <v>486</v>
      </c>
      <c r="AF38" s="711">
        <v>11</v>
      </c>
      <c r="AG38" s="710">
        <v>0</v>
      </c>
      <c r="AH38" s="710">
        <v>1</v>
      </c>
      <c r="AI38" s="710">
        <v>665</v>
      </c>
      <c r="AJ38" s="710">
        <v>36</v>
      </c>
      <c r="AK38" s="710">
        <v>6</v>
      </c>
      <c r="AL38" s="710">
        <v>1</v>
      </c>
      <c r="AM38" s="710">
        <v>0</v>
      </c>
      <c r="AN38" s="710">
        <v>0</v>
      </c>
      <c r="AO38" s="710">
        <v>0</v>
      </c>
      <c r="AP38" s="711">
        <v>0</v>
      </c>
      <c r="AQ38" s="709"/>
      <c r="AR38" s="709"/>
      <c r="AS38" s="720">
        <v>2161</v>
      </c>
      <c r="AT38" s="710">
        <v>4266</v>
      </c>
      <c r="AU38" s="710">
        <v>3959</v>
      </c>
      <c r="AV38" s="710">
        <v>307</v>
      </c>
      <c r="AW38" s="710">
        <v>4550</v>
      </c>
      <c r="AX38" s="712">
        <v>11301</v>
      </c>
      <c r="AY38" s="683">
        <v>-168807</v>
      </c>
      <c r="AZ38" s="713">
        <v>-4253181</v>
      </c>
      <c r="BA38" s="714">
        <v>-4175159</v>
      </c>
      <c r="BB38" s="715">
        <v>49706450</v>
      </c>
      <c r="BC38" s="715">
        <v>0</v>
      </c>
      <c r="BD38" s="716">
        <v>-4175157</v>
      </c>
      <c r="BE38" s="420"/>
      <c r="BF38" s="717" t="s">
        <v>737</v>
      </c>
      <c r="BG38" s="118" t="b">
        <v>1</v>
      </c>
      <c r="BH38" s="494"/>
      <c r="BI38" s="420"/>
      <c r="BJ38" s="420"/>
      <c r="BK38" s="420"/>
      <c r="BL38" s="420"/>
      <c r="BM38" s="420"/>
      <c r="BN38" s="420"/>
      <c r="BO38" s="420"/>
      <c r="BP38" s="420"/>
      <c r="BQ38" s="420"/>
      <c r="BR38" s="420"/>
      <c r="BS38" s="420"/>
      <c r="BT38" s="420"/>
      <c r="BU38" s="420"/>
      <c r="BV38" s="420"/>
      <c r="BW38" s="420"/>
      <c r="BX38" s="420"/>
      <c r="BY38" s="420"/>
      <c r="BZ38" s="420"/>
      <c r="CA38" s="420"/>
      <c r="CB38" s="420"/>
      <c r="CC38" s="420"/>
      <c r="CD38" s="420"/>
      <c r="CE38" s="420"/>
      <c r="CF38" s="420"/>
      <c r="CG38" s="420"/>
      <c r="CH38" s="420"/>
      <c r="CI38" s="420"/>
      <c r="CJ38" s="420"/>
      <c r="CK38" s="420"/>
      <c r="CL38" s="420"/>
      <c r="CM38" s="420"/>
      <c r="CN38" s="420"/>
      <c r="CO38" s="420"/>
      <c r="CP38" s="420"/>
      <c r="CQ38" s="420"/>
      <c r="CR38" s="420"/>
    </row>
    <row r="39" spans="1:96" s="118" customFormat="1" ht="12.75" x14ac:dyDescent="0.2">
      <c r="A39" s="705">
        <v>33</v>
      </c>
      <c r="B39" s="718" t="s">
        <v>526</v>
      </c>
      <c r="C39" s="719" t="s">
        <v>739</v>
      </c>
      <c r="D39" s="708">
        <v>701542</v>
      </c>
      <c r="E39" s="708">
        <v>559435000</v>
      </c>
      <c r="F39" s="133">
        <v>275233548</v>
      </c>
      <c r="G39" s="133">
        <v>-13182121</v>
      </c>
      <c r="H39" s="133">
        <v>5453896</v>
      </c>
      <c r="I39" s="133">
        <v>-7728225</v>
      </c>
      <c r="J39" s="133">
        <v>-19951890</v>
      </c>
      <c r="K39" s="133">
        <v>-126083</v>
      </c>
      <c r="L39" s="133">
        <v>0</v>
      </c>
      <c r="M39" s="133">
        <v>-100000</v>
      </c>
      <c r="N39" s="133">
        <v>-6112859</v>
      </c>
      <c r="O39" s="133">
        <v>-295924</v>
      </c>
      <c r="P39" s="133">
        <v>-253974</v>
      </c>
      <c r="Q39" s="133">
        <v>-2157</v>
      </c>
      <c r="R39" s="133">
        <v>0</v>
      </c>
      <c r="S39" s="133">
        <v>0</v>
      </c>
      <c r="T39" s="133">
        <v>-1479559</v>
      </c>
      <c r="U39" s="133">
        <v>-1479559</v>
      </c>
      <c r="V39" s="133">
        <v>0</v>
      </c>
      <c r="W39" s="709"/>
      <c r="X39" s="709"/>
      <c r="Y39" s="709"/>
      <c r="Z39" s="133">
        <v>0</v>
      </c>
      <c r="AA39" s="133">
        <v>-1500</v>
      </c>
      <c r="AB39" s="133">
        <v>234205062</v>
      </c>
      <c r="AC39" s="133">
        <v>-11007638</v>
      </c>
      <c r="AD39" s="709"/>
      <c r="AE39" s="710">
        <v>949</v>
      </c>
      <c r="AF39" s="711">
        <v>26</v>
      </c>
      <c r="AG39" s="710">
        <v>0</v>
      </c>
      <c r="AH39" s="710">
        <v>1</v>
      </c>
      <c r="AI39" s="710">
        <v>1828</v>
      </c>
      <c r="AJ39" s="710">
        <v>105</v>
      </c>
      <c r="AK39" s="710">
        <v>36</v>
      </c>
      <c r="AL39" s="710">
        <v>10</v>
      </c>
      <c r="AM39" s="710">
        <v>0</v>
      </c>
      <c r="AN39" s="710">
        <v>0</v>
      </c>
      <c r="AO39" s="710">
        <v>86</v>
      </c>
      <c r="AP39" s="711">
        <v>0</v>
      </c>
      <c r="AQ39" s="709"/>
      <c r="AR39" s="709"/>
      <c r="AS39" s="720">
        <v>4350</v>
      </c>
      <c r="AT39" s="710">
        <v>4605</v>
      </c>
      <c r="AU39" s="710">
        <v>4312</v>
      </c>
      <c r="AV39" s="710">
        <v>293</v>
      </c>
      <c r="AW39" s="710">
        <v>7344</v>
      </c>
      <c r="AX39" s="712">
        <v>16568</v>
      </c>
      <c r="AY39" s="683">
        <v>-64647</v>
      </c>
      <c r="AZ39" s="713">
        <v>1076469</v>
      </c>
      <c r="BA39" s="714">
        <v>-1287284.0600000024</v>
      </c>
      <c r="BB39" s="715">
        <v>64917350</v>
      </c>
      <c r="BC39" s="715">
        <v>4983000</v>
      </c>
      <c r="BD39" s="716">
        <v>-1287284.0600000024</v>
      </c>
      <c r="BE39" s="420"/>
      <c r="BF39" s="717" t="s">
        <v>739</v>
      </c>
      <c r="BG39" s="118" t="b">
        <v>1</v>
      </c>
      <c r="BH39" s="494"/>
      <c r="BI39" s="420"/>
      <c r="BJ39" s="420"/>
      <c r="BK39" s="420"/>
      <c r="BL39" s="420"/>
      <c r="BM39" s="420"/>
      <c r="BN39" s="420"/>
      <c r="BO39" s="420"/>
      <c r="BP39" s="420"/>
      <c r="BQ39" s="420"/>
      <c r="BR39" s="420"/>
      <c r="BS39" s="420"/>
      <c r="BT39" s="420"/>
      <c r="BU39" s="420"/>
      <c r="BV39" s="420"/>
      <c r="BW39" s="420"/>
      <c r="BX39" s="420"/>
      <c r="BY39" s="420"/>
      <c r="BZ39" s="420"/>
      <c r="CA39" s="420"/>
      <c r="CB39" s="420"/>
      <c r="CC39" s="420"/>
      <c r="CD39" s="420"/>
      <c r="CE39" s="420"/>
      <c r="CF39" s="420"/>
      <c r="CG39" s="420"/>
      <c r="CH39" s="420"/>
      <c r="CI39" s="420"/>
      <c r="CJ39" s="420"/>
      <c r="CK39" s="420"/>
      <c r="CL39" s="420"/>
      <c r="CM39" s="420"/>
      <c r="CN39" s="420"/>
      <c r="CO39" s="420"/>
      <c r="CP39" s="420"/>
      <c r="CQ39" s="420"/>
      <c r="CR39" s="420"/>
    </row>
    <row r="40" spans="1:96" s="118" customFormat="1" ht="12.75" x14ac:dyDescent="0.2">
      <c r="A40" s="705">
        <v>34</v>
      </c>
      <c r="B40" s="718" t="s">
        <v>740</v>
      </c>
      <c r="C40" s="719" t="s">
        <v>741</v>
      </c>
      <c r="D40" s="708">
        <v>139305</v>
      </c>
      <c r="E40" s="708">
        <v>78540000</v>
      </c>
      <c r="F40" s="133">
        <v>38277103</v>
      </c>
      <c r="G40" s="133">
        <v>-4197016</v>
      </c>
      <c r="H40" s="133">
        <v>655981</v>
      </c>
      <c r="I40" s="133">
        <v>-3541035</v>
      </c>
      <c r="J40" s="133">
        <v>-2060963</v>
      </c>
      <c r="K40" s="133">
        <v>-34260</v>
      </c>
      <c r="L40" s="133">
        <v>-45103</v>
      </c>
      <c r="M40" s="133">
        <v>-5000</v>
      </c>
      <c r="N40" s="133">
        <v>-537997</v>
      </c>
      <c r="O40" s="133">
        <v>-24123</v>
      </c>
      <c r="P40" s="133">
        <v>-58290</v>
      </c>
      <c r="Q40" s="133">
        <v>0</v>
      </c>
      <c r="R40" s="133">
        <v>0</v>
      </c>
      <c r="S40" s="133">
        <v>-1064</v>
      </c>
      <c r="T40" s="133">
        <v>-28017</v>
      </c>
      <c r="U40" s="133">
        <v>0</v>
      </c>
      <c r="V40" s="133">
        <v>0</v>
      </c>
      <c r="W40" s="709"/>
      <c r="X40" s="709"/>
      <c r="Y40" s="709"/>
      <c r="Z40" s="133">
        <v>-45103</v>
      </c>
      <c r="AA40" s="133">
        <v>0</v>
      </c>
      <c r="AB40" s="133">
        <v>31327340</v>
      </c>
      <c r="AC40" s="133">
        <v>-1389719</v>
      </c>
      <c r="AD40" s="709"/>
      <c r="AE40" s="710">
        <v>199</v>
      </c>
      <c r="AF40" s="711">
        <v>12</v>
      </c>
      <c r="AG40" s="710">
        <v>30</v>
      </c>
      <c r="AH40" s="710">
        <v>0</v>
      </c>
      <c r="AI40" s="710">
        <v>149</v>
      </c>
      <c r="AJ40" s="710">
        <v>27</v>
      </c>
      <c r="AK40" s="710">
        <v>11</v>
      </c>
      <c r="AL40" s="710">
        <v>0</v>
      </c>
      <c r="AM40" s="710">
        <v>31</v>
      </c>
      <c r="AN40" s="710">
        <v>1</v>
      </c>
      <c r="AO40" s="710">
        <v>0</v>
      </c>
      <c r="AP40" s="711">
        <v>12</v>
      </c>
      <c r="AQ40" s="709"/>
      <c r="AR40" s="709"/>
      <c r="AS40" s="720">
        <v>679</v>
      </c>
      <c r="AT40" s="710">
        <v>1825</v>
      </c>
      <c r="AU40" s="710">
        <v>1748</v>
      </c>
      <c r="AV40" s="710">
        <v>77</v>
      </c>
      <c r="AW40" s="710">
        <v>1212</v>
      </c>
      <c r="AX40" s="712">
        <v>3757</v>
      </c>
      <c r="AY40" s="683">
        <v>-32809</v>
      </c>
      <c r="AZ40" s="713">
        <v>-1257827</v>
      </c>
      <c r="BA40" s="714">
        <v>-3252483</v>
      </c>
      <c r="BB40" s="715">
        <v>12646693</v>
      </c>
      <c r="BC40" s="715">
        <v>0</v>
      </c>
      <c r="BD40" s="716">
        <v>-3252483.5</v>
      </c>
      <c r="BE40" s="420"/>
      <c r="BF40" s="717" t="s">
        <v>741</v>
      </c>
      <c r="BG40" s="118" t="b">
        <v>1</v>
      </c>
      <c r="BH40" s="494"/>
      <c r="BI40" s="420"/>
      <c r="BJ40" s="420"/>
      <c r="BK40" s="420"/>
      <c r="BL40" s="420"/>
      <c r="BM40" s="420"/>
      <c r="BN40" s="420"/>
      <c r="BO40" s="420"/>
      <c r="BP40" s="420"/>
      <c r="BQ40" s="420"/>
      <c r="BR40" s="420"/>
      <c r="BS40" s="420"/>
      <c r="BT40" s="420"/>
      <c r="BU40" s="420"/>
      <c r="BV40" s="420"/>
      <c r="BW40" s="420"/>
      <c r="BX40" s="420"/>
      <c r="BY40" s="420"/>
      <c r="BZ40" s="420"/>
      <c r="CA40" s="420"/>
      <c r="CB40" s="420"/>
      <c r="CC40" s="420"/>
      <c r="CD40" s="420"/>
      <c r="CE40" s="420"/>
      <c r="CF40" s="420"/>
      <c r="CG40" s="420"/>
      <c r="CH40" s="420"/>
      <c r="CI40" s="420"/>
      <c r="CJ40" s="420"/>
      <c r="CK40" s="420"/>
      <c r="CL40" s="420"/>
      <c r="CM40" s="420"/>
      <c r="CN40" s="420"/>
      <c r="CO40" s="420"/>
      <c r="CP40" s="420"/>
      <c r="CQ40" s="420"/>
      <c r="CR40" s="420"/>
    </row>
    <row r="41" spans="1:96" s="118" customFormat="1" ht="12.75" x14ac:dyDescent="0.2">
      <c r="A41" s="705">
        <v>35</v>
      </c>
      <c r="B41" s="718" t="s">
        <v>742</v>
      </c>
      <c r="C41" s="719" t="s">
        <v>743</v>
      </c>
      <c r="D41" s="708">
        <v>323059</v>
      </c>
      <c r="E41" s="708">
        <v>244169000</v>
      </c>
      <c r="F41" s="133">
        <v>120108944</v>
      </c>
      <c r="G41" s="133">
        <v>-7178019</v>
      </c>
      <c r="H41" s="133">
        <v>2275298</v>
      </c>
      <c r="I41" s="133">
        <v>-4902721</v>
      </c>
      <c r="J41" s="133">
        <v>-11088650</v>
      </c>
      <c r="K41" s="133">
        <v>-190514</v>
      </c>
      <c r="L41" s="133">
        <v>0</v>
      </c>
      <c r="M41" s="133">
        <v>0</v>
      </c>
      <c r="N41" s="133">
        <v>-2263727</v>
      </c>
      <c r="O41" s="133">
        <v>-307044</v>
      </c>
      <c r="P41" s="133">
        <v>-348389</v>
      </c>
      <c r="Q41" s="133">
        <v>-47629</v>
      </c>
      <c r="R41" s="133">
        <v>0</v>
      </c>
      <c r="S41" s="133">
        <v>0</v>
      </c>
      <c r="T41" s="133">
        <v>0</v>
      </c>
      <c r="U41" s="133">
        <v>0</v>
      </c>
      <c r="V41" s="133">
        <v>0</v>
      </c>
      <c r="W41" s="709"/>
      <c r="X41" s="709"/>
      <c r="Y41" s="709"/>
      <c r="Z41" s="133">
        <v>0</v>
      </c>
      <c r="AA41" s="133">
        <v>0</v>
      </c>
      <c r="AB41" s="133">
        <v>94691398</v>
      </c>
      <c r="AC41" s="133">
        <v>-3166509</v>
      </c>
      <c r="AD41" s="709"/>
      <c r="AE41" s="710">
        <v>393</v>
      </c>
      <c r="AF41" s="711">
        <v>29</v>
      </c>
      <c r="AG41" s="710">
        <v>0</v>
      </c>
      <c r="AH41" s="710">
        <v>0</v>
      </c>
      <c r="AI41" s="710">
        <v>257</v>
      </c>
      <c r="AJ41" s="710">
        <v>55</v>
      </c>
      <c r="AK41" s="710">
        <v>34</v>
      </c>
      <c r="AL41" s="710">
        <v>30</v>
      </c>
      <c r="AM41" s="710">
        <v>0</v>
      </c>
      <c r="AN41" s="710">
        <v>0</v>
      </c>
      <c r="AO41" s="710">
        <v>0</v>
      </c>
      <c r="AP41" s="711">
        <v>0</v>
      </c>
      <c r="AQ41" s="709"/>
      <c r="AR41" s="709"/>
      <c r="AS41" s="720">
        <v>1839</v>
      </c>
      <c r="AT41" s="710">
        <v>2199</v>
      </c>
      <c r="AU41" s="710">
        <v>1879</v>
      </c>
      <c r="AV41" s="710">
        <v>320</v>
      </c>
      <c r="AW41" s="710">
        <v>3238</v>
      </c>
      <c r="AX41" s="712">
        <v>7398</v>
      </c>
      <c r="AY41" s="683">
        <v>-2284</v>
      </c>
      <c r="AZ41" s="713">
        <v>-2468103.099999994</v>
      </c>
      <c r="BA41" s="714">
        <v>-2940327.0999999996</v>
      </c>
      <c r="BB41" s="715">
        <v>24243550</v>
      </c>
      <c r="BC41" s="715">
        <v>0</v>
      </c>
      <c r="BD41" s="716">
        <v>-2940326.0999999996</v>
      </c>
      <c r="BE41" s="420"/>
      <c r="BF41" s="717" t="s">
        <v>743</v>
      </c>
      <c r="BG41" s="118" t="b">
        <v>1</v>
      </c>
      <c r="BH41" s="494"/>
      <c r="BI41" s="420"/>
      <c r="BJ41" s="420"/>
      <c r="BK41" s="420"/>
      <c r="BL41" s="420"/>
      <c r="BM41" s="420"/>
      <c r="BN41" s="420"/>
      <c r="BO41" s="420"/>
      <c r="BP41" s="420"/>
      <c r="BQ41" s="420"/>
      <c r="BR41" s="420"/>
      <c r="BS41" s="420"/>
      <c r="BT41" s="420"/>
      <c r="BU41" s="420"/>
      <c r="BV41" s="420"/>
      <c r="BW41" s="420"/>
      <c r="BX41" s="420"/>
      <c r="BY41" s="420"/>
      <c r="BZ41" s="420"/>
      <c r="CA41" s="420"/>
      <c r="CB41" s="420"/>
      <c r="CC41" s="420"/>
      <c r="CD41" s="420"/>
      <c r="CE41" s="420"/>
      <c r="CF41" s="420"/>
      <c r="CG41" s="420"/>
      <c r="CH41" s="420"/>
      <c r="CI41" s="420"/>
      <c r="CJ41" s="420"/>
      <c r="CK41" s="420"/>
      <c r="CL41" s="420"/>
      <c r="CM41" s="420"/>
      <c r="CN41" s="420"/>
      <c r="CO41" s="420"/>
      <c r="CP41" s="420"/>
      <c r="CQ41" s="420"/>
      <c r="CR41" s="420"/>
    </row>
    <row r="42" spans="1:96" s="118" customFormat="1" ht="12.75" x14ac:dyDescent="0.2">
      <c r="A42" s="705">
        <v>36</v>
      </c>
      <c r="B42" s="718" t="s">
        <v>744</v>
      </c>
      <c r="C42" s="719" t="s">
        <v>745</v>
      </c>
      <c r="D42" s="708">
        <v>127163</v>
      </c>
      <c r="E42" s="708">
        <v>68745000</v>
      </c>
      <c r="F42" s="133">
        <v>33066128</v>
      </c>
      <c r="G42" s="133">
        <v>-3924350</v>
      </c>
      <c r="H42" s="133">
        <v>536897</v>
      </c>
      <c r="I42" s="133">
        <v>-3387453</v>
      </c>
      <c r="J42" s="133">
        <v>-2424397</v>
      </c>
      <c r="K42" s="133">
        <v>0</v>
      </c>
      <c r="L42" s="133">
        <v>-1331</v>
      </c>
      <c r="M42" s="133">
        <v>0</v>
      </c>
      <c r="N42" s="133">
        <v>-456684</v>
      </c>
      <c r="O42" s="133">
        <v>-35989</v>
      </c>
      <c r="P42" s="133">
        <v>-12576</v>
      </c>
      <c r="Q42" s="133">
        <v>0</v>
      </c>
      <c r="R42" s="133">
        <v>0</v>
      </c>
      <c r="S42" s="133">
        <v>0</v>
      </c>
      <c r="T42" s="133">
        <v>0</v>
      </c>
      <c r="U42" s="133">
        <v>0</v>
      </c>
      <c r="V42" s="133">
        <v>0</v>
      </c>
      <c r="W42" s="709"/>
      <c r="X42" s="709"/>
      <c r="Y42" s="709"/>
      <c r="Z42" s="133">
        <v>-1331</v>
      </c>
      <c r="AA42" s="133">
        <v>0</v>
      </c>
      <c r="AB42" s="133">
        <v>25714185</v>
      </c>
      <c r="AC42" s="133">
        <v>-1208567</v>
      </c>
      <c r="AD42" s="709"/>
      <c r="AE42" s="710">
        <v>139</v>
      </c>
      <c r="AF42" s="711">
        <v>0</v>
      </c>
      <c r="AG42" s="710">
        <v>1</v>
      </c>
      <c r="AH42" s="710">
        <v>0</v>
      </c>
      <c r="AI42" s="710">
        <v>267</v>
      </c>
      <c r="AJ42" s="710">
        <v>43</v>
      </c>
      <c r="AK42" s="710">
        <v>13</v>
      </c>
      <c r="AL42" s="710">
        <v>0</v>
      </c>
      <c r="AM42" s="710">
        <v>1</v>
      </c>
      <c r="AN42" s="710">
        <v>0</v>
      </c>
      <c r="AO42" s="710">
        <v>0</v>
      </c>
      <c r="AP42" s="711">
        <v>0</v>
      </c>
      <c r="AQ42" s="709"/>
      <c r="AR42" s="709"/>
      <c r="AS42" s="720">
        <v>690</v>
      </c>
      <c r="AT42" s="710">
        <v>1452</v>
      </c>
      <c r="AU42" s="710">
        <v>1364</v>
      </c>
      <c r="AV42" s="710">
        <v>88</v>
      </c>
      <c r="AW42" s="710">
        <v>1312</v>
      </c>
      <c r="AX42" s="712">
        <v>3462</v>
      </c>
      <c r="AY42" s="683">
        <v>-19674</v>
      </c>
      <c r="AZ42" s="713">
        <v>-5762261</v>
      </c>
      <c r="BA42" s="714">
        <v>-4905756</v>
      </c>
      <c r="BB42" s="715">
        <v>0</v>
      </c>
      <c r="BC42" s="715">
        <v>0</v>
      </c>
      <c r="BD42" s="716">
        <v>-4905756</v>
      </c>
      <c r="BE42" s="420"/>
      <c r="BF42" s="717" t="s">
        <v>745</v>
      </c>
      <c r="BG42" s="118" t="b">
        <v>1</v>
      </c>
      <c r="BH42" s="494"/>
      <c r="BI42" s="420"/>
      <c r="BJ42" s="420"/>
      <c r="BK42" s="420"/>
      <c r="BL42" s="420"/>
      <c r="BM42" s="420"/>
      <c r="BN42" s="420"/>
      <c r="BO42" s="420"/>
      <c r="BP42" s="420"/>
      <c r="BQ42" s="420"/>
      <c r="BR42" s="420"/>
      <c r="BS42" s="420"/>
      <c r="BT42" s="420"/>
      <c r="BU42" s="420"/>
      <c r="BV42" s="420"/>
      <c r="BW42" s="420"/>
      <c r="BX42" s="420"/>
      <c r="BY42" s="420"/>
      <c r="BZ42" s="420"/>
      <c r="CA42" s="420"/>
      <c r="CB42" s="420"/>
      <c r="CC42" s="420"/>
      <c r="CD42" s="420"/>
      <c r="CE42" s="420"/>
      <c r="CF42" s="420"/>
      <c r="CG42" s="420"/>
      <c r="CH42" s="420"/>
      <c r="CI42" s="420"/>
      <c r="CJ42" s="420"/>
      <c r="CK42" s="420"/>
      <c r="CL42" s="420"/>
      <c r="CM42" s="420"/>
      <c r="CN42" s="420"/>
      <c r="CO42" s="420"/>
      <c r="CP42" s="420"/>
      <c r="CQ42" s="420"/>
      <c r="CR42" s="420"/>
    </row>
    <row r="43" spans="1:96" s="118" customFormat="1" ht="12.75" x14ac:dyDescent="0.2">
      <c r="A43" s="705">
        <v>37</v>
      </c>
      <c r="B43" s="718" t="s">
        <v>746</v>
      </c>
      <c r="C43" s="719" t="s">
        <v>747</v>
      </c>
      <c r="D43" s="708">
        <v>109083</v>
      </c>
      <c r="E43" s="708">
        <v>95398000</v>
      </c>
      <c r="F43" s="133">
        <v>46975768</v>
      </c>
      <c r="G43" s="133">
        <v>-2856875</v>
      </c>
      <c r="H43" s="133">
        <v>935044</v>
      </c>
      <c r="I43" s="133">
        <v>-1921831</v>
      </c>
      <c r="J43" s="133">
        <v>-2396356</v>
      </c>
      <c r="K43" s="133">
        <v>-46166</v>
      </c>
      <c r="L43" s="133">
        <v>0</v>
      </c>
      <c r="M43" s="133">
        <v>0</v>
      </c>
      <c r="N43" s="133">
        <v>-758388</v>
      </c>
      <c r="O43" s="133">
        <v>-50376</v>
      </c>
      <c r="P43" s="133">
        <v>-6154</v>
      </c>
      <c r="Q43" s="133">
        <v>-10584</v>
      </c>
      <c r="R43" s="133">
        <v>0</v>
      </c>
      <c r="S43" s="133">
        <v>0</v>
      </c>
      <c r="T43" s="133">
        <v>0</v>
      </c>
      <c r="U43" s="133">
        <v>0</v>
      </c>
      <c r="V43" s="133">
        <v>0</v>
      </c>
      <c r="W43" s="709"/>
      <c r="X43" s="709"/>
      <c r="Y43" s="709"/>
      <c r="Z43" s="133">
        <v>0</v>
      </c>
      <c r="AA43" s="133">
        <v>0</v>
      </c>
      <c r="AB43" s="133">
        <v>41642445</v>
      </c>
      <c r="AC43" s="133">
        <v>-205000</v>
      </c>
      <c r="AD43" s="709"/>
      <c r="AE43" s="710">
        <v>88</v>
      </c>
      <c r="AF43" s="711">
        <v>2</v>
      </c>
      <c r="AG43" s="710">
        <v>0</v>
      </c>
      <c r="AH43" s="710">
        <v>0</v>
      </c>
      <c r="AI43" s="710">
        <v>77</v>
      </c>
      <c r="AJ43" s="710">
        <v>21</v>
      </c>
      <c r="AK43" s="710">
        <v>3</v>
      </c>
      <c r="AL43" s="710">
        <v>1</v>
      </c>
      <c r="AM43" s="710">
        <v>0</v>
      </c>
      <c r="AN43" s="710">
        <v>0</v>
      </c>
      <c r="AO43" s="710">
        <v>0</v>
      </c>
      <c r="AP43" s="711">
        <v>0</v>
      </c>
      <c r="AQ43" s="709"/>
      <c r="AR43" s="709"/>
      <c r="AS43" s="720">
        <v>516</v>
      </c>
      <c r="AT43" s="710">
        <v>866</v>
      </c>
      <c r="AU43" s="710">
        <v>775</v>
      </c>
      <c r="AV43" s="710">
        <v>91</v>
      </c>
      <c r="AW43" s="710">
        <v>965</v>
      </c>
      <c r="AX43" s="712">
        <v>2358</v>
      </c>
      <c r="AY43" s="683">
        <v>-18477</v>
      </c>
      <c r="AZ43" s="713">
        <v>-1446105.700000003</v>
      </c>
      <c r="BA43" s="714">
        <v>-3384046</v>
      </c>
      <c r="BB43" s="715">
        <v>12145150</v>
      </c>
      <c r="BC43" s="715">
        <v>0</v>
      </c>
      <c r="BD43" s="716">
        <v>-1813368.700000003</v>
      </c>
      <c r="BE43" s="420"/>
      <c r="BF43" s="717" t="s">
        <v>747</v>
      </c>
      <c r="BG43" s="118" t="b">
        <v>1</v>
      </c>
      <c r="BH43" s="494"/>
      <c r="BI43" s="420"/>
      <c r="BJ43" s="420"/>
      <c r="BK43" s="420"/>
      <c r="BL43" s="420"/>
      <c r="BM43" s="420"/>
      <c r="BN43" s="420"/>
      <c r="BO43" s="420"/>
      <c r="BP43" s="420"/>
      <c r="BQ43" s="420"/>
      <c r="BR43" s="420"/>
      <c r="BS43" s="420"/>
      <c r="BT43" s="420"/>
      <c r="BU43" s="420"/>
      <c r="BV43" s="420"/>
      <c r="BW43" s="420"/>
      <c r="BX43" s="420"/>
      <c r="BY43" s="420"/>
      <c r="BZ43" s="420"/>
      <c r="CA43" s="420"/>
      <c r="CB43" s="420"/>
      <c r="CC43" s="420"/>
      <c r="CD43" s="420"/>
      <c r="CE43" s="420"/>
      <c r="CF43" s="420"/>
      <c r="CG43" s="420"/>
      <c r="CH43" s="420"/>
      <c r="CI43" s="420"/>
      <c r="CJ43" s="420"/>
      <c r="CK43" s="420"/>
      <c r="CL43" s="420"/>
      <c r="CM43" s="420"/>
      <c r="CN43" s="420"/>
      <c r="CO43" s="420"/>
      <c r="CP43" s="420"/>
      <c r="CQ43" s="420"/>
      <c r="CR43" s="420"/>
    </row>
    <row r="44" spans="1:96" s="118" customFormat="1" ht="12.75" x14ac:dyDescent="0.2">
      <c r="A44" s="705">
        <v>38</v>
      </c>
      <c r="B44" s="718" t="s">
        <v>748</v>
      </c>
      <c r="C44" s="719" t="s">
        <v>749</v>
      </c>
      <c r="D44" s="708">
        <v>101709</v>
      </c>
      <c r="E44" s="708">
        <v>66492000</v>
      </c>
      <c r="F44" s="133">
        <v>32929235</v>
      </c>
      <c r="G44" s="133">
        <v>-2787821</v>
      </c>
      <c r="H44" s="133">
        <v>606941</v>
      </c>
      <c r="I44" s="133">
        <v>-2180880</v>
      </c>
      <c r="J44" s="133">
        <v>-1572564</v>
      </c>
      <c r="K44" s="133">
        <v>0</v>
      </c>
      <c r="L44" s="133">
        <v>-2644</v>
      </c>
      <c r="M44" s="133">
        <v>0</v>
      </c>
      <c r="N44" s="133">
        <v>-729556</v>
      </c>
      <c r="O44" s="133">
        <v>-76210</v>
      </c>
      <c r="P44" s="133">
        <v>-14288</v>
      </c>
      <c r="Q44" s="133">
        <v>0</v>
      </c>
      <c r="R44" s="133">
        <v>-2644</v>
      </c>
      <c r="S44" s="133">
        <v>0</v>
      </c>
      <c r="T44" s="133">
        <v>-110000</v>
      </c>
      <c r="U44" s="133">
        <v>-110000</v>
      </c>
      <c r="V44" s="133">
        <v>0</v>
      </c>
      <c r="W44" s="709"/>
      <c r="X44" s="709"/>
      <c r="Y44" s="709"/>
      <c r="Z44" s="133">
        <v>-2637</v>
      </c>
      <c r="AA44" s="133">
        <v>0</v>
      </c>
      <c r="AB44" s="133">
        <v>27305135</v>
      </c>
      <c r="AC44" s="133">
        <v>-74000</v>
      </c>
      <c r="AD44" s="709"/>
      <c r="AE44" s="710">
        <v>125</v>
      </c>
      <c r="AF44" s="711">
        <v>0</v>
      </c>
      <c r="AG44" s="710">
        <v>3</v>
      </c>
      <c r="AH44" s="710">
        <v>0</v>
      </c>
      <c r="AI44" s="710">
        <v>160</v>
      </c>
      <c r="AJ44" s="710">
        <v>66</v>
      </c>
      <c r="AK44" s="710">
        <v>6</v>
      </c>
      <c r="AL44" s="710">
        <v>0</v>
      </c>
      <c r="AM44" s="710">
        <v>3</v>
      </c>
      <c r="AN44" s="710">
        <v>0</v>
      </c>
      <c r="AO44" s="710">
        <v>2</v>
      </c>
      <c r="AP44" s="711">
        <v>0</v>
      </c>
      <c r="AQ44" s="709"/>
      <c r="AR44" s="709"/>
      <c r="AS44" s="720">
        <v>557</v>
      </c>
      <c r="AT44" s="710">
        <v>1092</v>
      </c>
      <c r="AU44" s="710">
        <v>1045</v>
      </c>
      <c r="AV44" s="710">
        <v>47</v>
      </c>
      <c r="AW44" s="710">
        <v>957</v>
      </c>
      <c r="AX44" s="712">
        <v>2615</v>
      </c>
      <c r="AY44" s="683">
        <v>-9766</v>
      </c>
      <c r="AZ44" s="713">
        <v>-578851.6799999997</v>
      </c>
      <c r="BA44" s="714">
        <v>-437760.6799999997</v>
      </c>
      <c r="BB44" s="715">
        <v>8928750</v>
      </c>
      <c r="BC44" s="715">
        <v>0</v>
      </c>
      <c r="BD44" s="716">
        <v>-437776.98000000045</v>
      </c>
      <c r="BE44" s="420"/>
      <c r="BF44" s="717" t="s">
        <v>749</v>
      </c>
      <c r="BG44" s="118" t="b">
        <v>1</v>
      </c>
      <c r="BH44" s="494"/>
      <c r="BI44" s="420"/>
      <c r="BJ44" s="420"/>
      <c r="BK44" s="420"/>
      <c r="BL44" s="420"/>
      <c r="BM44" s="420"/>
      <c r="BN44" s="420"/>
      <c r="BO44" s="420"/>
      <c r="BP44" s="420"/>
      <c r="BQ44" s="420"/>
      <c r="BR44" s="420"/>
      <c r="BS44" s="420"/>
      <c r="BT44" s="420"/>
      <c r="BU44" s="420"/>
      <c r="BV44" s="420"/>
      <c r="BW44" s="420"/>
      <c r="BX44" s="420"/>
      <c r="BY44" s="420"/>
      <c r="BZ44" s="420"/>
      <c r="CA44" s="420"/>
      <c r="CB44" s="420"/>
      <c r="CC44" s="420"/>
      <c r="CD44" s="420"/>
      <c r="CE44" s="420"/>
      <c r="CF44" s="420"/>
      <c r="CG44" s="420"/>
      <c r="CH44" s="420"/>
      <c r="CI44" s="420"/>
      <c r="CJ44" s="420"/>
      <c r="CK44" s="420"/>
      <c r="CL44" s="420"/>
      <c r="CM44" s="420"/>
      <c r="CN44" s="420"/>
      <c r="CO44" s="420"/>
      <c r="CP44" s="420"/>
      <c r="CQ44" s="420"/>
      <c r="CR44" s="420"/>
    </row>
    <row r="45" spans="1:96" s="734" customFormat="1" ht="12.75" x14ac:dyDescent="0.2">
      <c r="A45" s="724">
        <v>39</v>
      </c>
      <c r="B45" s="725" t="s">
        <v>539</v>
      </c>
      <c r="C45" s="726" t="s">
        <v>1488</v>
      </c>
      <c r="D45" s="727">
        <v>654896</v>
      </c>
      <c r="E45" s="727">
        <v>460524000</v>
      </c>
      <c r="F45" s="728">
        <v>225436822</v>
      </c>
      <c r="G45" s="728">
        <v>-14679778</v>
      </c>
      <c r="H45" s="728">
        <v>4165437.46</v>
      </c>
      <c r="I45" s="728">
        <v>-10514340.539999999</v>
      </c>
      <c r="J45" s="728">
        <v>-16227706.609999999</v>
      </c>
      <c r="K45" s="728">
        <v>-189744.36</v>
      </c>
      <c r="L45" s="728">
        <v>-80932.100000000006</v>
      </c>
      <c r="M45" s="728">
        <v>-15000</v>
      </c>
      <c r="N45" s="728">
        <v>-6017609</v>
      </c>
      <c r="O45" s="728">
        <v>-579681.32000000007</v>
      </c>
      <c r="P45" s="728">
        <v>-168031.96</v>
      </c>
      <c r="Q45" s="728">
        <v>-17985.64</v>
      </c>
      <c r="R45" s="728">
        <v>-46732.6</v>
      </c>
      <c r="S45" s="728">
        <v>-14480</v>
      </c>
      <c r="T45" s="728">
        <v>-165534</v>
      </c>
      <c r="U45" s="728">
        <v>-162463</v>
      </c>
      <c r="V45" s="728">
        <v>0</v>
      </c>
      <c r="W45" s="729">
        <v>0</v>
      </c>
      <c r="X45" s="729">
        <v>0</v>
      </c>
      <c r="Y45" s="729">
        <v>0</v>
      </c>
      <c r="Z45" s="728">
        <v>-67784</v>
      </c>
      <c r="AA45" s="728">
        <v>-3000</v>
      </c>
      <c r="AB45" s="728">
        <v>186013608.82999998</v>
      </c>
      <c r="AC45" s="728">
        <v>-1681002</v>
      </c>
      <c r="AD45" s="729">
        <v>0</v>
      </c>
      <c r="AE45" s="730">
        <v>869</v>
      </c>
      <c r="AF45" s="731">
        <v>47</v>
      </c>
      <c r="AG45" s="730">
        <v>48</v>
      </c>
      <c r="AH45" s="730">
        <v>0</v>
      </c>
      <c r="AI45" s="730">
        <v>1189</v>
      </c>
      <c r="AJ45" s="730">
        <v>297</v>
      </c>
      <c r="AK45" s="730">
        <v>40</v>
      </c>
      <c r="AL45" s="730">
        <v>17</v>
      </c>
      <c r="AM45" s="730">
        <v>40</v>
      </c>
      <c r="AN45" s="730">
        <v>0</v>
      </c>
      <c r="AO45" s="730">
        <v>8</v>
      </c>
      <c r="AP45" s="731">
        <v>0</v>
      </c>
      <c r="AQ45" s="729">
        <v>0</v>
      </c>
      <c r="AR45" s="729">
        <v>0</v>
      </c>
      <c r="AS45" s="732">
        <v>4271</v>
      </c>
      <c r="AT45" s="730">
        <v>5249</v>
      </c>
      <c r="AU45" s="730">
        <v>4807</v>
      </c>
      <c r="AV45" s="730">
        <v>442</v>
      </c>
      <c r="AW45" s="730">
        <v>5453</v>
      </c>
      <c r="AX45" s="712">
        <v>15403</v>
      </c>
      <c r="AY45" s="683">
        <v>-83492</v>
      </c>
      <c r="AZ45" s="713">
        <v>-7756093</v>
      </c>
      <c r="BA45" s="714">
        <v>-11782256</v>
      </c>
      <c r="BB45" s="715">
        <v>72664327</v>
      </c>
      <c r="BC45" s="715">
        <v>524500</v>
      </c>
      <c r="BD45" s="733">
        <v>-11726410.899999999</v>
      </c>
      <c r="BF45" s="735"/>
      <c r="BH45" s="736"/>
    </row>
    <row r="46" spans="1:96" s="118" customFormat="1" ht="12.75" x14ac:dyDescent="0.2">
      <c r="A46" s="705">
        <v>40</v>
      </c>
      <c r="B46" s="718" t="s">
        <v>750</v>
      </c>
      <c r="C46" s="719" t="s">
        <v>751</v>
      </c>
      <c r="D46" s="708">
        <v>188065</v>
      </c>
      <c r="E46" s="708">
        <v>75820000</v>
      </c>
      <c r="F46" s="133">
        <v>37196885</v>
      </c>
      <c r="G46" s="133">
        <v>-3909093</v>
      </c>
      <c r="H46" s="133">
        <v>672551</v>
      </c>
      <c r="I46" s="133">
        <v>-3236542</v>
      </c>
      <c r="J46" s="133">
        <v>-2307378</v>
      </c>
      <c r="K46" s="133">
        <v>-23990</v>
      </c>
      <c r="L46" s="133">
        <v>-918</v>
      </c>
      <c r="M46" s="133">
        <v>-50000</v>
      </c>
      <c r="N46" s="133">
        <v>-1048537</v>
      </c>
      <c r="O46" s="133">
        <v>-97625</v>
      </c>
      <c r="P46" s="133">
        <v>-114426</v>
      </c>
      <c r="Q46" s="133">
        <v>0</v>
      </c>
      <c r="R46" s="133">
        <v>0</v>
      </c>
      <c r="S46" s="133">
        <v>0</v>
      </c>
      <c r="T46" s="133">
        <v>-300000</v>
      </c>
      <c r="U46" s="133">
        <v>0</v>
      </c>
      <c r="V46" s="133">
        <v>0</v>
      </c>
      <c r="W46" s="709"/>
      <c r="X46" s="709"/>
      <c r="Y46" s="709"/>
      <c r="Z46" s="133">
        <v>0</v>
      </c>
      <c r="AA46" s="133">
        <v>0</v>
      </c>
      <c r="AB46" s="133">
        <v>29741575</v>
      </c>
      <c r="AC46" s="133">
        <v>-591825</v>
      </c>
      <c r="AD46" s="709"/>
      <c r="AE46" s="710">
        <v>156</v>
      </c>
      <c r="AF46" s="711">
        <v>3</v>
      </c>
      <c r="AG46" s="710">
        <v>1</v>
      </c>
      <c r="AH46" s="710">
        <v>1</v>
      </c>
      <c r="AI46" s="710">
        <v>803</v>
      </c>
      <c r="AJ46" s="710">
        <v>66</v>
      </c>
      <c r="AK46" s="710">
        <v>23</v>
      </c>
      <c r="AL46" s="710">
        <v>0</v>
      </c>
      <c r="AM46" s="710">
        <v>0</v>
      </c>
      <c r="AN46" s="710">
        <v>0</v>
      </c>
      <c r="AO46" s="710">
        <v>0</v>
      </c>
      <c r="AP46" s="711">
        <v>2</v>
      </c>
      <c r="AQ46" s="709"/>
      <c r="AR46" s="709"/>
      <c r="AS46" s="720">
        <v>1258</v>
      </c>
      <c r="AT46" s="710">
        <v>1804</v>
      </c>
      <c r="AU46" s="710">
        <v>1738</v>
      </c>
      <c r="AV46" s="710">
        <v>66</v>
      </c>
      <c r="AW46" s="710">
        <v>944</v>
      </c>
      <c r="AX46" s="712">
        <v>5363</v>
      </c>
      <c r="AY46" s="683">
        <v>-12000</v>
      </c>
      <c r="AZ46" s="713">
        <v>0</v>
      </c>
      <c r="BA46" s="714">
        <v>-1636516</v>
      </c>
      <c r="BB46" s="715">
        <v>9286775</v>
      </c>
      <c r="BC46" s="715">
        <v>0</v>
      </c>
      <c r="BD46" s="716">
        <v>-1636516</v>
      </c>
      <c r="BE46" s="420"/>
      <c r="BF46" s="717" t="s">
        <v>751</v>
      </c>
      <c r="BG46" s="118" t="b">
        <v>1</v>
      </c>
      <c r="BH46" s="494"/>
      <c r="BI46" s="420"/>
      <c r="BJ46" s="420"/>
      <c r="BK46" s="420"/>
      <c r="BL46" s="420"/>
      <c r="BM46" s="420"/>
      <c r="BN46" s="420"/>
      <c r="BO46" s="420"/>
      <c r="BP46" s="420"/>
      <c r="BQ46" s="420"/>
      <c r="BR46" s="420"/>
      <c r="BS46" s="420"/>
      <c r="BT46" s="420"/>
      <c r="BU46" s="420"/>
      <c r="BV46" s="420"/>
      <c r="BW46" s="420"/>
      <c r="BX46" s="420"/>
      <c r="BY46" s="420"/>
      <c r="BZ46" s="420"/>
      <c r="CA46" s="420"/>
      <c r="CB46" s="420"/>
      <c r="CC46" s="420"/>
      <c r="CD46" s="420"/>
      <c r="CE46" s="420"/>
      <c r="CF46" s="420"/>
      <c r="CG46" s="420"/>
      <c r="CH46" s="420"/>
      <c r="CI46" s="420"/>
      <c r="CJ46" s="420"/>
      <c r="CK46" s="420"/>
      <c r="CL46" s="420"/>
      <c r="CM46" s="420"/>
      <c r="CN46" s="420"/>
      <c r="CO46" s="420"/>
      <c r="CP46" s="420"/>
      <c r="CQ46" s="420"/>
      <c r="CR46" s="420"/>
    </row>
    <row r="47" spans="1:96" s="118" customFormat="1" ht="12.75" x14ac:dyDescent="0.2">
      <c r="A47" s="705">
        <v>41</v>
      </c>
      <c r="B47" s="718" t="s">
        <v>752</v>
      </c>
      <c r="C47" s="719" t="s">
        <v>753</v>
      </c>
      <c r="D47" s="708">
        <v>232486</v>
      </c>
      <c r="E47" s="708">
        <v>132172000</v>
      </c>
      <c r="F47" s="133">
        <v>64219607</v>
      </c>
      <c r="G47" s="133">
        <v>-7830313</v>
      </c>
      <c r="H47" s="133">
        <v>1078800</v>
      </c>
      <c r="I47" s="133">
        <v>-6751513</v>
      </c>
      <c r="J47" s="133">
        <v>-2894477</v>
      </c>
      <c r="K47" s="133">
        <v>-116118</v>
      </c>
      <c r="L47" s="133">
        <v>-1588</v>
      </c>
      <c r="M47" s="133">
        <v>0</v>
      </c>
      <c r="N47" s="133">
        <v>-856306</v>
      </c>
      <c r="O47" s="133">
        <v>-373056</v>
      </c>
      <c r="P47" s="133">
        <v>-76734</v>
      </c>
      <c r="Q47" s="133">
        <v>-29029</v>
      </c>
      <c r="R47" s="133">
        <v>0</v>
      </c>
      <c r="S47" s="133">
        <v>0</v>
      </c>
      <c r="T47" s="133">
        <v>0</v>
      </c>
      <c r="U47" s="133">
        <v>0</v>
      </c>
      <c r="V47" s="133">
        <v>0</v>
      </c>
      <c r="W47" s="709"/>
      <c r="X47" s="709"/>
      <c r="Y47" s="709"/>
      <c r="Z47" s="133">
        <v>-1588</v>
      </c>
      <c r="AA47" s="133">
        <v>0</v>
      </c>
      <c r="AB47" s="133">
        <v>51850602</v>
      </c>
      <c r="AC47" s="133">
        <v>-2592530</v>
      </c>
      <c r="AD47" s="709"/>
      <c r="AE47" s="710">
        <v>185</v>
      </c>
      <c r="AF47" s="711">
        <v>10</v>
      </c>
      <c r="AG47" s="710">
        <v>1</v>
      </c>
      <c r="AH47" s="710">
        <v>0</v>
      </c>
      <c r="AI47" s="710">
        <v>446</v>
      </c>
      <c r="AJ47" s="710">
        <v>136</v>
      </c>
      <c r="AK47" s="710">
        <v>28</v>
      </c>
      <c r="AL47" s="710">
        <v>10</v>
      </c>
      <c r="AM47" s="710">
        <v>0</v>
      </c>
      <c r="AN47" s="710">
        <v>0</v>
      </c>
      <c r="AO47" s="710">
        <v>0</v>
      </c>
      <c r="AP47" s="711">
        <v>0</v>
      </c>
      <c r="AQ47" s="709"/>
      <c r="AR47" s="709"/>
      <c r="AS47" s="720">
        <v>1233</v>
      </c>
      <c r="AT47" s="710">
        <v>2771</v>
      </c>
      <c r="AU47" s="710">
        <v>2606</v>
      </c>
      <c r="AV47" s="710">
        <v>165</v>
      </c>
      <c r="AW47" s="710">
        <v>2138</v>
      </c>
      <c r="AX47" s="712">
        <v>6136</v>
      </c>
      <c r="AY47" s="683">
        <v>-41566</v>
      </c>
      <c r="AZ47" s="713">
        <v>-1969034</v>
      </c>
      <c r="BA47" s="714">
        <v>2260332</v>
      </c>
      <c r="BB47" s="715">
        <v>22672608</v>
      </c>
      <c r="BC47" s="715">
        <v>0</v>
      </c>
      <c r="BD47" s="716">
        <v>2260331.700000003</v>
      </c>
      <c r="BE47" s="420"/>
      <c r="BF47" s="717" t="s">
        <v>753</v>
      </c>
      <c r="BG47" s="118" t="b">
        <v>1</v>
      </c>
      <c r="BH47" s="494"/>
      <c r="BI47" s="420"/>
      <c r="BJ47" s="420"/>
      <c r="BK47" s="420"/>
      <c r="BL47" s="420"/>
      <c r="BM47" s="420"/>
      <c r="BN47" s="420"/>
      <c r="BO47" s="420"/>
      <c r="BP47" s="420"/>
      <c r="BQ47" s="420"/>
      <c r="BR47" s="420"/>
      <c r="BS47" s="420"/>
      <c r="BT47" s="420"/>
      <c r="BU47" s="420"/>
      <c r="BV47" s="420"/>
      <c r="BW47" s="420"/>
      <c r="BX47" s="420"/>
      <c r="BY47" s="420"/>
      <c r="BZ47" s="420"/>
      <c r="CA47" s="420"/>
      <c r="CB47" s="420"/>
      <c r="CC47" s="420"/>
      <c r="CD47" s="420"/>
      <c r="CE47" s="420"/>
      <c r="CF47" s="420"/>
      <c r="CG47" s="420"/>
      <c r="CH47" s="420"/>
      <c r="CI47" s="420"/>
      <c r="CJ47" s="420"/>
      <c r="CK47" s="420"/>
      <c r="CL47" s="420"/>
      <c r="CM47" s="420"/>
      <c r="CN47" s="420"/>
      <c r="CO47" s="420"/>
      <c r="CP47" s="420"/>
      <c r="CQ47" s="420"/>
      <c r="CR47" s="420"/>
    </row>
    <row r="48" spans="1:96" s="118" customFormat="1" ht="12.75" x14ac:dyDescent="0.2">
      <c r="A48" s="705">
        <v>42</v>
      </c>
      <c r="B48" s="718" t="s">
        <v>754</v>
      </c>
      <c r="C48" s="719" t="s">
        <v>755</v>
      </c>
      <c r="D48" s="708">
        <v>346789</v>
      </c>
      <c r="E48" s="708">
        <v>161362000</v>
      </c>
      <c r="F48" s="133">
        <v>79551802</v>
      </c>
      <c r="G48" s="133">
        <v>-11057866</v>
      </c>
      <c r="H48" s="133">
        <v>1206327</v>
      </c>
      <c r="I48" s="133">
        <v>-9851539</v>
      </c>
      <c r="J48" s="133">
        <v>-4739866</v>
      </c>
      <c r="K48" s="133">
        <v>-183950</v>
      </c>
      <c r="L48" s="133">
        <v>-6824</v>
      </c>
      <c r="M48" s="133">
        <v>0</v>
      </c>
      <c r="N48" s="133">
        <v>-2902306</v>
      </c>
      <c r="O48" s="133">
        <v>-301334</v>
      </c>
      <c r="P48" s="133">
        <v>-166317</v>
      </c>
      <c r="Q48" s="133">
        <v>0</v>
      </c>
      <c r="R48" s="133">
        <v>0</v>
      </c>
      <c r="S48" s="133">
        <v>0</v>
      </c>
      <c r="T48" s="133">
        <v>0</v>
      </c>
      <c r="U48" s="133">
        <v>0</v>
      </c>
      <c r="V48" s="133">
        <v>0</v>
      </c>
      <c r="W48" s="709"/>
      <c r="X48" s="709"/>
      <c r="Y48" s="709"/>
      <c r="Z48" s="133">
        <v>-6824</v>
      </c>
      <c r="AA48" s="133">
        <v>-1500</v>
      </c>
      <c r="AB48" s="133">
        <v>58335697</v>
      </c>
      <c r="AC48" s="133">
        <v>-3579831</v>
      </c>
      <c r="AD48" s="709"/>
      <c r="AE48" s="710">
        <v>397</v>
      </c>
      <c r="AF48" s="711">
        <v>33</v>
      </c>
      <c r="AG48" s="710">
        <v>8</v>
      </c>
      <c r="AH48" s="710">
        <v>0</v>
      </c>
      <c r="AI48" s="710">
        <v>857</v>
      </c>
      <c r="AJ48" s="710">
        <v>198</v>
      </c>
      <c r="AK48" s="710">
        <v>50</v>
      </c>
      <c r="AL48" s="710">
        <v>0</v>
      </c>
      <c r="AM48" s="710">
        <v>0</v>
      </c>
      <c r="AN48" s="710">
        <v>0</v>
      </c>
      <c r="AO48" s="710">
        <v>0</v>
      </c>
      <c r="AP48" s="711">
        <v>0</v>
      </c>
      <c r="AQ48" s="709"/>
      <c r="AR48" s="709"/>
      <c r="AS48" s="720">
        <v>2105</v>
      </c>
      <c r="AT48" s="710">
        <v>4643</v>
      </c>
      <c r="AU48" s="710">
        <v>4506</v>
      </c>
      <c r="AV48" s="710">
        <v>137</v>
      </c>
      <c r="AW48" s="710">
        <v>2625</v>
      </c>
      <c r="AX48" s="712">
        <v>9615</v>
      </c>
      <c r="AY48" s="683">
        <v>-43541</v>
      </c>
      <c r="AZ48" s="713">
        <v>2199130</v>
      </c>
      <c r="BA48" s="714">
        <v>3095451.9099999964</v>
      </c>
      <c r="BB48" s="715">
        <v>23644000</v>
      </c>
      <c r="BC48" s="715">
        <v>0</v>
      </c>
      <c r="BD48" s="716">
        <v>3095450.9099999964</v>
      </c>
      <c r="BE48" s="420"/>
      <c r="BF48" s="717" t="s">
        <v>755</v>
      </c>
      <c r="BG48" s="118" t="b">
        <v>1</v>
      </c>
      <c r="BH48" s="494"/>
      <c r="BI48" s="420"/>
      <c r="BJ48" s="420"/>
      <c r="BK48" s="420"/>
      <c r="BL48" s="420"/>
      <c r="BM48" s="420"/>
      <c r="BN48" s="420"/>
      <c r="BO48" s="420"/>
      <c r="BP48" s="420"/>
      <c r="BQ48" s="420"/>
      <c r="BR48" s="420"/>
      <c r="BS48" s="420"/>
      <c r="BT48" s="420"/>
      <c r="BU48" s="420"/>
      <c r="BV48" s="420"/>
      <c r="BW48" s="420"/>
      <c r="BX48" s="420"/>
      <c r="BY48" s="420"/>
      <c r="BZ48" s="420"/>
      <c r="CA48" s="420"/>
      <c r="CB48" s="420"/>
      <c r="CC48" s="420"/>
      <c r="CD48" s="420"/>
      <c r="CE48" s="420"/>
      <c r="CF48" s="420"/>
      <c r="CG48" s="420"/>
      <c r="CH48" s="420"/>
      <c r="CI48" s="420"/>
      <c r="CJ48" s="420"/>
      <c r="CK48" s="420"/>
      <c r="CL48" s="420"/>
      <c r="CM48" s="420"/>
      <c r="CN48" s="420"/>
      <c r="CO48" s="420"/>
      <c r="CP48" s="420"/>
      <c r="CQ48" s="420"/>
      <c r="CR48" s="420"/>
    </row>
    <row r="49" spans="1:97" s="118" customFormat="1" ht="12.75" x14ac:dyDescent="0.2">
      <c r="A49" s="705">
        <v>43</v>
      </c>
      <c r="B49" s="718" t="s">
        <v>756</v>
      </c>
      <c r="C49" s="719" t="s">
        <v>757</v>
      </c>
      <c r="D49" s="708">
        <v>236967</v>
      </c>
      <c r="E49" s="708">
        <v>309721000</v>
      </c>
      <c r="F49" s="133">
        <v>149444080</v>
      </c>
      <c r="G49" s="133">
        <v>-2913601</v>
      </c>
      <c r="H49" s="133">
        <v>3348403</v>
      </c>
      <c r="I49" s="133">
        <v>434802</v>
      </c>
      <c r="J49" s="133">
        <v>-27501797</v>
      </c>
      <c r="K49" s="133">
        <v>-16602</v>
      </c>
      <c r="L49" s="133">
        <v>0</v>
      </c>
      <c r="M49" s="133">
        <v>-40000</v>
      </c>
      <c r="N49" s="133">
        <v>-3410726</v>
      </c>
      <c r="O49" s="133">
        <v>-141561</v>
      </c>
      <c r="P49" s="133">
        <v>0</v>
      </c>
      <c r="Q49" s="133">
        <v>0</v>
      </c>
      <c r="R49" s="133">
        <v>0</v>
      </c>
      <c r="S49" s="133">
        <v>0</v>
      </c>
      <c r="T49" s="133">
        <v>0</v>
      </c>
      <c r="U49" s="133">
        <v>0</v>
      </c>
      <c r="V49" s="133">
        <v>0</v>
      </c>
      <c r="W49" s="709"/>
      <c r="X49" s="709"/>
      <c r="Y49" s="709"/>
      <c r="Z49" s="133">
        <v>0</v>
      </c>
      <c r="AA49" s="133">
        <v>0</v>
      </c>
      <c r="AB49" s="133">
        <v>116759758</v>
      </c>
      <c r="AC49" s="133">
        <v>-5838000</v>
      </c>
      <c r="AD49" s="709"/>
      <c r="AE49" s="710">
        <v>494</v>
      </c>
      <c r="AF49" s="711">
        <v>4</v>
      </c>
      <c r="AG49" s="710">
        <v>0</v>
      </c>
      <c r="AH49" s="710">
        <v>3</v>
      </c>
      <c r="AI49" s="710">
        <v>421</v>
      </c>
      <c r="AJ49" s="710">
        <v>37</v>
      </c>
      <c r="AK49" s="710">
        <v>0</v>
      </c>
      <c r="AL49" s="710">
        <v>0</v>
      </c>
      <c r="AM49" s="710">
        <v>0</v>
      </c>
      <c r="AN49" s="710">
        <v>0</v>
      </c>
      <c r="AO49" s="710">
        <v>0</v>
      </c>
      <c r="AP49" s="711">
        <v>0</v>
      </c>
      <c r="AQ49" s="709"/>
      <c r="AR49" s="709"/>
      <c r="AS49" s="720">
        <v>1763</v>
      </c>
      <c r="AT49" s="710">
        <v>851</v>
      </c>
      <c r="AU49" s="710">
        <v>741</v>
      </c>
      <c r="AV49" s="710">
        <v>110</v>
      </c>
      <c r="AW49" s="710">
        <v>1926</v>
      </c>
      <c r="AX49" s="712">
        <v>4490</v>
      </c>
      <c r="AY49" s="683">
        <v>-10000</v>
      </c>
      <c r="AZ49" s="713">
        <v>-930007</v>
      </c>
      <c r="BA49" s="714">
        <v>4012297</v>
      </c>
      <c r="BB49" s="715">
        <v>24783900</v>
      </c>
      <c r="BC49" s="715">
        <v>0</v>
      </c>
      <c r="BD49" s="716">
        <v>4012297</v>
      </c>
      <c r="BE49" s="420"/>
      <c r="BF49" s="717" t="s">
        <v>757</v>
      </c>
      <c r="BG49" s="118" t="b">
        <v>1</v>
      </c>
      <c r="BH49" s="494"/>
      <c r="BI49" s="420"/>
      <c r="BJ49" s="420"/>
      <c r="BK49" s="420"/>
      <c r="BL49" s="420"/>
      <c r="BM49" s="420"/>
      <c r="BN49" s="420"/>
      <c r="BO49" s="420"/>
      <c r="BP49" s="420"/>
      <c r="BQ49" s="420"/>
      <c r="BR49" s="420"/>
      <c r="BS49" s="420"/>
      <c r="BT49" s="420"/>
      <c r="BU49" s="420"/>
      <c r="BV49" s="420"/>
      <c r="BW49" s="420"/>
      <c r="BX49" s="420"/>
      <c r="BY49" s="420"/>
      <c r="BZ49" s="420"/>
      <c r="CA49" s="420"/>
      <c r="CB49" s="420"/>
      <c r="CC49" s="420"/>
      <c r="CD49" s="420"/>
      <c r="CE49" s="420"/>
      <c r="CF49" s="420"/>
      <c r="CG49" s="420"/>
      <c r="CH49" s="420"/>
      <c r="CI49" s="420"/>
      <c r="CJ49" s="420"/>
      <c r="CK49" s="420"/>
      <c r="CL49" s="420"/>
      <c r="CM49" s="420"/>
      <c r="CN49" s="420"/>
      <c r="CO49" s="420"/>
      <c r="CP49" s="420"/>
      <c r="CQ49" s="420"/>
      <c r="CR49" s="420"/>
    </row>
    <row r="50" spans="1:97" s="118" customFormat="1" ht="12.75" x14ac:dyDescent="0.2">
      <c r="A50" s="705">
        <v>44</v>
      </c>
      <c r="B50" s="718" t="s">
        <v>758</v>
      </c>
      <c r="C50" s="719" t="s">
        <v>759</v>
      </c>
      <c r="D50" s="708">
        <v>1290264</v>
      </c>
      <c r="E50" s="708">
        <v>1602169000</v>
      </c>
      <c r="F50" s="133">
        <v>809045191</v>
      </c>
      <c r="G50" s="133">
        <v>-5967060</v>
      </c>
      <c r="H50" s="133">
        <v>18809469.41</v>
      </c>
      <c r="I50" s="133">
        <v>12842409.41</v>
      </c>
      <c r="J50" s="133">
        <v>-87591379</v>
      </c>
      <c r="K50" s="133">
        <v>0</v>
      </c>
      <c r="L50" s="133">
        <v>0</v>
      </c>
      <c r="M50" s="133">
        <v>-855867.99</v>
      </c>
      <c r="N50" s="133">
        <v>-28379469</v>
      </c>
      <c r="O50" s="133">
        <v>-320905</v>
      </c>
      <c r="P50" s="133">
        <v>-2000</v>
      </c>
      <c r="Q50" s="133">
        <v>0</v>
      </c>
      <c r="R50" s="133">
        <v>0</v>
      </c>
      <c r="S50" s="133">
        <v>0</v>
      </c>
      <c r="T50" s="133">
        <v>0</v>
      </c>
      <c r="U50" s="133">
        <v>0</v>
      </c>
      <c r="V50" s="133">
        <v>0</v>
      </c>
      <c r="W50" s="709"/>
      <c r="X50" s="709"/>
      <c r="Y50" s="709"/>
      <c r="Z50" s="133">
        <v>0</v>
      </c>
      <c r="AA50" s="133">
        <v>-1500</v>
      </c>
      <c r="AB50" s="133">
        <v>688515080.41999996</v>
      </c>
      <c r="AC50" s="133">
        <v>-33985288.302000001</v>
      </c>
      <c r="AD50" s="709"/>
      <c r="AE50" s="710">
        <v>911</v>
      </c>
      <c r="AF50" s="711">
        <v>0</v>
      </c>
      <c r="AG50" s="710">
        <v>0</v>
      </c>
      <c r="AH50" s="710">
        <v>5</v>
      </c>
      <c r="AI50" s="710">
        <v>2095</v>
      </c>
      <c r="AJ50" s="710">
        <v>28</v>
      </c>
      <c r="AK50" s="710">
        <v>1</v>
      </c>
      <c r="AL50" s="710">
        <v>0</v>
      </c>
      <c r="AM50" s="710">
        <v>0</v>
      </c>
      <c r="AN50" s="710">
        <v>0</v>
      </c>
      <c r="AO50" s="710">
        <v>0</v>
      </c>
      <c r="AP50" s="711">
        <v>0</v>
      </c>
      <c r="AQ50" s="709"/>
      <c r="AR50" s="709"/>
      <c r="AS50" s="720">
        <v>7558</v>
      </c>
      <c r="AT50" s="710">
        <v>1753</v>
      </c>
      <c r="AU50" s="710">
        <v>1409</v>
      </c>
      <c r="AV50" s="710">
        <v>344</v>
      </c>
      <c r="AW50" s="710">
        <v>9172</v>
      </c>
      <c r="AX50" s="712">
        <v>19065</v>
      </c>
      <c r="AY50" s="683">
        <v>-174321</v>
      </c>
      <c r="AZ50" s="713">
        <v>-12232825</v>
      </c>
      <c r="BA50" s="714">
        <v>-11371254.850000024</v>
      </c>
      <c r="BB50" s="715">
        <v>94553850</v>
      </c>
      <c r="BC50" s="715">
        <v>0</v>
      </c>
      <c r="BD50" s="716">
        <v>-11371254.850000024</v>
      </c>
      <c r="BE50" s="420"/>
      <c r="BF50" s="717" t="s">
        <v>759</v>
      </c>
      <c r="BG50" s="118" t="b">
        <v>1</v>
      </c>
      <c r="BH50" s="494"/>
      <c r="BI50" s="420"/>
      <c r="BJ50" s="420"/>
      <c r="BK50" s="420"/>
      <c r="BL50" s="420"/>
      <c r="BM50" s="420"/>
      <c r="BN50" s="420"/>
      <c r="BO50" s="420"/>
      <c r="BP50" s="420"/>
      <c r="BQ50" s="420"/>
      <c r="BR50" s="420"/>
      <c r="BS50" s="420"/>
      <c r="BT50" s="420"/>
      <c r="BU50" s="420"/>
      <c r="BV50" s="420"/>
      <c r="BW50" s="420"/>
      <c r="BX50" s="420"/>
      <c r="BY50" s="420"/>
      <c r="BZ50" s="420"/>
      <c r="CA50" s="420"/>
      <c r="CB50" s="420"/>
      <c r="CC50" s="420"/>
      <c r="CD50" s="420"/>
      <c r="CE50" s="420"/>
      <c r="CF50" s="420"/>
      <c r="CG50" s="420"/>
      <c r="CH50" s="420"/>
      <c r="CI50" s="420"/>
      <c r="CJ50" s="420"/>
      <c r="CK50" s="420"/>
      <c r="CL50" s="420"/>
      <c r="CM50" s="420"/>
      <c r="CN50" s="420"/>
      <c r="CO50" s="420"/>
      <c r="CP50" s="420"/>
      <c r="CQ50" s="420"/>
      <c r="CR50" s="420"/>
    </row>
    <row r="51" spans="1:97" s="118" customFormat="1" ht="12.75" x14ac:dyDescent="0.2">
      <c r="A51" s="705">
        <v>45</v>
      </c>
      <c r="B51" s="718" t="s">
        <v>760</v>
      </c>
      <c r="C51" s="719" t="s">
        <v>761</v>
      </c>
      <c r="D51" s="708">
        <v>135690</v>
      </c>
      <c r="E51" s="708">
        <v>85275000</v>
      </c>
      <c r="F51" s="133">
        <v>41827939</v>
      </c>
      <c r="G51" s="133">
        <v>-4540572</v>
      </c>
      <c r="H51" s="133">
        <v>720365</v>
      </c>
      <c r="I51" s="133">
        <v>-3820207</v>
      </c>
      <c r="J51" s="133">
        <v>-1820547</v>
      </c>
      <c r="K51" s="133">
        <v>-585</v>
      </c>
      <c r="L51" s="133">
        <v>0</v>
      </c>
      <c r="M51" s="133">
        <v>0</v>
      </c>
      <c r="N51" s="133">
        <v>-1627061</v>
      </c>
      <c r="O51" s="133">
        <v>-94359</v>
      </c>
      <c r="P51" s="133">
        <v>-17597</v>
      </c>
      <c r="Q51" s="133">
        <v>-37</v>
      </c>
      <c r="R51" s="133">
        <v>0</v>
      </c>
      <c r="S51" s="133">
        <v>0</v>
      </c>
      <c r="T51" s="133">
        <v>0</v>
      </c>
      <c r="U51" s="133">
        <v>0</v>
      </c>
      <c r="V51" s="133">
        <v>0</v>
      </c>
      <c r="W51" s="709"/>
      <c r="X51" s="709"/>
      <c r="Y51" s="709"/>
      <c r="Z51" s="133">
        <v>0</v>
      </c>
      <c r="AA51" s="133">
        <v>-1500</v>
      </c>
      <c r="AB51" s="133">
        <v>33822261</v>
      </c>
      <c r="AC51" s="133">
        <v>-851893</v>
      </c>
      <c r="AD51" s="709"/>
      <c r="AE51" s="710">
        <v>101</v>
      </c>
      <c r="AF51" s="711">
        <v>1</v>
      </c>
      <c r="AG51" s="710">
        <v>0</v>
      </c>
      <c r="AH51" s="710">
        <v>0</v>
      </c>
      <c r="AI51" s="710">
        <v>178</v>
      </c>
      <c r="AJ51" s="710">
        <v>56</v>
      </c>
      <c r="AK51" s="710">
        <v>9</v>
      </c>
      <c r="AL51" s="710">
        <v>1</v>
      </c>
      <c r="AM51" s="710">
        <v>0</v>
      </c>
      <c r="AN51" s="710">
        <v>0</v>
      </c>
      <c r="AO51" s="710">
        <v>0</v>
      </c>
      <c r="AP51" s="711">
        <v>0</v>
      </c>
      <c r="AQ51" s="709"/>
      <c r="AR51" s="709"/>
      <c r="AS51" s="720">
        <v>569</v>
      </c>
      <c r="AT51" s="710">
        <v>1592</v>
      </c>
      <c r="AU51" s="710">
        <v>1495</v>
      </c>
      <c r="AV51" s="710">
        <v>97</v>
      </c>
      <c r="AW51" s="710">
        <v>1387</v>
      </c>
      <c r="AX51" s="712">
        <v>3581</v>
      </c>
      <c r="AY51" s="683">
        <v>-5585</v>
      </c>
      <c r="AZ51" s="713">
        <v>363881</v>
      </c>
      <c r="BA51" s="714">
        <v>-129145</v>
      </c>
      <c r="BB51" s="715">
        <v>13197700</v>
      </c>
      <c r="BC51" s="715">
        <v>0</v>
      </c>
      <c r="BD51" s="716">
        <v>-132321.20000000298</v>
      </c>
      <c r="BE51" s="420"/>
      <c r="BF51" s="717" t="s">
        <v>761</v>
      </c>
      <c r="BG51" s="118" t="b">
        <v>1</v>
      </c>
      <c r="BH51" s="494"/>
      <c r="BI51" s="420"/>
      <c r="BJ51" s="420"/>
      <c r="BK51" s="420"/>
      <c r="BL51" s="420"/>
      <c r="BM51" s="420"/>
      <c r="BN51" s="420"/>
      <c r="BO51" s="420"/>
      <c r="BP51" s="420"/>
      <c r="BQ51" s="420"/>
      <c r="BR51" s="420"/>
      <c r="BS51" s="420"/>
      <c r="BT51" s="420"/>
      <c r="BU51" s="420"/>
      <c r="BV51" s="420"/>
      <c r="BW51" s="420"/>
      <c r="BX51" s="420"/>
      <c r="BY51" s="420"/>
      <c r="BZ51" s="420"/>
      <c r="CA51" s="420"/>
      <c r="CB51" s="420"/>
      <c r="CC51" s="420"/>
      <c r="CD51" s="420"/>
      <c r="CE51" s="420"/>
      <c r="CF51" s="420"/>
      <c r="CG51" s="420"/>
      <c r="CH51" s="420"/>
      <c r="CI51" s="420"/>
      <c r="CJ51" s="420"/>
      <c r="CK51" s="420"/>
      <c r="CL51" s="420"/>
      <c r="CM51" s="420"/>
      <c r="CN51" s="420"/>
      <c r="CO51" s="420"/>
      <c r="CP51" s="420"/>
      <c r="CQ51" s="420"/>
      <c r="CR51" s="420"/>
    </row>
    <row r="52" spans="1:97" s="118" customFormat="1" ht="12.75" x14ac:dyDescent="0.2">
      <c r="A52" s="705">
        <v>46</v>
      </c>
      <c r="B52" s="718" t="s">
        <v>762</v>
      </c>
      <c r="C52" s="719" t="s">
        <v>763</v>
      </c>
      <c r="D52" s="708">
        <v>232486</v>
      </c>
      <c r="E52" s="708">
        <v>143245000</v>
      </c>
      <c r="F52" s="133">
        <v>70243739</v>
      </c>
      <c r="G52" s="133">
        <v>-5661306</v>
      </c>
      <c r="H52" s="133">
        <v>1325097.3799999999</v>
      </c>
      <c r="I52" s="133">
        <v>-4336208.62</v>
      </c>
      <c r="J52" s="133">
        <v>-9485208.1600000001</v>
      </c>
      <c r="K52" s="133">
        <v>-63109.58</v>
      </c>
      <c r="L52" s="133">
        <v>-14155.84</v>
      </c>
      <c r="M52" s="133">
        <v>0</v>
      </c>
      <c r="N52" s="133">
        <v>-1405245</v>
      </c>
      <c r="O52" s="133">
        <v>-250085</v>
      </c>
      <c r="P52" s="133">
        <v>-227496</v>
      </c>
      <c r="Q52" s="133">
        <v>-4924.08</v>
      </c>
      <c r="R52" s="133">
        <v>-1023</v>
      </c>
      <c r="S52" s="133">
        <v>0</v>
      </c>
      <c r="T52" s="133">
        <v>0</v>
      </c>
      <c r="U52" s="133">
        <v>0</v>
      </c>
      <c r="V52" s="133">
        <v>0</v>
      </c>
      <c r="W52" s="709"/>
      <c r="X52" s="709"/>
      <c r="Y52" s="709"/>
      <c r="Z52" s="133">
        <v>-14156</v>
      </c>
      <c r="AA52" s="133">
        <v>0</v>
      </c>
      <c r="AB52" s="133">
        <v>53955482.799999997</v>
      </c>
      <c r="AC52" s="133">
        <v>-2450000</v>
      </c>
      <c r="AD52" s="709"/>
      <c r="AE52" s="710">
        <v>372</v>
      </c>
      <c r="AF52" s="711">
        <v>12</v>
      </c>
      <c r="AG52" s="710">
        <v>7</v>
      </c>
      <c r="AH52" s="710">
        <v>0</v>
      </c>
      <c r="AI52" s="710">
        <v>239</v>
      </c>
      <c r="AJ52" s="710">
        <v>134</v>
      </c>
      <c r="AK52" s="710">
        <v>9</v>
      </c>
      <c r="AL52" s="710">
        <v>3</v>
      </c>
      <c r="AM52" s="710">
        <v>7</v>
      </c>
      <c r="AN52" s="710">
        <v>1</v>
      </c>
      <c r="AO52" s="710">
        <v>0</v>
      </c>
      <c r="AP52" s="711">
        <v>0</v>
      </c>
      <c r="AQ52" s="709"/>
      <c r="AR52" s="709"/>
      <c r="AS52" s="720">
        <v>1149</v>
      </c>
      <c r="AT52" s="710">
        <v>2881</v>
      </c>
      <c r="AU52" s="710">
        <v>2780</v>
      </c>
      <c r="AV52" s="710">
        <v>101</v>
      </c>
      <c r="AW52" s="710">
        <v>2043</v>
      </c>
      <c r="AX52" s="712">
        <v>6110</v>
      </c>
      <c r="AY52" s="683">
        <v>-84159.08</v>
      </c>
      <c r="AZ52" s="713">
        <v>2950985</v>
      </c>
      <c r="BA52" s="714">
        <v>1755262</v>
      </c>
      <c r="BB52" s="715">
        <v>19681700</v>
      </c>
      <c r="BC52" s="715">
        <v>0</v>
      </c>
      <c r="BD52" s="716">
        <v>1820026.8999999985</v>
      </c>
      <c r="BE52" s="420"/>
      <c r="BF52" s="717" t="s">
        <v>763</v>
      </c>
      <c r="BG52" s="118" t="b">
        <v>1</v>
      </c>
      <c r="BH52" s="494"/>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row>
    <row r="53" spans="1:97" s="118" customFormat="1" ht="12.75" x14ac:dyDescent="0.2">
      <c r="A53" s="705">
        <v>47</v>
      </c>
      <c r="B53" s="718" t="s">
        <v>764</v>
      </c>
      <c r="C53" s="719" t="s">
        <v>765</v>
      </c>
      <c r="D53" s="708">
        <v>177670</v>
      </c>
      <c r="E53" s="708">
        <v>109271000</v>
      </c>
      <c r="F53" s="133">
        <v>53456007</v>
      </c>
      <c r="G53" s="133">
        <v>-4413004</v>
      </c>
      <c r="H53" s="133">
        <v>970110</v>
      </c>
      <c r="I53" s="133">
        <v>-3442894</v>
      </c>
      <c r="J53" s="133">
        <v>-3393385</v>
      </c>
      <c r="K53" s="133">
        <v>-81134</v>
      </c>
      <c r="L53" s="133">
        <v>-24765</v>
      </c>
      <c r="M53" s="133">
        <v>0</v>
      </c>
      <c r="N53" s="133">
        <v>-1039901</v>
      </c>
      <c r="O53" s="133">
        <v>-53664</v>
      </c>
      <c r="P53" s="133">
        <v>-31468</v>
      </c>
      <c r="Q53" s="133">
        <v>-2921</v>
      </c>
      <c r="R53" s="133">
        <v>0</v>
      </c>
      <c r="S53" s="133">
        <v>-835</v>
      </c>
      <c r="T53" s="133">
        <v>-163714</v>
      </c>
      <c r="U53" s="133">
        <v>-163714</v>
      </c>
      <c r="V53" s="133">
        <v>0</v>
      </c>
      <c r="W53" s="709"/>
      <c r="X53" s="709"/>
      <c r="Y53" s="709"/>
      <c r="Z53" s="133">
        <v>-24765</v>
      </c>
      <c r="AA53" s="133">
        <v>-1500</v>
      </c>
      <c r="AB53" s="133">
        <v>44095171</v>
      </c>
      <c r="AC53" s="133">
        <v>-1168167</v>
      </c>
      <c r="AD53" s="709"/>
      <c r="AE53" s="710">
        <v>255</v>
      </c>
      <c r="AF53" s="711">
        <v>8</v>
      </c>
      <c r="AG53" s="710">
        <v>19</v>
      </c>
      <c r="AH53" s="710">
        <v>0</v>
      </c>
      <c r="AI53" s="710">
        <v>326</v>
      </c>
      <c r="AJ53" s="710">
        <v>85</v>
      </c>
      <c r="AK53" s="710">
        <v>12</v>
      </c>
      <c r="AL53" s="710">
        <v>4</v>
      </c>
      <c r="AM53" s="710">
        <v>0</v>
      </c>
      <c r="AN53" s="710">
        <v>1</v>
      </c>
      <c r="AO53" s="710">
        <v>5</v>
      </c>
      <c r="AP53" s="711">
        <v>0</v>
      </c>
      <c r="AQ53" s="709"/>
      <c r="AR53" s="709"/>
      <c r="AS53" s="720">
        <v>1095</v>
      </c>
      <c r="AT53" s="710">
        <v>1843</v>
      </c>
      <c r="AU53" s="710">
        <v>1750</v>
      </c>
      <c r="AV53" s="710">
        <v>93</v>
      </c>
      <c r="AW53" s="710">
        <v>1706</v>
      </c>
      <c r="AX53" s="712">
        <v>4710</v>
      </c>
      <c r="AY53" s="683">
        <v>-13594</v>
      </c>
      <c r="AZ53" s="713">
        <v>450295</v>
      </c>
      <c r="BA53" s="714">
        <v>137523</v>
      </c>
      <c r="BB53" s="715">
        <v>16268400</v>
      </c>
      <c r="BC53" s="715">
        <v>377750</v>
      </c>
      <c r="BD53" s="716">
        <v>137524</v>
      </c>
      <c r="BE53" s="420"/>
      <c r="BF53" s="717" t="s">
        <v>765</v>
      </c>
      <c r="BG53" s="118" t="b">
        <v>1</v>
      </c>
      <c r="BH53" s="494"/>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c r="CH53" s="420"/>
      <c r="CI53" s="420"/>
      <c r="CJ53" s="420"/>
      <c r="CK53" s="420"/>
      <c r="CL53" s="420"/>
      <c r="CM53" s="420"/>
      <c r="CN53" s="420"/>
      <c r="CO53" s="420"/>
      <c r="CP53" s="420"/>
      <c r="CQ53" s="420"/>
      <c r="CR53" s="420"/>
    </row>
    <row r="54" spans="1:97" s="118" customFormat="1" ht="12.75" x14ac:dyDescent="0.2">
      <c r="A54" s="705">
        <v>48</v>
      </c>
      <c r="B54" s="718" t="s">
        <v>766</v>
      </c>
      <c r="C54" s="719" t="s">
        <v>767</v>
      </c>
      <c r="D54" s="708">
        <v>75931</v>
      </c>
      <c r="E54" s="708">
        <v>41534000</v>
      </c>
      <c r="F54" s="133">
        <v>20074869</v>
      </c>
      <c r="G54" s="133">
        <v>-3194297</v>
      </c>
      <c r="H54" s="133">
        <v>310705</v>
      </c>
      <c r="I54" s="133">
        <v>-2883592</v>
      </c>
      <c r="J54" s="133">
        <v>-1780244</v>
      </c>
      <c r="K54" s="133">
        <v>-10523</v>
      </c>
      <c r="L54" s="133">
        <v>0</v>
      </c>
      <c r="M54" s="133">
        <v>-1000</v>
      </c>
      <c r="N54" s="133">
        <v>-206968</v>
      </c>
      <c r="O54" s="133">
        <v>-62943</v>
      </c>
      <c r="P54" s="133">
        <v>-49250</v>
      </c>
      <c r="Q54" s="133">
        <v>-2631</v>
      </c>
      <c r="R54" s="133">
        <v>0</v>
      </c>
      <c r="S54" s="133">
        <v>0</v>
      </c>
      <c r="T54" s="133">
        <v>0</v>
      </c>
      <c r="U54" s="133">
        <v>0</v>
      </c>
      <c r="V54" s="133">
        <v>0</v>
      </c>
      <c r="W54" s="709"/>
      <c r="X54" s="709"/>
      <c r="Y54" s="709"/>
      <c r="Z54" s="133">
        <v>0</v>
      </c>
      <c r="AA54" s="133">
        <v>0</v>
      </c>
      <c r="AB54" s="133">
        <v>14729731</v>
      </c>
      <c r="AC54" s="133">
        <v>-754000</v>
      </c>
      <c r="AD54" s="709"/>
      <c r="AE54" s="710">
        <v>74</v>
      </c>
      <c r="AF54" s="711">
        <v>6</v>
      </c>
      <c r="AG54" s="710">
        <v>0</v>
      </c>
      <c r="AH54" s="710">
        <v>0</v>
      </c>
      <c r="AI54" s="710">
        <v>58</v>
      </c>
      <c r="AJ54" s="710">
        <v>44</v>
      </c>
      <c r="AK54" s="710">
        <v>6</v>
      </c>
      <c r="AL54" s="710">
        <v>6</v>
      </c>
      <c r="AM54" s="710">
        <v>0</v>
      </c>
      <c r="AN54" s="710">
        <v>0</v>
      </c>
      <c r="AO54" s="710">
        <v>0</v>
      </c>
      <c r="AP54" s="711">
        <v>0</v>
      </c>
      <c r="AQ54" s="709"/>
      <c r="AR54" s="709"/>
      <c r="AS54" s="720">
        <v>301</v>
      </c>
      <c r="AT54" s="710">
        <v>1037</v>
      </c>
      <c r="AU54" s="710">
        <v>968</v>
      </c>
      <c r="AV54" s="710">
        <v>69</v>
      </c>
      <c r="AW54" s="710">
        <v>676</v>
      </c>
      <c r="AX54" s="712">
        <v>2025</v>
      </c>
      <c r="AY54" s="683">
        <v>-9980</v>
      </c>
      <c r="AZ54" s="713">
        <v>-427936</v>
      </c>
      <c r="BA54" s="714">
        <v>-467973.48000000045</v>
      </c>
      <c r="BB54" s="715">
        <v>6454500</v>
      </c>
      <c r="BC54" s="715">
        <v>0</v>
      </c>
      <c r="BD54" s="716">
        <v>-467973.48000000045</v>
      </c>
      <c r="BE54" s="420"/>
      <c r="BF54" s="717" t="s">
        <v>767</v>
      </c>
      <c r="BG54" s="118" t="b">
        <v>1</v>
      </c>
      <c r="BH54" s="494"/>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row>
    <row r="55" spans="1:97" s="118" customFormat="1" ht="12.75" x14ac:dyDescent="0.2">
      <c r="A55" s="705">
        <v>49</v>
      </c>
      <c r="B55" s="721" t="s">
        <v>768</v>
      </c>
      <c r="C55" s="722" t="s">
        <v>769</v>
      </c>
      <c r="D55" s="708">
        <v>300637</v>
      </c>
      <c r="E55" s="708">
        <v>225625000</v>
      </c>
      <c r="F55" s="133">
        <v>112880943</v>
      </c>
      <c r="G55" s="133">
        <v>-8555229</v>
      </c>
      <c r="H55" s="133">
        <v>2037745</v>
      </c>
      <c r="I55" s="133">
        <v>-6517484</v>
      </c>
      <c r="J55" s="133">
        <v>-7937796</v>
      </c>
      <c r="K55" s="133">
        <v>-63000</v>
      </c>
      <c r="L55" s="133">
        <v>-26556</v>
      </c>
      <c r="M55" s="133">
        <v>0</v>
      </c>
      <c r="N55" s="133">
        <v>-1328924</v>
      </c>
      <c r="O55" s="133">
        <v>-282527</v>
      </c>
      <c r="P55" s="133">
        <v>-203914</v>
      </c>
      <c r="Q55" s="133">
        <v>-3315</v>
      </c>
      <c r="R55" s="133">
        <v>0</v>
      </c>
      <c r="S55" s="133">
        <v>-2915</v>
      </c>
      <c r="T55" s="133">
        <v>0</v>
      </c>
      <c r="U55" s="133">
        <v>0</v>
      </c>
      <c r="V55" s="133">
        <v>0</v>
      </c>
      <c r="W55" s="709"/>
      <c r="X55" s="709"/>
      <c r="Y55" s="709"/>
      <c r="Z55" s="133">
        <v>-25466</v>
      </c>
      <c r="AA55" s="133">
        <v>0</v>
      </c>
      <c r="AB55" s="133">
        <v>95139971</v>
      </c>
      <c r="AC55" s="133">
        <v>-48681</v>
      </c>
      <c r="AD55" s="709"/>
      <c r="AE55" s="710">
        <v>403</v>
      </c>
      <c r="AF55" s="711">
        <v>9</v>
      </c>
      <c r="AG55" s="710">
        <v>20</v>
      </c>
      <c r="AH55" s="710">
        <v>0</v>
      </c>
      <c r="AI55" s="710">
        <v>360</v>
      </c>
      <c r="AJ55" s="710">
        <v>191</v>
      </c>
      <c r="AK55" s="710">
        <v>37</v>
      </c>
      <c r="AL55" s="710">
        <v>3</v>
      </c>
      <c r="AM55" s="710">
        <v>20</v>
      </c>
      <c r="AN55" s="710">
        <v>1</v>
      </c>
      <c r="AO55" s="710">
        <v>0</v>
      </c>
      <c r="AP55" s="711">
        <v>0</v>
      </c>
      <c r="AQ55" s="709"/>
      <c r="AR55" s="709"/>
      <c r="AS55" s="720">
        <v>1554</v>
      </c>
      <c r="AT55" s="710">
        <v>2931</v>
      </c>
      <c r="AU55" s="710">
        <v>2699</v>
      </c>
      <c r="AV55" s="710">
        <v>232</v>
      </c>
      <c r="AW55" s="710">
        <v>2663</v>
      </c>
      <c r="AX55" s="712">
        <v>7222</v>
      </c>
      <c r="AY55" s="683">
        <v>-14669</v>
      </c>
      <c r="AZ55" s="713">
        <v>-1180579</v>
      </c>
      <c r="BA55" s="714">
        <v>1269975</v>
      </c>
      <c r="BB55" s="715">
        <v>30136723</v>
      </c>
      <c r="BC55" s="715">
        <v>411596</v>
      </c>
      <c r="BD55" s="716">
        <v>1463911</v>
      </c>
      <c r="BE55" s="420"/>
      <c r="BF55" s="717" t="s">
        <v>769</v>
      </c>
      <c r="BG55" s="118" t="b">
        <v>1</v>
      </c>
      <c r="BH55" s="494"/>
      <c r="BI55" s="420"/>
      <c r="BJ55" s="420"/>
      <c r="BK55" s="420"/>
      <c r="BL55" s="420"/>
      <c r="BM55" s="420"/>
      <c r="BN55" s="420"/>
      <c r="BO55" s="420"/>
      <c r="BP55" s="420"/>
      <c r="BQ55" s="420"/>
      <c r="BR55" s="420"/>
      <c r="BS55" s="420"/>
      <c r="BT55" s="420"/>
      <c r="BU55" s="420"/>
      <c r="BV55" s="420"/>
      <c r="BW55" s="420"/>
      <c r="BX55" s="420"/>
      <c r="BY55" s="420"/>
      <c r="BZ55" s="420"/>
      <c r="CA55" s="420"/>
      <c r="CB55" s="420"/>
      <c r="CC55" s="420"/>
      <c r="CD55" s="420"/>
      <c r="CE55" s="420"/>
      <c r="CF55" s="420"/>
      <c r="CG55" s="420"/>
      <c r="CH55" s="420"/>
      <c r="CI55" s="420"/>
      <c r="CJ55" s="420"/>
      <c r="CK55" s="420"/>
      <c r="CL55" s="420"/>
      <c r="CM55" s="420"/>
      <c r="CN55" s="420"/>
      <c r="CO55" s="420"/>
      <c r="CP55" s="420"/>
      <c r="CQ55" s="420"/>
      <c r="CR55" s="420"/>
    </row>
    <row r="56" spans="1:97" s="118" customFormat="1" ht="12.75" x14ac:dyDescent="0.2">
      <c r="A56" s="705">
        <v>50</v>
      </c>
      <c r="B56" s="718" t="s">
        <v>770</v>
      </c>
      <c r="C56" s="719" t="s">
        <v>771</v>
      </c>
      <c r="D56" s="708">
        <v>187243</v>
      </c>
      <c r="E56" s="708">
        <v>132586000</v>
      </c>
      <c r="F56" s="133">
        <v>64379518</v>
      </c>
      <c r="G56" s="133">
        <v>-5656941</v>
      </c>
      <c r="H56" s="133">
        <v>1151102</v>
      </c>
      <c r="I56" s="133">
        <v>-4505839</v>
      </c>
      <c r="J56" s="133">
        <v>-7705083</v>
      </c>
      <c r="K56" s="133">
        <v>-19531</v>
      </c>
      <c r="L56" s="133">
        <v>-1991</v>
      </c>
      <c r="M56" s="133">
        <v>-171695</v>
      </c>
      <c r="N56" s="133">
        <v>-1148621</v>
      </c>
      <c r="O56" s="133">
        <v>-79730</v>
      </c>
      <c r="P56" s="133">
        <v>-228557</v>
      </c>
      <c r="Q56" s="133">
        <v>-431</v>
      </c>
      <c r="R56" s="133">
        <v>0</v>
      </c>
      <c r="S56" s="133">
        <v>0</v>
      </c>
      <c r="T56" s="133">
        <v>-39069</v>
      </c>
      <c r="U56" s="133">
        <v>0</v>
      </c>
      <c r="V56" s="133">
        <v>0</v>
      </c>
      <c r="W56" s="709"/>
      <c r="X56" s="709"/>
      <c r="Y56" s="709"/>
      <c r="Z56" s="133">
        <v>-1991</v>
      </c>
      <c r="AA56" s="133">
        <v>-1500</v>
      </c>
      <c r="AB56" s="133">
        <v>48585988</v>
      </c>
      <c r="AC56" s="133">
        <v>-2734753</v>
      </c>
      <c r="AD56" s="709"/>
      <c r="AE56" s="710">
        <v>231</v>
      </c>
      <c r="AF56" s="711">
        <v>8</v>
      </c>
      <c r="AG56" s="710">
        <v>1</v>
      </c>
      <c r="AH56" s="710">
        <v>2</v>
      </c>
      <c r="AI56" s="710">
        <v>459</v>
      </c>
      <c r="AJ56" s="710">
        <v>80</v>
      </c>
      <c r="AK56" s="710">
        <v>17</v>
      </c>
      <c r="AL56" s="710">
        <v>2</v>
      </c>
      <c r="AM56" s="710">
        <v>0</v>
      </c>
      <c r="AN56" s="710">
        <v>0</v>
      </c>
      <c r="AO56" s="710">
        <v>0</v>
      </c>
      <c r="AP56" s="711">
        <v>0</v>
      </c>
      <c r="AQ56" s="709"/>
      <c r="AR56" s="709"/>
      <c r="AS56" s="720">
        <v>1084</v>
      </c>
      <c r="AT56" s="710">
        <v>2053</v>
      </c>
      <c r="AU56" s="710">
        <v>1897</v>
      </c>
      <c r="AV56" s="710">
        <v>156</v>
      </c>
      <c r="AW56" s="710">
        <v>1655</v>
      </c>
      <c r="AX56" s="712">
        <v>4796</v>
      </c>
      <c r="AY56" s="683">
        <v>-49232</v>
      </c>
      <c r="AZ56" s="713">
        <v>-1641935</v>
      </c>
      <c r="BA56" s="714">
        <v>-2199201</v>
      </c>
      <c r="BB56" s="715">
        <v>20145450</v>
      </c>
      <c r="BC56" s="715">
        <v>0</v>
      </c>
      <c r="BD56" s="716">
        <v>-2198835.6999999969</v>
      </c>
      <c r="BE56" s="420"/>
      <c r="BF56" s="717" t="s">
        <v>771</v>
      </c>
      <c r="BG56" s="118" t="b">
        <v>1</v>
      </c>
      <c r="BH56" s="494"/>
      <c r="BI56" s="420"/>
      <c r="BJ56" s="420"/>
      <c r="BK56" s="420"/>
      <c r="BL56" s="420"/>
      <c r="BM56" s="420"/>
      <c r="BN56" s="420"/>
      <c r="BO56" s="420"/>
      <c r="BP56" s="420"/>
      <c r="BQ56" s="420"/>
      <c r="BR56" s="420"/>
      <c r="BS56" s="420"/>
      <c r="BT56" s="420"/>
      <c r="BU56" s="420"/>
      <c r="BV56" s="420"/>
      <c r="BW56" s="420"/>
      <c r="BX56" s="420"/>
      <c r="BY56" s="420"/>
      <c r="BZ56" s="420"/>
      <c r="CA56" s="420"/>
      <c r="CB56" s="420"/>
      <c r="CC56" s="420"/>
      <c r="CD56" s="420"/>
      <c r="CE56" s="420"/>
      <c r="CF56" s="420"/>
      <c r="CG56" s="420"/>
      <c r="CH56" s="420"/>
      <c r="CI56" s="420"/>
      <c r="CJ56" s="420"/>
      <c r="CK56" s="420"/>
      <c r="CL56" s="420"/>
      <c r="CM56" s="420"/>
      <c r="CN56" s="420"/>
      <c r="CO56" s="420"/>
      <c r="CP56" s="420"/>
      <c r="CQ56" s="420"/>
      <c r="CR56" s="420"/>
    </row>
    <row r="57" spans="1:97" s="118" customFormat="1" ht="12.75" x14ac:dyDescent="0.2">
      <c r="A57" s="705">
        <v>51</v>
      </c>
      <c r="B57" s="718" t="s">
        <v>772</v>
      </c>
      <c r="C57" s="719" t="s">
        <v>773</v>
      </c>
      <c r="D57" s="708">
        <v>219286</v>
      </c>
      <c r="E57" s="708">
        <v>193639000</v>
      </c>
      <c r="F57" s="133">
        <v>95272821</v>
      </c>
      <c r="G57" s="133">
        <v>-5406806</v>
      </c>
      <c r="H57" s="133">
        <v>1899203</v>
      </c>
      <c r="I57" s="133">
        <v>-3507603</v>
      </c>
      <c r="J57" s="133">
        <v>-5167970</v>
      </c>
      <c r="K57" s="133">
        <v>-36207</v>
      </c>
      <c r="L57" s="133">
        <v>-5053</v>
      </c>
      <c r="M57" s="133">
        <v>0</v>
      </c>
      <c r="N57" s="133">
        <v>-1914524</v>
      </c>
      <c r="O57" s="133">
        <v>-9010</v>
      </c>
      <c r="P57" s="133">
        <v>-100917</v>
      </c>
      <c r="Q57" s="133">
        <v>0</v>
      </c>
      <c r="R57" s="133">
        <v>0</v>
      </c>
      <c r="S57" s="133">
        <v>-3666</v>
      </c>
      <c r="T57" s="133">
        <v>0</v>
      </c>
      <c r="U57" s="133">
        <v>0</v>
      </c>
      <c r="V57" s="133">
        <v>0</v>
      </c>
      <c r="W57" s="709"/>
      <c r="X57" s="709"/>
      <c r="Y57" s="709"/>
      <c r="Z57" s="133">
        <v>-5053</v>
      </c>
      <c r="AA57" s="133">
        <v>-1500</v>
      </c>
      <c r="AB57" s="133">
        <v>83203534</v>
      </c>
      <c r="AC57" s="133">
        <v>-2353854</v>
      </c>
      <c r="AD57" s="709"/>
      <c r="AE57" s="710">
        <v>238</v>
      </c>
      <c r="AF57" s="711">
        <v>9</v>
      </c>
      <c r="AG57" s="710">
        <v>4</v>
      </c>
      <c r="AH57" s="710">
        <v>0</v>
      </c>
      <c r="AI57" s="710">
        <v>480</v>
      </c>
      <c r="AJ57" s="710">
        <v>20</v>
      </c>
      <c r="AK57" s="710">
        <v>14</v>
      </c>
      <c r="AL57" s="710">
        <v>0</v>
      </c>
      <c r="AM57" s="710">
        <v>0</v>
      </c>
      <c r="AN57" s="710">
        <v>1</v>
      </c>
      <c r="AO57" s="710">
        <v>0</v>
      </c>
      <c r="AP57" s="711">
        <v>0</v>
      </c>
      <c r="AQ57" s="709"/>
      <c r="AR57" s="709"/>
      <c r="AS57" s="720">
        <v>1389</v>
      </c>
      <c r="AT57" s="710">
        <v>1813</v>
      </c>
      <c r="AU57" s="710">
        <v>1659</v>
      </c>
      <c r="AV57" s="710">
        <v>154</v>
      </c>
      <c r="AW57" s="710">
        <v>1877</v>
      </c>
      <c r="AX57" s="712">
        <v>5172</v>
      </c>
      <c r="AY57" s="683">
        <v>-30205</v>
      </c>
      <c r="AZ57" s="713">
        <v>2017012</v>
      </c>
      <c r="BA57" s="714">
        <v>2408245.700000003</v>
      </c>
      <c r="BB57" s="715">
        <v>24212550</v>
      </c>
      <c r="BC57" s="715">
        <v>0</v>
      </c>
      <c r="BD57" s="716">
        <v>2408241.2100000009</v>
      </c>
      <c r="BE57" s="420"/>
      <c r="BF57" s="717" t="s">
        <v>773</v>
      </c>
      <c r="BG57" s="118" t="b">
        <v>1</v>
      </c>
      <c r="BH57" s="494"/>
      <c r="BI57" s="420"/>
      <c r="BJ57" s="420"/>
      <c r="BK57" s="420"/>
      <c r="BL57" s="420"/>
      <c r="BM57" s="420"/>
      <c r="BN57" s="420"/>
      <c r="BO57" s="420"/>
      <c r="BP57" s="420"/>
      <c r="BQ57" s="420"/>
      <c r="BR57" s="420"/>
      <c r="BS57" s="420"/>
      <c r="BT57" s="420"/>
      <c r="BU57" s="420"/>
      <c r="BV57" s="420"/>
      <c r="BW57" s="420"/>
      <c r="BX57" s="420"/>
      <c r="BY57" s="420"/>
      <c r="BZ57" s="420"/>
      <c r="CA57" s="420"/>
      <c r="CB57" s="420"/>
      <c r="CC57" s="420"/>
      <c r="CD57" s="420"/>
      <c r="CE57" s="420"/>
      <c r="CF57" s="420"/>
      <c r="CG57" s="420"/>
      <c r="CH57" s="420"/>
      <c r="CI57" s="420"/>
      <c r="CJ57" s="420"/>
      <c r="CK57" s="420"/>
      <c r="CL57" s="420"/>
      <c r="CM57" s="420"/>
      <c r="CN57" s="420"/>
      <c r="CO57" s="420"/>
      <c r="CP57" s="420"/>
      <c r="CQ57" s="420"/>
      <c r="CR57" s="420"/>
    </row>
    <row r="58" spans="1:97" s="118" customFormat="1" ht="12.75" x14ac:dyDescent="0.2">
      <c r="A58" s="705">
        <v>52</v>
      </c>
      <c r="B58" s="718" t="s">
        <v>774</v>
      </c>
      <c r="C58" s="719" t="s">
        <v>775</v>
      </c>
      <c r="D58" s="708">
        <v>165956</v>
      </c>
      <c r="E58" s="708">
        <v>136749000</v>
      </c>
      <c r="F58" s="133">
        <v>66314134</v>
      </c>
      <c r="G58" s="133">
        <v>-3842353</v>
      </c>
      <c r="H58" s="133">
        <v>1295917</v>
      </c>
      <c r="I58" s="133">
        <v>-2546436</v>
      </c>
      <c r="J58" s="133">
        <v>-4658519</v>
      </c>
      <c r="K58" s="133">
        <v>-51801</v>
      </c>
      <c r="L58" s="133">
        <v>0</v>
      </c>
      <c r="M58" s="133">
        <v>-10000</v>
      </c>
      <c r="N58" s="133">
        <v>-1199350</v>
      </c>
      <c r="O58" s="133">
        <v>-21238</v>
      </c>
      <c r="P58" s="133">
        <v>-23389</v>
      </c>
      <c r="Q58" s="133">
        <v>0</v>
      </c>
      <c r="R58" s="133">
        <v>0</v>
      </c>
      <c r="S58" s="133">
        <v>0</v>
      </c>
      <c r="T58" s="133">
        <v>0</v>
      </c>
      <c r="U58" s="133">
        <v>0</v>
      </c>
      <c r="V58" s="133">
        <v>0</v>
      </c>
      <c r="W58" s="709"/>
      <c r="X58" s="709"/>
      <c r="Y58" s="709"/>
      <c r="Z58" s="133">
        <v>0</v>
      </c>
      <c r="AA58" s="133">
        <v>0</v>
      </c>
      <c r="AB58" s="133">
        <v>57282116</v>
      </c>
      <c r="AC58" s="133">
        <v>-1250000</v>
      </c>
      <c r="AD58" s="709"/>
      <c r="AE58" s="710">
        <v>194</v>
      </c>
      <c r="AF58" s="711">
        <v>8</v>
      </c>
      <c r="AG58" s="710">
        <v>0</v>
      </c>
      <c r="AH58" s="710">
        <v>1</v>
      </c>
      <c r="AI58" s="710">
        <v>221</v>
      </c>
      <c r="AJ58" s="710">
        <v>14</v>
      </c>
      <c r="AK58" s="710">
        <v>3</v>
      </c>
      <c r="AL58" s="710">
        <v>0</v>
      </c>
      <c r="AM58" s="710">
        <v>0</v>
      </c>
      <c r="AN58" s="710">
        <v>0</v>
      </c>
      <c r="AO58" s="710">
        <v>0</v>
      </c>
      <c r="AP58" s="711">
        <v>0</v>
      </c>
      <c r="AQ58" s="709"/>
      <c r="AR58" s="709"/>
      <c r="AS58" s="720">
        <v>938</v>
      </c>
      <c r="AT58" s="710">
        <v>1394</v>
      </c>
      <c r="AU58" s="710">
        <v>1299</v>
      </c>
      <c r="AV58" s="710">
        <v>95</v>
      </c>
      <c r="AW58" s="710">
        <v>1629</v>
      </c>
      <c r="AX58" s="712">
        <v>3969</v>
      </c>
      <c r="AY58" s="683">
        <v>-14661</v>
      </c>
      <c r="AZ58" s="713">
        <v>-173783</v>
      </c>
      <c r="BA58" s="714">
        <v>-1020895</v>
      </c>
      <c r="BB58" s="715">
        <v>18034100</v>
      </c>
      <c r="BC58" s="715">
        <v>0</v>
      </c>
      <c r="BD58" s="716">
        <v>-1020897</v>
      </c>
      <c r="BE58" s="420"/>
      <c r="BF58" s="717" t="s">
        <v>775</v>
      </c>
      <c r="BG58" s="118" t="b">
        <v>1</v>
      </c>
      <c r="BH58" s="494"/>
      <c r="BI58" s="420"/>
      <c r="BJ58" s="420"/>
      <c r="BK58" s="420"/>
      <c r="BL58" s="420"/>
      <c r="BM58" s="420"/>
      <c r="BN58" s="420"/>
      <c r="BO58" s="420"/>
      <c r="BP58" s="420"/>
      <c r="BQ58" s="420"/>
      <c r="BR58" s="420"/>
      <c r="BS58" s="420"/>
      <c r="BT58" s="420"/>
      <c r="BU58" s="420"/>
      <c r="BV58" s="420"/>
      <c r="BW58" s="420"/>
      <c r="BX58" s="420"/>
      <c r="BY58" s="420"/>
      <c r="BZ58" s="420"/>
      <c r="CA58" s="420"/>
      <c r="CB58" s="420"/>
      <c r="CC58" s="420"/>
      <c r="CD58" s="420"/>
      <c r="CE58" s="420"/>
      <c r="CF58" s="420"/>
      <c r="CG58" s="420"/>
      <c r="CH58" s="420"/>
      <c r="CI58" s="420"/>
      <c r="CJ58" s="420"/>
      <c r="CK58" s="420"/>
      <c r="CL58" s="420"/>
      <c r="CM58" s="420"/>
      <c r="CN58" s="420"/>
      <c r="CO58" s="420"/>
      <c r="CP58" s="420"/>
      <c r="CQ58" s="420"/>
      <c r="CR58" s="420"/>
    </row>
    <row r="59" spans="1:97" s="118" customFormat="1" ht="12.75" x14ac:dyDescent="0.2">
      <c r="A59" s="705">
        <v>53</v>
      </c>
      <c r="B59" s="718" t="s">
        <v>776</v>
      </c>
      <c r="C59" s="719" t="s">
        <v>777</v>
      </c>
      <c r="D59" s="708">
        <v>231628</v>
      </c>
      <c r="E59" s="708">
        <v>230909000</v>
      </c>
      <c r="F59" s="133">
        <v>110491305</v>
      </c>
      <c r="G59" s="133">
        <v>-4116507</v>
      </c>
      <c r="H59" s="133">
        <v>2348551</v>
      </c>
      <c r="I59" s="133">
        <v>-1767956</v>
      </c>
      <c r="J59" s="133">
        <v>-4167124</v>
      </c>
      <c r="K59" s="133">
        <v>-56592</v>
      </c>
      <c r="L59" s="133">
        <v>0</v>
      </c>
      <c r="M59" s="133">
        <v>0</v>
      </c>
      <c r="N59" s="133">
        <v>-1264173</v>
      </c>
      <c r="O59" s="133">
        <v>-75373</v>
      </c>
      <c r="P59" s="133">
        <v>-34187</v>
      </c>
      <c r="Q59" s="133">
        <v>-2696</v>
      </c>
      <c r="R59" s="133">
        <v>0</v>
      </c>
      <c r="S59" s="133">
        <v>0</v>
      </c>
      <c r="T59" s="133">
        <v>0</v>
      </c>
      <c r="U59" s="133">
        <v>0</v>
      </c>
      <c r="V59" s="133">
        <v>0</v>
      </c>
      <c r="W59" s="709"/>
      <c r="X59" s="709"/>
      <c r="Y59" s="709"/>
      <c r="Z59" s="133">
        <v>-58951</v>
      </c>
      <c r="AA59" s="133">
        <v>-852</v>
      </c>
      <c r="AB59" s="133">
        <v>99607799</v>
      </c>
      <c r="AC59" s="133">
        <v>-4681567</v>
      </c>
      <c r="AD59" s="709"/>
      <c r="AE59" s="710">
        <v>274</v>
      </c>
      <c r="AF59" s="711">
        <v>8</v>
      </c>
      <c r="AG59" s="710">
        <v>1</v>
      </c>
      <c r="AH59" s="710">
        <v>0</v>
      </c>
      <c r="AI59" s="710">
        <v>423</v>
      </c>
      <c r="AJ59" s="710">
        <v>65</v>
      </c>
      <c r="AK59" s="710">
        <v>3</v>
      </c>
      <c r="AL59" s="710">
        <v>1</v>
      </c>
      <c r="AM59" s="710">
        <v>1</v>
      </c>
      <c r="AN59" s="710">
        <v>0</v>
      </c>
      <c r="AO59" s="710">
        <v>0</v>
      </c>
      <c r="AP59" s="711">
        <v>0</v>
      </c>
      <c r="AQ59" s="709"/>
      <c r="AR59" s="709"/>
      <c r="AS59" s="720">
        <v>1360</v>
      </c>
      <c r="AT59" s="710">
        <v>1424</v>
      </c>
      <c r="AU59" s="710">
        <v>1291</v>
      </c>
      <c r="AV59" s="710">
        <v>133</v>
      </c>
      <c r="AW59" s="710">
        <v>2095</v>
      </c>
      <c r="AX59" s="712">
        <v>4930</v>
      </c>
      <c r="AY59" s="683">
        <v>-46647</v>
      </c>
      <c r="AZ59" s="713">
        <v>1875156</v>
      </c>
      <c r="BA59" s="714">
        <v>2095108</v>
      </c>
      <c r="BB59" s="715">
        <v>26111100</v>
      </c>
      <c r="BC59" s="715">
        <v>0</v>
      </c>
      <c r="BD59" s="716">
        <v>2095108</v>
      </c>
      <c r="BE59" s="420"/>
      <c r="BF59" s="717" t="s">
        <v>777</v>
      </c>
      <c r="BG59" s="118" t="b">
        <v>1</v>
      </c>
      <c r="BH59" s="494"/>
      <c r="BI59" s="420"/>
      <c r="BJ59" s="420"/>
      <c r="BK59" s="420"/>
      <c r="BL59" s="420"/>
      <c r="BM59" s="420"/>
      <c r="BN59" s="420"/>
      <c r="BO59" s="420"/>
      <c r="BP59" s="420"/>
      <c r="BQ59" s="420"/>
      <c r="BR59" s="420"/>
      <c r="BS59" s="420"/>
      <c r="BT59" s="420"/>
      <c r="BU59" s="420"/>
      <c r="BV59" s="420"/>
      <c r="BW59" s="420"/>
      <c r="BX59" s="420"/>
      <c r="BY59" s="420"/>
      <c r="BZ59" s="420"/>
      <c r="CA59" s="420"/>
      <c r="CB59" s="420"/>
      <c r="CC59" s="420"/>
      <c r="CD59" s="420"/>
      <c r="CE59" s="420"/>
      <c r="CF59" s="420"/>
      <c r="CG59" s="420"/>
      <c r="CH59" s="420"/>
      <c r="CI59" s="420"/>
      <c r="CJ59" s="420"/>
      <c r="CK59" s="420"/>
      <c r="CL59" s="420"/>
      <c r="CM59" s="420"/>
      <c r="CN59" s="420"/>
      <c r="CO59" s="420"/>
      <c r="CP59" s="420"/>
      <c r="CQ59" s="420"/>
      <c r="CR59" s="420"/>
    </row>
    <row r="60" spans="1:97" s="118" customFormat="1" ht="12.75" x14ac:dyDescent="0.2">
      <c r="A60" s="705">
        <v>54</v>
      </c>
      <c r="B60" s="718" t="s">
        <v>778</v>
      </c>
      <c r="C60" s="719" t="s">
        <v>779</v>
      </c>
      <c r="D60" s="708">
        <v>572535</v>
      </c>
      <c r="E60" s="708">
        <v>356435000</v>
      </c>
      <c r="F60" s="133">
        <v>176191714</v>
      </c>
      <c r="G60" s="133">
        <v>-14981336</v>
      </c>
      <c r="H60" s="133">
        <v>3070783</v>
      </c>
      <c r="I60" s="133">
        <v>-11910553</v>
      </c>
      <c r="J60" s="133">
        <v>-8921422</v>
      </c>
      <c r="K60" s="133">
        <v>-123809</v>
      </c>
      <c r="L60" s="133">
        <v>-13385</v>
      </c>
      <c r="M60" s="133">
        <v>-36153</v>
      </c>
      <c r="N60" s="133">
        <v>-3455092</v>
      </c>
      <c r="O60" s="133">
        <v>-233106</v>
      </c>
      <c r="P60" s="133">
        <v>-56862</v>
      </c>
      <c r="Q60" s="133">
        <v>-5681</v>
      </c>
      <c r="R60" s="133">
        <v>0</v>
      </c>
      <c r="S60" s="133">
        <v>-8405</v>
      </c>
      <c r="T60" s="133">
        <v>-437400</v>
      </c>
      <c r="U60" s="133">
        <v>-437400</v>
      </c>
      <c r="V60" s="133">
        <v>0</v>
      </c>
      <c r="W60" s="709"/>
      <c r="X60" s="709"/>
      <c r="Y60" s="709"/>
      <c r="Z60" s="133">
        <v>-13385</v>
      </c>
      <c r="AA60" s="133">
        <v>-1500</v>
      </c>
      <c r="AB60" s="133">
        <v>146150263</v>
      </c>
      <c r="AC60" s="133">
        <v>-3700000</v>
      </c>
      <c r="AD60" s="709"/>
      <c r="AE60" s="710">
        <v>610</v>
      </c>
      <c r="AF60" s="711">
        <v>34</v>
      </c>
      <c r="AG60" s="710">
        <v>12</v>
      </c>
      <c r="AH60" s="710">
        <v>0</v>
      </c>
      <c r="AI60" s="710">
        <v>1267</v>
      </c>
      <c r="AJ60" s="710">
        <v>287</v>
      </c>
      <c r="AK60" s="710">
        <v>30</v>
      </c>
      <c r="AL60" s="710">
        <v>28</v>
      </c>
      <c r="AM60" s="710">
        <v>0</v>
      </c>
      <c r="AN60" s="710">
        <v>6</v>
      </c>
      <c r="AO60" s="710">
        <v>76</v>
      </c>
      <c r="AP60" s="711">
        <v>0</v>
      </c>
      <c r="AQ60" s="709"/>
      <c r="AR60" s="709"/>
      <c r="AS60" s="720">
        <v>2878</v>
      </c>
      <c r="AT60" s="710">
        <v>5899</v>
      </c>
      <c r="AU60" s="710">
        <v>5518</v>
      </c>
      <c r="AV60" s="710">
        <v>381</v>
      </c>
      <c r="AW60" s="710">
        <v>5968</v>
      </c>
      <c r="AX60" s="712">
        <v>14896</v>
      </c>
      <c r="AY60" s="683">
        <v>-59318</v>
      </c>
      <c r="AZ60" s="713">
        <v>-1890833</v>
      </c>
      <c r="BA60" s="714">
        <v>819272</v>
      </c>
      <c r="BB60" s="715">
        <v>54411450</v>
      </c>
      <c r="BC60" s="715">
        <v>177000</v>
      </c>
      <c r="BD60" s="716">
        <v>819271</v>
      </c>
      <c r="BE60" s="420"/>
      <c r="BF60" s="717" t="s">
        <v>779</v>
      </c>
      <c r="BG60" s="118" t="b">
        <v>1</v>
      </c>
      <c r="BH60" s="494"/>
      <c r="BI60" s="420"/>
      <c r="BJ60" s="420"/>
      <c r="BK60" s="420"/>
      <c r="BL60" s="420"/>
      <c r="BM60" s="420"/>
      <c r="BN60" s="420"/>
      <c r="BO60" s="420"/>
      <c r="BP60" s="420"/>
      <c r="BQ60" s="420"/>
      <c r="BR60" s="420"/>
      <c r="BS60" s="420"/>
      <c r="BT60" s="420"/>
      <c r="BU60" s="420"/>
      <c r="BV60" s="420"/>
      <c r="BW60" s="420"/>
      <c r="BX60" s="420"/>
      <c r="BY60" s="420"/>
      <c r="BZ60" s="420"/>
      <c r="CA60" s="420"/>
      <c r="CB60" s="420"/>
      <c r="CC60" s="420"/>
      <c r="CD60" s="420"/>
      <c r="CE60" s="420"/>
      <c r="CF60" s="420"/>
      <c r="CG60" s="420"/>
      <c r="CH60" s="420"/>
      <c r="CI60" s="420"/>
      <c r="CJ60" s="420"/>
      <c r="CK60" s="420"/>
      <c r="CL60" s="420"/>
      <c r="CM60" s="420"/>
      <c r="CN60" s="420"/>
      <c r="CO60" s="420"/>
      <c r="CP60" s="420"/>
      <c r="CQ60" s="420"/>
      <c r="CR60" s="420"/>
    </row>
    <row r="61" spans="1:97" s="118" customFormat="1" ht="12.75" x14ac:dyDescent="0.2">
      <c r="A61" s="705">
        <v>55</v>
      </c>
      <c r="B61" s="718" t="s">
        <v>546</v>
      </c>
      <c r="C61" s="719" t="s">
        <v>780</v>
      </c>
      <c r="D61" s="708">
        <v>495069</v>
      </c>
      <c r="E61" s="708">
        <v>387372000</v>
      </c>
      <c r="F61" s="133">
        <v>188760216</v>
      </c>
      <c r="G61" s="133">
        <v>-11200000</v>
      </c>
      <c r="H61" s="133">
        <v>3960930</v>
      </c>
      <c r="I61" s="133">
        <v>-7239070</v>
      </c>
      <c r="J61" s="133">
        <v>-10200000</v>
      </c>
      <c r="K61" s="133">
        <v>-65000</v>
      </c>
      <c r="L61" s="133">
        <v>-7000</v>
      </c>
      <c r="M61" s="133">
        <v>-150000</v>
      </c>
      <c r="N61" s="133">
        <v>-7000000</v>
      </c>
      <c r="O61" s="133">
        <v>-1000000</v>
      </c>
      <c r="P61" s="133">
        <v>-1300000</v>
      </c>
      <c r="Q61" s="133">
        <v>-15000</v>
      </c>
      <c r="R61" s="133">
        <v>-5000</v>
      </c>
      <c r="S61" s="133">
        <v>-11000</v>
      </c>
      <c r="T61" s="133">
        <v>-469826</v>
      </c>
      <c r="U61" s="133">
        <v>-219826</v>
      </c>
      <c r="V61" s="133">
        <v>0</v>
      </c>
      <c r="W61" s="709"/>
      <c r="X61" s="709"/>
      <c r="Y61" s="709"/>
      <c r="Z61" s="133">
        <v>0</v>
      </c>
      <c r="AA61" s="133">
        <v>-2000</v>
      </c>
      <c r="AB61" s="133">
        <v>164166320</v>
      </c>
      <c r="AC61" s="133">
        <v>-13400000</v>
      </c>
      <c r="AD61" s="709"/>
      <c r="AE61" s="710">
        <v>523</v>
      </c>
      <c r="AF61" s="711">
        <v>15</v>
      </c>
      <c r="AG61" s="710">
        <v>3</v>
      </c>
      <c r="AH61" s="710">
        <v>0</v>
      </c>
      <c r="AI61" s="710">
        <v>795</v>
      </c>
      <c r="AJ61" s="710">
        <v>408</v>
      </c>
      <c r="AK61" s="710">
        <v>47</v>
      </c>
      <c r="AL61" s="710">
        <v>15</v>
      </c>
      <c r="AM61" s="710">
        <v>3</v>
      </c>
      <c r="AN61" s="710">
        <v>4</v>
      </c>
      <c r="AO61" s="710">
        <v>3</v>
      </c>
      <c r="AP61" s="711">
        <v>1</v>
      </c>
      <c r="AQ61" s="709"/>
      <c r="AR61" s="709"/>
      <c r="AS61" s="720">
        <v>2976</v>
      </c>
      <c r="AT61" s="710">
        <v>4133</v>
      </c>
      <c r="AU61" s="710">
        <v>3888</v>
      </c>
      <c r="AV61" s="710">
        <v>245</v>
      </c>
      <c r="AW61" s="710">
        <v>4049</v>
      </c>
      <c r="AX61" s="712">
        <v>12140</v>
      </c>
      <c r="AY61" s="683">
        <v>-50000</v>
      </c>
      <c r="AZ61" s="713">
        <v>-1329984</v>
      </c>
      <c r="BA61" s="714">
        <v>-1338161</v>
      </c>
      <c r="BB61" s="715">
        <v>43185500</v>
      </c>
      <c r="BC61" s="715">
        <v>50000</v>
      </c>
      <c r="BD61" s="716">
        <v>-1338161</v>
      </c>
      <c r="BE61" s="420"/>
      <c r="BF61" s="717" t="s">
        <v>780</v>
      </c>
      <c r="BG61" s="118" t="b">
        <v>1</v>
      </c>
      <c r="BH61" s="494"/>
      <c r="BI61" s="420"/>
      <c r="BJ61" s="420"/>
      <c r="BK61" s="420"/>
      <c r="BL61" s="420"/>
      <c r="BM61" s="420"/>
      <c r="BN61" s="420"/>
      <c r="BO61" s="420"/>
      <c r="BP61" s="420"/>
      <c r="BQ61" s="420"/>
      <c r="BR61" s="420"/>
      <c r="BS61" s="420"/>
      <c r="BT61" s="420"/>
      <c r="BU61" s="420"/>
      <c r="BV61" s="420"/>
      <c r="BW61" s="420"/>
      <c r="BX61" s="420"/>
      <c r="BY61" s="420"/>
      <c r="BZ61" s="420"/>
      <c r="CA61" s="420"/>
      <c r="CB61" s="420"/>
      <c r="CC61" s="420"/>
      <c r="CD61" s="420"/>
      <c r="CE61" s="420"/>
      <c r="CF61" s="420"/>
      <c r="CG61" s="420"/>
      <c r="CH61" s="420"/>
      <c r="CI61" s="420"/>
      <c r="CJ61" s="420"/>
      <c r="CK61" s="420"/>
      <c r="CL61" s="420"/>
      <c r="CM61" s="420"/>
      <c r="CN61" s="420"/>
      <c r="CO61" s="420"/>
      <c r="CP61" s="420"/>
      <c r="CQ61" s="420"/>
      <c r="CR61" s="420"/>
    </row>
    <row r="62" spans="1:97" s="118" customFormat="1" ht="12.75" x14ac:dyDescent="0.2">
      <c r="A62" s="705">
        <v>56</v>
      </c>
      <c r="B62" s="718" t="s">
        <v>781</v>
      </c>
      <c r="C62" s="719" t="s">
        <v>782</v>
      </c>
      <c r="D62" s="708">
        <v>162600</v>
      </c>
      <c r="E62" s="708">
        <v>102183000</v>
      </c>
      <c r="F62" s="133">
        <v>50534116</v>
      </c>
      <c r="G62" s="133">
        <v>-4698979</v>
      </c>
      <c r="H62" s="133">
        <v>839408</v>
      </c>
      <c r="I62" s="133">
        <v>-3859571</v>
      </c>
      <c r="J62" s="133">
        <v>-2186565</v>
      </c>
      <c r="K62" s="133">
        <v>-42810</v>
      </c>
      <c r="L62" s="133">
        <v>-3974</v>
      </c>
      <c r="M62" s="133">
        <v>0</v>
      </c>
      <c r="N62" s="133">
        <v>-1601013</v>
      </c>
      <c r="O62" s="133">
        <v>-54896</v>
      </c>
      <c r="P62" s="133">
        <v>-97767</v>
      </c>
      <c r="Q62" s="133">
        <v>-93</v>
      </c>
      <c r="R62" s="133">
        <v>0</v>
      </c>
      <c r="S62" s="133">
        <v>0</v>
      </c>
      <c r="T62" s="133">
        <v>-26025</v>
      </c>
      <c r="U62" s="133">
        <v>0</v>
      </c>
      <c r="V62" s="133">
        <v>0</v>
      </c>
      <c r="W62" s="709"/>
      <c r="X62" s="709"/>
      <c r="Y62" s="709"/>
      <c r="Z62" s="133">
        <v>-3974</v>
      </c>
      <c r="AA62" s="133">
        <v>-1500</v>
      </c>
      <c r="AB62" s="133">
        <v>41010888</v>
      </c>
      <c r="AC62" s="133">
        <v>-1914388</v>
      </c>
      <c r="AD62" s="709"/>
      <c r="AE62" s="710">
        <v>177</v>
      </c>
      <c r="AF62" s="711">
        <v>5</v>
      </c>
      <c r="AG62" s="710">
        <v>4</v>
      </c>
      <c r="AH62" s="710">
        <v>0</v>
      </c>
      <c r="AI62" s="710">
        <v>249</v>
      </c>
      <c r="AJ62" s="710">
        <v>42</v>
      </c>
      <c r="AK62" s="710">
        <v>3</v>
      </c>
      <c r="AL62" s="710">
        <v>2</v>
      </c>
      <c r="AM62" s="710">
        <v>0</v>
      </c>
      <c r="AN62" s="710">
        <v>0</v>
      </c>
      <c r="AO62" s="710">
        <v>0</v>
      </c>
      <c r="AP62" s="711">
        <v>2</v>
      </c>
      <c r="AQ62" s="709"/>
      <c r="AR62" s="709"/>
      <c r="AS62" s="720">
        <v>867</v>
      </c>
      <c r="AT62" s="710">
        <v>1871</v>
      </c>
      <c r="AU62" s="710">
        <v>1783</v>
      </c>
      <c r="AV62" s="710">
        <v>88</v>
      </c>
      <c r="AW62" s="710">
        <v>1523</v>
      </c>
      <c r="AX62" s="712">
        <v>4289</v>
      </c>
      <c r="AY62" s="683">
        <v>-23129</v>
      </c>
      <c r="AZ62" s="713">
        <v>-2587322</v>
      </c>
      <c r="BA62" s="714">
        <v>-2095096</v>
      </c>
      <c r="BB62" s="715">
        <v>17142250</v>
      </c>
      <c r="BC62" s="715">
        <v>0</v>
      </c>
      <c r="BD62" s="716">
        <v>-2095095</v>
      </c>
      <c r="BE62" s="420"/>
      <c r="BF62" s="717" t="s">
        <v>782</v>
      </c>
      <c r="BG62" s="118" t="b">
        <v>1</v>
      </c>
      <c r="BH62" s="494"/>
      <c r="BI62" s="420"/>
      <c r="BJ62" s="420"/>
      <c r="BK62" s="420"/>
      <c r="BL62" s="420"/>
      <c r="BM62" s="420"/>
      <c r="BN62" s="420"/>
      <c r="BO62" s="420"/>
      <c r="BP62" s="420"/>
      <c r="BQ62" s="420"/>
      <c r="BR62" s="420"/>
      <c r="BS62" s="420"/>
      <c r="BT62" s="420"/>
      <c r="BU62" s="420"/>
      <c r="BV62" s="420"/>
      <c r="BW62" s="420"/>
      <c r="BX62" s="420"/>
      <c r="BY62" s="420"/>
      <c r="BZ62" s="420"/>
      <c r="CA62" s="420"/>
      <c r="CB62" s="420"/>
      <c r="CC62" s="420"/>
      <c r="CD62" s="420"/>
      <c r="CE62" s="420"/>
      <c r="CF62" s="420"/>
      <c r="CG62" s="420"/>
      <c r="CH62" s="420"/>
      <c r="CI62" s="420"/>
      <c r="CJ62" s="420"/>
      <c r="CK62" s="420"/>
      <c r="CL62" s="420"/>
      <c r="CM62" s="420"/>
      <c r="CN62" s="420"/>
      <c r="CO62" s="420"/>
      <c r="CP62" s="420"/>
      <c r="CQ62" s="420"/>
      <c r="CR62" s="420"/>
    </row>
    <row r="63" spans="1:97" s="118" customFormat="1" ht="12.75" x14ac:dyDescent="0.2">
      <c r="A63" s="705">
        <v>57</v>
      </c>
      <c r="B63" s="718" t="s">
        <v>783</v>
      </c>
      <c r="C63" s="719" t="s">
        <v>784</v>
      </c>
      <c r="D63" s="708">
        <v>199183</v>
      </c>
      <c r="E63" s="708">
        <v>128919000</v>
      </c>
      <c r="F63" s="133">
        <v>63627523</v>
      </c>
      <c r="G63" s="133">
        <v>-5509414</v>
      </c>
      <c r="H63" s="133">
        <v>1136108</v>
      </c>
      <c r="I63" s="133">
        <v>-4373306</v>
      </c>
      <c r="J63" s="133">
        <v>-4737485</v>
      </c>
      <c r="K63" s="133">
        <v>-42125</v>
      </c>
      <c r="L63" s="133">
        <v>-19668</v>
      </c>
      <c r="M63" s="133">
        <v>-35000</v>
      </c>
      <c r="N63" s="133">
        <v>-1121558</v>
      </c>
      <c r="O63" s="133">
        <v>-6000</v>
      </c>
      <c r="P63" s="133">
        <v>-6000</v>
      </c>
      <c r="Q63" s="133">
        <v>-6000</v>
      </c>
      <c r="R63" s="133">
        <v>0</v>
      </c>
      <c r="S63" s="133">
        <v>-6000</v>
      </c>
      <c r="T63" s="133">
        <v>-6000</v>
      </c>
      <c r="U63" s="133">
        <v>0</v>
      </c>
      <c r="V63" s="133">
        <v>0</v>
      </c>
      <c r="W63" s="709"/>
      <c r="X63" s="709"/>
      <c r="Y63" s="709"/>
      <c r="Z63" s="133">
        <v>-19668</v>
      </c>
      <c r="AA63" s="133">
        <v>-3000</v>
      </c>
      <c r="AB63" s="133">
        <v>49988108</v>
      </c>
      <c r="AC63" s="133">
        <v>-1960000</v>
      </c>
      <c r="AD63" s="709"/>
      <c r="AE63" s="710">
        <v>248</v>
      </c>
      <c r="AF63" s="711">
        <v>21</v>
      </c>
      <c r="AG63" s="710">
        <v>15</v>
      </c>
      <c r="AH63" s="710">
        <v>0</v>
      </c>
      <c r="AI63" s="710">
        <v>203</v>
      </c>
      <c r="AJ63" s="710">
        <v>0</v>
      </c>
      <c r="AK63" s="710">
        <v>0</v>
      </c>
      <c r="AL63" s="710">
        <v>0</v>
      </c>
      <c r="AM63" s="710">
        <v>17</v>
      </c>
      <c r="AN63" s="710">
        <v>0</v>
      </c>
      <c r="AO63" s="710">
        <v>0</v>
      </c>
      <c r="AP63" s="711">
        <v>0</v>
      </c>
      <c r="AQ63" s="709"/>
      <c r="AR63" s="709"/>
      <c r="AS63" s="720">
        <v>996</v>
      </c>
      <c r="AT63" s="710">
        <v>2266</v>
      </c>
      <c r="AU63" s="710">
        <v>2151</v>
      </c>
      <c r="AV63" s="710">
        <v>115</v>
      </c>
      <c r="AW63" s="710">
        <v>1877</v>
      </c>
      <c r="AX63" s="712">
        <v>5215</v>
      </c>
      <c r="AY63" s="683">
        <v>-57126</v>
      </c>
      <c r="AZ63" s="713">
        <v>59632</v>
      </c>
      <c r="BA63" s="714">
        <v>349123.60999999195</v>
      </c>
      <c r="BB63" s="715">
        <v>19601051</v>
      </c>
      <c r="BC63" s="715">
        <v>0</v>
      </c>
      <c r="BD63" s="716">
        <v>349122.80999999493</v>
      </c>
      <c r="BE63" s="420"/>
      <c r="BF63" s="717" t="s">
        <v>784</v>
      </c>
      <c r="BG63" s="118" t="b">
        <v>1</v>
      </c>
      <c r="BH63" s="494"/>
      <c r="BI63" s="420"/>
      <c r="BJ63" s="420"/>
      <c r="BK63" s="420"/>
      <c r="BL63" s="420"/>
      <c r="BM63" s="420"/>
      <c r="BN63" s="420"/>
      <c r="BO63" s="420"/>
      <c r="BP63" s="420"/>
      <c r="BQ63" s="420"/>
      <c r="BR63" s="420"/>
      <c r="BS63" s="420"/>
      <c r="BT63" s="420"/>
      <c r="BU63" s="420"/>
      <c r="BV63" s="420"/>
      <c r="BW63" s="420"/>
      <c r="BX63" s="420"/>
      <c r="BY63" s="420"/>
      <c r="BZ63" s="420"/>
      <c r="CA63" s="420"/>
      <c r="CB63" s="420"/>
      <c r="CC63" s="420"/>
      <c r="CD63" s="420"/>
      <c r="CE63" s="420"/>
      <c r="CF63" s="420"/>
      <c r="CG63" s="420"/>
      <c r="CH63" s="420"/>
      <c r="CI63" s="420"/>
      <c r="CJ63" s="420"/>
      <c r="CK63" s="420"/>
      <c r="CL63" s="420"/>
      <c r="CM63" s="420"/>
      <c r="CN63" s="420"/>
      <c r="CO63" s="420"/>
      <c r="CP63" s="420"/>
      <c r="CQ63" s="420"/>
      <c r="CR63" s="420"/>
    </row>
    <row r="64" spans="1:97" s="737" customFormat="1" ht="12.75" x14ac:dyDescent="0.2">
      <c r="A64" s="705">
        <v>58</v>
      </c>
      <c r="B64" s="718" t="s">
        <v>787</v>
      </c>
      <c r="C64" s="719" t="s">
        <v>788</v>
      </c>
      <c r="D64" s="708">
        <v>129101</v>
      </c>
      <c r="E64" s="708">
        <v>66891000</v>
      </c>
      <c r="F64" s="133">
        <v>32910686</v>
      </c>
      <c r="G64" s="133">
        <v>-3675685</v>
      </c>
      <c r="H64" s="133">
        <v>557663</v>
      </c>
      <c r="I64" s="133">
        <v>-3118022</v>
      </c>
      <c r="J64" s="133">
        <v>-2327672</v>
      </c>
      <c r="K64" s="133">
        <v>-31752</v>
      </c>
      <c r="L64" s="133">
        <v>-5607</v>
      </c>
      <c r="M64" s="133">
        <v>0</v>
      </c>
      <c r="N64" s="133">
        <v>-552225</v>
      </c>
      <c r="O64" s="133">
        <v>-13081</v>
      </c>
      <c r="P64" s="133">
        <v>0</v>
      </c>
      <c r="Q64" s="133">
        <v>0</v>
      </c>
      <c r="R64" s="133">
        <v>0</v>
      </c>
      <c r="S64" s="133">
        <v>0</v>
      </c>
      <c r="T64" s="133">
        <v>0</v>
      </c>
      <c r="U64" s="133">
        <v>0</v>
      </c>
      <c r="V64" s="133">
        <v>0</v>
      </c>
      <c r="W64" s="709"/>
      <c r="X64" s="709"/>
      <c r="Y64" s="709"/>
      <c r="Z64" s="133">
        <v>-5607</v>
      </c>
      <c r="AA64" s="133">
        <v>0</v>
      </c>
      <c r="AB64" s="133">
        <v>26330874</v>
      </c>
      <c r="AC64" s="133">
        <v>-1238000</v>
      </c>
      <c r="AD64" s="709"/>
      <c r="AE64" s="710">
        <v>178</v>
      </c>
      <c r="AF64" s="711">
        <v>19</v>
      </c>
      <c r="AG64" s="710">
        <v>5</v>
      </c>
      <c r="AH64" s="710">
        <v>0</v>
      </c>
      <c r="AI64" s="710">
        <v>227</v>
      </c>
      <c r="AJ64" s="710">
        <v>14</v>
      </c>
      <c r="AK64" s="710">
        <v>0</v>
      </c>
      <c r="AL64" s="710">
        <v>0</v>
      </c>
      <c r="AM64" s="710">
        <v>0</v>
      </c>
      <c r="AN64" s="710">
        <v>0</v>
      </c>
      <c r="AO64" s="710">
        <v>0</v>
      </c>
      <c r="AP64" s="711">
        <v>0</v>
      </c>
      <c r="AQ64" s="709"/>
      <c r="AR64" s="709"/>
      <c r="AS64" s="720">
        <v>696</v>
      </c>
      <c r="AT64" s="710">
        <v>1623</v>
      </c>
      <c r="AU64" s="710">
        <v>1578</v>
      </c>
      <c r="AV64" s="710">
        <v>45</v>
      </c>
      <c r="AW64" s="710">
        <v>1220</v>
      </c>
      <c r="AX64" s="712">
        <v>3537</v>
      </c>
      <c r="AY64" s="683">
        <v>-23540</v>
      </c>
      <c r="AZ64" s="713">
        <v>-584891</v>
      </c>
      <c r="BA64" s="714">
        <v>-584886</v>
      </c>
      <c r="BB64" s="715">
        <v>10659850</v>
      </c>
      <c r="BC64" s="715">
        <v>0</v>
      </c>
      <c r="BD64" s="716">
        <v>-584885</v>
      </c>
      <c r="BE64" s="420"/>
      <c r="BF64" s="717" t="s">
        <v>788</v>
      </c>
      <c r="BG64" s="118" t="b">
        <v>1</v>
      </c>
      <c r="BH64" s="494"/>
      <c r="BI64" s="420"/>
      <c r="BJ64" s="420"/>
      <c r="BK64" s="420"/>
      <c r="BL64" s="420"/>
      <c r="BM64" s="420"/>
      <c r="BN64" s="420"/>
      <c r="BO64" s="420"/>
      <c r="BP64" s="420"/>
      <c r="BQ64" s="420"/>
      <c r="BR64" s="420"/>
      <c r="BS64" s="420"/>
      <c r="BT64" s="420"/>
      <c r="BU64" s="420"/>
      <c r="BV64" s="420"/>
      <c r="BW64" s="420"/>
      <c r="BX64" s="420"/>
      <c r="BY64" s="420"/>
      <c r="BZ64" s="420"/>
      <c r="CA64" s="420"/>
      <c r="CB64" s="420"/>
      <c r="CC64" s="420"/>
      <c r="CD64" s="420"/>
      <c r="CE64" s="420"/>
      <c r="CF64" s="420"/>
      <c r="CG64" s="420"/>
      <c r="CH64" s="420"/>
      <c r="CI64" s="420"/>
      <c r="CJ64" s="420"/>
      <c r="CK64" s="420"/>
      <c r="CL64" s="420"/>
      <c r="CM64" s="420"/>
      <c r="CN64" s="420"/>
      <c r="CO64" s="420"/>
      <c r="CP64" s="420"/>
      <c r="CQ64" s="420"/>
      <c r="CR64" s="420"/>
      <c r="CS64" s="118"/>
    </row>
    <row r="65" spans="1:96" s="118" customFormat="1" ht="12.75" x14ac:dyDescent="0.2">
      <c r="A65" s="705">
        <v>59</v>
      </c>
      <c r="B65" s="718" t="s">
        <v>789</v>
      </c>
      <c r="C65" s="719" t="s">
        <v>0</v>
      </c>
      <c r="D65" s="708">
        <v>2021605</v>
      </c>
      <c r="E65" s="708">
        <v>2595347000</v>
      </c>
      <c r="F65" s="133">
        <v>1287129681</v>
      </c>
      <c r="G65" s="133">
        <v>-982613</v>
      </c>
      <c r="H65" s="133">
        <v>31008873</v>
      </c>
      <c r="I65" s="133">
        <v>30026260</v>
      </c>
      <c r="J65" s="133">
        <v>-16720344</v>
      </c>
      <c r="K65" s="133">
        <v>0</v>
      </c>
      <c r="L65" s="133">
        <v>0</v>
      </c>
      <c r="M65" s="133">
        <v>-1718798</v>
      </c>
      <c r="N65" s="133">
        <v>-48697347</v>
      </c>
      <c r="O65" s="133">
        <v>-183930</v>
      </c>
      <c r="P65" s="133">
        <v>-59020</v>
      </c>
      <c r="Q65" s="133">
        <v>0</v>
      </c>
      <c r="R65" s="133">
        <v>0</v>
      </c>
      <c r="S65" s="133">
        <v>0</v>
      </c>
      <c r="T65" s="133">
        <v>0</v>
      </c>
      <c r="U65" s="133">
        <v>0</v>
      </c>
      <c r="V65" s="133">
        <v>0</v>
      </c>
      <c r="W65" s="709"/>
      <c r="X65" s="709"/>
      <c r="Y65" s="709"/>
      <c r="Z65" s="133">
        <v>0</v>
      </c>
      <c r="AA65" s="133">
        <v>0</v>
      </c>
      <c r="AB65" s="133">
        <v>1234560202</v>
      </c>
      <c r="AC65" s="133">
        <v>-58828751</v>
      </c>
      <c r="AD65" s="709"/>
      <c r="AE65" s="710">
        <v>246</v>
      </c>
      <c r="AF65" s="711">
        <v>0</v>
      </c>
      <c r="AG65" s="710">
        <v>0</v>
      </c>
      <c r="AH65" s="710">
        <v>84</v>
      </c>
      <c r="AI65" s="710">
        <v>3916</v>
      </c>
      <c r="AJ65" s="710">
        <v>30</v>
      </c>
      <c r="AK65" s="710">
        <v>7</v>
      </c>
      <c r="AL65" s="710">
        <v>0</v>
      </c>
      <c r="AM65" s="710">
        <v>0</v>
      </c>
      <c r="AN65" s="710">
        <v>0</v>
      </c>
      <c r="AO65" s="710">
        <v>0</v>
      </c>
      <c r="AP65" s="711">
        <v>0</v>
      </c>
      <c r="AQ65" s="709"/>
      <c r="AR65" s="709"/>
      <c r="AS65" s="720">
        <v>9500</v>
      </c>
      <c r="AT65" s="710">
        <v>286</v>
      </c>
      <c r="AU65" s="710">
        <v>226</v>
      </c>
      <c r="AV65" s="710">
        <v>60</v>
      </c>
      <c r="AW65" s="710">
        <v>10957</v>
      </c>
      <c r="AX65" s="712">
        <v>22044</v>
      </c>
      <c r="AY65" s="683">
        <v>-24524</v>
      </c>
      <c r="AZ65" s="713">
        <v>40708289</v>
      </c>
      <c r="BA65" s="714">
        <v>45429295</v>
      </c>
      <c r="BB65" s="715">
        <v>63784850</v>
      </c>
      <c r="BC65" s="715">
        <v>0</v>
      </c>
      <c r="BD65" s="716">
        <v>45429297</v>
      </c>
      <c r="BE65" s="420"/>
      <c r="BF65" s="717" t="s">
        <v>0</v>
      </c>
      <c r="BG65" s="118" t="b">
        <v>1</v>
      </c>
      <c r="BH65" s="494"/>
      <c r="BI65" s="420"/>
      <c r="BJ65" s="420"/>
      <c r="BK65" s="420"/>
      <c r="BL65" s="420"/>
      <c r="BM65" s="420"/>
      <c r="BN65" s="420"/>
      <c r="BO65" s="420"/>
      <c r="BP65" s="420"/>
      <c r="BQ65" s="420"/>
      <c r="BR65" s="420"/>
      <c r="BS65" s="420"/>
      <c r="BT65" s="420"/>
      <c r="BU65" s="420"/>
      <c r="BV65" s="420"/>
      <c r="BW65" s="420"/>
      <c r="BX65" s="420"/>
      <c r="BY65" s="420"/>
      <c r="BZ65" s="420"/>
      <c r="CA65" s="420"/>
      <c r="CB65" s="420"/>
      <c r="CC65" s="420"/>
      <c r="CD65" s="420"/>
      <c r="CE65" s="420"/>
      <c r="CF65" s="420"/>
      <c r="CG65" s="420"/>
      <c r="CH65" s="420"/>
      <c r="CI65" s="420"/>
      <c r="CJ65" s="420"/>
      <c r="CK65" s="420"/>
      <c r="CL65" s="420"/>
      <c r="CM65" s="420"/>
      <c r="CN65" s="420"/>
      <c r="CO65" s="420"/>
      <c r="CP65" s="420"/>
      <c r="CQ65" s="420"/>
      <c r="CR65" s="420"/>
    </row>
    <row r="66" spans="1:96" s="118" customFormat="1" ht="12.75" x14ac:dyDescent="0.2">
      <c r="A66" s="705">
        <v>60</v>
      </c>
      <c r="B66" s="718" t="s">
        <v>1</v>
      </c>
      <c r="C66" s="719" t="s">
        <v>2</v>
      </c>
      <c r="D66" s="708">
        <v>241096</v>
      </c>
      <c r="E66" s="708">
        <v>165465000</v>
      </c>
      <c r="F66" s="133">
        <v>79942180</v>
      </c>
      <c r="G66" s="133">
        <v>-5986740</v>
      </c>
      <c r="H66" s="133">
        <v>1500538</v>
      </c>
      <c r="I66" s="133">
        <v>-4486202</v>
      </c>
      <c r="J66" s="133">
        <v>-6598654</v>
      </c>
      <c r="K66" s="133">
        <v>-58776</v>
      </c>
      <c r="L66" s="133">
        <v>-5715</v>
      </c>
      <c r="M66" s="133">
        <v>-32000</v>
      </c>
      <c r="N66" s="133">
        <v>-1366090</v>
      </c>
      <c r="O66" s="133">
        <v>-240234</v>
      </c>
      <c r="P66" s="133">
        <v>0</v>
      </c>
      <c r="Q66" s="133">
        <v>-14180</v>
      </c>
      <c r="R66" s="133">
        <v>0</v>
      </c>
      <c r="S66" s="133">
        <v>0</v>
      </c>
      <c r="T66" s="133">
        <v>0</v>
      </c>
      <c r="U66" s="133">
        <v>0</v>
      </c>
      <c r="V66" s="133">
        <v>0</v>
      </c>
      <c r="W66" s="709"/>
      <c r="X66" s="709"/>
      <c r="Y66" s="709"/>
      <c r="Z66" s="133">
        <v>-5715</v>
      </c>
      <c r="AA66" s="133">
        <v>-1500</v>
      </c>
      <c r="AB66" s="133">
        <v>65934054</v>
      </c>
      <c r="AC66" s="133">
        <v>-2010000</v>
      </c>
      <c r="AD66" s="709"/>
      <c r="AE66" s="710">
        <v>307</v>
      </c>
      <c r="AF66" s="711">
        <v>18</v>
      </c>
      <c r="AG66" s="710">
        <v>7</v>
      </c>
      <c r="AH66" s="710">
        <v>0</v>
      </c>
      <c r="AI66" s="710">
        <v>225</v>
      </c>
      <c r="AJ66" s="710">
        <v>151</v>
      </c>
      <c r="AK66" s="710">
        <v>0</v>
      </c>
      <c r="AL66" s="710">
        <v>16</v>
      </c>
      <c r="AM66" s="710">
        <v>0</v>
      </c>
      <c r="AN66" s="710">
        <v>0</v>
      </c>
      <c r="AO66" s="710">
        <v>0</v>
      </c>
      <c r="AP66" s="711">
        <v>0</v>
      </c>
      <c r="AQ66" s="709"/>
      <c r="AR66" s="709"/>
      <c r="AS66" s="720">
        <v>1266</v>
      </c>
      <c r="AT66" s="710">
        <v>2643</v>
      </c>
      <c r="AU66" s="710">
        <v>2473</v>
      </c>
      <c r="AV66" s="710">
        <v>170</v>
      </c>
      <c r="AW66" s="710">
        <v>2160</v>
      </c>
      <c r="AX66" s="712">
        <v>6125</v>
      </c>
      <c r="AY66" s="683">
        <v>-25207</v>
      </c>
      <c r="AZ66" s="713">
        <v>1441294</v>
      </c>
      <c r="BA66" s="714">
        <v>-1891900</v>
      </c>
      <c r="BB66" s="715">
        <v>24316700</v>
      </c>
      <c r="BC66" s="715">
        <v>0</v>
      </c>
      <c r="BD66" s="716">
        <v>-1891900</v>
      </c>
      <c r="BE66" s="420"/>
      <c r="BF66" s="717" t="s">
        <v>2</v>
      </c>
      <c r="BG66" s="118" t="b">
        <v>1</v>
      </c>
      <c r="BH66" s="494"/>
      <c r="BI66" s="420"/>
      <c r="BJ66" s="420"/>
      <c r="BK66" s="420"/>
      <c r="BL66" s="420"/>
      <c r="BM66" s="420"/>
      <c r="BN66" s="420"/>
      <c r="BO66" s="420"/>
      <c r="BP66" s="420"/>
      <c r="BQ66" s="420"/>
      <c r="BR66" s="420"/>
      <c r="BS66" s="420"/>
      <c r="BT66" s="420"/>
      <c r="BU66" s="420"/>
      <c r="BV66" s="420"/>
      <c r="BW66" s="420"/>
      <c r="BX66" s="420"/>
      <c r="BY66" s="420"/>
      <c r="BZ66" s="420"/>
      <c r="CA66" s="420"/>
      <c r="CB66" s="420"/>
      <c r="CC66" s="420"/>
      <c r="CD66" s="420"/>
      <c r="CE66" s="420"/>
      <c r="CF66" s="420"/>
      <c r="CG66" s="420"/>
      <c r="CH66" s="420"/>
      <c r="CI66" s="420"/>
      <c r="CJ66" s="420"/>
      <c r="CK66" s="420"/>
      <c r="CL66" s="420"/>
      <c r="CM66" s="420"/>
      <c r="CN66" s="420"/>
      <c r="CO66" s="420"/>
      <c r="CP66" s="420"/>
      <c r="CQ66" s="420"/>
      <c r="CR66" s="420"/>
    </row>
    <row r="67" spans="1:96" s="118" customFormat="1" ht="12.75" x14ac:dyDescent="0.2">
      <c r="A67" s="705">
        <v>61</v>
      </c>
      <c r="B67" s="718" t="s">
        <v>3</v>
      </c>
      <c r="C67" s="719" t="s">
        <v>4</v>
      </c>
      <c r="D67" s="708">
        <v>101274</v>
      </c>
      <c r="E67" s="708">
        <v>84072000</v>
      </c>
      <c r="F67" s="133">
        <v>41440199</v>
      </c>
      <c r="G67" s="133">
        <v>-2337828</v>
      </c>
      <c r="H67" s="133">
        <v>875461</v>
      </c>
      <c r="I67" s="133">
        <v>-1462367</v>
      </c>
      <c r="J67" s="133">
        <v>-1119619</v>
      </c>
      <c r="K67" s="133">
        <v>-69744</v>
      </c>
      <c r="L67" s="133">
        <v>-18823</v>
      </c>
      <c r="M67" s="133">
        <v>0</v>
      </c>
      <c r="N67" s="133">
        <v>-405514</v>
      </c>
      <c r="O67" s="133">
        <v>-1679</v>
      </c>
      <c r="P67" s="133">
        <v>0</v>
      </c>
      <c r="Q67" s="133">
        <v>0</v>
      </c>
      <c r="R67" s="133">
        <v>0</v>
      </c>
      <c r="S67" s="133">
        <v>0</v>
      </c>
      <c r="T67" s="133">
        <v>0</v>
      </c>
      <c r="U67" s="133">
        <v>0</v>
      </c>
      <c r="V67" s="133">
        <v>0</v>
      </c>
      <c r="W67" s="709"/>
      <c r="X67" s="709"/>
      <c r="Y67" s="709"/>
      <c r="Z67" s="133">
        <v>-18823</v>
      </c>
      <c r="AA67" s="133">
        <v>0</v>
      </c>
      <c r="AB67" s="133">
        <v>41759746</v>
      </c>
      <c r="AC67" s="133">
        <v>-1687893</v>
      </c>
      <c r="AD67" s="709"/>
      <c r="AE67" s="710">
        <v>169</v>
      </c>
      <c r="AF67" s="711">
        <v>17</v>
      </c>
      <c r="AG67" s="710">
        <v>20</v>
      </c>
      <c r="AH67" s="710">
        <v>0</v>
      </c>
      <c r="AI67" s="710">
        <v>118</v>
      </c>
      <c r="AJ67" s="710">
        <v>3</v>
      </c>
      <c r="AK67" s="710">
        <v>0</v>
      </c>
      <c r="AL67" s="710">
        <v>0</v>
      </c>
      <c r="AM67" s="710">
        <v>0</v>
      </c>
      <c r="AN67" s="710">
        <v>0</v>
      </c>
      <c r="AO67" s="710">
        <v>0</v>
      </c>
      <c r="AP67" s="711">
        <v>0</v>
      </c>
      <c r="AQ67" s="709"/>
      <c r="AR67" s="709"/>
      <c r="AS67" s="720">
        <v>512</v>
      </c>
      <c r="AT67" s="710">
        <v>1076</v>
      </c>
      <c r="AU67" s="710">
        <v>1038</v>
      </c>
      <c r="AV67" s="710">
        <v>38</v>
      </c>
      <c r="AW67" s="710">
        <v>880</v>
      </c>
      <c r="AX67" s="712">
        <v>2483</v>
      </c>
      <c r="AY67" s="683">
        <v>-16557</v>
      </c>
      <c r="AZ67" s="713">
        <v>-436460</v>
      </c>
      <c r="BA67" s="714">
        <v>-628481</v>
      </c>
      <c r="BB67" s="715">
        <v>6913500</v>
      </c>
      <c r="BC67" s="715">
        <v>0</v>
      </c>
      <c r="BD67" s="716">
        <v>-613549</v>
      </c>
      <c r="BE67" s="420"/>
      <c r="BF67" s="717" t="s">
        <v>4</v>
      </c>
      <c r="BG67" s="118" t="b">
        <v>1</v>
      </c>
      <c r="BH67" s="494"/>
      <c r="BI67" s="420"/>
      <c r="BJ67" s="420"/>
      <c r="BK67" s="420"/>
      <c r="BL67" s="420"/>
      <c r="BM67" s="420"/>
      <c r="BN67" s="420"/>
      <c r="BO67" s="420"/>
      <c r="BP67" s="420"/>
      <c r="BQ67" s="420"/>
      <c r="BR67" s="420"/>
      <c r="BS67" s="420"/>
      <c r="BT67" s="420"/>
      <c r="BU67" s="420"/>
      <c r="BV67" s="420"/>
      <c r="BW67" s="420"/>
      <c r="BX67" s="420"/>
      <c r="BY67" s="420"/>
      <c r="BZ67" s="420"/>
      <c r="CA67" s="420"/>
      <c r="CB67" s="420"/>
      <c r="CC67" s="420"/>
      <c r="CD67" s="420"/>
      <c r="CE67" s="420"/>
      <c r="CF67" s="420"/>
      <c r="CG67" s="420"/>
      <c r="CH67" s="420"/>
      <c r="CI67" s="420"/>
      <c r="CJ67" s="420"/>
      <c r="CK67" s="420"/>
      <c r="CL67" s="420"/>
      <c r="CM67" s="420"/>
      <c r="CN67" s="420"/>
      <c r="CO67" s="420"/>
      <c r="CP67" s="420"/>
      <c r="CQ67" s="420"/>
      <c r="CR67" s="420"/>
    </row>
    <row r="68" spans="1:96" s="118" customFormat="1" ht="12.75" x14ac:dyDescent="0.2">
      <c r="A68" s="705">
        <v>62</v>
      </c>
      <c r="B68" s="718" t="s">
        <v>5</v>
      </c>
      <c r="C68" s="719" t="s">
        <v>6</v>
      </c>
      <c r="D68" s="708">
        <v>87272</v>
      </c>
      <c r="E68" s="708">
        <v>85262000</v>
      </c>
      <c r="F68" s="133">
        <v>41735000</v>
      </c>
      <c r="G68" s="133">
        <v>-1885224</v>
      </c>
      <c r="H68" s="133">
        <v>873910</v>
      </c>
      <c r="I68" s="133">
        <v>-1011314</v>
      </c>
      <c r="J68" s="133">
        <v>-2183898</v>
      </c>
      <c r="K68" s="133">
        <v>0</v>
      </c>
      <c r="L68" s="133">
        <v>0</v>
      </c>
      <c r="M68" s="133">
        <v>-500000</v>
      </c>
      <c r="N68" s="133">
        <v>-273033</v>
      </c>
      <c r="O68" s="133">
        <v>-4914</v>
      </c>
      <c r="P68" s="133">
        <v>-7463</v>
      </c>
      <c r="Q68" s="133">
        <v>0</v>
      </c>
      <c r="R68" s="133">
        <v>0</v>
      </c>
      <c r="S68" s="133">
        <v>0</v>
      </c>
      <c r="T68" s="133">
        <v>0</v>
      </c>
      <c r="U68" s="133">
        <v>0</v>
      </c>
      <c r="V68" s="133">
        <v>0</v>
      </c>
      <c r="W68" s="709"/>
      <c r="X68" s="709"/>
      <c r="Y68" s="709"/>
      <c r="Z68" s="133">
        <v>0</v>
      </c>
      <c r="AA68" s="133">
        <v>0</v>
      </c>
      <c r="AB68" s="133">
        <v>37885491</v>
      </c>
      <c r="AC68" s="133">
        <v>-700000</v>
      </c>
      <c r="AD68" s="709"/>
      <c r="AE68" s="710">
        <v>90</v>
      </c>
      <c r="AF68" s="711">
        <v>0</v>
      </c>
      <c r="AG68" s="710">
        <v>0</v>
      </c>
      <c r="AH68" s="710">
        <v>0</v>
      </c>
      <c r="AI68" s="710">
        <v>83</v>
      </c>
      <c r="AJ68" s="710">
        <v>1</v>
      </c>
      <c r="AK68" s="710">
        <v>1</v>
      </c>
      <c r="AL68" s="710">
        <v>0</v>
      </c>
      <c r="AM68" s="710">
        <v>0</v>
      </c>
      <c r="AN68" s="710">
        <v>0</v>
      </c>
      <c r="AO68" s="710">
        <v>0</v>
      </c>
      <c r="AP68" s="711">
        <v>0</v>
      </c>
      <c r="AQ68" s="709"/>
      <c r="AR68" s="709"/>
      <c r="AS68" s="720">
        <v>23</v>
      </c>
      <c r="AT68" s="710">
        <v>728</v>
      </c>
      <c r="AU68" s="710">
        <v>689</v>
      </c>
      <c r="AV68" s="710">
        <v>39</v>
      </c>
      <c r="AW68" s="710">
        <v>1224</v>
      </c>
      <c r="AX68" s="712">
        <v>1980</v>
      </c>
      <c r="AY68" s="683">
        <v>0</v>
      </c>
      <c r="AZ68" s="713">
        <v>2693559</v>
      </c>
      <c r="BA68" s="714">
        <v>4323042</v>
      </c>
      <c r="BB68" s="715">
        <v>0</v>
      </c>
      <c r="BC68" s="715">
        <v>0</v>
      </c>
      <c r="BD68" s="716">
        <v>4323042</v>
      </c>
      <c r="BE68" s="420"/>
      <c r="BF68" s="717" t="s">
        <v>6</v>
      </c>
      <c r="BG68" s="118" t="b">
        <v>1</v>
      </c>
      <c r="BH68" s="494"/>
      <c r="BI68" s="420"/>
      <c r="BJ68" s="420"/>
      <c r="BK68" s="420"/>
      <c r="BL68" s="420"/>
      <c r="BM68" s="420"/>
      <c r="BN68" s="420"/>
      <c r="BO68" s="420"/>
      <c r="BP68" s="420"/>
      <c r="BQ68" s="420"/>
      <c r="BR68" s="420"/>
      <c r="BS68" s="420"/>
      <c r="BT68" s="420"/>
      <c r="BU68" s="420"/>
      <c r="BV68" s="420"/>
      <c r="BW68" s="420"/>
      <c r="BX68" s="420"/>
      <c r="BY68" s="420"/>
      <c r="BZ68" s="420"/>
      <c r="CA68" s="420"/>
      <c r="CB68" s="420"/>
      <c r="CC68" s="420"/>
      <c r="CD68" s="420"/>
      <c r="CE68" s="420"/>
      <c r="CF68" s="420"/>
      <c r="CG68" s="420"/>
      <c r="CH68" s="420"/>
      <c r="CI68" s="420"/>
      <c r="CJ68" s="420"/>
      <c r="CK68" s="420"/>
      <c r="CL68" s="420"/>
      <c r="CM68" s="420"/>
      <c r="CN68" s="420"/>
      <c r="CO68" s="420"/>
      <c r="CP68" s="420"/>
      <c r="CQ68" s="420"/>
      <c r="CR68" s="420"/>
    </row>
    <row r="69" spans="1:96" s="118" customFormat="1" ht="12.75" x14ac:dyDescent="0.2">
      <c r="A69" s="705">
        <v>63</v>
      </c>
      <c r="B69" s="718" t="s">
        <v>7</v>
      </c>
      <c r="C69" s="719" t="s">
        <v>8</v>
      </c>
      <c r="D69" s="708">
        <v>1154998</v>
      </c>
      <c r="E69" s="708">
        <v>473993000</v>
      </c>
      <c r="F69" s="133">
        <v>230393364</v>
      </c>
      <c r="G69" s="133">
        <v>-39888362</v>
      </c>
      <c r="H69" s="133">
        <v>3285545</v>
      </c>
      <c r="I69" s="133">
        <v>-36602817</v>
      </c>
      <c r="J69" s="133">
        <v>-18503515</v>
      </c>
      <c r="K69" s="133">
        <v>-207000</v>
      </c>
      <c r="L69" s="133">
        <v>-174496</v>
      </c>
      <c r="M69" s="133">
        <v>-69000</v>
      </c>
      <c r="N69" s="133">
        <v>-3725000</v>
      </c>
      <c r="O69" s="133">
        <v>-695000</v>
      </c>
      <c r="P69" s="133">
        <v>-276742</v>
      </c>
      <c r="Q69" s="133">
        <v>-8319</v>
      </c>
      <c r="R69" s="133">
        <v>0</v>
      </c>
      <c r="S69" s="133">
        <v>-13377</v>
      </c>
      <c r="T69" s="133">
        <v>-267268</v>
      </c>
      <c r="U69" s="133">
        <v>-266978</v>
      </c>
      <c r="V69" s="133">
        <v>0</v>
      </c>
      <c r="W69" s="709"/>
      <c r="X69" s="709"/>
      <c r="Y69" s="709"/>
      <c r="Z69" s="133">
        <v>-174496</v>
      </c>
      <c r="AA69" s="133">
        <v>-9000</v>
      </c>
      <c r="AB69" s="133">
        <v>163462861</v>
      </c>
      <c r="AC69" s="133">
        <v>-9900000</v>
      </c>
      <c r="AD69" s="709"/>
      <c r="AE69" s="710">
        <v>1913</v>
      </c>
      <c r="AF69" s="711">
        <v>50</v>
      </c>
      <c r="AG69" s="710">
        <v>146</v>
      </c>
      <c r="AH69" s="710">
        <v>2</v>
      </c>
      <c r="AI69" s="710">
        <v>997</v>
      </c>
      <c r="AJ69" s="710">
        <v>770</v>
      </c>
      <c r="AK69" s="710">
        <v>94</v>
      </c>
      <c r="AL69" s="710">
        <v>19</v>
      </c>
      <c r="AM69" s="710">
        <v>0</v>
      </c>
      <c r="AN69" s="710">
        <v>4</v>
      </c>
      <c r="AO69" s="710">
        <v>13</v>
      </c>
      <c r="AP69" s="711">
        <v>1</v>
      </c>
      <c r="AQ69" s="709"/>
      <c r="AR69" s="709"/>
      <c r="AS69" s="720">
        <v>4750</v>
      </c>
      <c r="AT69" s="710">
        <v>17472</v>
      </c>
      <c r="AU69" s="710">
        <v>16890</v>
      </c>
      <c r="AV69" s="710">
        <v>582</v>
      </c>
      <c r="AW69" s="710">
        <v>9901</v>
      </c>
      <c r="AX69" s="712">
        <v>32839</v>
      </c>
      <c r="AY69" s="683">
        <v>-321962</v>
      </c>
      <c r="AZ69" s="713">
        <v>5377084</v>
      </c>
      <c r="BA69" s="714">
        <v>5397944</v>
      </c>
      <c r="BB69" s="715">
        <v>83662290</v>
      </c>
      <c r="BC69" s="715">
        <v>345000</v>
      </c>
      <c r="BD69" s="716">
        <v>5358552</v>
      </c>
      <c r="BE69" s="420"/>
      <c r="BF69" s="717" t="s">
        <v>8</v>
      </c>
      <c r="BG69" s="118" t="b">
        <v>1</v>
      </c>
      <c r="BH69" s="494"/>
      <c r="BI69" s="420"/>
      <c r="BJ69" s="420"/>
      <c r="BK69" s="420"/>
      <c r="BL69" s="420"/>
      <c r="BM69" s="420"/>
      <c r="BN69" s="420"/>
      <c r="BO69" s="420"/>
      <c r="BP69" s="420"/>
      <c r="BQ69" s="420"/>
      <c r="BR69" s="420"/>
      <c r="BS69" s="420"/>
      <c r="BT69" s="420"/>
      <c r="BU69" s="420"/>
      <c r="BV69" s="420"/>
      <c r="BW69" s="420"/>
      <c r="BX69" s="420"/>
      <c r="BY69" s="420"/>
      <c r="BZ69" s="420"/>
      <c r="CA69" s="420"/>
      <c r="CB69" s="420"/>
      <c r="CC69" s="420"/>
      <c r="CD69" s="420"/>
      <c r="CE69" s="420"/>
      <c r="CF69" s="420"/>
      <c r="CG69" s="420"/>
      <c r="CH69" s="420"/>
      <c r="CI69" s="420"/>
      <c r="CJ69" s="420"/>
      <c r="CK69" s="420"/>
      <c r="CL69" s="420"/>
      <c r="CM69" s="420"/>
      <c r="CN69" s="420"/>
      <c r="CO69" s="420"/>
      <c r="CP69" s="420"/>
      <c r="CQ69" s="420"/>
      <c r="CR69" s="420"/>
    </row>
    <row r="70" spans="1:96" s="118" customFormat="1" ht="12.75" x14ac:dyDescent="0.2">
      <c r="A70" s="705">
        <v>64</v>
      </c>
      <c r="B70" s="718" t="s">
        <v>9</v>
      </c>
      <c r="C70" s="719" t="s">
        <v>10</v>
      </c>
      <c r="D70" s="708">
        <v>181565</v>
      </c>
      <c r="E70" s="708">
        <v>89318000</v>
      </c>
      <c r="F70" s="133">
        <v>43886519</v>
      </c>
      <c r="G70" s="133">
        <v>-5585771</v>
      </c>
      <c r="H70" s="133">
        <v>642452</v>
      </c>
      <c r="I70" s="133">
        <v>-4943319</v>
      </c>
      <c r="J70" s="133">
        <v>-2514585</v>
      </c>
      <c r="K70" s="133">
        <v>-52830</v>
      </c>
      <c r="L70" s="133">
        <v>-28382</v>
      </c>
      <c r="M70" s="133">
        <v>0</v>
      </c>
      <c r="N70" s="133">
        <v>-625066</v>
      </c>
      <c r="O70" s="133">
        <v>-93960</v>
      </c>
      <c r="P70" s="133">
        <v>-786</v>
      </c>
      <c r="Q70" s="133">
        <v>-521</v>
      </c>
      <c r="R70" s="133">
        <v>0</v>
      </c>
      <c r="S70" s="133">
        <v>0</v>
      </c>
      <c r="T70" s="133">
        <v>0</v>
      </c>
      <c r="U70" s="133">
        <v>0</v>
      </c>
      <c r="V70" s="133">
        <v>0</v>
      </c>
      <c r="W70" s="709"/>
      <c r="X70" s="709"/>
      <c r="Y70" s="709"/>
      <c r="Z70" s="133">
        <v>-28382</v>
      </c>
      <c r="AA70" s="133">
        <v>-1500</v>
      </c>
      <c r="AB70" s="133">
        <v>34087146</v>
      </c>
      <c r="AC70" s="133">
        <v>-1557519</v>
      </c>
      <c r="AD70" s="709"/>
      <c r="AE70" s="710">
        <v>301</v>
      </c>
      <c r="AF70" s="711">
        <v>23</v>
      </c>
      <c r="AG70" s="710">
        <v>24</v>
      </c>
      <c r="AH70" s="710">
        <v>0</v>
      </c>
      <c r="AI70" s="710">
        <v>204</v>
      </c>
      <c r="AJ70" s="710">
        <v>101</v>
      </c>
      <c r="AK70" s="710">
        <v>2</v>
      </c>
      <c r="AL70" s="710">
        <v>4</v>
      </c>
      <c r="AM70" s="710">
        <v>0</v>
      </c>
      <c r="AN70" s="710">
        <v>0</v>
      </c>
      <c r="AO70" s="710">
        <v>0</v>
      </c>
      <c r="AP70" s="711">
        <v>0</v>
      </c>
      <c r="AQ70" s="709"/>
      <c r="AR70" s="709"/>
      <c r="AS70" s="720">
        <v>984</v>
      </c>
      <c r="AT70" s="710">
        <v>2126</v>
      </c>
      <c r="AU70" s="710">
        <v>1975</v>
      </c>
      <c r="AV70" s="710">
        <v>151</v>
      </c>
      <c r="AW70" s="710">
        <v>1728</v>
      </c>
      <c r="AX70" s="712">
        <v>4907</v>
      </c>
      <c r="AY70" s="683">
        <v>-19100</v>
      </c>
      <c r="AZ70" s="713">
        <v>-578657</v>
      </c>
      <c r="BA70" s="714">
        <v>-2302541</v>
      </c>
      <c r="BB70" s="715">
        <v>17630250</v>
      </c>
      <c r="BC70" s="715">
        <v>0</v>
      </c>
      <c r="BD70" s="716">
        <v>-2302542</v>
      </c>
      <c r="BE70" s="420"/>
      <c r="BF70" s="717" t="s">
        <v>10</v>
      </c>
      <c r="BG70" s="118" t="b">
        <v>1</v>
      </c>
      <c r="BH70" s="494"/>
      <c r="BI70" s="420"/>
      <c r="BJ70" s="420"/>
      <c r="BK70" s="420"/>
      <c r="BL70" s="420"/>
      <c r="BM70" s="420"/>
      <c r="BN70" s="420"/>
      <c r="BO70" s="420"/>
      <c r="BP70" s="420"/>
      <c r="BQ70" s="420"/>
      <c r="BR70" s="420"/>
      <c r="BS70" s="420"/>
      <c r="BT70" s="420"/>
      <c r="BU70" s="420"/>
      <c r="BV70" s="420"/>
      <c r="BW70" s="420"/>
      <c r="BX70" s="420"/>
      <c r="BY70" s="420"/>
      <c r="BZ70" s="420"/>
      <c r="CA70" s="420"/>
      <c r="CB70" s="420"/>
      <c r="CC70" s="420"/>
      <c r="CD70" s="420"/>
      <c r="CE70" s="420"/>
      <c r="CF70" s="420"/>
      <c r="CG70" s="420"/>
      <c r="CH70" s="420"/>
      <c r="CI70" s="420"/>
      <c r="CJ70" s="420"/>
      <c r="CK70" s="420"/>
      <c r="CL70" s="420"/>
      <c r="CM70" s="420"/>
      <c r="CN70" s="420"/>
      <c r="CO70" s="420"/>
      <c r="CP70" s="420"/>
      <c r="CQ70" s="420"/>
      <c r="CR70" s="420"/>
    </row>
    <row r="71" spans="1:96" s="118" customFormat="1" ht="12.75" x14ac:dyDescent="0.2">
      <c r="A71" s="705">
        <v>65</v>
      </c>
      <c r="B71" s="718" t="s">
        <v>11</v>
      </c>
      <c r="C71" s="719" t="s">
        <v>12</v>
      </c>
      <c r="D71" s="708">
        <v>372757</v>
      </c>
      <c r="E71" s="708">
        <v>318907000</v>
      </c>
      <c r="F71" s="133">
        <v>156093610</v>
      </c>
      <c r="G71" s="133">
        <v>-8935000</v>
      </c>
      <c r="H71" s="133">
        <v>3359000</v>
      </c>
      <c r="I71" s="133">
        <v>-5576000</v>
      </c>
      <c r="J71" s="133">
        <v>-16361000</v>
      </c>
      <c r="K71" s="133">
        <v>-64000</v>
      </c>
      <c r="L71" s="133">
        <v>0</v>
      </c>
      <c r="M71" s="133">
        <v>0</v>
      </c>
      <c r="N71" s="133">
        <v>-6750558</v>
      </c>
      <c r="O71" s="133">
        <v>-420000</v>
      </c>
      <c r="P71" s="133">
        <v>-15000</v>
      </c>
      <c r="Q71" s="133">
        <v>0</v>
      </c>
      <c r="R71" s="133">
        <v>0</v>
      </c>
      <c r="S71" s="133">
        <v>0</v>
      </c>
      <c r="T71" s="133">
        <v>0</v>
      </c>
      <c r="U71" s="133">
        <v>0</v>
      </c>
      <c r="V71" s="133">
        <v>0</v>
      </c>
      <c r="W71" s="709"/>
      <c r="X71" s="709"/>
      <c r="Y71" s="709"/>
      <c r="Z71" s="133">
        <v>0</v>
      </c>
      <c r="AA71" s="133">
        <v>-1500</v>
      </c>
      <c r="AB71" s="133">
        <v>126286111</v>
      </c>
      <c r="AC71" s="133">
        <v>-5780426</v>
      </c>
      <c r="AD71" s="709"/>
      <c r="AE71" s="710">
        <v>417</v>
      </c>
      <c r="AF71" s="711">
        <v>8</v>
      </c>
      <c r="AG71" s="710">
        <v>0</v>
      </c>
      <c r="AH71" s="710">
        <v>0</v>
      </c>
      <c r="AI71" s="710">
        <v>412</v>
      </c>
      <c r="AJ71" s="710">
        <v>10</v>
      </c>
      <c r="AK71" s="710">
        <v>2</v>
      </c>
      <c r="AL71" s="710">
        <v>0</v>
      </c>
      <c r="AM71" s="710">
        <v>0</v>
      </c>
      <c r="AN71" s="710">
        <v>0</v>
      </c>
      <c r="AO71" s="710">
        <v>0</v>
      </c>
      <c r="AP71" s="711">
        <v>0</v>
      </c>
      <c r="AQ71" s="709"/>
      <c r="AR71" s="709"/>
      <c r="AS71" s="720">
        <v>2040</v>
      </c>
      <c r="AT71" s="710">
        <v>3358</v>
      </c>
      <c r="AU71" s="710">
        <v>3185</v>
      </c>
      <c r="AV71" s="710">
        <v>173</v>
      </c>
      <c r="AW71" s="710">
        <v>3492</v>
      </c>
      <c r="AX71" s="712">
        <v>8877</v>
      </c>
      <c r="AY71" s="683">
        <v>-60000</v>
      </c>
      <c r="AZ71" s="713">
        <v>-2070759</v>
      </c>
      <c r="BA71" s="714">
        <v>-1784952</v>
      </c>
      <c r="BB71" s="715">
        <v>33001150</v>
      </c>
      <c r="BC71" s="715">
        <v>0</v>
      </c>
      <c r="BD71" s="716">
        <v>-1784951</v>
      </c>
      <c r="BE71" s="420"/>
      <c r="BF71" s="717" t="s">
        <v>12</v>
      </c>
      <c r="BG71" s="118" t="b">
        <v>1</v>
      </c>
      <c r="BH71" s="494"/>
      <c r="BI71" s="420"/>
      <c r="BJ71" s="420"/>
      <c r="BK71" s="420"/>
      <c r="BL71" s="420"/>
      <c r="BM71" s="420"/>
      <c r="BN71" s="420"/>
      <c r="BO71" s="420"/>
      <c r="BP71" s="420"/>
      <c r="BQ71" s="420"/>
      <c r="BR71" s="420"/>
      <c r="BS71" s="420"/>
      <c r="BT71" s="420"/>
      <c r="BU71" s="420"/>
      <c r="BV71" s="420"/>
      <c r="BW71" s="420"/>
      <c r="BX71" s="420"/>
      <c r="BY71" s="420"/>
      <c r="BZ71" s="420"/>
      <c r="CA71" s="420"/>
      <c r="CB71" s="420"/>
      <c r="CC71" s="420"/>
      <c r="CD71" s="420"/>
      <c r="CE71" s="420"/>
      <c r="CF71" s="420"/>
      <c r="CG71" s="420"/>
      <c r="CH71" s="420"/>
      <c r="CI71" s="420"/>
      <c r="CJ71" s="420"/>
      <c r="CK71" s="420"/>
      <c r="CL71" s="420"/>
      <c r="CM71" s="420"/>
      <c r="CN71" s="420"/>
      <c r="CO71" s="420"/>
      <c r="CP71" s="420"/>
      <c r="CQ71" s="420"/>
      <c r="CR71" s="420"/>
    </row>
    <row r="72" spans="1:96" s="118" customFormat="1" ht="12.75" x14ac:dyDescent="0.2">
      <c r="A72" s="705">
        <v>66</v>
      </c>
      <c r="B72" s="718" t="s">
        <v>13</v>
      </c>
      <c r="C72" s="719" t="s">
        <v>14</v>
      </c>
      <c r="D72" s="708">
        <v>117848</v>
      </c>
      <c r="E72" s="708">
        <v>50574000</v>
      </c>
      <c r="F72" s="133">
        <v>24651046</v>
      </c>
      <c r="G72" s="133">
        <v>-3811491</v>
      </c>
      <c r="H72" s="133">
        <v>329611</v>
      </c>
      <c r="I72" s="133">
        <v>-3481880</v>
      </c>
      <c r="J72" s="133">
        <v>-1260125</v>
      </c>
      <c r="K72" s="133">
        <v>-23789</v>
      </c>
      <c r="L72" s="133">
        <v>-18156</v>
      </c>
      <c r="M72" s="133">
        <v>0</v>
      </c>
      <c r="N72" s="133">
        <v>-556561</v>
      </c>
      <c r="O72" s="133">
        <v>-28493</v>
      </c>
      <c r="P72" s="133">
        <v>-3436</v>
      </c>
      <c r="Q72" s="133">
        <v>0</v>
      </c>
      <c r="R72" s="133">
        <v>0</v>
      </c>
      <c r="S72" s="133">
        <v>0</v>
      </c>
      <c r="T72" s="133">
        <v>0</v>
      </c>
      <c r="U72" s="133">
        <v>0</v>
      </c>
      <c r="V72" s="133">
        <v>0</v>
      </c>
      <c r="W72" s="709"/>
      <c r="X72" s="709"/>
      <c r="Y72" s="709"/>
      <c r="Z72" s="133">
        <v>0</v>
      </c>
      <c r="AA72" s="133">
        <v>0</v>
      </c>
      <c r="AB72" s="133">
        <v>18105816</v>
      </c>
      <c r="AC72" s="133">
        <v>-212000</v>
      </c>
      <c r="AD72" s="709"/>
      <c r="AE72" s="710">
        <v>175</v>
      </c>
      <c r="AF72" s="711">
        <v>3</v>
      </c>
      <c r="AG72" s="710">
        <v>15</v>
      </c>
      <c r="AH72" s="710">
        <v>0</v>
      </c>
      <c r="AI72" s="710">
        <v>225</v>
      </c>
      <c r="AJ72" s="710">
        <v>65</v>
      </c>
      <c r="AK72" s="710">
        <v>7</v>
      </c>
      <c r="AL72" s="710">
        <v>0</v>
      </c>
      <c r="AM72" s="710">
        <v>15</v>
      </c>
      <c r="AN72" s="710">
        <v>1</v>
      </c>
      <c r="AO72" s="710">
        <v>0</v>
      </c>
      <c r="AP72" s="711">
        <v>0</v>
      </c>
      <c r="AQ72" s="709"/>
      <c r="AR72" s="709"/>
      <c r="AS72" s="720">
        <v>577</v>
      </c>
      <c r="AT72" s="710">
        <v>1635</v>
      </c>
      <c r="AU72" s="710">
        <v>1572</v>
      </c>
      <c r="AV72" s="710">
        <v>63</v>
      </c>
      <c r="AW72" s="710">
        <v>1063</v>
      </c>
      <c r="AX72" s="712">
        <v>3331</v>
      </c>
      <c r="AY72" s="683">
        <v>0</v>
      </c>
      <c r="AZ72" s="713">
        <v>-257136</v>
      </c>
      <c r="BA72" s="714">
        <v>-206875</v>
      </c>
      <c r="BB72" s="715">
        <v>10877180</v>
      </c>
      <c r="BC72" s="715">
        <v>0</v>
      </c>
      <c r="BD72" s="716">
        <v>-206925</v>
      </c>
      <c r="BE72" s="420"/>
      <c r="BF72" s="717" t="s">
        <v>14</v>
      </c>
      <c r="BG72" s="118" t="b">
        <v>1</v>
      </c>
      <c r="BH72" s="494"/>
      <c r="BI72" s="420"/>
      <c r="BJ72" s="420"/>
      <c r="BK72" s="420"/>
      <c r="BL72" s="420"/>
      <c r="BM72" s="420"/>
      <c r="BN72" s="420"/>
      <c r="BO72" s="420"/>
      <c r="BP72" s="420"/>
      <c r="BQ72" s="420"/>
      <c r="BR72" s="420"/>
      <c r="BS72" s="420"/>
      <c r="BT72" s="420"/>
      <c r="BU72" s="420"/>
      <c r="BV72" s="420"/>
      <c r="BW72" s="420"/>
      <c r="BX72" s="420"/>
      <c r="BY72" s="420"/>
      <c r="BZ72" s="420"/>
      <c r="CA72" s="420"/>
      <c r="CB72" s="420"/>
      <c r="CC72" s="420"/>
      <c r="CD72" s="420"/>
      <c r="CE72" s="420"/>
      <c r="CF72" s="420"/>
      <c r="CG72" s="420"/>
      <c r="CH72" s="420"/>
      <c r="CI72" s="420"/>
      <c r="CJ72" s="420"/>
      <c r="CK72" s="420"/>
      <c r="CL72" s="420"/>
      <c r="CM72" s="420"/>
      <c r="CN72" s="420"/>
      <c r="CO72" s="420"/>
      <c r="CP72" s="420"/>
      <c r="CQ72" s="420"/>
      <c r="CR72" s="420"/>
    </row>
    <row r="73" spans="1:96" s="118" customFormat="1" ht="12.75" x14ac:dyDescent="0.2">
      <c r="A73" s="705">
        <v>67</v>
      </c>
      <c r="B73" s="718" t="s">
        <v>15</v>
      </c>
      <c r="C73" s="719" t="s">
        <v>16</v>
      </c>
      <c r="D73" s="708">
        <v>212640</v>
      </c>
      <c r="E73" s="708">
        <v>273448000</v>
      </c>
      <c r="F73" s="133">
        <v>136453528</v>
      </c>
      <c r="G73" s="133">
        <v>-1661518</v>
      </c>
      <c r="H73" s="133">
        <v>3168444</v>
      </c>
      <c r="I73" s="133">
        <v>1506926</v>
      </c>
      <c r="J73" s="133">
        <v>-3248162</v>
      </c>
      <c r="K73" s="133">
        <v>-32011</v>
      </c>
      <c r="L73" s="133">
        <v>0</v>
      </c>
      <c r="M73" s="133">
        <v>-35000</v>
      </c>
      <c r="N73" s="133">
        <v>-3423287</v>
      </c>
      <c r="O73" s="133">
        <v>-261113</v>
      </c>
      <c r="P73" s="133">
        <v>-141705</v>
      </c>
      <c r="Q73" s="133">
        <v>-2042</v>
      </c>
      <c r="R73" s="133">
        <v>0</v>
      </c>
      <c r="S73" s="133">
        <v>0</v>
      </c>
      <c r="T73" s="133">
        <v>0</v>
      </c>
      <c r="U73" s="133">
        <v>0</v>
      </c>
      <c r="V73" s="133">
        <v>0</v>
      </c>
      <c r="W73" s="709"/>
      <c r="X73" s="709"/>
      <c r="Y73" s="709"/>
      <c r="Z73" s="133">
        <v>0</v>
      </c>
      <c r="AA73" s="133">
        <v>0</v>
      </c>
      <c r="AB73" s="133">
        <v>130885519</v>
      </c>
      <c r="AC73" s="133">
        <v>-4757769</v>
      </c>
      <c r="AD73" s="709"/>
      <c r="AE73" s="710">
        <v>122</v>
      </c>
      <c r="AF73" s="711">
        <v>14</v>
      </c>
      <c r="AG73" s="710">
        <v>0</v>
      </c>
      <c r="AH73" s="710">
        <v>0</v>
      </c>
      <c r="AI73" s="710">
        <v>405</v>
      </c>
      <c r="AJ73" s="710">
        <v>63</v>
      </c>
      <c r="AK73" s="710">
        <v>7</v>
      </c>
      <c r="AL73" s="710">
        <v>9</v>
      </c>
      <c r="AM73" s="710">
        <v>0</v>
      </c>
      <c r="AN73" s="710">
        <v>0</v>
      </c>
      <c r="AO73" s="710">
        <v>0</v>
      </c>
      <c r="AP73" s="711">
        <v>0</v>
      </c>
      <c r="AQ73" s="709"/>
      <c r="AR73" s="709"/>
      <c r="AS73" s="720">
        <v>1173</v>
      </c>
      <c r="AT73" s="710">
        <v>527</v>
      </c>
      <c r="AU73" s="710">
        <v>441</v>
      </c>
      <c r="AV73" s="710">
        <v>86</v>
      </c>
      <c r="AW73" s="710">
        <v>1886</v>
      </c>
      <c r="AX73" s="712">
        <v>3652</v>
      </c>
      <c r="AY73" s="683">
        <v>-17693</v>
      </c>
      <c r="AZ73" s="713">
        <v>204852</v>
      </c>
      <c r="BA73" s="714">
        <v>109351</v>
      </c>
      <c r="BB73" s="715">
        <v>17378584</v>
      </c>
      <c r="BC73" s="715">
        <v>0</v>
      </c>
      <c r="BD73" s="716">
        <v>109351</v>
      </c>
      <c r="BE73" s="420"/>
      <c r="BF73" s="717" t="s">
        <v>16</v>
      </c>
      <c r="BG73" s="118" t="b">
        <v>1</v>
      </c>
      <c r="BH73" s="494"/>
      <c r="BI73" s="420"/>
      <c r="BJ73" s="420"/>
      <c r="BK73" s="420"/>
      <c r="BL73" s="420"/>
      <c r="BM73" s="420"/>
      <c r="BN73" s="420"/>
      <c r="BO73" s="420"/>
      <c r="BP73" s="420"/>
      <c r="BQ73" s="420"/>
      <c r="BR73" s="420"/>
      <c r="BS73" s="420"/>
      <c r="BT73" s="420"/>
      <c r="BU73" s="420"/>
      <c r="BV73" s="420"/>
      <c r="BW73" s="420"/>
      <c r="BX73" s="420"/>
      <c r="BY73" s="420"/>
      <c r="BZ73" s="420"/>
      <c r="CA73" s="420"/>
      <c r="CB73" s="420"/>
      <c r="CC73" s="420"/>
      <c r="CD73" s="420"/>
      <c r="CE73" s="420"/>
      <c r="CF73" s="420"/>
      <c r="CG73" s="420"/>
      <c r="CH73" s="420"/>
      <c r="CI73" s="420"/>
      <c r="CJ73" s="420"/>
      <c r="CK73" s="420"/>
      <c r="CL73" s="420"/>
      <c r="CM73" s="420"/>
      <c r="CN73" s="420"/>
      <c r="CO73" s="420"/>
      <c r="CP73" s="420"/>
      <c r="CQ73" s="420"/>
      <c r="CR73" s="420"/>
    </row>
    <row r="74" spans="1:96" s="118" customFormat="1" ht="12.75" x14ac:dyDescent="0.2">
      <c r="A74" s="705">
        <v>68</v>
      </c>
      <c r="B74" s="718" t="s">
        <v>17</v>
      </c>
      <c r="C74" s="719" t="s">
        <v>18</v>
      </c>
      <c r="D74" s="708">
        <v>404295</v>
      </c>
      <c r="E74" s="708">
        <v>319486000</v>
      </c>
      <c r="F74" s="133">
        <v>159264237</v>
      </c>
      <c r="G74" s="133">
        <v>-8786915</v>
      </c>
      <c r="H74" s="133">
        <v>3221835</v>
      </c>
      <c r="I74" s="133">
        <v>-5565080</v>
      </c>
      <c r="J74" s="133">
        <v>-11440711</v>
      </c>
      <c r="K74" s="133">
        <v>-226054</v>
      </c>
      <c r="L74" s="133">
        <v>0</v>
      </c>
      <c r="M74" s="133">
        <v>0</v>
      </c>
      <c r="N74" s="133">
        <v>-7004329</v>
      </c>
      <c r="O74" s="133">
        <v>0</v>
      </c>
      <c r="P74" s="133">
        <v>-734671</v>
      </c>
      <c r="Q74" s="133">
        <v>0</v>
      </c>
      <c r="R74" s="133">
        <v>0</v>
      </c>
      <c r="S74" s="133">
        <v>0</v>
      </c>
      <c r="T74" s="133">
        <v>0</v>
      </c>
      <c r="U74" s="133">
        <v>0</v>
      </c>
      <c r="V74" s="133">
        <v>0</v>
      </c>
      <c r="W74" s="709"/>
      <c r="X74" s="709"/>
      <c r="Y74" s="709"/>
      <c r="Z74" s="133">
        <v>0</v>
      </c>
      <c r="AA74" s="133">
        <v>0</v>
      </c>
      <c r="AB74" s="133">
        <v>126970213</v>
      </c>
      <c r="AC74" s="133">
        <v>-1481409</v>
      </c>
      <c r="AD74" s="709"/>
      <c r="AE74" s="710">
        <v>482</v>
      </c>
      <c r="AF74" s="711">
        <v>31</v>
      </c>
      <c r="AG74" s="710">
        <v>0</v>
      </c>
      <c r="AH74" s="710">
        <v>6</v>
      </c>
      <c r="AI74" s="710">
        <v>1120</v>
      </c>
      <c r="AJ74" s="710">
        <v>8</v>
      </c>
      <c r="AK74" s="710">
        <v>117</v>
      </c>
      <c r="AL74" s="710">
        <v>0</v>
      </c>
      <c r="AM74" s="710">
        <v>0</v>
      </c>
      <c r="AN74" s="710">
        <v>0</v>
      </c>
      <c r="AO74" s="710">
        <v>0</v>
      </c>
      <c r="AP74" s="711">
        <v>36</v>
      </c>
      <c r="AQ74" s="709"/>
      <c r="AR74" s="709"/>
      <c r="AS74" s="720">
        <v>3040</v>
      </c>
      <c r="AT74" s="710">
        <v>2938</v>
      </c>
      <c r="AU74" s="710">
        <v>2549</v>
      </c>
      <c r="AV74" s="710">
        <v>389</v>
      </c>
      <c r="AW74" s="710">
        <v>109</v>
      </c>
      <c r="AX74" s="712">
        <v>9131</v>
      </c>
      <c r="AY74" s="683">
        <v>-288964</v>
      </c>
      <c r="AZ74" s="713">
        <v>66175</v>
      </c>
      <c r="BA74" s="714">
        <v>-680737</v>
      </c>
      <c r="BB74" s="715">
        <v>23276800</v>
      </c>
      <c r="BC74" s="715">
        <v>2562250</v>
      </c>
      <c r="BD74" s="716">
        <v>-1714425</v>
      </c>
      <c r="BE74" s="420"/>
      <c r="BF74" s="717" t="s">
        <v>18</v>
      </c>
      <c r="BG74" s="118" t="b">
        <v>1</v>
      </c>
      <c r="BH74" s="494"/>
      <c r="BI74" s="420"/>
      <c r="BJ74" s="420"/>
      <c r="BK74" s="420"/>
      <c r="BL74" s="420"/>
      <c r="BM74" s="420"/>
      <c r="BN74" s="420"/>
      <c r="BO74" s="420"/>
      <c r="BP74" s="420"/>
      <c r="BQ74" s="420"/>
      <c r="BR74" s="420"/>
      <c r="BS74" s="420"/>
      <c r="BT74" s="420"/>
      <c r="BU74" s="420"/>
      <c r="BV74" s="420"/>
      <c r="BW74" s="420"/>
      <c r="BX74" s="420"/>
      <c r="BY74" s="420"/>
      <c r="BZ74" s="420"/>
      <c r="CA74" s="420"/>
      <c r="CB74" s="420"/>
      <c r="CC74" s="420"/>
      <c r="CD74" s="420"/>
      <c r="CE74" s="420"/>
      <c r="CF74" s="420"/>
      <c r="CG74" s="420"/>
      <c r="CH74" s="420"/>
      <c r="CI74" s="420"/>
      <c r="CJ74" s="420"/>
      <c r="CK74" s="420"/>
      <c r="CL74" s="420"/>
      <c r="CM74" s="420"/>
      <c r="CN74" s="420"/>
      <c r="CO74" s="420"/>
      <c r="CP74" s="420"/>
      <c r="CQ74" s="420"/>
      <c r="CR74" s="420"/>
    </row>
    <row r="75" spans="1:96" s="118" customFormat="1" ht="12.75" x14ac:dyDescent="0.2">
      <c r="A75" s="705">
        <v>69</v>
      </c>
      <c r="B75" s="718" t="s">
        <v>19</v>
      </c>
      <c r="C75" s="719" t="s">
        <v>20</v>
      </c>
      <c r="D75" s="708">
        <v>202876</v>
      </c>
      <c r="E75" s="708">
        <v>163505000</v>
      </c>
      <c r="F75" s="133">
        <v>79724122</v>
      </c>
      <c r="G75" s="133">
        <v>-3968148</v>
      </c>
      <c r="H75" s="133">
        <v>1567822</v>
      </c>
      <c r="I75" s="133">
        <v>-2400326</v>
      </c>
      <c r="J75" s="133">
        <v>-4560918</v>
      </c>
      <c r="K75" s="133">
        <v>-91637</v>
      </c>
      <c r="L75" s="133">
        <v>-4360</v>
      </c>
      <c r="M75" s="133">
        <v>-170000</v>
      </c>
      <c r="N75" s="133">
        <v>-1171168</v>
      </c>
      <c r="O75" s="133">
        <v>-289045</v>
      </c>
      <c r="P75" s="133">
        <v>-552</v>
      </c>
      <c r="Q75" s="133">
        <v>-217</v>
      </c>
      <c r="R75" s="133">
        <v>0</v>
      </c>
      <c r="S75" s="133">
        <v>0</v>
      </c>
      <c r="T75" s="133">
        <v>0</v>
      </c>
      <c r="U75" s="133">
        <v>0</v>
      </c>
      <c r="V75" s="133">
        <v>0</v>
      </c>
      <c r="W75" s="709"/>
      <c r="X75" s="709"/>
      <c r="Y75" s="709"/>
      <c r="Z75" s="133">
        <v>-4360</v>
      </c>
      <c r="AA75" s="133">
        <v>0</v>
      </c>
      <c r="AB75" s="133">
        <v>68905585</v>
      </c>
      <c r="AC75" s="133">
        <v>-2300000</v>
      </c>
      <c r="AD75" s="709"/>
      <c r="AE75" s="710">
        <v>237</v>
      </c>
      <c r="AF75" s="711">
        <v>20</v>
      </c>
      <c r="AG75" s="710">
        <v>2</v>
      </c>
      <c r="AH75" s="710">
        <v>0</v>
      </c>
      <c r="AI75" s="710">
        <v>421</v>
      </c>
      <c r="AJ75" s="710">
        <v>124</v>
      </c>
      <c r="AK75" s="710">
        <v>1</v>
      </c>
      <c r="AL75" s="710">
        <v>1</v>
      </c>
      <c r="AM75" s="710">
        <v>2</v>
      </c>
      <c r="AN75" s="710">
        <v>0</v>
      </c>
      <c r="AO75" s="710">
        <v>0</v>
      </c>
      <c r="AP75" s="711">
        <v>0</v>
      </c>
      <c r="AQ75" s="709"/>
      <c r="AR75" s="709"/>
      <c r="AS75" s="720">
        <v>1227</v>
      </c>
      <c r="AT75" s="710">
        <v>1354</v>
      </c>
      <c r="AU75" s="710">
        <v>1235</v>
      </c>
      <c r="AV75" s="710">
        <v>119</v>
      </c>
      <c r="AW75" s="710">
        <v>1942</v>
      </c>
      <c r="AX75" s="712">
        <v>4515</v>
      </c>
      <c r="AY75" s="683">
        <v>-18317</v>
      </c>
      <c r="AZ75" s="713">
        <v>-1686676</v>
      </c>
      <c r="BA75" s="714">
        <v>-4373718</v>
      </c>
      <c r="BB75" s="715">
        <v>22892850</v>
      </c>
      <c r="BC75" s="715">
        <v>0</v>
      </c>
      <c r="BD75" s="716">
        <v>-4259689.8000000017</v>
      </c>
      <c r="BE75" s="420"/>
      <c r="BF75" s="717" t="s">
        <v>20</v>
      </c>
      <c r="BG75" s="118" t="b">
        <v>1</v>
      </c>
      <c r="BH75" s="494"/>
      <c r="BI75" s="420"/>
      <c r="BJ75" s="420"/>
      <c r="BK75" s="420"/>
      <c r="BL75" s="420"/>
      <c r="BM75" s="420"/>
      <c r="BN75" s="420"/>
      <c r="BO75" s="420"/>
      <c r="BP75" s="420"/>
      <c r="BQ75" s="420"/>
      <c r="BR75" s="420"/>
      <c r="BS75" s="420"/>
      <c r="BT75" s="420"/>
      <c r="BU75" s="420"/>
      <c r="BV75" s="420"/>
      <c r="BW75" s="420"/>
      <c r="BX75" s="420"/>
      <c r="BY75" s="420"/>
      <c r="BZ75" s="420"/>
      <c r="CA75" s="420"/>
      <c r="CB75" s="420"/>
      <c r="CC75" s="420"/>
      <c r="CD75" s="420"/>
      <c r="CE75" s="420"/>
      <c r="CF75" s="420"/>
      <c r="CG75" s="420"/>
      <c r="CH75" s="420"/>
      <c r="CI75" s="420"/>
      <c r="CJ75" s="420"/>
      <c r="CK75" s="420"/>
      <c r="CL75" s="420"/>
      <c r="CM75" s="420"/>
      <c r="CN75" s="420"/>
      <c r="CO75" s="420"/>
      <c r="CP75" s="420"/>
      <c r="CQ75" s="420"/>
      <c r="CR75" s="420"/>
    </row>
    <row r="76" spans="1:96" s="118" customFormat="1" ht="12.75" x14ac:dyDescent="0.2">
      <c r="A76" s="705">
        <v>70</v>
      </c>
      <c r="B76" s="718" t="s">
        <v>563</v>
      </c>
      <c r="C76" s="719" t="s">
        <v>22</v>
      </c>
      <c r="D76" s="708">
        <v>144406</v>
      </c>
      <c r="E76" s="708">
        <v>85425000</v>
      </c>
      <c r="F76" s="133">
        <v>41878258</v>
      </c>
      <c r="G76" s="133">
        <v>-4120004</v>
      </c>
      <c r="H76" s="133">
        <v>763549</v>
      </c>
      <c r="I76" s="133">
        <v>-3356455</v>
      </c>
      <c r="J76" s="133">
        <v>-2845857</v>
      </c>
      <c r="K76" s="133">
        <v>-54025</v>
      </c>
      <c r="L76" s="133">
        <v>0</v>
      </c>
      <c r="M76" s="133">
        <v>0</v>
      </c>
      <c r="N76" s="133">
        <v>-943090</v>
      </c>
      <c r="O76" s="133">
        <v>0</v>
      </c>
      <c r="P76" s="133">
        <v>0</v>
      </c>
      <c r="Q76" s="133">
        <v>0</v>
      </c>
      <c r="R76" s="133">
        <v>0</v>
      </c>
      <c r="S76" s="133">
        <v>0</v>
      </c>
      <c r="T76" s="133">
        <v>-24845</v>
      </c>
      <c r="U76" s="133">
        <v>-24845</v>
      </c>
      <c r="V76" s="133">
        <v>0</v>
      </c>
      <c r="W76" s="709"/>
      <c r="X76" s="709"/>
      <c r="Y76" s="709"/>
      <c r="Z76" s="133">
        <v>0</v>
      </c>
      <c r="AA76" s="133">
        <v>0</v>
      </c>
      <c r="AB76" s="133">
        <v>35071437</v>
      </c>
      <c r="AC76" s="133">
        <v>0</v>
      </c>
      <c r="AD76" s="709"/>
      <c r="AE76" s="710">
        <v>158</v>
      </c>
      <c r="AF76" s="711">
        <v>7</v>
      </c>
      <c r="AG76" s="710">
        <v>0</v>
      </c>
      <c r="AH76" s="710">
        <v>0</v>
      </c>
      <c r="AI76" s="710">
        <v>493</v>
      </c>
      <c r="AJ76" s="710">
        <v>0</v>
      </c>
      <c r="AK76" s="710">
        <v>0</v>
      </c>
      <c r="AL76" s="710">
        <v>0</v>
      </c>
      <c r="AM76" s="710">
        <v>0</v>
      </c>
      <c r="AN76" s="710">
        <v>0</v>
      </c>
      <c r="AO76" s="710">
        <v>10</v>
      </c>
      <c r="AP76" s="711">
        <v>0</v>
      </c>
      <c r="AQ76" s="709"/>
      <c r="AR76" s="709"/>
      <c r="AS76" s="720">
        <v>929</v>
      </c>
      <c r="AT76" s="710">
        <v>1616</v>
      </c>
      <c r="AU76" s="710">
        <v>1546</v>
      </c>
      <c r="AV76" s="710">
        <v>70</v>
      </c>
      <c r="AW76" s="710">
        <v>1264</v>
      </c>
      <c r="AX76" s="712">
        <v>3856</v>
      </c>
      <c r="AY76" s="683">
        <v>-19885</v>
      </c>
      <c r="AZ76" s="713">
        <v>292427</v>
      </c>
      <c r="BA76" s="714">
        <v>-247854</v>
      </c>
      <c r="BB76" s="715">
        <v>10514000</v>
      </c>
      <c r="BC76" s="715">
        <v>25000</v>
      </c>
      <c r="BD76" s="716">
        <v>-247854.20000000019</v>
      </c>
      <c r="BE76" s="420"/>
      <c r="BF76" s="717" t="s">
        <v>22</v>
      </c>
      <c r="BG76" s="118" t="b">
        <v>1</v>
      </c>
      <c r="BH76" s="494"/>
      <c r="BI76" s="420"/>
      <c r="BJ76" s="420"/>
      <c r="BK76" s="420"/>
      <c r="BL76" s="420"/>
      <c r="BM76" s="420"/>
      <c r="BN76" s="420"/>
      <c r="BO76" s="420"/>
      <c r="BP76" s="420"/>
      <c r="BQ76" s="420"/>
      <c r="BR76" s="420"/>
      <c r="BS76" s="420"/>
      <c r="BT76" s="420"/>
      <c r="BU76" s="420"/>
      <c r="BV76" s="420"/>
      <c r="BW76" s="420"/>
      <c r="BX76" s="420"/>
      <c r="BY76" s="420"/>
      <c r="BZ76" s="420"/>
      <c r="CA76" s="420"/>
      <c r="CB76" s="420"/>
      <c r="CC76" s="420"/>
      <c r="CD76" s="420"/>
      <c r="CE76" s="420"/>
      <c r="CF76" s="420"/>
      <c r="CG76" s="420"/>
      <c r="CH76" s="420"/>
      <c r="CI76" s="420"/>
      <c r="CJ76" s="420"/>
      <c r="CK76" s="420"/>
      <c r="CL76" s="420"/>
      <c r="CM76" s="420"/>
      <c r="CN76" s="420"/>
      <c r="CO76" s="420"/>
      <c r="CP76" s="420"/>
      <c r="CQ76" s="420"/>
      <c r="CR76" s="420"/>
    </row>
    <row r="77" spans="1:96" s="118" customFormat="1" ht="12.75" x14ac:dyDescent="0.2">
      <c r="A77" s="705">
        <v>71</v>
      </c>
      <c r="B77" s="718" t="s">
        <v>23</v>
      </c>
      <c r="C77" s="719" t="s">
        <v>24</v>
      </c>
      <c r="D77" s="708">
        <v>170452</v>
      </c>
      <c r="E77" s="708">
        <v>203611000</v>
      </c>
      <c r="F77" s="133">
        <v>98176674</v>
      </c>
      <c r="G77" s="133">
        <v>-2279585</v>
      </c>
      <c r="H77" s="133">
        <v>2268919</v>
      </c>
      <c r="I77" s="133">
        <v>-10666</v>
      </c>
      <c r="J77" s="133">
        <v>-3218180</v>
      </c>
      <c r="K77" s="133">
        <v>-59114</v>
      </c>
      <c r="L77" s="133">
        <v>0</v>
      </c>
      <c r="M77" s="133">
        <v>0</v>
      </c>
      <c r="N77" s="133">
        <v>-2025866</v>
      </c>
      <c r="O77" s="133">
        <v>-35776</v>
      </c>
      <c r="P77" s="133">
        <v>-142365</v>
      </c>
      <c r="Q77" s="133">
        <v>-8165</v>
      </c>
      <c r="R77" s="133">
        <v>0</v>
      </c>
      <c r="S77" s="133">
        <v>-4583</v>
      </c>
      <c r="T77" s="133">
        <v>0</v>
      </c>
      <c r="U77" s="133">
        <v>0</v>
      </c>
      <c r="V77" s="133">
        <v>0</v>
      </c>
      <c r="W77" s="709"/>
      <c r="X77" s="709"/>
      <c r="Y77" s="709"/>
      <c r="Z77" s="133">
        <v>0</v>
      </c>
      <c r="AA77" s="133">
        <v>0</v>
      </c>
      <c r="AB77" s="133">
        <v>94229162</v>
      </c>
      <c r="AC77" s="133">
        <v>-5797002</v>
      </c>
      <c r="AD77" s="709"/>
      <c r="AE77" s="710">
        <v>129</v>
      </c>
      <c r="AF77" s="711">
        <v>7</v>
      </c>
      <c r="AG77" s="710">
        <v>0</v>
      </c>
      <c r="AH77" s="710">
        <v>0</v>
      </c>
      <c r="AI77" s="710">
        <v>359</v>
      </c>
      <c r="AJ77" s="710">
        <v>61</v>
      </c>
      <c r="AK77" s="710">
        <v>4</v>
      </c>
      <c r="AL77" s="710">
        <v>1</v>
      </c>
      <c r="AM77" s="710">
        <v>0</v>
      </c>
      <c r="AN77" s="710">
        <v>1</v>
      </c>
      <c r="AO77" s="710">
        <v>0</v>
      </c>
      <c r="AP77" s="711">
        <v>0</v>
      </c>
      <c r="AQ77" s="709"/>
      <c r="AR77" s="709"/>
      <c r="AS77" s="720">
        <v>1056</v>
      </c>
      <c r="AT77" s="710">
        <v>732</v>
      </c>
      <c r="AU77" s="710">
        <v>688</v>
      </c>
      <c r="AV77" s="710">
        <v>44</v>
      </c>
      <c r="AW77" s="710">
        <v>1500</v>
      </c>
      <c r="AX77" s="712">
        <v>3267</v>
      </c>
      <c r="AY77" s="683">
        <v>-3138</v>
      </c>
      <c r="AZ77" s="713">
        <v>425578</v>
      </c>
      <c r="BA77" s="714">
        <v>1781488</v>
      </c>
      <c r="BB77" s="715">
        <v>13556500</v>
      </c>
      <c r="BC77" s="715">
        <v>0</v>
      </c>
      <c r="BD77" s="716">
        <v>1781488</v>
      </c>
      <c r="BE77" s="420"/>
      <c r="BF77" s="717" t="s">
        <v>24</v>
      </c>
      <c r="BG77" s="118" t="b">
        <v>1</v>
      </c>
      <c r="BH77" s="494"/>
      <c r="BI77" s="420"/>
      <c r="BJ77" s="420"/>
      <c r="BK77" s="420"/>
      <c r="BL77" s="420"/>
      <c r="BM77" s="420"/>
      <c r="BN77" s="420"/>
      <c r="BO77" s="420"/>
      <c r="BP77" s="420"/>
      <c r="BQ77" s="420"/>
      <c r="BR77" s="420"/>
      <c r="BS77" s="420"/>
      <c r="BT77" s="420"/>
      <c r="BU77" s="420"/>
      <c r="BV77" s="420"/>
      <c r="BW77" s="420"/>
      <c r="BX77" s="420"/>
      <c r="BY77" s="420"/>
      <c r="BZ77" s="420"/>
      <c r="CA77" s="420"/>
      <c r="CB77" s="420"/>
      <c r="CC77" s="420"/>
      <c r="CD77" s="420"/>
      <c r="CE77" s="420"/>
      <c r="CF77" s="420"/>
      <c r="CG77" s="420"/>
      <c r="CH77" s="420"/>
      <c r="CI77" s="420"/>
      <c r="CJ77" s="420"/>
      <c r="CK77" s="420"/>
      <c r="CL77" s="420"/>
      <c r="CM77" s="420"/>
      <c r="CN77" s="420"/>
      <c r="CO77" s="420"/>
      <c r="CP77" s="420"/>
      <c r="CQ77" s="420"/>
      <c r="CR77" s="420"/>
    </row>
    <row r="78" spans="1:96" s="118" customFormat="1" ht="12.75" x14ac:dyDescent="0.2">
      <c r="A78" s="705">
        <v>72</v>
      </c>
      <c r="B78" s="718" t="s">
        <v>25</v>
      </c>
      <c r="C78" s="719" t="s">
        <v>26</v>
      </c>
      <c r="D78" s="708">
        <v>118949</v>
      </c>
      <c r="E78" s="708">
        <v>113939000</v>
      </c>
      <c r="F78" s="133">
        <v>54506156</v>
      </c>
      <c r="G78" s="133">
        <v>-2653807</v>
      </c>
      <c r="H78" s="133">
        <v>1155326</v>
      </c>
      <c r="I78" s="133">
        <v>-1498481</v>
      </c>
      <c r="J78" s="133">
        <v>-2710620</v>
      </c>
      <c r="K78" s="133">
        <v>-39907</v>
      </c>
      <c r="L78" s="133">
        <v>-44236</v>
      </c>
      <c r="M78" s="133">
        <v>0</v>
      </c>
      <c r="N78" s="133">
        <v>-526217</v>
      </c>
      <c r="O78" s="133">
        <v>-44895</v>
      </c>
      <c r="P78" s="133">
        <v>-13197</v>
      </c>
      <c r="Q78" s="133">
        <v>-738</v>
      </c>
      <c r="R78" s="133">
        <v>0</v>
      </c>
      <c r="S78" s="133">
        <v>0</v>
      </c>
      <c r="T78" s="133">
        <v>0</v>
      </c>
      <c r="U78" s="133">
        <v>0</v>
      </c>
      <c r="V78" s="133">
        <v>0</v>
      </c>
      <c r="W78" s="709"/>
      <c r="X78" s="709"/>
      <c r="Y78" s="709"/>
      <c r="Z78" s="133">
        <v>-44236</v>
      </c>
      <c r="AA78" s="133">
        <v>0</v>
      </c>
      <c r="AB78" s="133">
        <v>49304704</v>
      </c>
      <c r="AC78" s="133">
        <v>-1158661</v>
      </c>
      <c r="AD78" s="709"/>
      <c r="AE78" s="710">
        <v>161</v>
      </c>
      <c r="AF78" s="711">
        <v>6</v>
      </c>
      <c r="AG78" s="710">
        <v>35</v>
      </c>
      <c r="AH78" s="710">
        <v>0</v>
      </c>
      <c r="AI78" s="710">
        <v>242</v>
      </c>
      <c r="AJ78" s="710">
        <v>82</v>
      </c>
      <c r="AK78" s="710">
        <v>9</v>
      </c>
      <c r="AL78" s="710">
        <v>3</v>
      </c>
      <c r="AM78" s="710">
        <v>0</v>
      </c>
      <c r="AN78" s="710">
        <v>0</v>
      </c>
      <c r="AO78" s="710">
        <v>0</v>
      </c>
      <c r="AP78" s="711">
        <v>0</v>
      </c>
      <c r="AQ78" s="709"/>
      <c r="AR78" s="709"/>
      <c r="AS78" s="720">
        <v>667</v>
      </c>
      <c r="AT78" s="710">
        <v>982</v>
      </c>
      <c r="AU78" s="710">
        <v>937</v>
      </c>
      <c r="AV78" s="710">
        <v>45</v>
      </c>
      <c r="AW78" s="710">
        <v>1039</v>
      </c>
      <c r="AX78" s="712">
        <v>2721</v>
      </c>
      <c r="AY78" s="683">
        <v>-22547</v>
      </c>
      <c r="AZ78" s="713">
        <v>-981341</v>
      </c>
      <c r="BA78" s="714">
        <v>-1373155</v>
      </c>
      <c r="BB78" s="715">
        <v>10905775</v>
      </c>
      <c r="BC78" s="715">
        <v>0</v>
      </c>
      <c r="BD78" s="716">
        <v>-1373155.299999997</v>
      </c>
      <c r="BE78" s="420"/>
      <c r="BF78" s="717" t="s">
        <v>26</v>
      </c>
      <c r="BG78" s="118" t="b">
        <v>1</v>
      </c>
      <c r="BH78" s="494"/>
      <c r="BI78" s="420"/>
      <c r="BJ78" s="420"/>
      <c r="BK78" s="420"/>
      <c r="BL78" s="420"/>
      <c r="BM78" s="420"/>
      <c r="BN78" s="420"/>
      <c r="BO78" s="420"/>
      <c r="BP78" s="420"/>
      <c r="BQ78" s="420"/>
      <c r="BR78" s="420"/>
      <c r="BS78" s="420"/>
      <c r="BT78" s="420"/>
      <c r="BU78" s="420"/>
      <c r="BV78" s="420"/>
      <c r="BW78" s="420"/>
      <c r="BX78" s="420"/>
      <c r="BY78" s="420"/>
      <c r="BZ78" s="420"/>
      <c r="CA78" s="420"/>
      <c r="CB78" s="420"/>
      <c r="CC78" s="420"/>
      <c r="CD78" s="420"/>
      <c r="CE78" s="420"/>
      <c r="CF78" s="420"/>
      <c r="CG78" s="420"/>
      <c r="CH78" s="420"/>
      <c r="CI78" s="420"/>
      <c r="CJ78" s="420"/>
      <c r="CK78" s="420"/>
      <c r="CL78" s="420"/>
      <c r="CM78" s="420"/>
      <c r="CN78" s="420"/>
      <c r="CO78" s="420"/>
      <c r="CP78" s="420"/>
      <c r="CQ78" s="420"/>
      <c r="CR78" s="420"/>
    </row>
    <row r="79" spans="1:96" s="118" customFormat="1" ht="12.75" x14ac:dyDescent="0.2">
      <c r="A79" s="705">
        <v>73</v>
      </c>
      <c r="B79" s="718" t="s">
        <v>553</v>
      </c>
      <c r="C79" s="719" t="s">
        <v>28</v>
      </c>
      <c r="D79" s="708">
        <v>340724</v>
      </c>
      <c r="E79" s="708">
        <v>230039000</v>
      </c>
      <c r="F79" s="133">
        <v>112352101</v>
      </c>
      <c r="G79" s="133">
        <v>-6572781</v>
      </c>
      <c r="H79" s="133">
        <v>2161161</v>
      </c>
      <c r="I79" s="133">
        <v>-4411620</v>
      </c>
      <c r="J79" s="133">
        <v>-6895504</v>
      </c>
      <c r="K79" s="133">
        <v>-6975</v>
      </c>
      <c r="L79" s="133">
        <v>0</v>
      </c>
      <c r="M79" s="133">
        <v>0</v>
      </c>
      <c r="N79" s="133">
        <v>-2882085</v>
      </c>
      <c r="O79" s="133">
        <v>-128592</v>
      </c>
      <c r="P79" s="133">
        <v>-139575</v>
      </c>
      <c r="Q79" s="133">
        <v>-1159</v>
      </c>
      <c r="R79" s="133">
        <v>0</v>
      </c>
      <c r="S79" s="133">
        <v>0</v>
      </c>
      <c r="T79" s="133">
        <v>-36432</v>
      </c>
      <c r="U79" s="133">
        <v>-36432</v>
      </c>
      <c r="V79" s="133">
        <v>0</v>
      </c>
      <c r="W79" s="709"/>
      <c r="X79" s="709"/>
      <c r="Y79" s="709"/>
      <c r="Z79" s="133">
        <v>0</v>
      </c>
      <c r="AA79" s="133">
        <v>-1500</v>
      </c>
      <c r="AB79" s="133">
        <v>93666837</v>
      </c>
      <c r="AC79" s="133">
        <v>-2216604</v>
      </c>
      <c r="AD79" s="709"/>
      <c r="AE79" s="710">
        <v>367</v>
      </c>
      <c r="AF79" s="711">
        <v>2</v>
      </c>
      <c r="AG79" s="710">
        <v>0</v>
      </c>
      <c r="AH79" s="710">
        <v>0</v>
      </c>
      <c r="AI79" s="710">
        <v>705</v>
      </c>
      <c r="AJ79" s="710">
        <v>58</v>
      </c>
      <c r="AK79" s="710">
        <v>25</v>
      </c>
      <c r="AL79" s="710">
        <v>1</v>
      </c>
      <c r="AM79" s="710">
        <v>0</v>
      </c>
      <c r="AN79" s="710">
        <v>0</v>
      </c>
      <c r="AO79" s="710">
        <v>9</v>
      </c>
      <c r="AP79" s="711">
        <v>0</v>
      </c>
      <c r="AQ79" s="709"/>
      <c r="AR79" s="709"/>
      <c r="AS79" s="720">
        <v>2149</v>
      </c>
      <c r="AT79" s="710">
        <v>2669</v>
      </c>
      <c r="AU79" s="710">
        <v>2511</v>
      </c>
      <c r="AV79" s="710">
        <v>158</v>
      </c>
      <c r="AW79" s="710">
        <v>3136</v>
      </c>
      <c r="AX79" s="712">
        <v>8842</v>
      </c>
      <c r="AY79" s="683">
        <v>-82993</v>
      </c>
      <c r="AZ79" s="713">
        <v>-6063198</v>
      </c>
      <c r="BA79" s="714">
        <v>-5828040</v>
      </c>
      <c r="BB79" s="715">
        <v>32674250</v>
      </c>
      <c r="BC79" s="715">
        <v>21000</v>
      </c>
      <c r="BD79" s="716">
        <v>-5828040</v>
      </c>
      <c r="BE79" s="420"/>
      <c r="BF79" s="717" t="s">
        <v>28</v>
      </c>
      <c r="BG79" s="118" t="b">
        <v>1</v>
      </c>
      <c r="BH79" s="494"/>
      <c r="BI79" s="420"/>
      <c r="BJ79" s="420"/>
      <c r="BK79" s="420"/>
      <c r="BL79" s="420"/>
      <c r="BM79" s="420"/>
      <c r="BN79" s="420"/>
      <c r="BO79" s="420"/>
      <c r="BP79" s="420"/>
      <c r="BQ79" s="420"/>
      <c r="BR79" s="420"/>
      <c r="BS79" s="420"/>
      <c r="BT79" s="420"/>
      <c r="BU79" s="420"/>
      <c r="BV79" s="420"/>
      <c r="BW79" s="420"/>
      <c r="BX79" s="420"/>
      <c r="BY79" s="420"/>
      <c r="BZ79" s="420"/>
      <c r="CA79" s="420"/>
      <c r="CB79" s="420"/>
      <c r="CC79" s="420"/>
      <c r="CD79" s="420"/>
      <c r="CE79" s="420"/>
      <c r="CF79" s="420"/>
      <c r="CG79" s="420"/>
      <c r="CH79" s="420"/>
      <c r="CI79" s="420"/>
      <c r="CJ79" s="420"/>
      <c r="CK79" s="420"/>
      <c r="CL79" s="420"/>
      <c r="CM79" s="420"/>
      <c r="CN79" s="420"/>
      <c r="CO79" s="420"/>
      <c r="CP79" s="420"/>
      <c r="CQ79" s="420"/>
      <c r="CR79" s="420"/>
    </row>
    <row r="80" spans="1:96" s="118" customFormat="1" ht="12.75" x14ac:dyDescent="0.2">
      <c r="A80" s="705">
        <v>74</v>
      </c>
      <c r="B80" s="718" t="s">
        <v>29</v>
      </c>
      <c r="C80" s="719" t="s">
        <v>30</v>
      </c>
      <c r="D80" s="708">
        <v>147146</v>
      </c>
      <c r="E80" s="708">
        <v>56533000</v>
      </c>
      <c r="F80" s="133">
        <v>27931569</v>
      </c>
      <c r="G80" s="133">
        <v>-4711352</v>
      </c>
      <c r="H80" s="133">
        <v>353993</v>
      </c>
      <c r="I80" s="133">
        <v>-4357359</v>
      </c>
      <c r="J80" s="133">
        <v>-1561062</v>
      </c>
      <c r="K80" s="133">
        <v>-21672</v>
      </c>
      <c r="L80" s="133">
        <v>-50479</v>
      </c>
      <c r="M80" s="133">
        <v>0</v>
      </c>
      <c r="N80" s="133">
        <v>-580090</v>
      </c>
      <c r="O80" s="133">
        <v>-154649</v>
      </c>
      <c r="P80" s="133">
        <v>-88102</v>
      </c>
      <c r="Q80" s="133">
        <v>-3856</v>
      </c>
      <c r="R80" s="133">
        <v>0</v>
      </c>
      <c r="S80" s="133">
        <v>-6114</v>
      </c>
      <c r="T80" s="133">
        <v>0</v>
      </c>
      <c r="U80" s="133">
        <v>0</v>
      </c>
      <c r="V80" s="133">
        <v>0</v>
      </c>
      <c r="W80" s="709"/>
      <c r="X80" s="709"/>
      <c r="Y80" s="709"/>
      <c r="Z80" s="133">
        <v>-50479</v>
      </c>
      <c r="AA80" s="133">
        <v>0</v>
      </c>
      <c r="AB80" s="133">
        <v>18514138</v>
      </c>
      <c r="AC80" s="133">
        <v>-601709</v>
      </c>
      <c r="AD80" s="709"/>
      <c r="AE80" s="710">
        <v>211</v>
      </c>
      <c r="AF80" s="711">
        <v>3</v>
      </c>
      <c r="AG80" s="710">
        <v>46</v>
      </c>
      <c r="AH80" s="710">
        <v>0</v>
      </c>
      <c r="AI80" s="710">
        <v>213</v>
      </c>
      <c r="AJ80" s="710">
        <v>147</v>
      </c>
      <c r="AK80" s="710">
        <v>14</v>
      </c>
      <c r="AL80" s="710">
        <v>2</v>
      </c>
      <c r="AM80" s="710">
        <v>0</v>
      </c>
      <c r="AN80" s="710">
        <v>4</v>
      </c>
      <c r="AO80" s="710">
        <v>0</v>
      </c>
      <c r="AP80" s="711">
        <v>0</v>
      </c>
      <c r="AQ80" s="709"/>
      <c r="AR80" s="709"/>
      <c r="AS80" s="720">
        <v>730</v>
      </c>
      <c r="AT80" s="710">
        <v>2122</v>
      </c>
      <c r="AU80" s="710">
        <v>2022</v>
      </c>
      <c r="AV80" s="710">
        <v>100</v>
      </c>
      <c r="AW80" s="710">
        <v>1315</v>
      </c>
      <c r="AX80" s="712">
        <v>4224</v>
      </c>
      <c r="AY80" s="683">
        <v>-99609</v>
      </c>
      <c r="AZ80" s="713">
        <v>390673</v>
      </c>
      <c r="BA80" s="714">
        <v>366526</v>
      </c>
      <c r="BB80" s="715">
        <v>11254000</v>
      </c>
      <c r="BC80" s="715">
        <v>0</v>
      </c>
      <c r="BD80" s="716">
        <v>366526</v>
      </c>
      <c r="BE80" s="420"/>
      <c r="BF80" s="717" t="s">
        <v>30</v>
      </c>
      <c r="BG80" s="118" t="b">
        <v>1</v>
      </c>
      <c r="BH80" s="494"/>
      <c r="BI80" s="420"/>
      <c r="BJ80" s="420"/>
      <c r="BK80" s="420"/>
      <c r="BL80" s="420"/>
      <c r="BM80" s="420"/>
      <c r="BN80" s="420"/>
      <c r="BO80" s="420"/>
      <c r="BP80" s="420"/>
      <c r="BQ80" s="420"/>
      <c r="BR80" s="420"/>
      <c r="BS80" s="420"/>
      <c r="BT80" s="420"/>
      <c r="BU80" s="420"/>
      <c r="BV80" s="420"/>
      <c r="BW80" s="420"/>
      <c r="BX80" s="420"/>
      <c r="BY80" s="420"/>
      <c r="BZ80" s="420"/>
      <c r="CA80" s="420"/>
      <c r="CB80" s="420"/>
      <c r="CC80" s="420"/>
      <c r="CD80" s="420"/>
      <c r="CE80" s="420"/>
      <c r="CF80" s="420"/>
      <c r="CG80" s="420"/>
      <c r="CH80" s="420"/>
      <c r="CI80" s="420"/>
      <c r="CJ80" s="420"/>
      <c r="CK80" s="420"/>
      <c r="CL80" s="420"/>
      <c r="CM80" s="420"/>
      <c r="CN80" s="420"/>
      <c r="CO80" s="420"/>
      <c r="CP80" s="420"/>
      <c r="CQ80" s="420"/>
      <c r="CR80" s="420"/>
    </row>
    <row r="81" spans="1:97" s="118" customFormat="1" ht="12.75" x14ac:dyDescent="0.2">
      <c r="A81" s="705">
        <v>75</v>
      </c>
      <c r="B81" s="718" t="s">
        <v>31</v>
      </c>
      <c r="C81" s="719" t="s">
        <v>32</v>
      </c>
      <c r="D81" s="708">
        <v>371178</v>
      </c>
      <c r="E81" s="708">
        <v>250613000</v>
      </c>
      <c r="F81" s="133">
        <v>120742136</v>
      </c>
      <c r="G81" s="133">
        <v>-9886301</v>
      </c>
      <c r="H81" s="133">
        <v>2318845</v>
      </c>
      <c r="I81" s="133">
        <v>-7567456</v>
      </c>
      <c r="J81" s="133">
        <v>-7414401</v>
      </c>
      <c r="K81" s="133">
        <v>-52315</v>
      </c>
      <c r="L81" s="133">
        <v>-3478</v>
      </c>
      <c r="M81" s="133">
        <v>-100000</v>
      </c>
      <c r="N81" s="133">
        <v>-3499086</v>
      </c>
      <c r="O81" s="133">
        <v>-293384</v>
      </c>
      <c r="P81" s="133">
        <v>-165647</v>
      </c>
      <c r="Q81" s="133">
        <v>0</v>
      </c>
      <c r="R81" s="133">
        <v>0</v>
      </c>
      <c r="S81" s="133">
        <v>0</v>
      </c>
      <c r="T81" s="133">
        <v>0</v>
      </c>
      <c r="U81" s="133">
        <v>0</v>
      </c>
      <c r="V81" s="133">
        <v>0</v>
      </c>
      <c r="W81" s="709"/>
      <c r="X81" s="709"/>
      <c r="Y81" s="709"/>
      <c r="Z81" s="133">
        <v>-3478</v>
      </c>
      <c r="AA81" s="133">
        <v>0</v>
      </c>
      <c r="AB81" s="133">
        <v>99774699</v>
      </c>
      <c r="AC81" s="133">
        <v>-4156937</v>
      </c>
      <c r="AD81" s="709"/>
      <c r="AE81" s="710">
        <v>418</v>
      </c>
      <c r="AF81" s="711">
        <v>9</v>
      </c>
      <c r="AG81" s="710">
        <v>5</v>
      </c>
      <c r="AH81" s="710">
        <v>0</v>
      </c>
      <c r="AI81" s="710">
        <v>1071</v>
      </c>
      <c r="AJ81" s="710">
        <v>116</v>
      </c>
      <c r="AK81" s="710">
        <v>22</v>
      </c>
      <c r="AL81" s="710">
        <v>0</v>
      </c>
      <c r="AM81" s="710">
        <v>0</v>
      </c>
      <c r="AN81" s="710">
        <v>0</v>
      </c>
      <c r="AO81" s="710">
        <v>0</v>
      </c>
      <c r="AP81" s="711">
        <v>0</v>
      </c>
      <c r="AQ81" s="709"/>
      <c r="AR81" s="709"/>
      <c r="AS81" s="720">
        <v>2931</v>
      </c>
      <c r="AT81" s="710">
        <v>4192</v>
      </c>
      <c r="AU81" s="710">
        <v>4036</v>
      </c>
      <c r="AV81" s="710">
        <v>156</v>
      </c>
      <c r="AW81" s="710">
        <v>2427</v>
      </c>
      <c r="AX81" s="712">
        <v>9632</v>
      </c>
      <c r="AY81" s="683">
        <v>-45039</v>
      </c>
      <c r="AZ81" s="713">
        <v>-2153769</v>
      </c>
      <c r="BA81" s="714">
        <v>-2083366</v>
      </c>
      <c r="BB81" s="715">
        <v>30466850</v>
      </c>
      <c r="BC81" s="715">
        <v>0</v>
      </c>
      <c r="BD81" s="716">
        <v>-2083365</v>
      </c>
      <c r="BE81" s="420"/>
      <c r="BF81" s="717" t="s">
        <v>32</v>
      </c>
      <c r="BG81" s="118" t="b">
        <v>1</v>
      </c>
      <c r="BH81" s="494"/>
      <c r="BI81" s="420"/>
      <c r="BJ81" s="420"/>
      <c r="BK81" s="420"/>
      <c r="BL81" s="420"/>
      <c r="BM81" s="420"/>
      <c r="BN81" s="420"/>
      <c r="BO81" s="420"/>
      <c r="BP81" s="420"/>
      <c r="BQ81" s="420"/>
      <c r="BR81" s="420"/>
      <c r="BS81" s="420"/>
      <c r="BT81" s="420"/>
      <c r="BU81" s="420"/>
      <c r="BV81" s="420"/>
      <c r="BW81" s="420"/>
      <c r="BX81" s="420"/>
      <c r="BY81" s="420"/>
      <c r="BZ81" s="420"/>
      <c r="CA81" s="420"/>
      <c r="CB81" s="420"/>
      <c r="CC81" s="420"/>
      <c r="CD81" s="420"/>
      <c r="CE81" s="420"/>
      <c r="CF81" s="420"/>
      <c r="CG81" s="420"/>
      <c r="CH81" s="420"/>
      <c r="CI81" s="420"/>
      <c r="CJ81" s="420"/>
      <c r="CK81" s="420"/>
      <c r="CL81" s="420"/>
      <c r="CM81" s="420"/>
      <c r="CN81" s="420"/>
      <c r="CO81" s="420"/>
      <c r="CP81" s="420"/>
      <c r="CQ81" s="420"/>
      <c r="CR81" s="420"/>
    </row>
    <row r="82" spans="1:97" s="118" customFormat="1" ht="12.75" x14ac:dyDescent="0.2">
      <c r="A82" s="705">
        <v>76</v>
      </c>
      <c r="B82" s="721" t="s">
        <v>1125</v>
      </c>
      <c r="C82" s="719" t="s">
        <v>1126</v>
      </c>
      <c r="D82" s="723">
        <v>619099</v>
      </c>
      <c r="E82" s="723">
        <v>287355000</v>
      </c>
      <c r="F82" s="133">
        <v>140180403</v>
      </c>
      <c r="G82" s="133">
        <v>-18985161</v>
      </c>
      <c r="H82" s="133">
        <v>2108405</v>
      </c>
      <c r="I82" s="133">
        <v>-16876756</v>
      </c>
      <c r="J82" s="133">
        <v>-10895453</v>
      </c>
      <c r="K82" s="133">
        <v>-348559</v>
      </c>
      <c r="L82" s="133">
        <v>-113223</v>
      </c>
      <c r="M82" s="133">
        <v>0</v>
      </c>
      <c r="N82" s="133">
        <v>-2574492</v>
      </c>
      <c r="O82" s="133">
        <v>-325384</v>
      </c>
      <c r="P82" s="133">
        <v>-105235</v>
      </c>
      <c r="Q82" s="133">
        <v>-31477</v>
      </c>
      <c r="R82" s="133">
        <v>0</v>
      </c>
      <c r="S82" s="133">
        <v>0</v>
      </c>
      <c r="T82" s="133">
        <v>-43427</v>
      </c>
      <c r="U82" s="133">
        <v>-43427</v>
      </c>
      <c r="V82" s="133">
        <v>0</v>
      </c>
      <c r="W82" s="709">
        <v>0</v>
      </c>
      <c r="X82" s="709">
        <v>0</v>
      </c>
      <c r="Y82" s="709">
        <v>0</v>
      </c>
      <c r="Z82" s="133">
        <v>-113117</v>
      </c>
      <c r="AA82" s="133">
        <v>0</v>
      </c>
      <c r="AB82" s="133">
        <v>103070136</v>
      </c>
      <c r="AC82" s="133">
        <v>-5462717</v>
      </c>
      <c r="AD82" s="709">
        <v>0</v>
      </c>
      <c r="AE82" s="710">
        <v>1010</v>
      </c>
      <c r="AF82" s="711">
        <v>61</v>
      </c>
      <c r="AG82" s="710">
        <v>93</v>
      </c>
      <c r="AH82" s="710">
        <v>1</v>
      </c>
      <c r="AI82" s="710">
        <v>1065</v>
      </c>
      <c r="AJ82" s="710">
        <v>355</v>
      </c>
      <c r="AK82" s="710">
        <v>10</v>
      </c>
      <c r="AL82" s="710">
        <v>7</v>
      </c>
      <c r="AM82" s="710">
        <v>0</v>
      </c>
      <c r="AN82" s="710">
        <v>0</v>
      </c>
      <c r="AO82" s="710">
        <v>0</v>
      </c>
      <c r="AP82" s="711">
        <v>0</v>
      </c>
      <c r="AQ82" s="709">
        <v>0</v>
      </c>
      <c r="AR82" s="709">
        <v>0</v>
      </c>
      <c r="AS82" s="720">
        <v>3104</v>
      </c>
      <c r="AT82" s="710">
        <v>8286</v>
      </c>
      <c r="AU82" s="710">
        <v>5800</v>
      </c>
      <c r="AV82" s="710">
        <v>2486</v>
      </c>
      <c r="AW82" s="710">
        <v>5621</v>
      </c>
      <c r="AX82" s="712">
        <v>17286</v>
      </c>
      <c r="AY82" s="683">
        <v>-127698</v>
      </c>
      <c r="AZ82" s="713">
        <v>52560.269999995828</v>
      </c>
      <c r="BA82" s="714">
        <v>-5004158.7300000004</v>
      </c>
      <c r="BB82" s="715">
        <v>53611331</v>
      </c>
      <c r="BC82" s="715">
        <v>0</v>
      </c>
      <c r="BD82" s="716">
        <v>-5004157.17</v>
      </c>
      <c r="BE82" s="420"/>
      <c r="BF82" s="717" t="s">
        <v>1126</v>
      </c>
      <c r="BG82" s="118" t="b">
        <v>1</v>
      </c>
      <c r="BH82" s="494"/>
      <c r="BI82" s="420"/>
      <c r="BJ82" s="420"/>
      <c r="BK82" s="420"/>
      <c r="BL82" s="420"/>
      <c r="BM82" s="420"/>
      <c r="BN82" s="420"/>
      <c r="BO82" s="420"/>
      <c r="BP82" s="420"/>
      <c r="BQ82" s="420"/>
      <c r="BR82" s="420"/>
      <c r="BS82" s="420"/>
      <c r="BT82" s="420"/>
      <c r="BU82" s="420"/>
      <c r="BV82" s="420"/>
      <c r="BW82" s="420"/>
      <c r="BX82" s="420"/>
      <c r="BY82" s="420"/>
      <c r="BZ82" s="420"/>
      <c r="CA82" s="420"/>
      <c r="CB82" s="420"/>
      <c r="CC82" s="420"/>
      <c r="CD82" s="420"/>
      <c r="CE82" s="420"/>
      <c r="CF82" s="420"/>
      <c r="CG82" s="420"/>
      <c r="CH82" s="420"/>
      <c r="CI82" s="420"/>
      <c r="CJ82" s="420"/>
      <c r="CK82" s="420"/>
      <c r="CL82" s="420"/>
      <c r="CM82" s="420"/>
      <c r="CN82" s="420"/>
      <c r="CO82" s="420"/>
      <c r="CP82" s="420"/>
      <c r="CQ82" s="420"/>
      <c r="CR82" s="420"/>
      <c r="CS82" s="420"/>
    </row>
    <row r="83" spans="1:97" s="118" customFormat="1" ht="12.75" x14ac:dyDescent="0.2">
      <c r="A83" s="705">
        <v>77</v>
      </c>
      <c r="B83" s="718" t="s">
        <v>41</v>
      </c>
      <c r="C83" s="719" t="s">
        <v>42</v>
      </c>
      <c r="D83" s="708">
        <v>160624</v>
      </c>
      <c r="E83" s="708">
        <v>110819000</v>
      </c>
      <c r="F83" s="133">
        <v>54104387</v>
      </c>
      <c r="G83" s="133">
        <v>-4277000</v>
      </c>
      <c r="H83" s="133">
        <v>1075000</v>
      </c>
      <c r="I83" s="133">
        <v>-3202000</v>
      </c>
      <c r="J83" s="133">
        <v>-2798356</v>
      </c>
      <c r="K83" s="133">
        <v>-38264</v>
      </c>
      <c r="L83" s="133">
        <v>-15368</v>
      </c>
      <c r="M83" s="133">
        <v>0</v>
      </c>
      <c r="N83" s="133">
        <v>-825091</v>
      </c>
      <c r="O83" s="133">
        <v>-163293</v>
      </c>
      <c r="P83" s="133">
        <v>-13316</v>
      </c>
      <c r="Q83" s="133">
        <v>0</v>
      </c>
      <c r="R83" s="133">
        <v>0</v>
      </c>
      <c r="S83" s="133">
        <v>0</v>
      </c>
      <c r="T83" s="133">
        <v>-1975000</v>
      </c>
      <c r="U83" s="133">
        <v>0</v>
      </c>
      <c r="V83" s="133">
        <v>-1975000</v>
      </c>
      <c r="W83" s="709"/>
      <c r="X83" s="709"/>
      <c r="Y83" s="709"/>
      <c r="Z83" s="133">
        <v>-15368</v>
      </c>
      <c r="AA83" s="133">
        <v>-1500</v>
      </c>
      <c r="AB83" s="133">
        <v>44360301</v>
      </c>
      <c r="AC83" s="133">
        <v>-1913000</v>
      </c>
      <c r="AD83" s="709"/>
      <c r="AE83" s="710">
        <v>235</v>
      </c>
      <c r="AF83" s="711">
        <v>8</v>
      </c>
      <c r="AG83" s="710">
        <v>10</v>
      </c>
      <c r="AH83" s="710">
        <v>0</v>
      </c>
      <c r="AI83" s="710">
        <v>267</v>
      </c>
      <c r="AJ83" s="710">
        <v>99</v>
      </c>
      <c r="AK83" s="710">
        <v>8</v>
      </c>
      <c r="AL83" s="710">
        <v>0</v>
      </c>
      <c r="AM83" s="710">
        <v>0</v>
      </c>
      <c r="AN83" s="710">
        <v>0</v>
      </c>
      <c r="AO83" s="710">
        <v>180</v>
      </c>
      <c r="AP83" s="711">
        <v>0</v>
      </c>
      <c r="AQ83" s="709"/>
      <c r="AR83" s="709"/>
      <c r="AS83" s="720">
        <v>872</v>
      </c>
      <c r="AT83" s="710">
        <v>1683</v>
      </c>
      <c r="AU83" s="710">
        <v>1629</v>
      </c>
      <c r="AV83" s="710">
        <v>54</v>
      </c>
      <c r="AW83" s="710">
        <v>1556</v>
      </c>
      <c r="AX83" s="712">
        <v>4113</v>
      </c>
      <c r="AY83" s="683">
        <v>-38010</v>
      </c>
      <c r="AZ83" s="713">
        <v>-896000</v>
      </c>
      <c r="BA83" s="714">
        <v>-964379</v>
      </c>
      <c r="BB83" s="715">
        <v>11626050</v>
      </c>
      <c r="BC83" s="715">
        <v>49500</v>
      </c>
      <c r="BD83" s="716">
        <v>-4975926</v>
      </c>
      <c r="BE83" s="420"/>
      <c r="BF83" s="717" t="s">
        <v>42</v>
      </c>
      <c r="BG83" s="118" t="b">
        <v>1</v>
      </c>
      <c r="BH83" s="494"/>
      <c r="BI83" s="420"/>
      <c r="BJ83" s="420"/>
      <c r="BK83" s="420"/>
      <c r="BL83" s="420"/>
      <c r="BM83" s="420"/>
      <c r="BN83" s="420"/>
      <c r="BO83" s="420"/>
      <c r="BP83" s="420"/>
      <c r="BQ83" s="420"/>
      <c r="BR83" s="420"/>
      <c r="BS83" s="420"/>
      <c r="BT83" s="420"/>
      <c r="BU83" s="420"/>
      <c r="BV83" s="420"/>
      <c r="BW83" s="420"/>
      <c r="BX83" s="420"/>
      <c r="BY83" s="420"/>
      <c r="BZ83" s="420"/>
      <c r="CA83" s="420"/>
      <c r="CB83" s="420"/>
      <c r="CC83" s="420"/>
      <c r="CD83" s="420"/>
      <c r="CE83" s="420"/>
      <c r="CF83" s="420"/>
      <c r="CG83" s="420"/>
      <c r="CH83" s="420"/>
      <c r="CI83" s="420"/>
      <c r="CJ83" s="420"/>
      <c r="CK83" s="420"/>
      <c r="CL83" s="420"/>
      <c r="CM83" s="420"/>
      <c r="CN83" s="420"/>
      <c r="CO83" s="420"/>
      <c r="CP83" s="420"/>
      <c r="CQ83" s="420"/>
      <c r="CR83" s="420"/>
    </row>
    <row r="84" spans="1:97" s="118" customFormat="1" ht="12.75" x14ac:dyDescent="0.2">
      <c r="A84" s="705">
        <v>78</v>
      </c>
      <c r="B84" s="718" t="s">
        <v>43</v>
      </c>
      <c r="C84" s="719" t="s">
        <v>44</v>
      </c>
      <c r="D84" s="708">
        <v>406359</v>
      </c>
      <c r="E84" s="708">
        <v>232789000</v>
      </c>
      <c r="F84" s="133">
        <v>114382401</v>
      </c>
      <c r="G84" s="133">
        <v>-11628727</v>
      </c>
      <c r="H84" s="133">
        <v>2005340</v>
      </c>
      <c r="I84" s="133">
        <v>-9623387</v>
      </c>
      <c r="J84" s="133">
        <v>-6204287</v>
      </c>
      <c r="K84" s="133">
        <v>-34917</v>
      </c>
      <c r="L84" s="133">
        <v>0</v>
      </c>
      <c r="M84" s="133">
        <v>0</v>
      </c>
      <c r="N84" s="133">
        <v>-3800000</v>
      </c>
      <c r="O84" s="133">
        <v>-592736</v>
      </c>
      <c r="P84" s="133">
        <v>-81788</v>
      </c>
      <c r="Q84" s="133">
        <v>-8729</v>
      </c>
      <c r="R84" s="133">
        <v>0</v>
      </c>
      <c r="S84" s="133">
        <v>0</v>
      </c>
      <c r="T84" s="133">
        <v>-375132</v>
      </c>
      <c r="U84" s="133">
        <v>-219432</v>
      </c>
      <c r="V84" s="133">
        <v>-155000</v>
      </c>
      <c r="W84" s="709"/>
      <c r="X84" s="709"/>
      <c r="Y84" s="709"/>
      <c r="Z84" s="133">
        <v>0</v>
      </c>
      <c r="AA84" s="133">
        <v>-2150</v>
      </c>
      <c r="AB84" s="133">
        <v>92252972</v>
      </c>
      <c r="AC84" s="133">
        <v>-4300000</v>
      </c>
      <c r="AD84" s="709"/>
      <c r="AE84" s="710">
        <v>387</v>
      </c>
      <c r="AF84" s="711">
        <v>11</v>
      </c>
      <c r="AG84" s="710">
        <v>0</v>
      </c>
      <c r="AH84" s="710">
        <v>0</v>
      </c>
      <c r="AI84" s="710">
        <v>1718</v>
      </c>
      <c r="AJ84" s="710">
        <v>300</v>
      </c>
      <c r="AK84" s="710">
        <v>23</v>
      </c>
      <c r="AL84" s="710">
        <v>11</v>
      </c>
      <c r="AM84" s="710">
        <v>0</v>
      </c>
      <c r="AN84" s="710">
        <v>0</v>
      </c>
      <c r="AO84" s="710">
        <v>13</v>
      </c>
      <c r="AP84" s="711">
        <v>1</v>
      </c>
      <c r="AQ84" s="709"/>
      <c r="AR84" s="709"/>
      <c r="AS84" s="720">
        <v>2673</v>
      </c>
      <c r="AT84" s="710">
        <v>4406</v>
      </c>
      <c r="AU84" s="710">
        <v>4251</v>
      </c>
      <c r="AV84" s="710">
        <v>155</v>
      </c>
      <c r="AW84" s="710">
        <v>3699</v>
      </c>
      <c r="AX84" s="712">
        <v>10762</v>
      </c>
      <c r="AY84" s="683">
        <v>-15482</v>
      </c>
      <c r="AZ84" s="713">
        <v>-2732380</v>
      </c>
      <c r="BA84" s="714">
        <v>-3045146</v>
      </c>
      <c r="BB84" s="715">
        <v>34458125</v>
      </c>
      <c r="BC84" s="715">
        <v>52750</v>
      </c>
      <c r="BD84" s="716">
        <v>-3045146</v>
      </c>
      <c r="BE84" s="420"/>
      <c r="BF84" s="717" t="s">
        <v>44</v>
      </c>
      <c r="BG84" s="118" t="b">
        <v>1</v>
      </c>
      <c r="BH84" s="494"/>
      <c r="BI84" s="420"/>
      <c r="BJ84" s="420"/>
      <c r="BK84" s="420"/>
      <c r="BL84" s="420"/>
      <c r="BM84" s="420"/>
      <c r="BN84" s="420"/>
      <c r="BO84" s="420"/>
      <c r="BP84" s="420"/>
      <c r="BQ84" s="420"/>
      <c r="BR84" s="420"/>
      <c r="BS84" s="420"/>
      <c r="BT84" s="420"/>
      <c r="BU84" s="420"/>
      <c r="BV84" s="420"/>
      <c r="BW84" s="420"/>
      <c r="BX84" s="420"/>
      <c r="BY84" s="420"/>
      <c r="BZ84" s="420"/>
      <c r="CA84" s="420"/>
      <c r="CB84" s="420"/>
      <c r="CC84" s="420"/>
      <c r="CD84" s="420"/>
      <c r="CE84" s="420"/>
      <c r="CF84" s="420"/>
      <c r="CG84" s="420"/>
      <c r="CH84" s="420"/>
      <c r="CI84" s="420"/>
      <c r="CJ84" s="420"/>
      <c r="CK84" s="420"/>
      <c r="CL84" s="420"/>
      <c r="CM84" s="420"/>
      <c r="CN84" s="420"/>
      <c r="CO84" s="420"/>
      <c r="CP84" s="420"/>
      <c r="CQ84" s="420"/>
      <c r="CR84" s="420"/>
    </row>
    <row r="85" spans="1:97" s="118" customFormat="1" ht="12.75" x14ac:dyDescent="0.2">
      <c r="A85" s="705">
        <v>79</v>
      </c>
      <c r="B85" s="718" t="s">
        <v>45</v>
      </c>
      <c r="C85" s="719" t="s">
        <v>46</v>
      </c>
      <c r="D85" s="708">
        <v>574728</v>
      </c>
      <c r="E85" s="708">
        <v>314728000</v>
      </c>
      <c r="F85" s="133">
        <v>153010060</v>
      </c>
      <c r="G85" s="133">
        <v>-14953813</v>
      </c>
      <c r="H85" s="133">
        <v>2732483</v>
      </c>
      <c r="I85" s="133">
        <v>-12221330</v>
      </c>
      <c r="J85" s="133">
        <v>-12193257</v>
      </c>
      <c r="K85" s="133">
        <v>-300381</v>
      </c>
      <c r="L85" s="133">
        <v>-86080</v>
      </c>
      <c r="M85" s="133">
        <v>0</v>
      </c>
      <c r="N85" s="133">
        <v>-3115096</v>
      </c>
      <c r="O85" s="133">
        <v>-777641</v>
      </c>
      <c r="P85" s="133">
        <v>-212366</v>
      </c>
      <c r="Q85" s="133">
        <v>0</v>
      </c>
      <c r="R85" s="133">
        <v>0</v>
      </c>
      <c r="S85" s="133">
        <v>-2480</v>
      </c>
      <c r="T85" s="133">
        <v>0</v>
      </c>
      <c r="U85" s="133">
        <v>0</v>
      </c>
      <c r="V85" s="133">
        <v>0</v>
      </c>
      <c r="W85" s="709"/>
      <c r="X85" s="709"/>
      <c r="Y85" s="709"/>
      <c r="Z85" s="133">
        <v>-83600</v>
      </c>
      <c r="AA85" s="133">
        <v>-1500</v>
      </c>
      <c r="AB85" s="133">
        <v>119420946</v>
      </c>
      <c r="AC85" s="133">
        <v>-5926721</v>
      </c>
      <c r="AD85" s="709"/>
      <c r="AE85" s="710">
        <v>822</v>
      </c>
      <c r="AF85" s="711">
        <v>52</v>
      </c>
      <c r="AG85" s="710">
        <v>78</v>
      </c>
      <c r="AH85" s="710">
        <v>3</v>
      </c>
      <c r="AI85" s="710">
        <v>1133</v>
      </c>
      <c r="AJ85" s="710">
        <v>494</v>
      </c>
      <c r="AK85" s="710">
        <v>47</v>
      </c>
      <c r="AL85" s="710">
        <v>0</v>
      </c>
      <c r="AM85" s="710">
        <v>0</v>
      </c>
      <c r="AN85" s="710">
        <v>3</v>
      </c>
      <c r="AO85" s="710">
        <v>0</v>
      </c>
      <c r="AP85" s="711">
        <v>0</v>
      </c>
      <c r="AQ85" s="709"/>
      <c r="AR85" s="709"/>
      <c r="AS85" s="720">
        <v>3366</v>
      </c>
      <c r="AT85" s="710">
        <v>6782</v>
      </c>
      <c r="AU85" s="710">
        <v>6547</v>
      </c>
      <c r="AV85" s="710">
        <v>235</v>
      </c>
      <c r="AW85" s="710">
        <v>5478</v>
      </c>
      <c r="AX85" s="712">
        <v>15599</v>
      </c>
      <c r="AY85" s="683">
        <v>-73460</v>
      </c>
      <c r="AZ85" s="713">
        <v>1472205</v>
      </c>
      <c r="BA85" s="714">
        <v>2761674</v>
      </c>
      <c r="BB85" s="715">
        <v>45836350</v>
      </c>
      <c r="BC85" s="715">
        <v>346250</v>
      </c>
      <c r="BD85" s="716">
        <v>2761676</v>
      </c>
      <c r="BE85" s="420"/>
      <c r="BF85" s="717" t="s">
        <v>46</v>
      </c>
      <c r="BG85" s="118" t="b">
        <v>1</v>
      </c>
      <c r="BH85" s="494"/>
      <c r="BI85" s="420"/>
      <c r="BJ85" s="420"/>
      <c r="BK85" s="420"/>
      <c r="BL85" s="420"/>
      <c r="BM85" s="420"/>
      <c r="BN85" s="420"/>
      <c r="BO85" s="420"/>
      <c r="BP85" s="420"/>
      <c r="BQ85" s="420"/>
      <c r="BR85" s="420"/>
      <c r="BS85" s="420"/>
      <c r="BT85" s="420"/>
      <c r="BU85" s="420"/>
      <c r="BV85" s="420"/>
      <c r="BW85" s="420"/>
      <c r="BX85" s="420"/>
      <c r="BY85" s="420"/>
      <c r="BZ85" s="420"/>
      <c r="CA85" s="420"/>
      <c r="CB85" s="420"/>
      <c r="CC85" s="420"/>
      <c r="CD85" s="420"/>
      <c r="CE85" s="420"/>
      <c r="CF85" s="420"/>
      <c r="CG85" s="420"/>
      <c r="CH85" s="420"/>
      <c r="CI85" s="420"/>
      <c r="CJ85" s="420"/>
      <c r="CK85" s="420"/>
      <c r="CL85" s="420"/>
      <c r="CM85" s="420"/>
      <c r="CN85" s="420"/>
      <c r="CO85" s="420"/>
      <c r="CP85" s="420"/>
      <c r="CQ85" s="420"/>
      <c r="CR85" s="420"/>
    </row>
    <row r="86" spans="1:97" s="118" customFormat="1" ht="12.75" x14ac:dyDescent="0.2">
      <c r="A86" s="705">
        <v>80</v>
      </c>
      <c r="B86" s="718" t="s">
        <v>47</v>
      </c>
      <c r="C86" s="719" t="s">
        <v>48</v>
      </c>
      <c r="D86" s="708">
        <v>499198</v>
      </c>
      <c r="E86" s="708">
        <v>386746000</v>
      </c>
      <c r="F86" s="133">
        <v>191291315</v>
      </c>
      <c r="G86" s="133">
        <v>-9511345</v>
      </c>
      <c r="H86" s="133">
        <v>3709040</v>
      </c>
      <c r="I86" s="133">
        <v>-5802305</v>
      </c>
      <c r="J86" s="133">
        <v>-9413682</v>
      </c>
      <c r="K86" s="133">
        <v>-77440</v>
      </c>
      <c r="L86" s="133">
        <v>0</v>
      </c>
      <c r="M86" s="133">
        <v>-100000</v>
      </c>
      <c r="N86" s="133">
        <v>-6468108</v>
      </c>
      <c r="O86" s="133">
        <v>-182077</v>
      </c>
      <c r="P86" s="133">
        <v>-37895</v>
      </c>
      <c r="Q86" s="133">
        <v>0</v>
      </c>
      <c r="R86" s="133">
        <v>0</v>
      </c>
      <c r="S86" s="133">
        <v>0</v>
      </c>
      <c r="T86" s="133">
        <v>-10000</v>
      </c>
      <c r="U86" s="133">
        <v>0</v>
      </c>
      <c r="V86" s="133">
        <v>0</v>
      </c>
      <c r="W86" s="709"/>
      <c r="X86" s="709"/>
      <c r="Y86" s="709"/>
      <c r="Z86" s="133">
        <v>0</v>
      </c>
      <c r="AA86" s="133">
        <v>0</v>
      </c>
      <c r="AB86" s="133">
        <v>160783354</v>
      </c>
      <c r="AC86" s="133">
        <v>-7074468</v>
      </c>
      <c r="AD86" s="709"/>
      <c r="AE86" s="710">
        <v>331</v>
      </c>
      <c r="AF86" s="711">
        <v>9</v>
      </c>
      <c r="AG86" s="710">
        <v>0</v>
      </c>
      <c r="AH86" s="710">
        <v>1</v>
      </c>
      <c r="AI86" s="710">
        <v>903</v>
      </c>
      <c r="AJ86" s="710">
        <v>86</v>
      </c>
      <c r="AK86" s="710">
        <v>9</v>
      </c>
      <c r="AL86" s="710">
        <v>0</v>
      </c>
      <c r="AM86" s="710">
        <v>0</v>
      </c>
      <c r="AN86" s="710">
        <v>0</v>
      </c>
      <c r="AO86" s="710">
        <v>0</v>
      </c>
      <c r="AP86" s="711">
        <v>0</v>
      </c>
      <c r="AQ86" s="709"/>
      <c r="AR86" s="709"/>
      <c r="AS86" s="720">
        <v>1535</v>
      </c>
      <c r="AT86" s="710">
        <v>3078</v>
      </c>
      <c r="AU86" s="710">
        <v>2669</v>
      </c>
      <c r="AV86" s="710">
        <v>409</v>
      </c>
      <c r="AW86" s="710">
        <v>5747</v>
      </c>
      <c r="AX86" s="712">
        <v>10870</v>
      </c>
      <c r="AY86" s="683">
        <v>-173769</v>
      </c>
      <c r="AZ86" s="713">
        <v>3434413</v>
      </c>
      <c r="BA86" s="714">
        <v>1701976</v>
      </c>
      <c r="BB86" s="715">
        <v>32640500</v>
      </c>
      <c r="BC86" s="715">
        <v>0</v>
      </c>
      <c r="BD86" s="716">
        <v>1701976</v>
      </c>
      <c r="BE86" s="420"/>
      <c r="BF86" s="717" t="s">
        <v>48</v>
      </c>
      <c r="BG86" s="118" t="b">
        <v>1</v>
      </c>
      <c r="BH86" s="494"/>
      <c r="BI86" s="420"/>
      <c r="BJ86" s="420"/>
      <c r="BK86" s="420"/>
      <c r="BL86" s="420"/>
      <c r="BM86" s="420"/>
      <c r="BN86" s="420"/>
      <c r="BO86" s="420"/>
      <c r="BP86" s="420"/>
      <c r="BQ86" s="420"/>
      <c r="BR86" s="420"/>
      <c r="BS86" s="420"/>
      <c r="BT86" s="420"/>
      <c r="BU86" s="420"/>
      <c r="BV86" s="420"/>
      <c r="BW86" s="420"/>
      <c r="BX86" s="420"/>
      <c r="BY86" s="420"/>
      <c r="BZ86" s="420"/>
      <c r="CA86" s="420"/>
      <c r="CB86" s="420"/>
      <c r="CC86" s="420"/>
      <c r="CD86" s="420"/>
      <c r="CE86" s="420"/>
      <c r="CF86" s="420"/>
      <c r="CG86" s="420"/>
      <c r="CH86" s="420"/>
      <c r="CI86" s="420"/>
      <c r="CJ86" s="420"/>
      <c r="CK86" s="420"/>
      <c r="CL86" s="420"/>
      <c r="CM86" s="420"/>
      <c r="CN86" s="420"/>
      <c r="CO86" s="420"/>
      <c r="CP86" s="420"/>
      <c r="CQ86" s="420"/>
      <c r="CR86" s="420"/>
    </row>
    <row r="87" spans="1:97" s="737" customFormat="1" ht="12.75" x14ac:dyDescent="0.2">
      <c r="A87" s="705">
        <v>81</v>
      </c>
      <c r="B87" s="718" t="s">
        <v>49</v>
      </c>
      <c r="C87" s="719" t="s">
        <v>50</v>
      </c>
      <c r="D87" s="708">
        <v>94909</v>
      </c>
      <c r="E87" s="708">
        <v>57896000</v>
      </c>
      <c r="F87" s="133">
        <v>28152870</v>
      </c>
      <c r="G87" s="133">
        <v>-2580526</v>
      </c>
      <c r="H87" s="133">
        <v>453353</v>
      </c>
      <c r="I87" s="133">
        <v>-2127173</v>
      </c>
      <c r="J87" s="133">
        <v>-1922497</v>
      </c>
      <c r="K87" s="133">
        <v>-27236</v>
      </c>
      <c r="L87" s="133">
        <v>-28613</v>
      </c>
      <c r="M87" s="133">
        <v>0</v>
      </c>
      <c r="N87" s="133">
        <v>-551575</v>
      </c>
      <c r="O87" s="133">
        <v>-34991</v>
      </c>
      <c r="P87" s="133">
        <v>-2000</v>
      </c>
      <c r="Q87" s="133">
        <v>-5709</v>
      </c>
      <c r="R87" s="133">
        <v>0</v>
      </c>
      <c r="S87" s="133">
        <v>0</v>
      </c>
      <c r="T87" s="133">
        <v>-35200</v>
      </c>
      <c r="U87" s="133">
        <v>-32812</v>
      </c>
      <c r="V87" s="133">
        <v>0</v>
      </c>
      <c r="W87" s="709"/>
      <c r="X87" s="709"/>
      <c r="Y87" s="709"/>
      <c r="Z87" s="133">
        <v>-27411</v>
      </c>
      <c r="AA87" s="133">
        <v>0</v>
      </c>
      <c r="AB87" s="133">
        <v>22135107</v>
      </c>
      <c r="AC87" s="133">
        <v>-1070576</v>
      </c>
      <c r="AD87" s="709"/>
      <c r="AE87" s="710">
        <v>140</v>
      </c>
      <c r="AF87" s="711">
        <v>8</v>
      </c>
      <c r="AG87" s="710">
        <v>18</v>
      </c>
      <c r="AH87" s="710">
        <v>0</v>
      </c>
      <c r="AI87" s="710">
        <v>134</v>
      </c>
      <c r="AJ87" s="710">
        <v>47</v>
      </c>
      <c r="AK87" s="710">
        <v>1</v>
      </c>
      <c r="AL87" s="710">
        <v>8</v>
      </c>
      <c r="AM87" s="710">
        <v>0</v>
      </c>
      <c r="AN87" s="710">
        <v>0</v>
      </c>
      <c r="AO87" s="710">
        <v>1</v>
      </c>
      <c r="AP87" s="711">
        <v>1</v>
      </c>
      <c r="AQ87" s="709"/>
      <c r="AR87" s="709"/>
      <c r="AS87" s="720">
        <v>448</v>
      </c>
      <c r="AT87" s="710">
        <v>996</v>
      </c>
      <c r="AU87" s="710">
        <v>923</v>
      </c>
      <c r="AV87" s="710">
        <v>73</v>
      </c>
      <c r="AW87" s="710">
        <v>941</v>
      </c>
      <c r="AX87" s="712">
        <v>2422</v>
      </c>
      <c r="AY87" s="683">
        <v>-38293</v>
      </c>
      <c r="AZ87" s="713">
        <v>616927</v>
      </c>
      <c r="BA87" s="714">
        <v>855351</v>
      </c>
      <c r="BB87" s="715">
        <v>11792350</v>
      </c>
      <c r="BC87" s="715">
        <v>0</v>
      </c>
      <c r="BD87" s="716">
        <v>855351</v>
      </c>
      <c r="BE87" s="420"/>
      <c r="BF87" s="717" t="s">
        <v>50</v>
      </c>
      <c r="BG87" s="118" t="b">
        <v>1</v>
      </c>
      <c r="BH87" s="494"/>
      <c r="BI87" s="420"/>
      <c r="BJ87" s="420"/>
      <c r="BK87" s="420"/>
      <c r="BL87" s="420"/>
      <c r="BM87" s="420"/>
      <c r="BN87" s="420"/>
      <c r="BO87" s="420"/>
      <c r="BP87" s="420"/>
      <c r="BQ87" s="420"/>
      <c r="BR87" s="420"/>
      <c r="BS87" s="420"/>
      <c r="BT87" s="420"/>
      <c r="BU87" s="420"/>
      <c r="BV87" s="420"/>
      <c r="BW87" s="420"/>
      <c r="BX87" s="420"/>
      <c r="BY87" s="420"/>
      <c r="BZ87" s="420"/>
      <c r="CA87" s="420"/>
      <c r="CB87" s="420"/>
      <c r="CC87" s="420"/>
      <c r="CD87" s="420"/>
      <c r="CE87" s="420"/>
      <c r="CF87" s="420"/>
      <c r="CG87" s="420"/>
      <c r="CH87" s="420"/>
      <c r="CI87" s="420"/>
      <c r="CJ87" s="420"/>
      <c r="CK87" s="420"/>
      <c r="CL87" s="420"/>
      <c r="CM87" s="420"/>
      <c r="CN87" s="420"/>
      <c r="CO87" s="420"/>
      <c r="CP87" s="420"/>
      <c r="CQ87" s="420"/>
      <c r="CR87" s="420"/>
      <c r="CS87" s="118"/>
    </row>
    <row r="88" spans="1:97" s="118" customFormat="1" ht="12.75" x14ac:dyDescent="0.2">
      <c r="A88" s="705">
        <v>82</v>
      </c>
      <c r="B88" s="718" t="s">
        <v>51</v>
      </c>
      <c r="C88" s="719" t="s">
        <v>52</v>
      </c>
      <c r="D88" s="708">
        <v>238983</v>
      </c>
      <c r="E88" s="708">
        <v>101797000</v>
      </c>
      <c r="F88" s="133">
        <v>49758030</v>
      </c>
      <c r="G88" s="133">
        <v>-7243695</v>
      </c>
      <c r="H88" s="133">
        <v>735818</v>
      </c>
      <c r="I88" s="133">
        <v>-6507877</v>
      </c>
      <c r="J88" s="133">
        <v>-3170725</v>
      </c>
      <c r="K88" s="133">
        <v>-465047</v>
      </c>
      <c r="L88" s="133">
        <v>-43718</v>
      </c>
      <c r="M88" s="133">
        <v>0</v>
      </c>
      <c r="N88" s="133">
        <v>-599042</v>
      </c>
      <c r="O88" s="133">
        <v>-144718</v>
      </c>
      <c r="P88" s="133">
        <v>-417</v>
      </c>
      <c r="Q88" s="133">
        <v>-83125</v>
      </c>
      <c r="R88" s="133">
        <v>0</v>
      </c>
      <c r="S88" s="133">
        <v>0</v>
      </c>
      <c r="T88" s="133">
        <v>-309710</v>
      </c>
      <c r="U88" s="133">
        <v>-309710</v>
      </c>
      <c r="V88" s="133">
        <v>0</v>
      </c>
      <c r="W88" s="709"/>
      <c r="X88" s="709"/>
      <c r="Y88" s="709"/>
      <c r="Z88" s="133">
        <v>-43718</v>
      </c>
      <c r="AA88" s="133">
        <v>-1500</v>
      </c>
      <c r="AB88" s="133">
        <v>36858966</v>
      </c>
      <c r="AC88" s="133">
        <v>-1783565</v>
      </c>
      <c r="AD88" s="709"/>
      <c r="AE88" s="710">
        <v>431</v>
      </c>
      <c r="AF88" s="711">
        <v>69</v>
      </c>
      <c r="AG88" s="710">
        <v>30</v>
      </c>
      <c r="AH88" s="710">
        <v>0</v>
      </c>
      <c r="AI88" s="710">
        <v>270</v>
      </c>
      <c r="AJ88" s="710">
        <v>251</v>
      </c>
      <c r="AK88" s="710">
        <v>1</v>
      </c>
      <c r="AL88" s="710">
        <v>65</v>
      </c>
      <c r="AM88" s="710">
        <v>0</v>
      </c>
      <c r="AN88" s="710">
        <v>0</v>
      </c>
      <c r="AO88" s="710">
        <v>10</v>
      </c>
      <c r="AP88" s="711">
        <v>10</v>
      </c>
      <c r="AQ88" s="709"/>
      <c r="AR88" s="709"/>
      <c r="AS88" s="720">
        <v>1236</v>
      </c>
      <c r="AT88" s="710">
        <v>3024</v>
      </c>
      <c r="AU88" s="710">
        <v>2908</v>
      </c>
      <c r="AV88" s="710">
        <v>116</v>
      </c>
      <c r="AW88" s="710">
        <v>2140</v>
      </c>
      <c r="AX88" s="712">
        <v>6762</v>
      </c>
      <c r="AY88" s="683">
        <v>-18385</v>
      </c>
      <c r="AZ88" s="713">
        <v>2789101</v>
      </c>
      <c r="BA88" s="714">
        <v>2059832</v>
      </c>
      <c r="BB88" s="715">
        <v>17568625</v>
      </c>
      <c r="BC88" s="715">
        <v>154750</v>
      </c>
      <c r="BD88" s="716">
        <v>2059832</v>
      </c>
      <c r="BE88" s="420"/>
      <c r="BF88" s="717" t="s">
        <v>52</v>
      </c>
      <c r="BG88" s="118" t="b">
        <v>1</v>
      </c>
      <c r="BH88" s="494"/>
      <c r="BI88" s="420"/>
      <c r="BJ88" s="420"/>
      <c r="BK88" s="420"/>
      <c r="BL88" s="420"/>
      <c r="BM88" s="420"/>
      <c r="BN88" s="420"/>
      <c r="BO88" s="420"/>
      <c r="BP88" s="420"/>
      <c r="BQ88" s="420"/>
      <c r="BR88" s="420"/>
      <c r="BS88" s="420"/>
      <c r="BT88" s="420"/>
      <c r="BU88" s="420"/>
      <c r="BV88" s="420"/>
      <c r="BW88" s="420"/>
      <c r="BX88" s="420"/>
      <c r="BY88" s="420"/>
      <c r="BZ88" s="420"/>
      <c r="CA88" s="420"/>
      <c r="CB88" s="420"/>
      <c r="CC88" s="420"/>
      <c r="CD88" s="420"/>
      <c r="CE88" s="420"/>
      <c r="CF88" s="420"/>
      <c r="CG88" s="420"/>
      <c r="CH88" s="420"/>
      <c r="CI88" s="420"/>
      <c r="CJ88" s="420"/>
      <c r="CK88" s="420"/>
      <c r="CL88" s="420"/>
      <c r="CM88" s="420"/>
      <c r="CN88" s="420"/>
      <c r="CO88" s="420"/>
      <c r="CP88" s="420"/>
      <c r="CQ88" s="420"/>
      <c r="CR88" s="420"/>
    </row>
    <row r="89" spans="1:97" s="118" customFormat="1" ht="12.75" x14ac:dyDescent="0.2">
      <c r="A89" s="705">
        <v>83</v>
      </c>
      <c r="B89" s="718" t="s">
        <v>53</v>
      </c>
      <c r="C89" s="719" t="s">
        <v>54</v>
      </c>
      <c r="D89" s="708">
        <v>157399</v>
      </c>
      <c r="E89" s="708">
        <v>86802000</v>
      </c>
      <c r="F89" s="133">
        <v>42648547</v>
      </c>
      <c r="G89" s="133">
        <v>-4378142</v>
      </c>
      <c r="H89" s="133">
        <v>640528</v>
      </c>
      <c r="I89" s="133">
        <v>-3737614</v>
      </c>
      <c r="J89" s="133">
        <v>-3009484</v>
      </c>
      <c r="K89" s="133">
        <v>-33859</v>
      </c>
      <c r="L89" s="133">
        <v>0</v>
      </c>
      <c r="M89" s="133">
        <v>0</v>
      </c>
      <c r="N89" s="133">
        <v>-774501</v>
      </c>
      <c r="O89" s="133">
        <v>-99252</v>
      </c>
      <c r="P89" s="133">
        <v>-4873</v>
      </c>
      <c r="Q89" s="133">
        <v>-4232</v>
      </c>
      <c r="R89" s="133">
        <v>0</v>
      </c>
      <c r="S89" s="133">
        <v>0</v>
      </c>
      <c r="T89" s="133">
        <v>-15381</v>
      </c>
      <c r="U89" s="133">
        <v>-15381</v>
      </c>
      <c r="V89" s="133">
        <v>0</v>
      </c>
      <c r="W89" s="709"/>
      <c r="X89" s="709"/>
      <c r="Y89" s="709"/>
      <c r="Z89" s="133">
        <v>-27128</v>
      </c>
      <c r="AA89" s="133">
        <v>-4500</v>
      </c>
      <c r="AB89" s="133">
        <v>33303194</v>
      </c>
      <c r="AC89" s="133">
        <v>-100000</v>
      </c>
      <c r="AD89" s="709"/>
      <c r="AE89" s="710">
        <v>258</v>
      </c>
      <c r="AF89" s="711">
        <v>11</v>
      </c>
      <c r="AG89" s="710">
        <v>9</v>
      </c>
      <c r="AH89" s="710">
        <v>0</v>
      </c>
      <c r="AI89" s="710">
        <v>259</v>
      </c>
      <c r="AJ89" s="710">
        <v>115</v>
      </c>
      <c r="AK89" s="710">
        <v>12</v>
      </c>
      <c r="AL89" s="710">
        <v>11</v>
      </c>
      <c r="AM89" s="710">
        <v>9</v>
      </c>
      <c r="AN89" s="710">
        <v>0</v>
      </c>
      <c r="AO89" s="710">
        <v>13</v>
      </c>
      <c r="AP89" s="711">
        <v>0</v>
      </c>
      <c r="AQ89" s="709"/>
      <c r="AR89" s="709"/>
      <c r="AS89" s="720">
        <v>919</v>
      </c>
      <c r="AT89" s="710">
        <v>1579</v>
      </c>
      <c r="AU89" s="710">
        <v>1447</v>
      </c>
      <c r="AV89" s="710">
        <v>132</v>
      </c>
      <c r="AW89" s="710">
        <v>1551</v>
      </c>
      <c r="AX89" s="712">
        <v>4087</v>
      </c>
      <c r="AY89" s="683">
        <v>-48515</v>
      </c>
      <c r="AZ89" s="713">
        <v>-2760715.8000000007</v>
      </c>
      <c r="BA89" s="714">
        <v>-5400765.8000000007</v>
      </c>
      <c r="BB89" s="715">
        <v>19604058</v>
      </c>
      <c r="BC89" s="715">
        <v>0</v>
      </c>
      <c r="BD89" s="716">
        <v>-5946705.8000000007</v>
      </c>
      <c r="BE89" s="420"/>
      <c r="BF89" s="717" t="s">
        <v>54</v>
      </c>
      <c r="BG89" s="118" t="b">
        <v>1</v>
      </c>
      <c r="BH89" s="494"/>
      <c r="BI89" s="420"/>
      <c r="BJ89" s="420"/>
      <c r="BK89" s="420"/>
      <c r="BL89" s="420"/>
      <c r="BM89" s="420"/>
      <c r="BN89" s="420"/>
      <c r="BO89" s="420"/>
      <c r="BP89" s="420"/>
      <c r="BQ89" s="420"/>
      <c r="BR89" s="420"/>
      <c r="BS89" s="420"/>
      <c r="BT89" s="420"/>
      <c r="BU89" s="420"/>
      <c r="BV89" s="420"/>
      <c r="BW89" s="420"/>
      <c r="BX89" s="420"/>
      <c r="BY89" s="420"/>
      <c r="BZ89" s="420"/>
      <c r="CA89" s="420"/>
      <c r="CB89" s="420"/>
      <c r="CC89" s="420"/>
      <c r="CD89" s="420"/>
      <c r="CE89" s="420"/>
      <c r="CF89" s="420"/>
      <c r="CG89" s="420"/>
      <c r="CH89" s="420"/>
      <c r="CI89" s="420"/>
      <c r="CJ89" s="420"/>
      <c r="CK89" s="420"/>
      <c r="CL89" s="420"/>
      <c r="CM89" s="420"/>
      <c r="CN89" s="420"/>
      <c r="CO89" s="420"/>
      <c r="CP89" s="420"/>
      <c r="CQ89" s="420"/>
      <c r="CR89" s="420"/>
    </row>
    <row r="90" spans="1:97" s="118" customFormat="1" ht="12.75" x14ac:dyDescent="0.2">
      <c r="A90" s="705">
        <v>84</v>
      </c>
      <c r="B90" s="718" t="s">
        <v>55</v>
      </c>
      <c r="C90" s="719" t="s">
        <v>56</v>
      </c>
      <c r="D90" s="708">
        <v>199083</v>
      </c>
      <c r="E90" s="708">
        <v>118468000</v>
      </c>
      <c r="F90" s="133">
        <v>58333359</v>
      </c>
      <c r="G90" s="133">
        <v>-5436803</v>
      </c>
      <c r="H90" s="133">
        <v>961159</v>
      </c>
      <c r="I90" s="133">
        <v>-4475644</v>
      </c>
      <c r="J90" s="133">
        <v>-4559631</v>
      </c>
      <c r="K90" s="133">
        <v>-84565</v>
      </c>
      <c r="L90" s="133">
        <v>-38645</v>
      </c>
      <c r="M90" s="133">
        <v>0</v>
      </c>
      <c r="N90" s="133">
        <v>-864543</v>
      </c>
      <c r="O90" s="133">
        <v>-137874</v>
      </c>
      <c r="P90" s="133">
        <v>-43789</v>
      </c>
      <c r="Q90" s="133">
        <v>0</v>
      </c>
      <c r="R90" s="133">
        <v>-3024</v>
      </c>
      <c r="S90" s="133">
        <v>0</v>
      </c>
      <c r="T90" s="133">
        <v>0</v>
      </c>
      <c r="U90" s="133">
        <v>0</v>
      </c>
      <c r="V90" s="133">
        <v>0</v>
      </c>
      <c r="W90" s="709"/>
      <c r="X90" s="709"/>
      <c r="Y90" s="709"/>
      <c r="Z90" s="133">
        <v>-34739</v>
      </c>
      <c r="AA90" s="133">
        <v>-1500</v>
      </c>
      <c r="AB90" s="133">
        <v>45182383</v>
      </c>
      <c r="AC90" s="133">
        <v>-2498921</v>
      </c>
      <c r="AD90" s="709"/>
      <c r="AE90" s="710">
        <v>271</v>
      </c>
      <c r="AF90" s="711">
        <v>19</v>
      </c>
      <c r="AG90" s="710">
        <v>31</v>
      </c>
      <c r="AH90" s="710">
        <v>0</v>
      </c>
      <c r="AI90" s="710">
        <v>412</v>
      </c>
      <c r="AJ90" s="710">
        <v>137</v>
      </c>
      <c r="AK90" s="710">
        <v>10</v>
      </c>
      <c r="AL90" s="710">
        <v>0</v>
      </c>
      <c r="AM90" s="710">
        <v>1</v>
      </c>
      <c r="AN90" s="710">
        <v>0</v>
      </c>
      <c r="AO90" s="710">
        <v>0</v>
      </c>
      <c r="AP90" s="711">
        <v>0</v>
      </c>
      <c r="AQ90" s="709"/>
      <c r="AR90" s="709"/>
      <c r="AS90" s="720">
        <v>1040</v>
      </c>
      <c r="AT90" s="710">
        <v>1801</v>
      </c>
      <c r="AU90" s="710">
        <v>1653</v>
      </c>
      <c r="AV90" s="710">
        <v>148</v>
      </c>
      <c r="AW90" s="710">
        <v>2035</v>
      </c>
      <c r="AX90" s="712">
        <v>4832</v>
      </c>
      <c r="AY90" s="683">
        <v>-32495</v>
      </c>
      <c r="AZ90" s="713">
        <v>171290</v>
      </c>
      <c r="BA90" s="714">
        <v>990004</v>
      </c>
      <c r="BB90" s="715">
        <v>23529775</v>
      </c>
      <c r="BC90" s="715">
        <v>0</v>
      </c>
      <c r="BD90" s="716">
        <v>990104</v>
      </c>
      <c r="BE90" s="420"/>
      <c r="BF90" s="717" t="s">
        <v>56</v>
      </c>
      <c r="BG90" s="118" t="b">
        <v>1</v>
      </c>
      <c r="BH90" s="494"/>
      <c r="BI90" s="420"/>
      <c r="BJ90" s="420"/>
      <c r="BK90" s="420"/>
      <c r="BL90" s="420"/>
      <c r="BM90" s="420"/>
      <c r="BN90" s="420"/>
      <c r="BO90" s="420"/>
      <c r="BP90" s="420"/>
      <c r="BQ90" s="420"/>
      <c r="BR90" s="420"/>
      <c r="BS90" s="420"/>
      <c r="BT90" s="420"/>
      <c r="BU90" s="420"/>
      <c r="BV90" s="420"/>
      <c r="BW90" s="420"/>
      <c r="BX90" s="420"/>
      <c r="BY90" s="420"/>
      <c r="BZ90" s="420"/>
      <c r="CA90" s="420"/>
      <c r="CB90" s="420"/>
      <c r="CC90" s="420"/>
      <c r="CD90" s="420"/>
      <c r="CE90" s="420"/>
      <c r="CF90" s="420"/>
      <c r="CG90" s="420"/>
      <c r="CH90" s="420"/>
      <c r="CI90" s="420"/>
      <c r="CJ90" s="420"/>
      <c r="CK90" s="420"/>
      <c r="CL90" s="420"/>
      <c r="CM90" s="420"/>
      <c r="CN90" s="420"/>
      <c r="CO90" s="420"/>
      <c r="CP90" s="420"/>
      <c r="CQ90" s="420"/>
      <c r="CR90" s="420"/>
    </row>
    <row r="91" spans="1:97" s="118" customFormat="1" ht="12.75" x14ac:dyDescent="0.2">
      <c r="A91" s="705">
        <v>85</v>
      </c>
      <c r="B91" s="718" t="s">
        <v>57</v>
      </c>
      <c r="C91" s="719" t="s">
        <v>58</v>
      </c>
      <c r="D91" s="708">
        <v>257915</v>
      </c>
      <c r="E91" s="708">
        <v>100873000</v>
      </c>
      <c r="F91" s="133">
        <v>49155601</v>
      </c>
      <c r="G91" s="133">
        <v>-6994475</v>
      </c>
      <c r="H91" s="133">
        <v>701813</v>
      </c>
      <c r="I91" s="133">
        <v>-6292662</v>
      </c>
      <c r="J91" s="133">
        <v>-2893559</v>
      </c>
      <c r="K91" s="133">
        <v>-77014</v>
      </c>
      <c r="L91" s="133">
        <v>-85834</v>
      </c>
      <c r="M91" s="133">
        <v>0</v>
      </c>
      <c r="N91" s="133">
        <v>-438571</v>
      </c>
      <c r="O91" s="133">
        <v>-80328</v>
      </c>
      <c r="P91" s="133">
        <v>-5522</v>
      </c>
      <c r="Q91" s="133">
        <v>-6058</v>
      </c>
      <c r="R91" s="133">
        <v>0</v>
      </c>
      <c r="S91" s="133">
        <v>0</v>
      </c>
      <c r="T91" s="133">
        <v>0</v>
      </c>
      <c r="U91" s="133">
        <v>0</v>
      </c>
      <c r="V91" s="133">
        <v>0</v>
      </c>
      <c r="W91" s="709"/>
      <c r="X91" s="709"/>
      <c r="Y91" s="709"/>
      <c r="Z91" s="133">
        <v>-89930</v>
      </c>
      <c r="AA91" s="133">
        <v>0</v>
      </c>
      <c r="AB91" s="133">
        <v>37088778</v>
      </c>
      <c r="AC91" s="133">
        <v>-1061746</v>
      </c>
      <c r="AD91" s="709"/>
      <c r="AE91" s="710">
        <v>375</v>
      </c>
      <c r="AF91" s="711">
        <v>28</v>
      </c>
      <c r="AG91" s="710">
        <v>73</v>
      </c>
      <c r="AH91" s="710">
        <v>0</v>
      </c>
      <c r="AI91" s="710">
        <v>337</v>
      </c>
      <c r="AJ91" s="710">
        <v>132</v>
      </c>
      <c r="AK91" s="710">
        <v>6</v>
      </c>
      <c r="AL91" s="710">
        <v>10</v>
      </c>
      <c r="AM91" s="710">
        <v>0</v>
      </c>
      <c r="AN91" s="710">
        <v>0</v>
      </c>
      <c r="AO91" s="710">
        <v>0</v>
      </c>
      <c r="AP91" s="711">
        <v>0</v>
      </c>
      <c r="AQ91" s="709"/>
      <c r="AR91" s="709"/>
      <c r="AS91" s="720">
        <v>1231</v>
      </c>
      <c r="AT91" s="710">
        <v>3737</v>
      </c>
      <c r="AU91" s="710">
        <v>3634</v>
      </c>
      <c r="AV91" s="710">
        <v>103</v>
      </c>
      <c r="AW91" s="710">
        <v>2384</v>
      </c>
      <c r="AX91" s="712">
        <v>7384</v>
      </c>
      <c r="AY91" s="683">
        <v>-68644</v>
      </c>
      <c r="AZ91" s="713">
        <v>2082054</v>
      </c>
      <c r="BA91" s="714">
        <v>2754174</v>
      </c>
      <c r="BB91" s="715">
        <v>19641325</v>
      </c>
      <c r="BC91" s="715">
        <v>0</v>
      </c>
      <c r="BD91" s="716">
        <v>2754174</v>
      </c>
      <c r="BE91" s="420"/>
      <c r="BF91" s="717" t="s">
        <v>58</v>
      </c>
      <c r="BG91" s="118" t="b">
        <v>1</v>
      </c>
      <c r="BH91" s="494"/>
      <c r="BI91" s="420"/>
      <c r="BJ91" s="420"/>
      <c r="BK91" s="420"/>
      <c r="BL91" s="420"/>
      <c r="BM91" s="420"/>
      <c r="BN91" s="420"/>
      <c r="BO91" s="420"/>
      <c r="BP91" s="420"/>
      <c r="BQ91" s="420"/>
      <c r="BR91" s="420"/>
      <c r="BS91" s="420"/>
      <c r="BT91" s="420"/>
      <c r="BU91" s="420"/>
      <c r="BV91" s="420"/>
      <c r="BW91" s="420"/>
      <c r="BX91" s="420"/>
      <c r="BY91" s="420"/>
      <c r="BZ91" s="420"/>
      <c r="CA91" s="420"/>
      <c r="CB91" s="420"/>
      <c r="CC91" s="420"/>
      <c r="CD91" s="420"/>
      <c r="CE91" s="420"/>
      <c r="CF91" s="420"/>
      <c r="CG91" s="420"/>
      <c r="CH91" s="420"/>
      <c r="CI91" s="420"/>
      <c r="CJ91" s="420"/>
      <c r="CK91" s="420"/>
      <c r="CL91" s="420"/>
      <c r="CM91" s="420"/>
      <c r="CN91" s="420"/>
      <c r="CO91" s="420"/>
      <c r="CP91" s="420"/>
      <c r="CQ91" s="420"/>
      <c r="CR91" s="420"/>
    </row>
    <row r="92" spans="1:97" s="118" customFormat="1" ht="12.75" x14ac:dyDescent="0.2">
      <c r="A92" s="705">
        <v>86</v>
      </c>
      <c r="B92" s="718" t="s">
        <v>59</v>
      </c>
      <c r="C92" s="719" t="s">
        <v>60</v>
      </c>
      <c r="D92" s="708">
        <v>154649</v>
      </c>
      <c r="E92" s="708">
        <v>81776000</v>
      </c>
      <c r="F92" s="133">
        <v>39993470</v>
      </c>
      <c r="G92" s="133">
        <v>-3077923</v>
      </c>
      <c r="H92" s="133">
        <v>785292</v>
      </c>
      <c r="I92" s="133">
        <v>-2292631</v>
      </c>
      <c r="J92" s="133">
        <v>-2040587</v>
      </c>
      <c r="K92" s="133">
        <v>-38382</v>
      </c>
      <c r="L92" s="133">
        <v>-26533</v>
      </c>
      <c r="M92" s="133">
        <v>-50000</v>
      </c>
      <c r="N92" s="133">
        <v>-286526</v>
      </c>
      <c r="O92" s="133">
        <v>-88368</v>
      </c>
      <c r="P92" s="133">
        <v>-63368</v>
      </c>
      <c r="Q92" s="133">
        <v>-6218</v>
      </c>
      <c r="R92" s="133">
        <v>0</v>
      </c>
      <c r="S92" s="133">
        <v>-37760</v>
      </c>
      <c r="T92" s="133">
        <v>0</v>
      </c>
      <c r="U92" s="133">
        <v>0</v>
      </c>
      <c r="V92" s="133">
        <v>0</v>
      </c>
      <c r="W92" s="709"/>
      <c r="X92" s="709"/>
      <c r="Y92" s="709"/>
      <c r="Z92" s="133">
        <v>-26533</v>
      </c>
      <c r="AA92" s="133">
        <v>0</v>
      </c>
      <c r="AB92" s="133">
        <v>34775140</v>
      </c>
      <c r="AC92" s="133">
        <v>-750000</v>
      </c>
      <c r="AD92" s="709"/>
      <c r="AE92" s="710">
        <v>153</v>
      </c>
      <c r="AF92" s="711">
        <v>10</v>
      </c>
      <c r="AG92" s="710">
        <v>18</v>
      </c>
      <c r="AH92" s="710">
        <v>0</v>
      </c>
      <c r="AI92" s="710">
        <v>106</v>
      </c>
      <c r="AJ92" s="710">
        <v>94</v>
      </c>
      <c r="AK92" s="710">
        <v>25</v>
      </c>
      <c r="AL92" s="710">
        <v>9</v>
      </c>
      <c r="AM92" s="710">
        <v>1</v>
      </c>
      <c r="AN92" s="710">
        <v>12</v>
      </c>
      <c r="AO92" s="710">
        <v>0</v>
      </c>
      <c r="AP92" s="711">
        <v>0</v>
      </c>
      <c r="AQ92" s="709"/>
      <c r="AR92" s="709"/>
      <c r="AS92" s="720">
        <v>534</v>
      </c>
      <c r="AT92" s="710">
        <v>1235</v>
      </c>
      <c r="AU92" s="710">
        <v>1179</v>
      </c>
      <c r="AV92" s="710">
        <v>56</v>
      </c>
      <c r="AW92" s="710">
        <v>851</v>
      </c>
      <c r="AX92" s="712">
        <v>4156</v>
      </c>
      <c r="AY92" s="683">
        <v>-6461</v>
      </c>
      <c r="AZ92" s="713">
        <v>-691046</v>
      </c>
      <c r="BA92" s="714">
        <v>159790</v>
      </c>
      <c r="BB92" s="715">
        <v>7922550</v>
      </c>
      <c r="BC92" s="715">
        <v>0</v>
      </c>
      <c r="BD92" s="716">
        <v>159945</v>
      </c>
      <c r="BE92" s="420"/>
      <c r="BF92" s="717" t="s">
        <v>60</v>
      </c>
      <c r="BG92" s="118" t="b">
        <v>1</v>
      </c>
      <c r="BH92" s="494"/>
      <c r="BI92" s="420"/>
      <c r="BJ92" s="420"/>
      <c r="BK92" s="420"/>
      <c r="BL92" s="420"/>
      <c r="BM92" s="420"/>
      <c r="BN92" s="420"/>
      <c r="BO92" s="420"/>
      <c r="BP92" s="420"/>
      <c r="BQ92" s="420"/>
      <c r="BR92" s="420"/>
      <c r="BS92" s="420"/>
      <c r="BT92" s="420"/>
      <c r="BU92" s="420"/>
      <c r="BV92" s="420"/>
      <c r="BW92" s="420"/>
      <c r="BX92" s="420"/>
      <c r="BY92" s="420"/>
      <c r="BZ92" s="420"/>
      <c r="CA92" s="420"/>
      <c r="CB92" s="420"/>
      <c r="CC92" s="420"/>
      <c r="CD92" s="420"/>
      <c r="CE92" s="420"/>
      <c r="CF92" s="420"/>
      <c r="CG92" s="420"/>
      <c r="CH92" s="420"/>
      <c r="CI92" s="420"/>
      <c r="CJ92" s="420"/>
      <c r="CK92" s="420"/>
      <c r="CL92" s="420"/>
      <c r="CM92" s="420"/>
      <c r="CN92" s="420"/>
      <c r="CO92" s="420"/>
      <c r="CP92" s="420"/>
      <c r="CQ92" s="420"/>
      <c r="CR92" s="420"/>
    </row>
    <row r="93" spans="1:97" s="118" customFormat="1" ht="12.75" x14ac:dyDescent="0.2">
      <c r="A93" s="705">
        <v>87</v>
      </c>
      <c r="B93" s="718" t="s">
        <v>580</v>
      </c>
      <c r="C93" s="719" t="s">
        <v>62</v>
      </c>
      <c r="D93" s="708">
        <v>433888</v>
      </c>
      <c r="E93" s="708">
        <v>253260000</v>
      </c>
      <c r="F93" s="133">
        <v>126487960</v>
      </c>
      <c r="G93" s="133">
        <v>-13022884</v>
      </c>
      <c r="H93" s="133">
        <v>2217502</v>
      </c>
      <c r="I93" s="133">
        <v>-10805382</v>
      </c>
      <c r="J93" s="133">
        <v>-4385312</v>
      </c>
      <c r="K93" s="133">
        <v>-90566</v>
      </c>
      <c r="L93" s="133">
        <v>-58455</v>
      </c>
      <c r="M93" s="133">
        <v>0</v>
      </c>
      <c r="N93" s="133">
        <v>-2374767</v>
      </c>
      <c r="O93" s="133">
        <v>-125219</v>
      </c>
      <c r="P93" s="133">
        <v>-432580</v>
      </c>
      <c r="Q93" s="133">
        <v>-21370</v>
      </c>
      <c r="R93" s="133">
        <v>0</v>
      </c>
      <c r="S93" s="133">
        <v>-28011</v>
      </c>
      <c r="T93" s="133">
        <v>-16002</v>
      </c>
      <c r="U93" s="133">
        <v>0</v>
      </c>
      <c r="V93" s="133">
        <v>-16002</v>
      </c>
      <c r="W93" s="709"/>
      <c r="X93" s="709"/>
      <c r="Y93" s="709"/>
      <c r="Z93" s="133">
        <v>-58455</v>
      </c>
      <c r="AA93" s="133">
        <v>-1500</v>
      </c>
      <c r="AB93" s="133">
        <v>112207263</v>
      </c>
      <c r="AC93" s="133">
        <v>-3345000</v>
      </c>
      <c r="AD93" s="709"/>
      <c r="AE93" s="710">
        <v>495</v>
      </c>
      <c r="AF93" s="711">
        <v>8</v>
      </c>
      <c r="AG93" s="710">
        <v>63</v>
      </c>
      <c r="AH93" s="710">
        <v>0</v>
      </c>
      <c r="AI93" s="710">
        <v>1001</v>
      </c>
      <c r="AJ93" s="710">
        <v>229</v>
      </c>
      <c r="AK93" s="710">
        <v>71</v>
      </c>
      <c r="AL93" s="710">
        <v>7</v>
      </c>
      <c r="AM93" s="710">
        <v>0</v>
      </c>
      <c r="AN93" s="710">
        <v>18</v>
      </c>
      <c r="AO93" s="710">
        <v>7</v>
      </c>
      <c r="AP93" s="711">
        <v>0</v>
      </c>
      <c r="AQ93" s="709"/>
      <c r="AR93" s="709"/>
      <c r="AS93" s="720">
        <v>2302</v>
      </c>
      <c r="AT93" s="710">
        <v>5476</v>
      </c>
      <c r="AU93" s="710">
        <v>5251</v>
      </c>
      <c r="AV93" s="710">
        <v>225</v>
      </c>
      <c r="AW93" s="710">
        <v>3708</v>
      </c>
      <c r="AX93" s="712">
        <v>11629</v>
      </c>
      <c r="AY93" s="683">
        <v>-156957</v>
      </c>
      <c r="AZ93" s="713">
        <v>-2189637</v>
      </c>
      <c r="BA93" s="714">
        <v>-2083045</v>
      </c>
      <c r="BB93" s="715">
        <v>37641325</v>
      </c>
      <c r="BC93" s="715">
        <v>0</v>
      </c>
      <c r="BD93" s="716">
        <v>-2083045</v>
      </c>
      <c r="BE93" s="420"/>
      <c r="BF93" s="717" t="s">
        <v>62</v>
      </c>
      <c r="BG93" s="118" t="b">
        <v>1</v>
      </c>
      <c r="BH93" s="494"/>
      <c r="BI93" s="420"/>
      <c r="BJ93" s="420"/>
      <c r="BK93" s="420"/>
      <c r="BL93" s="420"/>
      <c r="BM93" s="420"/>
      <c r="BN93" s="420"/>
      <c r="BO93" s="420"/>
      <c r="BP93" s="420"/>
      <c r="BQ93" s="420"/>
      <c r="BR93" s="420"/>
      <c r="BS93" s="420"/>
      <c r="BT93" s="420"/>
      <c r="BU93" s="420"/>
      <c r="BV93" s="420"/>
      <c r="BW93" s="420"/>
      <c r="BX93" s="420"/>
      <c r="BY93" s="420"/>
      <c r="BZ93" s="420"/>
      <c r="CA93" s="420"/>
      <c r="CB93" s="420"/>
      <c r="CC93" s="420"/>
      <c r="CD93" s="420"/>
      <c r="CE93" s="420"/>
      <c r="CF93" s="420"/>
      <c r="CG93" s="420"/>
      <c r="CH93" s="420"/>
      <c r="CI93" s="420"/>
      <c r="CJ93" s="420"/>
      <c r="CK93" s="420"/>
      <c r="CL93" s="420"/>
      <c r="CM93" s="420"/>
      <c r="CN93" s="420"/>
      <c r="CO93" s="420"/>
      <c r="CP93" s="420"/>
      <c r="CQ93" s="420"/>
      <c r="CR93" s="420"/>
    </row>
    <row r="94" spans="1:97" s="118" customFormat="1" ht="12.75" x14ac:dyDescent="0.2">
      <c r="A94" s="705">
        <v>88</v>
      </c>
      <c r="B94" s="718" t="s">
        <v>63</v>
      </c>
      <c r="C94" s="719" t="s">
        <v>64</v>
      </c>
      <c r="D94" s="708">
        <v>167230</v>
      </c>
      <c r="E94" s="708">
        <v>138307000</v>
      </c>
      <c r="F94" s="133">
        <v>65951389</v>
      </c>
      <c r="G94" s="133">
        <v>-4231563</v>
      </c>
      <c r="H94" s="133">
        <v>1347239</v>
      </c>
      <c r="I94" s="133">
        <v>-2884324</v>
      </c>
      <c r="J94" s="133">
        <v>-2661714</v>
      </c>
      <c r="K94" s="133">
        <v>-41015</v>
      </c>
      <c r="L94" s="133">
        <v>-2664</v>
      </c>
      <c r="M94" s="133">
        <v>-221045</v>
      </c>
      <c r="N94" s="133">
        <v>-1881907</v>
      </c>
      <c r="O94" s="133">
        <v>-54909</v>
      </c>
      <c r="P94" s="133">
        <v>-18366</v>
      </c>
      <c r="Q94" s="133">
        <v>-2359</v>
      </c>
      <c r="R94" s="133">
        <v>0</v>
      </c>
      <c r="S94" s="133">
        <v>0</v>
      </c>
      <c r="T94" s="133">
        <v>0</v>
      </c>
      <c r="U94" s="133">
        <v>0</v>
      </c>
      <c r="V94" s="133">
        <v>0</v>
      </c>
      <c r="W94" s="709"/>
      <c r="X94" s="709"/>
      <c r="Y94" s="709"/>
      <c r="Z94" s="133">
        <v>-2664</v>
      </c>
      <c r="AA94" s="133">
        <v>-1500</v>
      </c>
      <c r="AB94" s="133">
        <v>57333342</v>
      </c>
      <c r="AC94" s="133">
        <v>-3702749</v>
      </c>
      <c r="AD94" s="709"/>
      <c r="AE94" s="710">
        <v>170</v>
      </c>
      <c r="AF94" s="711">
        <v>9</v>
      </c>
      <c r="AG94" s="710">
        <v>1</v>
      </c>
      <c r="AH94" s="710">
        <v>4</v>
      </c>
      <c r="AI94" s="710">
        <v>560</v>
      </c>
      <c r="AJ94" s="710">
        <v>0</v>
      </c>
      <c r="AK94" s="710">
        <v>0</v>
      </c>
      <c r="AL94" s="710">
        <v>0</v>
      </c>
      <c r="AM94" s="710">
        <v>0</v>
      </c>
      <c r="AN94" s="710">
        <v>0</v>
      </c>
      <c r="AO94" s="710">
        <v>0</v>
      </c>
      <c r="AP94" s="711">
        <v>0</v>
      </c>
      <c r="AQ94" s="709"/>
      <c r="AR94" s="709"/>
      <c r="AS94" s="720">
        <v>1003</v>
      </c>
      <c r="AT94" s="710">
        <v>1661</v>
      </c>
      <c r="AU94" s="710">
        <v>1577</v>
      </c>
      <c r="AV94" s="710">
        <v>84</v>
      </c>
      <c r="AW94" s="710">
        <v>1556</v>
      </c>
      <c r="AX94" s="712">
        <v>4100</v>
      </c>
      <c r="AY94" s="683">
        <v>-2235</v>
      </c>
      <c r="AZ94" s="713">
        <v>1967917</v>
      </c>
      <c r="BA94" s="714">
        <v>1966640</v>
      </c>
      <c r="BB94" s="715">
        <v>16901425</v>
      </c>
      <c r="BC94" s="715">
        <v>0</v>
      </c>
      <c r="BD94" s="716">
        <v>1966640.9000000013</v>
      </c>
      <c r="BE94" s="420"/>
      <c r="BF94" s="717" t="s">
        <v>64</v>
      </c>
      <c r="BG94" s="118" t="b">
        <v>1</v>
      </c>
      <c r="BH94" s="494"/>
      <c r="BI94" s="420"/>
      <c r="BJ94" s="420"/>
      <c r="BK94" s="420"/>
      <c r="BL94" s="420"/>
      <c r="BM94" s="420"/>
      <c r="BN94" s="420"/>
      <c r="BO94" s="420"/>
      <c r="BP94" s="420"/>
      <c r="BQ94" s="420"/>
      <c r="BR94" s="420"/>
      <c r="BS94" s="420"/>
      <c r="BT94" s="420"/>
      <c r="BU94" s="420"/>
      <c r="BV94" s="420"/>
      <c r="BW94" s="420"/>
      <c r="BX94" s="420"/>
      <c r="BY94" s="420"/>
      <c r="BZ94" s="420"/>
      <c r="CA94" s="420"/>
      <c r="CB94" s="420"/>
      <c r="CC94" s="420"/>
      <c r="CD94" s="420"/>
      <c r="CE94" s="420"/>
      <c r="CF94" s="420"/>
      <c r="CG94" s="420"/>
      <c r="CH94" s="420"/>
      <c r="CI94" s="420"/>
      <c r="CJ94" s="420"/>
      <c r="CK94" s="420"/>
      <c r="CL94" s="420"/>
      <c r="CM94" s="420"/>
      <c r="CN94" s="420"/>
      <c r="CO94" s="420"/>
      <c r="CP94" s="420"/>
      <c r="CQ94" s="420"/>
      <c r="CR94" s="420"/>
    </row>
    <row r="95" spans="1:97" s="118" customFormat="1" ht="12.75" x14ac:dyDescent="0.2">
      <c r="A95" s="705">
        <v>89</v>
      </c>
      <c r="B95" s="721" t="s">
        <v>1127</v>
      </c>
      <c r="C95" s="722" t="s">
        <v>1128</v>
      </c>
      <c r="D95" s="723">
        <v>460160</v>
      </c>
      <c r="E95" s="723">
        <v>230756000</v>
      </c>
      <c r="F95" s="133">
        <v>113811670</v>
      </c>
      <c r="G95" s="133">
        <v>-10724059</v>
      </c>
      <c r="H95" s="133">
        <v>2141935</v>
      </c>
      <c r="I95" s="133">
        <v>-8582124</v>
      </c>
      <c r="J95" s="133">
        <v>-6326781</v>
      </c>
      <c r="K95" s="133">
        <v>-75075</v>
      </c>
      <c r="L95" s="133">
        <v>-69425</v>
      </c>
      <c r="M95" s="133">
        <v>-54548</v>
      </c>
      <c r="N95" s="133">
        <v>-1687548</v>
      </c>
      <c r="O95" s="133">
        <v>-155298</v>
      </c>
      <c r="P95" s="133">
        <v>-307586</v>
      </c>
      <c r="Q95" s="133">
        <v>-496</v>
      </c>
      <c r="R95" s="133">
        <v>-9059</v>
      </c>
      <c r="S95" s="133">
        <v>-2239</v>
      </c>
      <c r="T95" s="133">
        <v>-232497</v>
      </c>
      <c r="U95" s="133">
        <v>-200220</v>
      </c>
      <c r="V95" s="133">
        <v>0</v>
      </c>
      <c r="W95" s="709">
        <v>0</v>
      </c>
      <c r="X95" s="709">
        <v>0</v>
      </c>
      <c r="Y95" s="709">
        <v>0</v>
      </c>
      <c r="Z95" s="133">
        <v>-64115</v>
      </c>
      <c r="AA95" s="133">
        <v>-1500</v>
      </c>
      <c r="AB95" s="133">
        <v>97983013</v>
      </c>
      <c r="AC95" s="133">
        <v>-4408982</v>
      </c>
      <c r="AD95" s="709">
        <v>0</v>
      </c>
      <c r="AE95" s="710">
        <v>664</v>
      </c>
      <c r="AF95" s="711">
        <v>33</v>
      </c>
      <c r="AG95" s="710">
        <v>48</v>
      </c>
      <c r="AH95" s="710">
        <v>4</v>
      </c>
      <c r="AI95" s="710">
        <v>1280</v>
      </c>
      <c r="AJ95" s="710">
        <v>187</v>
      </c>
      <c r="AK95" s="710">
        <v>23</v>
      </c>
      <c r="AL95" s="710">
        <v>3</v>
      </c>
      <c r="AM95" s="710">
        <v>5</v>
      </c>
      <c r="AN95" s="710">
        <v>1</v>
      </c>
      <c r="AO95" s="710">
        <v>20</v>
      </c>
      <c r="AP95" s="711">
        <v>1</v>
      </c>
      <c r="AQ95" s="709">
        <v>0</v>
      </c>
      <c r="AR95" s="709">
        <v>0</v>
      </c>
      <c r="AS95" s="720">
        <v>2120</v>
      </c>
      <c r="AT95" s="710">
        <v>6515</v>
      </c>
      <c r="AU95" s="710">
        <v>6342</v>
      </c>
      <c r="AV95" s="710">
        <v>173</v>
      </c>
      <c r="AW95" s="710">
        <v>3830</v>
      </c>
      <c r="AX95" s="712">
        <v>12611</v>
      </c>
      <c r="AY95" s="683">
        <v>-170174</v>
      </c>
      <c r="AZ95" s="713">
        <v>123735</v>
      </c>
      <c r="BA95" s="714">
        <v>4069021</v>
      </c>
      <c r="BB95" s="715">
        <v>26056120</v>
      </c>
      <c r="BC95" s="715">
        <v>108750</v>
      </c>
      <c r="BD95" s="716">
        <v>4069019.6000000015</v>
      </c>
      <c r="BE95" s="420"/>
      <c r="BF95" s="717" t="s">
        <v>1128</v>
      </c>
      <c r="BG95" s="118" t="b">
        <v>1</v>
      </c>
      <c r="BH95" s="494"/>
      <c r="BI95" s="420"/>
      <c r="BJ95" s="420"/>
      <c r="BK95" s="420"/>
      <c r="BL95" s="420"/>
      <c r="BM95" s="420"/>
      <c r="BN95" s="420"/>
      <c r="BO95" s="420"/>
      <c r="BP95" s="420"/>
      <c r="BQ95" s="420"/>
      <c r="BR95" s="420"/>
      <c r="BS95" s="420"/>
      <c r="BT95" s="420"/>
      <c r="BU95" s="420"/>
      <c r="BV95" s="420"/>
      <c r="BW95" s="420"/>
      <c r="BX95" s="420"/>
      <c r="BY95" s="420"/>
      <c r="BZ95" s="420"/>
      <c r="CA95" s="420"/>
      <c r="CB95" s="420"/>
      <c r="CC95" s="420"/>
      <c r="CD95" s="420"/>
      <c r="CE95" s="420"/>
      <c r="CF95" s="420"/>
      <c r="CG95" s="420"/>
      <c r="CH95" s="420"/>
      <c r="CI95" s="420"/>
      <c r="CJ95" s="420"/>
      <c r="CK95" s="420"/>
      <c r="CL95" s="420"/>
      <c r="CM95" s="420"/>
      <c r="CN95" s="420"/>
      <c r="CO95" s="420"/>
      <c r="CP95" s="420"/>
      <c r="CQ95" s="420"/>
      <c r="CR95" s="420"/>
      <c r="CS95" s="420"/>
    </row>
    <row r="96" spans="1:97" s="118" customFormat="1" ht="12.75" x14ac:dyDescent="0.2">
      <c r="A96" s="705">
        <v>90</v>
      </c>
      <c r="B96" s="718" t="s">
        <v>65</v>
      </c>
      <c r="C96" s="719" t="s">
        <v>66</v>
      </c>
      <c r="D96" s="708">
        <v>128524</v>
      </c>
      <c r="E96" s="708">
        <v>91827000</v>
      </c>
      <c r="F96" s="133">
        <v>44509806</v>
      </c>
      <c r="G96" s="133">
        <v>-3492850</v>
      </c>
      <c r="H96" s="133">
        <v>846074</v>
      </c>
      <c r="I96" s="133">
        <v>-2646776</v>
      </c>
      <c r="J96" s="133">
        <v>-3953390</v>
      </c>
      <c r="K96" s="133">
        <v>-123440</v>
      </c>
      <c r="L96" s="133">
        <v>0</v>
      </c>
      <c r="M96" s="133">
        <v>0</v>
      </c>
      <c r="N96" s="133">
        <v>-544625</v>
      </c>
      <c r="O96" s="133">
        <v>-67103</v>
      </c>
      <c r="P96" s="133">
        <v>-46048</v>
      </c>
      <c r="Q96" s="133">
        <v>0</v>
      </c>
      <c r="R96" s="133">
        <v>0</v>
      </c>
      <c r="S96" s="133">
        <v>0</v>
      </c>
      <c r="T96" s="133">
        <v>-13968</v>
      </c>
      <c r="U96" s="133">
        <v>0</v>
      </c>
      <c r="V96" s="133">
        <v>0</v>
      </c>
      <c r="W96" s="709"/>
      <c r="X96" s="709"/>
      <c r="Y96" s="709"/>
      <c r="Z96" s="133">
        <v>0</v>
      </c>
      <c r="AA96" s="133">
        <v>0</v>
      </c>
      <c r="AB96" s="133">
        <v>35505763</v>
      </c>
      <c r="AC96" s="133">
        <v>-580593</v>
      </c>
      <c r="AD96" s="709"/>
      <c r="AE96" s="710">
        <v>167</v>
      </c>
      <c r="AF96" s="711">
        <v>11</v>
      </c>
      <c r="AG96" s="710">
        <v>0</v>
      </c>
      <c r="AH96" s="710">
        <v>0</v>
      </c>
      <c r="AI96" s="710">
        <v>146</v>
      </c>
      <c r="AJ96" s="710">
        <v>68</v>
      </c>
      <c r="AK96" s="710">
        <v>4</v>
      </c>
      <c r="AL96" s="710">
        <v>0</v>
      </c>
      <c r="AM96" s="710">
        <v>0</v>
      </c>
      <c r="AN96" s="710">
        <v>0</v>
      </c>
      <c r="AO96" s="710">
        <v>0</v>
      </c>
      <c r="AP96" s="711">
        <v>0</v>
      </c>
      <c r="AQ96" s="709"/>
      <c r="AR96" s="709"/>
      <c r="AS96" s="720">
        <v>690</v>
      </c>
      <c r="AT96" s="710">
        <v>1192</v>
      </c>
      <c r="AU96" s="710">
        <v>1131</v>
      </c>
      <c r="AV96" s="710">
        <v>61</v>
      </c>
      <c r="AW96" s="710">
        <v>1303</v>
      </c>
      <c r="AX96" s="712">
        <v>3254</v>
      </c>
      <c r="AY96" s="683">
        <v>-54557</v>
      </c>
      <c r="AZ96" s="713">
        <v>-1826912</v>
      </c>
      <c r="BA96" s="714">
        <v>-2258409</v>
      </c>
      <c r="BB96" s="715">
        <v>13825625</v>
      </c>
      <c r="BC96" s="715">
        <v>0</v>
      </c>
      <c r="BD96" s="716">
        <v>-2043178</v>
      </c>
      <c r="BE96" s="420"/>
      <c r="BF96" s="717" t="s">
        <v>66</v>
      </c>
      <c r="BG96" s="118" t="b">
        <v>1</v>
      </c>
      <c r="BH96" s="494"/>
      <c r="BI96" s="420"/>
      <c r="BJ96" s="420"/>
      <c r="BK96" s="420"/>
      <c r="BL96" s="420"/>
      <c r="BM96" s="420"/>
      <c r="BN96" s="420"/>
      <c r="BO96" s="420"/>
      <c r="BP96" s="420"/>
      <c r="BQ96" s="420"/>
      <c r="BR96" s="420"/>
      <c r="BS96" s="420"/>
      <c r="BT96" s="420"/>
      <c r="BU96" s="420"/>
      <c r="BV96" s="420"/>
      <c r="BW96" s="420"/>
      <c r="BX96" s="420"/>
      <c r="BY96" s="420"/>
      <c r="BZ96" s="420"/>
      <c r="CA96" s="420"/>
      <c r="CB96" s="420"/>
      <c r="CC96" s="420"/>
      <c r="CD96" s="420"/>
      <c r="CE96" s="420"/>
      <c r="CF96" s="420"/>
      <c r="CG96" s="420"/>
      <c r="CH96" s="420"/>
      <c r="CI96" s="420"/>
      <c r="CJ96" s="420"/>
      <c r="CK96" s="420"/>
      <c r="CL96" s="420"/>
      <c r="CM96" s="420"/>
      <c r="CN96" s="420"/>
      <c r="CO96" s="420"/>
      <c r="CP96" s="420"/>
      <c r="CQ96" s="420"/>
      <c r="CR96" s="420"/>
    </row>
    <row r="97" spans="1:97" s="118" customFormat="1" ht="12.75" x14ac:dyDescent="0.2">
      <c r="A97" s="705">
        <v>91</v>
      </c>
      <c r="B97" s="718" t="s">
        <v>67</v>
      </c>
      <c r="C97" s="719" t="s">
        <v>68</v>
      </c>
      <c r="D97" s="708">
        <v>145785</v>
      </c>
      <c r="E97" s="708">
        <v>137666000</v>
      </c>
      <c r="F97" s="133">
        <v>66838594</v>
      </c>
      <c r="G97" s="133">
        <v>-3029152</v>
      </c>
      <c r="H97" s="133">
        <v>1346031</v>
      </c>
      <c r="I97" s="133">
        <v>-1683121</v>
      </c>
      <c r="J97" s="133">
        <v>-2371588</v>
      </c>
      <c r="K97" s="133">
        <v>0</v>
      </c>
      <c r="L97" s="133">
        <v>0</v>
      </c>
      <c r="M97" s="133">
        <v>0</v>
      </c>
      <c r="N97" s="133">
        <v>-767597</v>
      </c>
      <c r="O97" s="133">
        <v>-48143</v>
      </c>
      <c r="P97" s="133">
        <v>-438102</v>
      </c>
      <c r="Q97" s="133">
        <v>0</v>
      </c>
      <c r="R97" s="133">
        <v>0</v>
      </c>
      <c r="S97" s="133">
        <v>0</v>
      </c>
      <c r="T97" s="133">
        <v>0</v>
      </c>
      <c r="U97" s="133">
        <v>0</v>
      </c>
      <c r="V97" s="133">
        <v>0</v>
      </c>
      <c r="W97" s="709"/>
      <c r="X97" s="709"/>
      <c r="Y97" s="709"/>
      <c r="Z97" s="133">
        <v>0</v>
      </c>
      <c r="AA97" s="133">
        <v>0</v>
      </c>
      <c r="AB97" s="133">
        <v>59987889</v>
      </c>
      <c r="AC97" s="133">
        <v>-1200000</v>
      </c>
      <c r="AD97" s="709"/>
      <c r="AE97" s="710">
        <v>146</v>
      </c>
      <c r="AF97" s="711">
        <v>0</v>
      </c>
      <c r="AG97" s="710">
        <v>0</v>
      </c>
      <c r="AH97" s="710">
        <v>0</v>
      </c>
      <c r="AI97" s="710">
        <v>72</v>
      </c>
      <c r="AJ97" s="710">
        <v>55</v>
      </c>
      <c r="AK97" s="710">
        <v>1</v>
      </c>
      <c r="AL97" s="710">
        <v>0</v>
      </c>
      <c r="AM97" s="710">
        <v>0</v>
      </c>
      <c r="AN97" s="710">
        <v>0</v>
      </c>
      <c r="AO97" s="710">
        <v>0</v>
      </c>
      <c r="AP97" s="711">
        <v>0</v>
      </c>
      <c r="AQ97" s="709"/>
      <c r="AR97" s="709"/>
      <c r="AS97" s="720">
        <v>750</v>
      </c>
      <c r="AT97" s="710">
        <v>1053</v>
      </c>
      <c r="AU97" s="710">
        <v>959</v>
      </c>
      <c r="AV97" s="710">
        <v>94</v>
      </c>
      <c r="AW97" s="710">
        <v>1427</v>
      </c>
      <c r="AX97" s="712">
        <v>3252</v>
      </c>
      <c r="AY97" s="683">
        <v>-7179</v>
      </c>
      <c r="AZ97" s="713">
        <v>-350929</v>
      </c>
      <c r="BA97" s="714">
        <v>-146206</v>
      </c>
      <c r="BB97" s="715">
        <v>19328700</v>
      </c>
      <c r="BC97" s="715">
        <v>0</v>
      </c>
      <c r="BD97" s="716">
        <v>-146208</v>
      </c>
      <c r="BE97" s="420"/>
      <c r="BF97" s="717" t="s">
        <v>68</v>
      </c>
      <c r="BG97" s="118" t="b">
        <v>1</v>
      </c>
      <c r="BH97" s="494"/>
      <c r="BI97" s="420"/>
      <c r="BJ97" s="420"/>
      <c r="BK97" s="420"/>
      <c r="BL97" s="420"/>
      <c r="BM97" s="420"/>
      <c r="BN97" s="420"/>
      <c r="BO97" s="420"/>
      <c r="BP97" s="420"/>
      <c r="BQ97" s="420"/>
      <c r="BR97" s="420"/>
      <c r="BS97" s="420"/>
      <c r="BT97" s="420"/>
      <c r="BU97" s="420"/>
      <c r="BV97" s="420"/>
      <c r="BW97" s="420"/>
      <c r="BX97" s="420"/>
      <c r="BY97" s="420"/>
      <c r="BZ97" s="420"/>
      <c r="CA97" s="420"/>
      <c r="CB97" s="420"/>
      <c r="CC97" s="420"/>
      <c r="CD97" s="420"/>
      <c r="CE97" s="420"/>
      <c r="CF97" s="420"/>
      <c r="CG97" s="420"/>
      <c r="CH97" s="420"/>
      <c r="CI97" s="420"/>
      <c r="CJ97" s="420"/>
      <c r="CK97" s="420"/>
      <c r="CL97" s="420"/>
      <c r="CM97" s="420"/>
      <c r="CN97" s="420"/>
      <c r="CO97" s="420"/>
      <c r="CP97" s="420"/>
      <c r="CQ97" s="420"/>
      <c r="CR97" s="420"/>
    </row>
    <row r="98" spans="1:97" s="118" customFormat="1" ht="12.75" x14ac:dyDescent="0.2">
      <c r="A98" s="705">
        <v>92</v>
      </c>
      <c r="B98" s="718" t="s">
        <v>69</v>
      </c>
      <c r="C98" s="719" t="s">
        <v>70</v>
      </c>
      <c r="D98" s="708">
        <v>125270</v>
      </c>
      <c r="E98" s="708">
        <v>57986000</v>
      </c>
      <c r="F98" s="133">
        <v>28358300</v>
      </c>
      <c r="G98" s="133">
        <v>-3697594</v>
      </c>
      <c r="H98" s="133">
        <v>466926</v>
      </c>
      <c r="I98" s="133">
        <v>-3230668</v>
      </c>
      <c r="J98" s="133">
        <v>-1467206</v>
      </c>
      <c r="K98" s="133">
        <v>-84261</v>
      </c>
      <c r="L98" s="133">
        <v>-63514</v>
      </c>
      <c r="M98" s="133">
        <v>0</v>
      </c>
      <c r="N98" s="133">
        <v>-336152</v>
      </c>
      <c r="O98" s="133">
        <v>-62249</v>
      </c>
      <c r="P98" s="133">
        <v>-24555</v>
      </c>
      <c r="Q98" s="133">
        <v>-3427</v>
      </c>
      <c r="R98" s="133">
        <v>0</v>
      </c>
      <c r="S98" s="133">
        <v>-3340</v>
      </c>
      <c r="T98" s="133">
        <v>0</v>
      </c>
      <c r="U98" s="133">
        <v>0</v>
      </c>
      <c r="V98" s="133">
        <v>0</v>
      </c>
      <c r="W98" s="709"/>
      <c r="X98" s="709"/>
      <c r="Y98" s="709"/>
      <c r="Z98" s="133">
        <v>-63514</v>
      </c>
      <c r="AA98" s="133">
        <v>-1500</v>
      </c>
      <c r="AB98" s="133">
        <v>22258900</v>
      </c>
      <c r="AC98" s="133">
        <v>-445000</v>
      </c>
      <c r="AD98" s="709"/>
      <c r="AE98" s="710">
        <v>239</v>
      </c>
      <c r="AF98" s="711">
        <v>12</v>
      </c>
      <c r="AG98" s="710">
        <v>38</v>
      </c>
      <c r="AH98" s="710">
        <v>0</v>
      </c>
      <c r="AI98" s="710">
        <v>212</v>
      </c>
      <c r="AJ98" s="710">
        <v>148</v>
      </c>
      <c r="AK98" s="710">
        <v>10</v>
      </c>
      <c r="AL98" s="710">
        <v>7</v>
      </c>
      <c r="AM98" s="710">
        <v>39</v>
      </c>
      <c r="AN98" s="710">
        <v>2</v>
      </c>
      <c r="AO98" s="710">
        <v>0</v>
      </c>
      <c r="AP98" s="711">
        <v>0</v>
      </c>
      <c r="AQ98" s="709"/>
      <c r="AR98" s="709"/>
      <c r="AS98" s="720">
        <v>727</v>
      </c>
      <c r="AT98" s="710">
        <v>1641</v>
      </c>
      <c r="AU98" s="710">
        <v>1594</v>
      </c>
      <c r="AV98" s="710">
        <v>47</v>
      </c>
      <c r="AW98" s="710">
        <v>1088</v>
      </c>
      <c r="AX98" s="712">
        <v>3495</v>
      </c>
      <c r="AY98" s="683">
        <v>-6875</v>
      </c>
      <c r="AZ98" s="713">
        <v>-570472</v>
      </c>
      <c r="BA98" s="714">
        <v>186270</v>
      </c>
      <c r="BB98" s="715">
        <v>7729450</v>
      </c>
      <c r="BC98" s="715">
        <v>0</v>
      </c>
      <c r="BD98" s="716">
        <v>186270.2499999986</v>
      </c>
      <c r="BE98" s="420"/>
      <c r="BF98" s="717" t="s">
        <v>70</v>
      </c>
      <c r="BG98" s="118" t="b">
        <v>1</v>
      </c>
      <c r="BH98" s="494"/>
      <c r="BI98" s="420"/>
      <c r="BJ98" s="420"/>
      <c r="BK98" s="420"/>
      <c r="BL98" s="420"/>
      <c r="BM98" s="420"/>
      <c r="BN98" s="420"/>
      <c r="BO98" s="420"/>
      <c r="BP98" s="420"/>
      <c r="BQ98" s="420"/>
      <c r="BR98" s="420"/>
      <c r="BS98" s="420"/>
      <c r="BT98" s="420"/>
      <c r="BU98" s="420"/>
      <c r="BV98" s="420"/>
      <c r="BW98" s="420"/>
      <c r="BX98" s="420"/>
      <c r="BY98" s="420"/>
      <c r="BZ98" s="420"/>
      <c r="CA98" s="420"/>
      <c r="CB98" s="420"/>
      <c r="CC98" s="420"/>
      <c r="CD98" s="420"/>
      <c r="CE98" s="420"/>
      <c r="CF98" s="420"/>
      <c r="CG98" s="420"/>
      <c r="CH98" s="420"/>
      <c r="CI98" s="420"/>
      <c r="CJ98" s="420"/>
      <c r="CK98" s="420"/>
      <c r="CL98" s="420"/>
      <c r="CM98" s="420"/>
      <c r="CN98" s="420"/>
      <c r="CO98" s="420"/>
      <c r="CP98" s="420"/>
      <c r="CQ98" s="420"/>
      <c r="CR98" s="420"/>
    </row>
    <row r="99" spans="1:97" s="118" customFormat="1" ht="12.75" x14ac:dyDescent="0.2">
      <c r="A99" s="705">
        <v>93</v>
      </c>
      <c r="B99" s="718" t="s">
        <v>71</v>
      </c>
      <c r="C99" s="719" t="s">
        <v>72</v>
      </c>
      <c r="D99" s="708">
        <v>182622</v>
      </c>
      <c r="E99" s="708">
        <v>161931000</v>
      </c>
      <c r="F99" s="133">
        <v>79363158</v>
      </c>
      <c r="G99" s="133">
        <v>-3203261</v>
      </c>
      <c r="H99" s="133">
        <v>1600795</v>
      </c>
      <c r="I99" s="133">
        <v>-1602466</v>
      </c>
      <c r="J99" s="133">
        <v>-5477991</v>
      </c>
      <c r="K99" s="133">
        <v>-52597</v>
      </c>
      <c r="L99" s="133">
        <v>0</v>
      </c>
      <c r="M99" s="133">
        <v>0</v>
      </c>
      <c r="N99" s="133">
        <v>-2702987</v>
      </c>
      <c r="O99" s="133">
        <v>-143499</v>
      </c>
      <c r="P99" s="133">
        <v>-485548</v>
      </c>
      <c r="Q99" s="133">
        <v>0</v>
      </c>
      <c r="R99" s="133">
        <v>0</v>
      </c>
      <c r="S99" s="133">
        <v>0</v>
      </c>
      <c r="T99" s="133">
        <v>0</v>
      </c>
      <c r="U99" s="133">
        <v>0</v>
      </c>
      <c r="V99" s="133">
        <v>0</v>
      </c>
      <c r="W99" s="709"/>
      <c r="X99" s="709"/>
      <c r="Y99" s="709"/>
      <c r="Z99" s="133">
        <v>0</v>
      </c>
      <c r="AA99" s="133">
        <v>0</v>
      </c>
      <c r="AB99" s="133">
        <v>65999521</v>
      </c>
      <c r="AC99" s="133">
        <v>-3101977</v>
      </c>
      <c r="AD99" s="709"/>
      <c r="AE99" s="710">
        <v>212</v>
      </c>
      <c r="AF99" s="711">
        <v>16</v>
      </c>
      <c r="AG99" s="710">
        <v>0</v>
      </c>
      <c r="AH99" s="710">
        <v>6</v>
      </c>
      <c r="AI99" s="710">
        <v>307</v>
      </c>
      <c r="AJ99" s="710">
        <v>93</v>
      </c>
      <c r="AK99" s="710">
        <v>9</v>
      </c>
      <c r="AL99" s="710">
        <v>0</v>
      </c>
      <c r="AM99" s="710">
        <v>0</v>
      </c>
      <c r="AN99" s="710">
        <v>0</v>
      </c>
      <c r="AO99" s="710">
        <v>0</v>
      </c>
      <c r="AP99" s="711">
        <v>0</v>
      </c>
      <c r="AQ99" s="709"/>
      <c r="AR99" s="709"/>
      <c r="AS99" s="720">
        <v>1000</v>
      </c>
      <c r="AT99" s="710">
        <v>1079</v>
      </c>
      <c r="AU99" s="710">
        <v>946</v>
      </c>
      <c r="AV99" s="710">
        <v>133</v>
      </c>
      <c r="AW99" s="710">
        <v>1793</v>
      </c>
      <c r="AX99" s="712">
        <v>3822</v>
      </c>
      <c r="AY99" s="683">
        <v>-110242</v>
      </c>
      <c r="AZ99" s="713">
        <v>-173881</v>
      </c>
      <c r="BA99" s="714">
        <v>1747526</v>
      </c>
      <c r="BB99" s="715">
        <v>23124650</v>
      </c>
      <c r="BC99" s="715">
        <v>0</v>
      </c>
      <c r="BD99" s="716">
        <v>1747526</v>
      </c>
      <c r="BE99" s="420"/>
      <c r="BF99" s="717" t="s">
        <v>72</v>
      </c>
      <c r="BG99" s="118" t="b">
        <v>1</v>
      </c>
      <c r="BH99" s="494"/>
      <c r="BI99" s="420"/>
      <c r="BJ99" s="420"/>
      <c r="BK99" s="420"/>
      <c r="BL99" s="420"/>
      <c r="BM99" s="420"/>
      <c r="BN99" s="420"/>
      <c r="BO99" s="420"/>
      <c r="BP99" s="420"/>
      <c r="BQ99" s="420"/>
      <c r="BR99" s="420"/>
      <c r="BS99" s="420"/>
      <c r="BT99" s="420"/>
      <c r="BU99" s="420"/>
      <c r="BV99" s="420"/>
      <c r="BW99" s="420"/>
      <c r="BX99" s="420"/>
      <c r="BY99" s="420"/>
      <c r="BZ99" s="420"/>
      <c r="CA99" s="420"/>
      <c r="CB99" s="420"/>
      <c r="CC99" s="420"/>
      <c r="CD99" s="420"/>
      <c r="CE99" s="420"/>
      <c r="CF99" s="420"/>
      <c r="CG99" s="420"/>
      <c r="CH99" s="420"/>
      <c r="CI99" s="420"/>
      <c r="CJ99" s="420"/>
      <c r="CK99" s="420"/>
      <c r="CL99" s="420"/>
      <c r="CM99" s="420"/>
      <c r="CN99" s="420"/>
      <c r="CO99" s="420"/>
      <c r="CP99" s="420"/>
      <c r="CQ99" s="420"/>
      <c r="CR99" s="420"/>
    </row>
    <row r="100" spans="1:97" s="118" customFormat="1" ht="12.75" x14ac:dyDescent="0.2">
      <c r="A100" s="705">
        <v>94</v>
      </c>
      <c r="B100" s="718" t="s">
        <v>73</v>
      </c>
      <c r="C100" s="719" t="s">
        <v>74</v>
      </c>
      <c r="D100" s="708">
        <v>320104</v>
      </c>
      <c r="E100" s="708">
        <v>277296000</v>
      </c>
      <c r="F100" s="133">
        <v>136927980</v>
      </c>
      <c r="G100" s="133">
        <v>-6782143</v>
      </c>
      <c r="H100" s="133">
        <v>2697462</v>
      </c>
      <c r="I100" s="133">
        <v>-4084681</v>
      </c>
      <c r="J100" s="133">
        <v>-7203540</v>
      </c>
      <c r="K100" s="133">
        <v>-134249</v>
      </c>
      <c r="L100" s="133">
        <v>0</v>
      </c>
      <c r="M100" s="133">
        <v>0</v>
      </c>
      <c r="N100" s="133">
        <v>-2226163</v>
      </c>
      <c r="O100" s="133">
        <v>-203949</v>
      </c>
      <c r="P100" s="133">
        <v>-207320</v>
      </c>
      <c r="Q100" s="133">
        <v>0</v>
      </c>
      <c r="R100" s="133">
        <v>0</v>
      </c>
      <c r="S100" s="133">
        <v>0</v>
      </c>
      <c r="T100" s="133">
        <v>0</v>
      </c>
      <c r="U100" s="133">
        <v>0</v>
      </c>
      <c r="V100" s="133">
        <v>0</v>
      </c>
      <c r="W100" s="709"/>
      <c r="X100" s="709"/>
      <c r="Y100" s="709"/>
      <c r="Z100" s="133">
        <v>0</v>
      </c>
      <c r="AA100" s="133">
        <v>-1500</v>
      </c>
      <c r="AB100" s="133">
        <v>119381130</v>
      </c>
      <c r="AC100" s="133">
        <v>-4956000</v>
      </c>
      <c r="AD100" s="709"/>
      <c r="AE100" s="710">
        <v>311</v>
      </c>
      <c r="AF100" s="711">
        <v>20</v>
      </c>
      <c r="AG100" s="710">
        <v>0</v>
      </c>
      <c r="AH100" s="710">
        <v>0</v>
      </c>
      <c r="AI100" s="710">
        <v>320</v>
      </c>
      <c r="AJ100" s="710">
        <v>159</v>
      </c>
      <c r="AK100" s="710">
        <v>0</v>
      </c>
      <c r="AL100" s="710">
        <v>0</v>
      </c>
      <c r="AM100" s="710">
        <v>0</v>
      </c>
      <c r="AN100" s="710">
        <v>0</v>
      </c>
      <c r="AO100" s="710">
        <v>0</v>
      </c>
      <c r="AP100" s="711">
        <v>0</v>
      </c>
      <c r="AQ100" s="709"/>
      <c r="AR100" s="709"/>
      <c r="AS100" s="720">
        <v>1694</v>
      </c>
      <c r="AT100" s="710">
        <v>2059</v>
      </c>
      <c r="AU100" s="710">
        <v>1787</v>
      </c>
      <c r="AV100" s="710">
        <v>272</v>
      </c>
      <c r="AW100" s="710">
        <v>3223</v>
      </c>
      <c r="AX100" s="712">
        <v>7004</v>
      </c>
      <c r="AY100" s="683">
        <v>-38878</v>
      </c>
      <c r="AZ100" s="713">
        <v>-4888215</v>
      </c>
      <c r="BA100" s="714">
        <v>-7444023</v>
      </c>
      <c r="BB100" s="715">
        <v>26477150</v>
      </c>
      <c r="BC100" s="715">
        <v>0</v>
      </c>
      <c r="BD100" s="716">
        <v>-7481588</v>
      </c>
      <c r="BE100" s="420"/>
      <c r="BF100" s="717" t="s">
        <v>74</v>
      </c>
      <c r="BG100" s="118" t="b">
        <v>1</v>
      </c>
      <c r="BH100" s="494"/>
      <c r="BI100" s="420"/>
      <c r="BJ100" s="420"/>
      <c r="BK100" s="420"/>
      <c r="BL100" s="420"/>
      <c r="BM100" s="420"/>
      <c r="BN100" s="420"/>
      <c r="BO100" s="420"/>
      <c r="BP100" s="420"/>
      <c r="BQ100" s="420"/>
      <c r="BR100" s="420"/>
      <c r="BS100" s="420"/>
      <c r="BT100" s="420"/>
      <c r="BU100" s="420"/>
      <c r="BV100" s="420"/>
      <c r="BW100" s="420"/>
      <c r="BX100" s="420"/>
      <c r="BY100" s="420"/>
      <c r="BZ100" s="420"/>
      <c r="CA100" s="420"/>
      <c r="CB100" s="420"/>
      <c r="CC100" s="420"/>
      <c r="CD100" s="420"/>
      <c r="CE100" s="420"/>
      <c r="CF100" s="420"/>
      <c r="CG100" s="420"/>
      <c r="CH100" s="420"/>
      <c r="CI100" s="420"/>
      <c r="CJ100" s="420"/>
      <c r="CK100" s="420"/>
      <c r="CL100" s="420"/>
      <c r="CM100" s="420"/>
      <c r="CN100" s="420"/>
      <c r="CO100" s="420"/>
      <c r="CP100" s="420"/>
      <c r="CQ100" s="420"/>
      <c r="CR100" s="420"/>
    </row>
    <row r="101" spans="1:97" s="118" customFormat="1" ht="12.75" x14ac:dyDescent="0.2">
      <c r="A101" s="705">
        <v>95</v>
      </c>
      <c r="B101" s="718" t="s">
        <v>75</v>
      </c>
      <c r="C101" s="719" t="s">
        <v>76</v>
      </c>
      <c r="D101" s="708">
        <v>173214</v>
      </c>
      <c r="E101" s="708">
        <v>96565000</v>
      </c>
      <c r="F101" s="133">
        <v>47301406</v>
      </c>
      <c r="G101" s="133">
        <v>-5073581</v>
      </c>
      <c r="H101" s="133">
        <v>707482</v>
      </c>
      <c r="I101" s="133">
        <v>-4366099</v>
      </c>
      <c r="J101" s="133">
        <v>-3286250</v>
      </c>
      <c r="K101" s="133">
        <v>-34393</v>
      </c>
      <c r="L101" s="133">
        <v>-5947</v>
      </c>
      <c r="M101" s="133">
        <v>0</v>
      </c>
      <c r="N101" s="133">
        <v>-894857</v>
      </c>
      <c r="O101" s="133">
        <v>-22518</v>
      </c>
      <c r="P101" s="133">
        <v>-47264</v>
      </c>
      <c r="Q101" s="133">
        <v>0</v>
      </c>
      <c r="R101" s="133">
        <v>0</v>
      </c>
      <c r="S101" s="133">
        <v>-8367</v>
      </c>
      <c r="T101" s="133">
        <v>0</v>
      </c>
      <c r="U101" s="133">
        <v>0</v>
      </c>
      <c r="V101" s="133">
        <v>0</v>
      </c>
      <c r="W101" s="709"/>
      <c r="X101" s="709"/>
      <c r="Y101" s="709"/>
      <c r="Z101" s="133">
        <v>-5947</v>
      </c>
      <c r="AA101" s="133">
        <v>0</v>
      </c>
      <c r="AB101" s="133">
        <v>36680127</v>
      </c>
      <c r="AC101" s="133">
        <v>-2250000</v>
      </c>
      <c r="AD101" s="709"/>
      <c r="AE101" s="710">
        <v>157</v>
      </c>
      <c r="AF101" s="711">
        <v>5</v>
      </c>
      <c r="AG101" s="710">
        <v>3</v>
      </c>
      <c r="AH101" s="710">
        <v>0</v>
      </c>
      <c r="AI101" s="710">
        <v>177</v>
      </c>
      <c r="AJ101" s="710">
        <v>13</v>
      </c>
      <c r="AK101" s="710">
        <v>25</v>
      </c>
      <c r="AL101" s="710">
        <v>0</v>
      </c>
      <c r="AM101" s="710">
        <v>4</v>
      </c>
      <c r="AN101" s="710">
        <v>3</v>
      </c>
      <c r="AO101" s="710">
        <v>0</v>
      </c>
      <c r="AP101" s="711">
        <v>0</v>
      </c>
      <c r="AQ101" s="709"/>
      <c r="AR101" s="709"/>
      <c r="AS101" s="720">
        <v>774</v>
      </c>
      <c r="AT101" s="710">
        <v>1714</v>
      </c>
      <c r="AU101" s="710">
        <v>1553</v>
      </c>
      <c r="AV101" s="710">
        <v>161</v>
      </c>
      <c r="AW101" s="710">
        <v>1809</v>
      </c>
      <c r="AX101" s="712">
        <v>4358</v>
      </c>
      <c r="AY101" s="683">
        <v>-3949</v>
      </c>
      <c r="AZ101" s="713">
        <v>743324</v>
      </c>
      <c r="BA101" s="714">
        <v>5296933</v>
      </c>
      <c r="BB101" s="715">
        <v>21313450</v>
      </c>
      <c r="BC101" s="715">
        <v>0</v>
      </c>
      <c r="BD101" s="716">
        <v>5415313.200000003</v>
      </c>
      <c r="BE101" s="420"/>
      <c r="BF101" s="717" t="s">
        <v>76</v>
      </c>
      <c r="BG101" s="118" t="b">
        <v>1</v>
      </c>
      <c r="BH101" s="494"/>
      <c r="BI101" s="420"/>
      <c r="BJ101" s="420"/>
      <c r="BK101" s="420"/>
      <c r="BL101" s="420"/>
      <c r="BM101" s="420"/>
      <c r="BN101" s="420"/>
      <c r="BO101" s="420"/>
      <c r="BP101" s="420"/>
      <c r="BQ101" s="420"/>
      <c r="BR101" s="420"/>
      <c r="BS101" s="420"/>
      <c r="BT101" s="420"/>
      <c r="BU101" s="420"/>
      <c r="BV101" s="420"/>
      <c r="BW101" s="420"/>
      <c r="BX101" s="420"/>
      <c r="BY101" s="420"/>
      <c r="BZ101" s="420"/>
      <c r="CA101" s="420"/>
      <c r="CB101" s="420"/>
      <c r="CC101" s="420"/>
      <c r="CD101" s="420"/>
      <c r="CE101" s="420"/>
      <c r="CF101" s="420"/>
      <c r="CG101" s="420"/>
      <c r="CH101" s="420"/>
      <c r="CI101" s="420"/>
      <c r="CJ101" s="420"/>
      <c r="CK101" s="420"/>
      <c r="CL101" s="420"/>
      <c r="CM101" s="420"/>
      <c r="CN101" s="420"/>
      <c r="CO101" s="420"/>
      <c r="CP101" s="420"/>
      <c r="CQ101" s="420"/>
      <c r="CR101" s="420"/>
    </row>
    <row r="102" spans="1:97" s="118" customFormat="1" ht="12.75" x14ac:dyDescent="0.2">
      <c r="A102" s="705">
        <v>96</v>
      </c>
      <c r="B102" s="718" t="s">
        <v>914</v>
      </c>
      <c r="C102" s="719" t="s">
        <v>78</v>
      </c>
      <c r="D102" s="708">
        <v>81606</v>
      </c>
      <c r="E102" s="708">
        <v>64592000</v>
      </c>
      <c r="F102" s="133">
        <v>31734776</v>
      </c>
      <c r="G102" s="133">
        <v>-1804616</v>
      </c>
      <c r="H102" s="133">
        <v>632453</v>
      </c>
      <c r="I102" s="133">
        <v>-1172163</v>
      </c>
      <c r="J102" s="133">
        <v>-3316470</v>
      </c>
      <c r="K102" s="133">
        <v>-47779</v>
      </c>
      <c r="L102" s="133">
        <v>0</v>
      </c>
      <c r="M102" s="133">
        <v>0</v>
      </c>
      <c r="N102" s="133">
        <v>-548068</v>
      </c>
      <c r="O102" s="133">
        <v>-70119</v>
      </c>
      <c r="P102" s="133">
        <v>-598</v>
      </c>
      <c r="Q102" s="133">
        <v>-8417</v>
      </c>
      <c r="R102" s="133">
        <v>0</v>
      </c>
      <c r="S102" s="133">
        <v>0</v>
      </c>
      <c r="T102" s="133">
        <v>0</v>
      </c>
      <c r="U102" s="133">
        <v>0</v>
      </c>
      <c r="V102" s="133">
        <v>0</v>
      </c>
      <c r="W102" s="709"/>
      <c r="X102" s="709"/>
      <c r="Y102" s="709"/>
      <c r="Z102" s="133">
        <v>0</v>
      </c>
      <c r="AA102" s="133">
        <v>0</v>
      </c>
      <c r="AB102" s="133">
        <v>25437295</v>
      </c>
      <c r="AC102" s="133">
        <v>-276436</v>
      </c>
      <c r="AD102" s="709"/>
      <c r="AE102" s="710">
        <v>101</v>
      </c>
      <c r="AF102" s="711">
        <v>4</v>
      </c>
      <c r="AG102" s="710">
        <v>0</v>
      </c>
      <c r="AH102" s="710">
        <v>0</v>
      </c>
      <c r="AI102" s="710">
        <v>94</v>
      </c>
      <c r="AJ102" s="710">
        <v>32</v>
      </c>
      <c r="AK102" s="710">
        <v>1</v>
      </c>
      <c r="AL102" s="710">
        <v>4</v>
      </c>
      <c r="AM102" s="710">
        <v>0</v>
      </c>
      <c r="AN102" s="710">
        <v>0</v>
      </c>
      <c r="AO102" s="710">
        <v>0</v>
      </c>
      <c r="AP102" s="711">
        <v>0</v>
      </c>
      <c r="AQ102" s="709"/>
      <c r="AR102" s="709"/>
      <c r="AS102" s="720">
        <v>503</v>
      </c>
      <c r="AT102" s="710">
        <v>540</v>
      </c>
      <c r="AU102" s="710">
        <v>482</v>
      </c>
      <c r="AV102" s="710">
        <v>58</v>
      </c>
      <c r="AW102" s="710">
        <v>739</v>
      </c>
      <c r="AX102" s="712">
        <v>1782</v>
      </c>
      <c r="AY102" s="683">
        <v>-14880</v>
      </c>
      <c r="AZ102" s="713">
        <v>-4499478</v>
      </c>
      <c r="BA102" s="714">
        <v>100589</v>
      </c>
      <c r="BB102" s="715">
        <v>8607050</v>
      </c>
      <c r="BC102" s="715">
        <v>0</v>
      </c>
      <c r="BD102" s="716">
        <v>100590</v>
      </c>
      <c r="BE102" s="420"/>
      <c r="BF102" s="717" t="s">
        <v>78</v>
      </c>
      <c r="BG102" s="118" t="b">
        <v>1</v>
      </c>
      <c r="BH102" s="494"/>
      <c r="BI102" s="420"/>
      <c r="BJ102" s="420"/>
      <c r="BK102" s="420"/>
      <c r="BL102" s="420"/>
      <c r="BM102" s="420"/>
      <c r="BN102" s="420"/>
      <c r="BO102" s="420"/>
      <c r="BP102" s="420"/>
      <c r="BQ102" s="420"/>
      <c r="BR102" s="420"/>
      <c r="BS102" s="420"/>
      <c r="BT102" s="420"/>
      <c r="BU102" s="420"/>
      <c r="BV102" s="420"/>
      <c r="BW102" s="420"/>
      <c r="BX102" s="420"/>
      <c r="BY102" s="420"/>
      <c r="BZ102" s="420"/>
      <c r="CA102" s="420"/>
      <c r="CB102" s="420"/>
      <c r="CC102" s="420"/>
      <c r="CD102" s="420"/>
      <c r="CE102" s="420"/>
      <c r="CF102" s="420"/>
      <c r="CG102" s="420"/>
      <c r="CH102" s="420"/>
      <c r="CI102" s="420"/>
      <c r="CJ102" s="420"/>
      <c r="CK102" s="420"/>
      <c r="CL102" s="420"/>
      <c r="CM102" s="420"/>
      <c r="CN102" s="420"/>
      <c r="CO102" s="420"/>
      <c r="CP102" s="420"/>
      <c r="CQ102" s="420"/>
      <c r="CR102" s="420"/>
    </row>
    <row r="103" spans="1:97" s="118" customFormat="1" ht="12.75" x14ac:dyDescent="0.2">
      <c r="A103" s="705">
        <v>97</v>
      </c>
      <c r="B103" s="718" t="s">
        <v>79</v>
      </c>
      <c r="C103" s="719" t="s">
        <v>80</v>
      </c>
      <c r="D103" s="708">
        <v>131239</v>
      </c>
      <c r="E103" s="708">
        <v>66787000</v>
      </c>
      <c r="F103" s="133">
        <v>32895843</v>
      </c>
      <c r="G103" s="133">
        <v>-4127462</v>
      </c>
      <c r="H103" s="133">
        <v>503644</v>
      </c>
      <c r="I103" s="133">
        <v>-3623818</v>
      </c>
      <c r="J103" s="133">
        <v>-2130990</v>
      </c>
      <c r="K103" s="133">
        <v>-52618</v>
      </c>
      <c r="L103" s="133">
        <v>0</v>
      </c>
      <c r="M103" s="133">
        <v>0</v>
      </c>
      <c r="N103" s="133">
        <v>-450000</v>
      </c>
      <c r="O103" s="133">
        <v>-19651</v>
      </c>
      <c r="P103" s="133">
        <v>-35166</v>
      </c>
      <c r="Q103" s="133">
        <v>0</v>
      </c>
      <c r="R103" s="133">
        <v>0</v>
      </c>
      <c r="S103" s="133">
        <v>0</v>
      </c>
      <c r="T103" s="133">
        <v>0</v>
      </c>
      <c r="U103" s="133">
        <v>0</v>
      </c>
      <c r="V103" s="133">
        <v>0</v>
      </c>
      <c r="W103" s="709"/>
      <c r="X103" s="709"/>
      <c r="Y103" s="709"/>
      <c r="Z103" s="133">
        <v>-4861</v>
      </c>
      <c r="AA103" s="133">
        <v>0</v>
      </c>
      <c r="AB103" s="133">
        <v>25874540.960000001</v>
      </c>
      <c r="AC103" s="133">
        <v>-1283000</v>
      </c>
      <c r="AD103" s="709"/>
      <c r="AE103" s="710">
        <v>135</v>
      </c>
      <c r="AF103" s="711">
        <v>14</v>
      </c>
      <c r="AG103" s="710">
        <v>0</v>
      </c>
      <c r="AH103" s="710">
        <v>0</v>
      </c>
      <c r="AI103" s="710">
        <v>225</v>
      </c>
      <c r="AJ103" s="710">
        <v>20</v>
      </c>
      <c r="AK103" s="710">
        <v>29</v>
      </c>
      <c r="AL103" s="710">
        <v>0</v>
      </c>
      <c r="AM103" s="710">
        <v>2</v>
      </c>
      <c r="AN103" s="710">
        <v>0</v>
      </c>
      <c r="AO103" s="710">
        <v>0</v>
      </c>
      <c r="AP103" s="711">
        <v>0</v>
      </c>
      <c r="AQ103" s="709"/>
      <c r="AR103" s="709"/>
      <c r="AS103" s="720">
        <v>679</v>
      </c>
      <c r="AT103" s="710">
        <v>1697</v>
      </c>
      <c r="AU103" s="710">
        <v>1609</v>
      </c>
      <c r="AV103" s="710">
        <v>88</v>
      </c>
      <c r="AW103" s="710">
        <v>1213</v>
      </c>
      <c r="AX103" s="712">
        <v>3606</v>
      </c>
      <c r="AY103" s="683">
        <v>-21793</v>
      </c>
      <c r="AZ103" s="713">
        <v>-4515</v>
      </c>
      <c r="BA103" s="714">
        <v>-217701</v>
      </c>
      <c r="BB103" s="715">
        <v>12999667</v>
      </c>
      <c r="BC103" s="715">
        <v>0</v>
      </c>
      <c r="BD103" s="716">
        <v>-217701</v>
      </c>
      <c r="BE103" s="420"/>
      <c r="BF103" s="717" t="s">
        <v>80</v>
      </c>
      <c r="BG103" s="118" t="b">
        <v>1</v>
      </c>
      <c r="BH103" s="494"/>
      <c r="BI103" s="420"/>
      <c r="BJ103" s="420"/>
      <c r="BK103" s="420"/>
      <c r="BL103" s="420"/>
      <c r="BM103" s="420"/>
      <c r="BN103" s="420"/>
      <c r="BO103" s="420"/>
      <c r="BP103" s="420"/>
      <c r="BQ103" s="420"/>
      <c r="BR103" s="420"/>
      <c r="BS103" s="420"/>
      <c r="BT103" s="420"/>
      <c r="BU103" s="420"/>
      <c r="BV103" s="420"/>
      <c r="BW103" s="420"/>
      <c r="BX103" s="420"/>
      <c r="BY103" s="420"/>
      <c r="BZ103" s="420"/>
      <c r="CA103" s="420"/>
      <c r="CB103" s="420"/>
      <c r="CC103" s="420"/>
      <c r="CD103" s="420"/>
      <c r="CE103" s="420"/>
      <c r="CF103" s="420"/>
      <c r="CG103" s="420"/>
      <c r="CH103" s="420"/>
      <c r="CI103" s="420"/>
      <c r="CJ103" s="420"/>
      <c r="CK103" s="420"/>
      <c r="CL103" s="420"/>
      <c r="CM103" s="420"/>
      <c r="CN103" s="420"/>
      <c r="CO103" s="420"/>
      <c r="CP103" s="420"/>
      <c r="CQ103" s="420"/>
      <c r="CR103" s="420"/>
    </row>
    <row r="104" spans="1:97" s="737" customFormat="1" ht="12.75" x14ac:dyDescent="0.2">
      <c r="A104" s="705">
        <v>98</v>
      </c>
      <c r="B104" s="718" t="s">
        <v>81</v>
      </c>
      <c r="C104" s="719" t="s">
        <v>82</v>
      </c>
      <c r="D104" s="708">
        <v>214120</v>
      </c>
      <c r="E104" s="708">
        <v>193009000</v>
      </c>
      <c r="F104" s="133">
        <v>93924906</v>
      </c>
      <c r="G104" s="133">
        <v>-3766229</v>
      </c>
      <c r="H104" s="133">
        <v>1925107</v>
      </c>
      <c r="I104" s="133">
        <v>-1841122</v>
      </c>
      <c r="J104" s="133">
        <v>-7125601</v>
      </c>
      <c r="K104" s="133">
        <v>-39694</v>
      </c>
      <c r="L104" s="133">
        <v>0</v>
      </c>
      <c r="M104" s="133">
        <v>0</v>
      </c>
      <c r="N104" s="133">
        <v>-2042068</v>
      </c>
      <c r="O104" s="133">
        <v>-220066</v>
      </c>
      <c r="P104" s="133">
        <v>-57740</v>
      </c>
      <c r="Q104" s="133">
        <v>-4239</v>
      </c>
      <c r="R104" s="133">
        <v>0</v>
      </c>
      <c r="S104" s="133">
        <v>0</v>
      </c>
      <c r="T104" s="133">
        <v>0</v>
      </c>
      <c r="U104" s="133">
        <v>0</v>
      </c>
      <c r="V104" s="133">
        <v>0</v>
      </c>
      <c r="W104" s="709"/>
      <c r="X104" s="709"/>
      <c r="Y104" s="709"/>
      <c r="Z104" s="133">
        <v>0</v>
      </c>
      <c r="AA104" s="133">
        <v>-1500</v>
      </c>
      <c r="AB104" s="133">
        <v>82457134</v>
      </c>
      <c r="AC104" s="133">
        <v>-3000000</v>
      </c>
      <c r="AD104" s="709"/>
      <c r="AE104" s="710">
        <v>323</v>
      </c>
      <c r="AF104" s="711">
        <v>16</v>
      </c>
      <c r="AG104" s="710">
        <v>0</v>
      </c>
      <c r="AH104" s="710">
        <v>0</v>
      </c>
      <c r="AI104" s="710">
        <v>463</v>
      </c>
      <c r="AJ104" s="710">
        <v>106</v>
      </c>
      <c r="AK104" s="710">
        <v>3</v>
      </c>
      <c r="AL104" s="710">
        <v>7</v>
      </c>
      <c r="AM104" s="710">
        <v>0</v>
      </c>
      <c r="AN104" s="710">
        <v>0</v>
      </c>
      <c r="AO104" s="710">
        <v>0</v>
      </c>
      <c r="AP104" s="711">
        <v>0</v>
      </c>
      <c r="AQ104" s="709"/>
      <c r="AR104" s="709"/>
      <c r="AS104" s="720">
        <v>1444</v>
      </c>
      <c r="AT104" s="710">
        <v>1247</v>
      </c>
      <c r="AU104" s="710">
        <v>1168</v>
      </c>
      <c r="AV104" s="710">
        <v>79</v>
      </c>
      <c r="AW104" s="710">
        <v>2361</v>
      </c>
      <c r="AX104" s="712">
        <v>5100</v>
      </c>
      <c r="AY104" s="683">
        <v>-53492</v>
      </c>
      <c r="AZ104" s="713">
        <v>-1183461</v>
      </c>
      <c r="BA104" s="714">
        <v>-710342</v>
      </c>
      <c r="BB104" s="715">
        <v>24144200</v>
      </c>
      <c r="BC104" s="715">
        <v>0</v>
      </c>
      <c r="BD104" s="716">
        <v>-692653</v>
      </c>
      <c r="BE104" s="420"/>
      <c r="BF104" s="717" t="s">
        <v>82</v>
      </c>
      <c r="BG104" s="118" t="b">
        <v>1</v>
      </c>
      <c r="BH104" s="494"/>
      <c r="BI104" s="420"/>
      <c r="BJ104" s="420"/>
      <c r="BK104" s="420"/>
      <c r="BL104" s="420"/>
      <c r="BM104" s="420"/>
      <c r="BN104" s="420"/>
      <c r="BO104" s="420"/>
      <c r="BP104" s="420"/>
      <c r="BQ104" s="420"/>
      <c r="BR104" s="420"/>
      <c r="BS104" s="420"/>
      <c r="BT104" s="420"/>
      <c r="BU104" s="420"/>
      <c r="BV104" s="420"/>
      <c r="BW104" s="420"/>
      <c r="BX104" s="420"/>
      <c r="BY104" s="420"/>
      <c r="BZ104" s="420"/>
      <c r="CA104" s="420"/>
      <c r="CB104" s="420"/>
      <c r="CC104" s="420"/>
      <c r="CD104" s="420"/>
      <c r="CE104" s="420"/>
      <c r="CF104" s="420"/>
      <c r="CG104" s="420"/>
      <c r="CH104" s="420"/>
      <c r="CI104" s="420"/>
      <c r="CJ104" s="420"/>
      <c r="CK104" s="420"/>
      <c r="CL104" s="420"/>
      <c r="CM104" s="420"/>
      <c r="CN104" s="420"/>
      <c r="CO104" s="420"/>
      <c r="CP104" s="420"/>
      <c r="CQ104" s="420"/>
      <c r="CR104" s="420"/>
      <c r="CS104" s="118"/>
    </row>
    <row r="105" spans="1:97" s="118" customFormat="1" ht="12.75" x14ac:dyDescent="0.2">
      <c r="A105" s="705">
        <v>99</v>
      </c>
      <c r="B105" s="718" t="s">
        <v>83</v>
      </c>
      <c r="C105" s="719" t="s">
        <v>84</v>
      </c>
      <c r="D105" s="708">
        <v>137985</v>
      </c>
      <c r="E105" s="708">
        <v>102221000</v>
      </c>
      <c r="F105" s="133">
        <v>50408329</v>
      </c>
      <c r="G105" s="133">
        <v>-3251031</v>
      </c>
      <c r="H105" s="133">
        <v>932496</v>
      </c>
      <c r="I105" s="133">
        <v>-2318535</v>
      </c>
      <c r="J105" s="133">
        <v>-2855132</v>
      </c>
      <c r="K105" s="133">
        <v>0</v>
      </c>
      <c r="L105" s="133">
        <v>0</v>
      </c>
      <c r="M105" s="133">
        <v>-30000</v>
      </c>
      <c r="N105" s="133">
        <v>-1381852</v>
      </c>
      <c r="O105" s="133">
        <v>-137371</v>
      </c>
      <c r="P105" s="133">
        <v>-553908</v>
      </c>
      <c r="Q105" s="133">
        <v>0</v>
      </c>
      <c r="R105" s="133">
        <v>0</v>
      </c>
      <c r="S105" s="133">
        <v>0</v>
      </c>
      <c r="T105" s="133">
        <v>-236230</v>
      </c>
      <c r="U105" s="133">
        <v>-236230</v>
      </c>
      <c r="V105" s="133">
        <v>0</v>
      </c>
      <c r="W105" s="709"/>
      <c r="X105" s="709"/>
      <c r="Y105" s="709"/>
      <c r="Z105" s="133">
        <v>0</v>
      </c>
      <c r="AA105" s="133">
        <v>0</v>
      </c>
      <c r="AB105" s="133">
        <v>42307239</v>
      </c>
      <c r="AC105" s="133">
        <v>-1976933</v>
      </c>
      <c r="AD105" s="709"/>
      <c r="AE105" s="710">
        <v>127</v>
      </c>
      <c r="AF105" s="711">
        <v>0</v>
      </c>
      <c r="AG105" s="710">
        <v>0</v>
      </c>
      <c r="AH105" s="710">
        <v>5</v>
      </c>
      <c r="AI105" s="710">
        <v>289</v>
      </c>
      <c r="AJ105" s="710">
        <v>95</v>
      </c>
      <c r="AK105" s="710">
        <v>49</v>
      </c>
      <c r="AL105" s="710">
        <v>0</v>
      </c>
      <c r="AM105" s="710">
        <v>0</v>
      </c>
      <c r="AN105" s="710">
        <v>0</v>
      </c>
      <c r="AO105" s="710">
        <v>73</v>
      </c>
      <c r="AP105" s="711">
        <v>0</v>
      </c>
      <c r="AQ105" s="709"/>
      <c r="AR105" s="709"/>
      <c r="AS105" s="720">
        <v>731</v>
      </c>
      <c r="AT105" s="710">
        <v>1242</v>
      </c>
      <c r="AU105" s="710">
        <v>1156</v>
      </c>
      <c r="AV105" s="710">
        <v>86</v>
      </c>
      <c r="AW105" s="710">
        <v>1305</v>
      </c>
      <c r="AX105" s="712">
        <v>3337</v>
      </c>
      <c r="AY105" s="683">
        <v>-11082</v>
      </c>
      <c r="AZ105" s="713">
        <v>6226466</v>
      </c>
      <c r="BA105" s="714">
        <v>1301430</v>
      </c>
      <c r="BB105" s="715">
        <v>15487700</v>
      </c>
      <c r="BC105" s="715">
        <v>29000</v>
      </c>
      <c r="BD105" s="716">
        <v>1301428.3000000026</v>
      </c>
      <c r="BE105" s="420"/>
      <c r="BF105" s="717" t="s">
        <v>84</v>
      </c>
      <c r="BG105" s="118" t="b">
        <v>1</v>
      </c>
      <c r="BH105" s="494"/>
      <c r="BI105" s="420"/>
      <c r="BJ105" s="420"/>
      <c r="BK105" s="420"/>
      <c r="BL105" s="420"/>
      <c r="BM105" s="420"/>
      <c r="BN105" s="420"/>
      <c r="BO105" s="420"/>
      <c r="BP105" s="420"/>
      <c r="BQ105" s="420"/>
      <c r="BR105" s="420"/>
      <c r="BS105" s="420"/>
      <c r="BT105" s="420"/>
      <c r="BU105" s="420"/>
      <c r="BV105" s="420"/>
      <c r="BW105" s="420"/>
      <c r="BX105" s="420"/>
      <c r="BY105" s="420"/>
      <c r="BZ105" s="420"/>
      <c r="CA105" s="420"/>
      <c r="CB105" s="420"/>
      <c r="CC105" s="420"/>
      <c r="CD105" s="420"/>
      <c r="CE105" s="420"/>
      <c r="CF105" s="420"/>
      <c r="CG105" s="420"/>
      <c r="CH105" s="420"/>
      <c r="CI105" s="420"/>
      <c r="CJ105" s="420"/>
      <c r="CK105" s="420"/>
      <c r="CL105" s="420"/>
      <c r="CM105" s="420"/>
      <c r="CN105" s="420"/>
      <c r="CO105" s="420"/>
      <c r="CP105" s="420"/>
      <c r="CQ105" s="420"/>
      <c r="CR105" s="420"/>
    </row>
    <row r="106" spans="1:97" s="118" customFormat="1" ht="12.75" x14ac:dyDescent="0.2">
      <c r="A106" s="705">
        <v>100</v>
      </c>
      <c r="B106" s="718" t="s">
        <v>85</v>
      </c>
      <c r="C106" s="719" t="s">
        <v>86</v>
      </c>
      <c r="D106" s="708">
        <v>120298</v>
      </c>
      <c r="E106" s="708">
        <v>66720000</v>
      </c>
      <c r="F106" s="133">
        <v>32856489</v>
      </c>
      <c r="G106" s="133">
        <v>-3740412</v>
      </c>
      <c r="H106" s="133">
        <v>567656</v>
      </c>
      <c r="I106" s="133">
        <v>-3172756</v>
      </c>
      <c r="J106" s="133">
        <v>-2340649</v>
      </c>
      <c r="K106" s="133">
        <v>-38314</v>
      </c>
      <c r="L106" s="133">
        <v>-25376</v>
      </c>
      <c r="M106" s="133">
        <v>0</v>
      </c>
      <c r="N106" s="133">
        <v>-523790</v>
      </c>
      <c r="O106" s="133">
        <v>-27882</v>
      </c>
      <c r="P106" s="133">
        <v>-54632</v>
      </c>
      <c r="Q106" s="133">
        <v>-1084</v>
      </c>
      <c r="R106" s="133">
        <v>0</v>
      </c>
      <c r="S106" s="133">
        <v>-4812</v>
      </c>
      <c r="T106" s="133">
        <v>0</v>
      </c>
      <c r="U106" s="133">
        <v>0</v>
      </c>
      <c r="V106" s="133">
        <v>0</v>
      </c>
      <c r="W106" s="709"/>
      <c r="X106" s="709"/>
      <c r="Y106" s="709"/>
      <c r="Z106" s="133">
        <v>-25376</v>
      </c>
      <c r="AA106" s="133">
        <v>0</v>
      </c>
      <c r="AB106" s="133">
        <v>25690301</v>
      </c>
      <c r="AC106" s="133">
        <v>-1100000</v>
      </c>
      <c r="AD106" s="709"/>
      <c r="AE106" s="710">
        <v>171</v>
      </c>
      <c r="AF106" s="711">
        <v>13</v>
      </c>
      <c r="AG106" s="710">
        <v>23</v>
      </c>
      <c r="AH106" s="710">
        <v>0</v>
      </c>
      <c r="AI106" s="710">
        <v>240</v>
      </c>
      <c r="AJ106" s="710">
        <v>29</v>
      </c>
      <c r="AK106" s="710">
        <v>18</v>
      </c>
      <c r="AL106" s="710">
        <v>1</v>
      </c>
      <c r="AM106" s="710">
        <v>0</v>
      </c>
      <c r="AN106" s="710">
        <v>2</v>
      </c>
      <c r="AO106" s="710">
        <v>0</v>
      </c>
      <c r="AP106" s="711">
        <v>0</v>
      </c>
      <c r="AQ106" s="709"/>
      <c r="AR106" s="709"/>
      <c r="AS106" s="720">
        <v>600</v>
      </c>
      <c r="AT106" s="710">
        <v>1475</v>
      </c>
      <c r="AU106" s="710">
        <v>1417</v>
      </c>
      <c r="AV106" s="710">
        <v>58</v>
      </c>
      <c r="AW106" s="710">
        <v>1040</v>
      </c>
      <c r="AX106" s="712">
        <v>3126</v>
      </c>
      <c r="AY106" s="683">
        <v>-21321</v>
      </c>
      <c r="AZ106" s="713">
        <v>-1107470</v>
      </c>
      <c r="BA106" s="714">
        <v>-1086131.1099999994</v>
      </c>
      <c r="BB106" s="715">
        <v>9628850</v>
      </c>
      <c r="BC106" s="715">
        <v>0</v>
      </c>
      <c r="BD106" s="716">
        <v>-1086131.2100000009</v>
      </c>
      <c r="BE106" s="420"/>
      <c r="BF106" s="717" t="s">
        <v>86</v>
      </c>
      <c r="BG106" s="118" t="b">
        <v>1</v>
      </c>
      <c r="BH106" s="494"/>
      <c r="BI106" s="420"/>
      <c r="BJ106" s="420"/>
      <c r="BK106" s="420"/>
      <c r="BL106" s="420"/>
      <c r="BM106" s="420"/>
      <c r="BN106" s="420"/>
      <c r="BO106" s="420"/>
      <c r="BP106" s="420"/>
      <c r="BQ106" s="420"/>
      <c r="BR106" s="420"/>
      <c r="BS106" s="420"/>
      <c r="BT106" s="420"/>
      <c r="BU106" s="420"/>
      <c r="BV106" s="420"/>
      <c r="BW106" s="420"/>
      <c r="BX106" s="420"/>
      <c r="BY106" s="420"/>
      <c r="BZ106" s="420"/>
      <c r="CA106" s="420"/>
      <c r="CB106" s="420"/>
      <c r="CC106" s="420"/>
      <c r="CD106" s="420"/>
      <c r="CE106" s="420"/>
      <c r="CF106" s="420"/>
      <c r="CG106" s="420"/>
      <c r="CH106" s="420"/>
      <c r="CI106" s="420"/>
      <c r="CJ106" s="420"/>
      <c r="CK106" s="420"/>
      <c r="CL106" s="420"/>
      <c r="CM106" s="420"/>
      <c r="CN106" s="420"/>
      <c r="CO106" s="420"/>
      <c r="CP106" s="420"/>
      <c r="CQ106" s="420"/>
      <c r="CR106" s="420"/>
    </row>
    <row r="107" spans="1:97" s="118" customFormat="1" ht="12" customHeight="1" x14ac:dyDescent="0.2">
      <c r="A107" s="705">
        <v>101</v>
      </c>
      <c r="B107" s="718" t="s">
        <v>1120</v>
      </c>
      <c r="C107" s="719" t="s">
        <v>341</v>
      </c>
      <c r="D107" s="708">
        <v>142590</v>
      </c>
      <c r="E107" s="708">
        <v>75877000</v>
      </c>
      <c r="F107" s="133">
        <v>38123847</v>
      </c>
      <c r="G107" s="133">
        <v>-4212154</v>
      </c>
      <c r="H107" s="133">
        <v>660879</v>
      </c>
      <c r="I107" s="133">
        <v>-3551275</v>
      </c>
      <c r="J107" s="133">
        <v>-2857119</v>
      </c>
      <c r="K107" s="133">
        <v>-88468</v>
      </c>
      <c r="L107" s="133">
        <v>-19888</v>
      </c>
      <c r="M107" s="133">
        <v>-13770</v>
      </c>
      <c r="N107" s="133">
        <v>-994340</v>
      </c>
      <c r="O107" s="133">
        <v>-75727</v>
      </c>
      <c r="P107" s="133">
        <v>-6085</v>
      </c>
      <c r="Q107" s="133">
        <v>-1434</v>
      </c>
      <c r="R107" s="133">
        <v>0</v>
      </c>
      <c r="S107" s="133">
        <v>0</v>
      </c>
      <c r="T107" s="133">
        <v>0</v>
      </c>
      <c r="U107" s="133">
        <v>0</v>
      </c>
      <c r="V107" s="133">
        <v>0</v>
      </c>
      <c r="W107" s="709"/>
      <c r="X107" s="709"/>
      <c r="Y107" s="709"/>
      <c r="Z107" s="133">
        <v>-19888</v>
      </c>
      <c r="AA107" s="133">
        <v>0</v>
      </c>
      <c r="AB107" s="133">
        <v>29506910</v>
      </c>
      <c r="AC107" s="133">
        <v>-1309229</v>
      </c>
      <c r="AD107" s="709"/>
      <c r="AE107" s="710">
        <v>215</v>
      </c>
      <c r="AF107" s="711">
        <v>22</v>
      </c>
      <c r="AG107" s="710">
        <v>13</v>
      </c>
      <c r="AH107" s="710">
        <v>1</v>
      </c>
      <c r="AI107" s="710">
        <v>439</v>
      </c>
      <c r="AJ107" s="710">
        <v>72</v>
      </c>
      <c r="AK107" s="710">
        <v>1</v>
      </c>
      <c r="AL107" s="710">
        <v>3</v>
      </c>
      <c r="AM107" s="710">
        <v>1</v>
      </c>
      <c r="AN107" s="710">
        <v>0</v>
      </c>
      <c r="AO107" s="710">
        <v>0</v>
      </c>
      <c r="AP107" s="711">
        <v>3</v>
      </c>
      <c r="AQ107" s="709"/>
      <c r="AR107" s="709"/>
      <c r="AS107" s="720">
        <v>901</v>
      </c>
      <c r="AT107" s="710">
        <v>1791</v>
      </c>
      <c r="AU107" s="710">
        <v>1702</v>
      </c>
      <c r="AV107" s="710">
        <v>89</v>
      </c>
      <c r="AW107" s="710">
        <v>1193</v>
      </c>
      <c r="AX107" s="712">
        <v>3859</v>
      </c>
      <c r="AY107" s="683">
        <v>-30660</v>
      </c>
      <c r="AZ107" s="713">
        <v>-1736441</v>
      </c>
      <c r="BA107" s="714">
        <v>-1532925</v>
      </c>
      <c r="BB107" s="715">
        <v>9445050</v>
      </c>
      <c r="BC107" s="715">
        <v>0</v>
      </c>
      <c r="BD107" s="716">
        <v>-1532925.6399999992</v>
      </c>
      <c r="BE107" s="737"/>
      <c r="BF107" s="717" t="s">
        <v>341</v>
      </c>
      <c r="BG107" s="118" t="b">
        <v>1</v>
      </c>
      <c r="BH107" s="494"/>
      <c r="BI107" s="737"/>
      <c r="BJ107" s="737"/>
      <c r="BK107" s="737"/>
      <c r="BL107" s="737"/>
      <c r="BM107" s="737"/>
      <c r="BN107" s="737"/>
      <c r="BO107" s="737"/>
      <c r="BP107" s="737"/>
      <c r="BQ107" s="737"/>
      <c r="BR107" s="737"/>
      <c r="BS107" s="737"/>
      <c r="BT107" s="737"/>
      <c r="BU107" s="737"/>
      <c r="BV107" s="737"/>
      <c r="BW107" s="737"/>
      <c r="BX107" s="737"/>
      <c r="BY107" s="737"/>
      <c r="BZ107" s="737"/>
      <c r="CA107" s="737"/>
      <c r="CB107" s="737"/>
      <c r="CC107" s="737"/>
      <c r="CD107" s="737"/>
      <c r="CE107" s="737"/>
      <c r="CF107" s="737"/>
      <c r="CG107" s="737"/>
      <c r="CH107" s="737"/>
      <c r="CI107" s="737"/>
      <c r="CJ107" s="737"/>
      <c r="CK107" s="737"/>
      <c r="CL107" s="737"/>
      <c r="CM107" s="737"/>
      <c r="CN107" s="737"/>
      <c r="CO107" s="737"/>
      <c r="CP107" s="737"/>
      <c r="CQ107" s="737"/>
      <c r="CR107" s="737"/>
      <c r="CS107" s="737"/>
    </row>
    <row r="108" spans="1:97" s="118" customFormat="1" ht="12.75" x14ac:dyDescent="0.2">
      <c r="A108" s="705">
        <v>102</v>
      </c>
      <c r="B108" s="718" t="s">
        <v>87</v>
      </c>
      <c r="C108" s="719" t="s">
        <v>88</v>
      </c>
      <c r="D108" s="708">
        <v>116184</v>
      </c>
      <c r="E108" s="708">
        <v>40336000</v>
      </c>
      <c r="F108" s="133">
        <v>19638496</v>
      </c>
      <c r="G108" s="133">
        <v>-3504646</v>
      </c>
      <c r="H108" s="133">
        <v>281399</v>
      </c>
      <c r="I108" s="133">
        <v>-3223247</v>
      </c>
      <c r="J108" s="133">
        <v>-1827405</v>
      </c>
      <c r="K108" s="133">
        <v>-7166</v>
      </c>
      <c r="L108" s="133">
        <v>-41130</v>
      </c>
      <c r="M108" s="133">
        <v>-10000</v>
      </c>
      <c r="N108" s="133">
        <v>-476101</v>
      </c>
      <c r="O108" s="133">
        <v>-36728</v>
      </c>
      <c r="P108" s="133">
        <v>-7158</v>
      </c>
      <c r="Q108" s="133">
        <v>0</v>
      </c>
      <c r="R108" s="133">
        <v>0</v>
      </c>
      <c r="S108" s="133">
        <v>0</v>
      </c>
      <c r="T108" s="133">
        <v>0</v>
      </c>
      <c r="U108" s="133">
        <v>0</v>
      </c>
      <c r="V108" s="133">
        <v>0</v>
      </c>
      <c r="W108" s="709"/>
      <c r="X108" s="709"/>
      <c r="Y108" s="709"/>
      <c r="Z108" s="133">
        <v>-41130</v>
      </c>
      <c r="AA108" s="133">
        <v>-1500</v>
      </c>
      <c r="AB108" s="133">
        <v>13408171</v>
      </c>
      <c r="AC108" s="133">
        <v>-134330</v>
      </c>
      <c r="AD108" s="709"/>
      <c r="AE108" s="710">
        <v>226</v>
      </c>
      <c r="AF108" s="711">
        <v>6</v>
      </c>
      <c r="AG108" s="710">
        <v>43</v>
      </c>
      <c r="AH108" s="710">
        <v>0</v>
      </c>
      <c r="AI108" s="710">
        <v>283</v>
      </c>
      <c r="AJ108" s="710">
        <v>87</v>
      </c>
      <c r="AK108" s="710">
        <v>7</v>
      </c>
      <c r="AL108" s="710">
        <v>0</v>
      </c>
      <c r="AM108" s="710">
        <v>0</v>
      </c>
      <c r="AN108" s="710">
        <v>0</v>
      </c>
      <c r="AO108" s="710">
        <v>0</v>
      </c>
      <c r="AP108" s="711">
        <v>42</v>
      </c>
      <c r="AQ108" s="709"/>
      <c r="AR108" s="709"/>
      <c r="AS108" s="720">
        <v>692</v>
      </c>
      <c r="AT108" s="710">
        <v>1750</v>
      </c>
      <c r="AU108" s="710">
        <v>1704</v>
      </c>
      <c r="AV108" s="710">
        <v>46</v>
      </c>
      <c r="AW108" s="710">
        <v>848</v>
      </c>
      <c r="AX108" s="712">
        <v>3304</v>
      </c>
      <c r="AY108" s="683">
        <v>-15778</v>
      </c>
      <c r="AZ108" s="713">
        <v>-475243</v>
      </c>
      <c r="BA108" s="714">
        <v>-410482</v>
      </c>
      <c r="BB108" s="715">
        <v>6500526</v>
      </c>
      <c r="BC108" s="715">
        <v>0</v>
      </c>
      <c r="BD108" s="716">
        <v>-410514</v>
      </c>
      <c r="BE108" s="420"/>
      <c r="BF108" s="717" t="s">
        <v>88</v>
      </c>
      <c r="BG108" s="118" t="b">
        <v>1</v>
      </c>
      <c r="BH108" s="494"/>
      <c r="BI108" s="420"/>
      <c r="BJ108" s="420"/>
      <c r="BK108" s="420"/>
      <c r="BL108" s="420"/>
      <c r="BM108" s="420"/>
      <c r="BN108" s="420"/>
      <c r="BO108" s="420"/>
      <c r="BP108" s="420"/>
      <c r="BQ108" s="420"/>
      <c r="BR108" s="420"/>
      <c r="BS108" s="420"/>
      <c r="BT108" s="420"/>
      <c r="BU108" s="420"/>
      <c r="BV108" s="420"/>
      <c r="BW108" s="420"/>
      <c r="BX108" s="420"/>
      <c r="BY108" s="420"/>
      <c r="BZ108" s="420"/>
      <c r="CA108" s="420"/>
      <c r="CB108" s="420"/>
      <c r="CC108" s="420"/>
      <c r="CD108" s="420"/>
      <c r="CE108" s="420"/>
      <c r="CF108" s="420"/>
      <c r="CG108" s="420"/>
      <c r="CH108" s="420"/>
      <c r="CI108" s="420"/>
      <c r="CJ108" s="420"/>
      <c r="CK108" s="420"/>
      <c r="CL108" s="420"/>
      <c r="CM108" s="420"/>
      <c r="CN108" s="420"/>
      <c r="CO108" s="420"/>
      <c r="CP108" s="420"/>
      <c r="CQ108" s="420"/>
      <c r="CR108" s="420"/>
    </row>
    <row r="109" spans="1:97" s="118" customFormat="1" ht="12.75" x14ac:dyDescent="0.2">
      <c r="A109" s="705">
        <v>103</v>
      </c>
      <c r="B109" s="718" t="s">
        <v>89</v>
      </c>
      <c r="C109" s="719" t="s">
        <v>90</v>
      </c>
      <c r="D109" s="708">
        <v>110908</v>
      </c>
      <c r="E109" s="708">
        <v>67162000</v>
      </c>
      <c r="F109" s="133">
        <v>32982664</v>
      </c>
      <c r="G109" s="133">
        <v>-3611772</v>
      </c>
      <c r="H109" s="133">
        <v>590018</v>
      </c>
      <c r="I109" s="133">
        <v>-3021754</v>
      </c>
      <c r="J109" s="133">
        <v>-1350146</v>
      </c>
      <c r="K109" s="133">
        <v>-7933</v>
      </c>
      <c r="L109" s="133">
        <v>-7208</v>
      </c>
      <c r="M109" s="133">
        <v>-20000</v>
      </c>
      <c r="N109" s="133">
        <v>-488948</v>
      </c>
      <c r="O109" s="133">
        <v>-55622</v>
      </c>
      <c r="P109" s="133">
        <v>-20817</v>
      </c>
      <c r="Q109" s="133">
        <v>-1095</v>
      </c>
      <c r="R109" s="133">
        <v>-2884</v>
      </c>
      <c r="S109" s="133">
        <v>0</v>
      </c>
      <c r="T109" s="133">
        <v>-259239</v>
      </c>
      <c r="U109" s="133">
        <v>-259239</v>
      </c>
      <c r="V109" s="133">
        <v>0</v>
      </c>
      <c r="W109" s="709"/>
      <c r="X109" s="709"/>
      <c r="Y109" s="709"/>
      <c r="Z109" s="133">
        <v>-4323</v>
      </c>
      <c r="AA109" s="133">
        <v>-1500</v>
      </c>
      <c r="AB109" s="133">
        <v>26746296</v>
      </c>
      <c r="AC109" s="133">
        <v>-1032100</v>
      </c>
      <c r="AD109" s="709"/>
      <c r="AE109" s="710">
        <v>111</v>
      </c>
      <c r="AF109" s="711">
        <v>4</v>
      </c>
      <c r="AG109" s="710">
        <v>6</v>
      </c>
      <c r="AH109" s="710">
        <v>0</v>
      </c>
      <c r="AI109" s="710">
        <v>149</v>
      </c>
      <c r="AJ109" s="710">
        <v>37</v>
      </c>
      <c r="AK109" s="710">
        <v>7</v>
      </c>
      <c r="AL109" s="710">
        <v>4</v>
      </c>
      <c r="AM109" s="710">
        <v>1</v>
      </c>
      <c r="AN109" s="710">
        <v>0</v>
      </c>
      <c r="AO109" s="710">
        <v>16</v>
      </c>
      <c r="AP109" s="711">
        <v>24</v>
      </c>
      <c r="AQ109" s="709"/>
      <c r="AR109" s="709"/>
      <c r="AS109" s="720">
        <v>565</v>
      </c>
      <c r="AT109" s="710">
        <v>1357</v>
      </c>
      <c r="AU109" s="710">
        <v>1288</v>
      </c>
      <c r="AV109" s="710">
        <v>69</v>
      </c>
      <c r="AW109" s="710">
        <v>1015</v>
      </c>
      <c r="AX109" s="712">
        <v>2951</v>
      </c>
      <c r="AY109" s="683">
        <v>-13209</v>
      </c>
      <c r="AZ109" s="713">
        <v>-721719</v>
      </c>
      <c r="BA109" s="714">
        <v>-429346</v>
      </c>
      <c r="BB109" s="715">
        <v>8393900</v>
      </c>
      <c r="BC109" s="715">
        <v>629250</v>
      </c>
      <c r="BD109" s="716">
        <v>-429339</v>
      </c>
      <c r="BE109" s="420"/>
      <c r="BF109" s="717" t="s">
        <v>90</v>
      </c>
      <c r="BG109" s="118" t="b">
        <v>1</v>
      </c>
      <c r="BH109" s="494"/>
      <c r="BI109" s="420"/>
      <c r="BJ109" s="420"/>
      <c r="BK109" s="420"/>
      <c r="BL109" s="420"/>
      <c r="BM109" s="420"/>
      <c r="BN109" s="420"/>
      <c r="BO109" s="420"/>
      <c r="BP109" s="420"/>
      <c r="BQ109" s="420"/>
      <c r="BR109" s="420"/>
      <c r="BS109" s="420"/>
      <c r="BT109" s="420"/>
      <c r="BU109" s="420"/>
      <c r="BV109" s="420"/>
      <c r="BW109" s="420"/>
      <c r="BX109" s="420"/>
      <c r="BY109" s="420"/>
      <c r="BZ109" s="420"/>
      <c r="CA109" s="420"/>
      <c r="CB109" s="420"/>
      <c r="CC109" s="420"/>
      <c r="CD109" s="420"/>
      <c r="CE109" s="420"/>
      <c r="CF109" s="420"/>
      <c r="CG109" s="420"/>
      <c r="CH109" s="420"/>
      <c r="CI109" s="420"/>
      <c r="CJ109" s="420"/>
      <c r="CK109" s="420"/>
      <c r="CL109" s="420"/>
      <c r="CM109" s="420"/>
      <c r="CN109" s="420"/>
      <c r="CO109" s="420"/>
      <c r="CP109" s="420"/>
      <c r="CQ109" s="420"/>
      <c r="CR109" s="420"/>
    </row>
    <row r="110" spans="1:97" s="118" customFormat="1" ht="12.75" x14ac:dyDescent="0.2">
      <c r="A110" s="705">
        <v>104</v>
      </c>
      <c r="B110" s="718" t="s">
        <v>91</v>
      </c>
      <c r="C110" s="719" t="s">
        <v>92</v>
      </c>
      <c r="D110" s="708">
        <v>273210</v>
      </c>
      <c r="E110" s="708">
        <v>221526000</v>
      </c>
      <c r="F110" s="133">
        <v>108009470</v>
      </c>
      <c r="G110" s="133">
        <v>-6312574</v>
      </c>
      <c r="H110" s="133">
        <v>2178908</v>
      </c>
      <c r="I110" s="133">
        <v>-4133666</v>
      </c>
      <c r="J110" s="133">
        <v>-4602162</v>
      </c>
      <c r="K110" s="133">
        <v>-92181</v>
      </c>
      <c r="L110" s="133">
        <v>-6452</v>
      </c>
      <c r="M110" s="133">
        <v>-40000</v>
      </c>
      <c r="N110" s="133">
        <v>-7000000</v>
      </c>
      <c r="O110" s="133">
        <v>-72647</v>
      </c>
      <c r="P110" s="133">
        <v>0</v>
      </c>
      <c r="Q110" s="133">
        <v>-776</v>
      </c>
      <c r="R110" s="133">
        <v>0</v>
      </c>
      <c r="S110" s="133">
        <v>0</v>
      </c>
      <c r="T110" s="133">
        <v>0</v>
      </c>
      <c r="U110" s="133">
        <v>0</v>
      </c>
      <c r="V110" s="133">
        <v>0</v>
      </c>
      <c r="W110" s="709"/>
      <c r="X110" s="709"/>
      <c r="Y110" s="709"/>
      <c r="Z110" s="133">
        <v>-6452</v>
      </c>
      <c r="AA110" s="133">
        <v>0</v>
      </c>
      <c r="AB110" s="133">
        <v>92345616</v>
      </c>
      <c r="AC110" s="133">
        <v>-4000000</v>
      </c>
      <c r="AD110" s="709"/>
      <c r="AE110" s="710">
        <v>268</v>
      </c>
      <c r="AF110" s="711">
        <v>15</v>
      </c>
      <c r="AG110" s="710">
        <v>5</v>
      </c>
      <c r="AH110" s="710">
        <v>0</v>
      </c>
      <c r="AI110" s="710">
        <v>452</v>
      </c>
      <c r="AJ110" s="710">
        <v>61</v>
      </c>
      <c r="AK110" s="710">
        <v>0</v>
      </c>
      <c r="AL110" s="710">
        <v>2</v>
      </c>
      <c r="AM110" s="710">
        <v>0</v>
      </c>
      <c r="AN110" s="710">
        <v>0</v>
      </c>
      <c r="AO110" s="710">
        <v>0</v>
      </c>
      <c r="AP110" s="711">
        <v>0</v>
      </c>
      <c r="AQ110" s="709"/>
      <c r="AR110" s="709"/>
      <c r="AS110" s="720">
        <v>1786</v>
      </c>
      <c r="AT110" s="710">
        <v>2479</v>
      </c>
      <c r="AU110" s="710">
        <v>2345</v>
      </c>
      <c r="AV110" s="710">
        <v>134</v>
      </c>
      <c r="AW110" s="710">
        <v>2395</v>
      </c>
      <c r="AX110" s="712">
        <v>6741</v>
      </c>
      <c r="AY110" s="683">
        <v>-44380</v>
      </c>
      <c r="AZ110" s="713">
        <v>-1089966</v>
      </c>
      <c r="BA110" s="714">
        <v>-523517</v>
      </c>
      <c r="BB110" s="715">
        <v>26027300</v>
      </c>
      <c r="BC110" s="715">
        <v>520000</v>
      </c>
      <c r="BD110" s="716">
        <v>-523517</v>
      </c>
      <c r="BE110" s="420"/>
      <c r="BF110" s="717" t="s">
        <v>92</v>
      </c>
      <c r="BG110" s="118" t="b">
        <v>1</v>
      </c>
      <c r="BH110" s="494"/>
      <c r="BI110" s="420"/>
      <c r="BJ110" s="420"/>
      <c r="BK110" s="420"/>
      <c r="BL110" s="420"/>
      <c r="BM110" s="420"/>
      <c r="BN110" s="420"/>
      <c r="BO110" s="420"/>
      <c r="BP110" s="420"/>
      <c r="BQ110" s="420"/>
      <c r="BR110" s="420"/>
      <c r="BS110" s="420"/>
      <c r="BT110" s="420"/>
      <c r="BU110" s="420"/>
      <c r="BV110" s="420"/>
      <c r="BW110" s="420"/>
      <c r="BX110" s="420"/>
      <c r="BY110" s="420"/>
      <c r="BZ110" s="420"/>
      <c r="CA110" s="420"/>
      <c r="CB110" s="420"/>
      <c r="CC110" s="420"/>
      <c r="CD110" s="420"/>
      <c r="CE110" s="420"/>
      <c r="CF110" s="420"/>
      <c r="CG110" s="420"/>
      <c r="CH110" s="420"/>
      <c r="CI110" s="420"/>
      <c r="CJ110" s="420"/>
      <c r="CK110" s="420"/>
      <c r="CL110" s="420"/>
      <c r="CM110" s="420"/>
      <c r="CN110" s="420"/>
      <c r="CO110" s="420"/>
      <c r="CP110" s="420"/>
      <c r="CQ110" s="420"/>
      <c r="CR110" s="420"/>
    </row>
    <row r="111" spans="1:97" s="118" customFormat="1" ht="12.75" x14ac:dyDescent="0.2">
      <c r="A111" s="705">
        <v>105</v>
      </c>
      <c r="B111" s="718" t="s">
        <v>93</v>
      </c>
      <c r="C111" s="719" t="s">
        <v>94</v>
      </c>
      <c r="D111" s="708">
        <v>96995</v>
      </c>
      <c r="E111" s="708">
        <v>59002000</v>
      </c>
      <c r="F111" s="133">
        <v>28769254</v>
      </c>
      <c r="G111" s="133">
        <v>-2769107.94</v>
      </c>
      <c r="H111" s="133">
        <v>494362.83</v>
      </c>
      <c r="I111" s="133">
        <v>-2274745.11</v>
      </c>
      <c r="J111" s="133">
        <v>-1774567.54</v>
      </c>
      <c r="K111" s="133">
        <v>-48182.400000000001</v>
      </c>
      <c r="L111" s="133">
        <v>0</v>
      </c>
      <c r="M111" s="133">
        <v>0</v>
      </c>
      <c r="N111" s="133">
        <v>-271048.53999999998</v>
      </c>
      <c r="O111" s="133">
        <v>-86541.81</v>
      </c>
      <c r="P111" s="133">
        <v>-47504.7</v>
      </c>
      <c r="Q111" s="133">
        <v>-5922</v>
      </c>
      <c r="R111" s="133">
        <v>0</v>
      </c>
      <c r="S111" s="133">
        <v>0</v>
      </c>
      <c r="T111" s="133">
        <v>0</v>
      </c>
      <c r="U111" s="133">
        <v>0</v>
      </c>
      <c r="V111" s="133">
        <v>0</v>
      </c>
      <c r="W111" s="709"/>
      <c r="X111" s="709"/>
      <c r="Y111" s="709"/>
      <c r="Z111" s="133">
        <v>0</v>
      </c>
      <c r="AA111" s="133">
        <v>0</v>
      </c>
      <c r="AB111" s="133">
        <v>23345834.41</v>
      </c>
      <c r="AC111" s="133">
        <v>-766315</v>
      </c>
      <c r="AD111" s="709"/>
      <c r="AE111" s="710">
        <v>118</v>
      </c>
      <c r="AF111" s="711">
        <v>4</v>
      </c>
      <c r="AG111" s="710">
        <v>0</v>
      </c>
      <c r="AH111" s="710">
        <v>0</v>
      </c>
      <c r="AI111" s="710">
        <v>165</v>
      </c>
      <c r="AJ111" s="710">
        <v>66</v>
      </c>
      <c r="AK111" s="710">
        <v>12</v>
      </c>
      <c r="AL111" s="710">
        <v>2</v>
      </c>
      <c r="AM111" s="710">
        <v>0</v>
      </c>
      <c r="AN111" s="710">
        <v>0</v>
      </c>
      <c r="AO111" s="710">
        <v>0</v>
      </c>
      <c r="AP111" s="711">
        <v>0</v>
      </c>
      <c r="AQ111" s="709"/>
      <c r="AR111" s="709"/>
      <c r="AS111" s="720">
        <v>442</v>
      </c>
      <c r="AT111" s="710">
        <v>1079</v>
      </c>
      <c r="AU111" s="710">
        <v>1018</v>
      </c>
      <c r="AV111" s="710">
        <v>61</v>
      </c>
      <c r="AW111" s="710">
        <v>1002</v>
      </c>
      <c r="AX111" s="712">
        <v>2536</v>
      </c>
      <c r="AY111" s="683">
        <v>-17820</v>
      </c>
      <c r="AZ111" s="713">
        <v>-716676.67000000179</v>
      </c>
      <c r="BA111" s="714">
        <v>-566201.40000000224</v>
      </c>
      <c r="BB111" s="715">
        <v>9607750</v>
      </c>
      <c r="BC111" s="715">
        <v>63500</v>
      </c>
      <c r="BD111" s="716">
        <v>-566203.99000000069</v>
      </c>
      <c r="BE111" s="420"/>
      <c r="BF111" s="717" t="s">
        <v>94</v>
      </c>
      <c r="BG111" s="118" t="b">
        <v>1</v>
      </c>
      <c r="BH111" s="494"/>
      <c r="BI111" s="420"/>
      <c r="BJ111" s="420"/>
      <c r="BK111" s="420"/>
      <c r="BL111" s="420"/>
      <c r="BM111" s="420"/>
      <c r="BN111" s="420"/>
      <c r="BO111" s="420"/>
      <c r="BP111" s="420"/>
      <c r="BQ111" s="420"/>
      <c r="BR111" s="420"/>
      <c r="BS111" s="420"/>
      <c r="BT111" s="420"/>
      <c r="BU111" s="420"/>
      <c r="BV111" s="420"/>
      <c r="BW111" s="420"/>
      <c r="BX111" s="420"/>
      <c r="BY111" s="420"/>
      <c r="BZ111" s="420"/>
      <c r="CA111" s="420"/>
      <c r="CB111" s="420"/>
      <c r="CC111" s="420"/>
      <c r="CD111" s="420"/>
      <c r="CE111" s="420"/>
      <c r="CF111" s="420"/>
      <c r="CG111" s="420"/>
      <c r="CH111" s="420"/>
      <c r="CI111" s="420"/>
      <c r="CJ111" s="420"/>
      <c r="CK111" s="420"/>
      <c r="CL111" s="420"/>
      <c r="CM111" s="420"/>
      <c r="CN111" s="420"/>
      <c r="CO111" s="420"/>
      <c r="CP111" s="420"/>
      <c r="CQ111" s="420"/>
      <c r="CR111" s="420"/>
    </row>
    <row r="112" spans="1:97" s="118" customFormat="1" ht="12.75" x14ac:dyDescent="0.2">
      <c r="A112" s="705">
        <v>106</v>
      </c>
      <c r="B112" s="718" t="s">
        <v>95</v>
      </c>
      <c r="C112" s="719" t="s">
        <v>96</v>
      </c>
      <c r="D112" s="708">
        <v>170614</v>
      </c>
      <c r="E112" s="708">
        <v>130099000</v>
      </c>
      <c r="F112" s="133">
        <v>62785661</v>
      </c>
      <c r="G112" s="133">
        <v>-3183896</v>
      </c>
      <c r="H112" s="133">
        <v>1257085</v>
      </c>
      <c r="I112" s="133">
        <v>-1926811</v>
      </c>
      <c r="J112" s="133">
        <v>-3734451</v>
      </c>
      <c r="K112" s="133">
        <v>-40807</v>
      </c>
      <c r="L112" s="133">
        <v>0</v>
      </c>
      <c r="M112" s="133">
        <v>0</v>
      </c>
      <c r="N112" s="133">
        <v>-1625819</v>
      </c>
      <c r="O112" s="133">
        <v>0</v>
      </c>
      <c r="P112" s="133">
        <v>-115915</v>
      </c>
      <c r="Q112" s="133">
        <v>0</v>
      </c>
      <c r="R112" s="133">
        <v>0</v>
      </c>
      <c r="S112" s="133">
        <v>0</v>
      </c>
      <c r="T112" s="133">
        <v>0</v>
      </c>
      <c r="U112" s="133">
        <v>0</v>
      </c>
      <c r="V112" s="133">
        <v>0</v>
      </c>
      <c r="W112" s="709"/>
      <c r="X112" s="709"/>
      <c r="Y112" s="709"/>
      <c r="Z112" s="133">
        <v>0</v>
      </c>
      <c r="AA112" s="133">
        <v>0</v>
      </c>
      <c r="AB112" s="133">
        <v>55280950</v>
      </c>
      <c r="AC112" s="133">
        <v>-1384000</v>
      </c>
      <c r="AD112" s="709"/>
      <c r="AE112" s="710">
        <v>223</v>
      </c>
      <c r="AF112" s="711">
        <v>15</v>
      </c>
      <c r="AG112" s="710">
        <v>0</v>
      </c>
      <c r="AH112" s="710">
        <v>0</v>
      </c>
      <c r="AI112" s="710">
        <v>436</v>
      </c>
      <c r="AJ112" s="710">
        <v>0</v>
      </c>
      <c r="AK112" s="710">
        <v>19</v>
      </c>
      <c r="AL112" s="710">
        <v>0</v>
      </c>
      <c r="AM112" s="710">
        <v>0</v>
      </c>
      <c r="AN112" s="710">
        <v>0</v>
      </c>
      <c r="AO112" s="710">
        <v>0</v>
      </c>
      <c r="AP112" s="711">
        <v>0</v>
      </c>
      <c r="AQ112" s="709"/>
      <c r="AR112" s="709"/>
      <c r="AS112" s="720">
        <v>1138</v>
      </c>
      <c r="AT112" s="710">
        <v>1270</v>
      </c>
      <c r="AU112" s="710">
        <v>1212</v>
      </c>
      <c r="AV112" s="710">
        <v>58</v>
      </c>
      <c r="AW112" s="710">
        <v>1639</v>
      </c>
      <c r="AX112" s="712">
        <v>4183</v>
      </c>
      <c r="AY112" s="683">
        <v>-5095</v>
      </c>
      <c r="AZ112" s="713">
        <v>-259398</v>
      </c>
      <c r="BA112" s="714">
        <v>-812688</v>
      </c>
      <c r="BB112" s="715">
        <v>17311050</v>
      </c>
      <c r="BC112" s="715">
        <v>0</v>
      </c>
      <c r="BD112" s="716">
        <v>-1143665.4800000004</v>
      </c>
      <c r="BE112" s="420"/>
      <c r="BF112" s="717" t="s">
        <v>96</v>
      </c>
      <c r="BG112" s="118" t="b">
        <v>1</v>
      </c>
      <c r="BH112" s="494"/>
      <c r="BI112" s="420"/>
      <c r="BJ112" s="420"/>
      <c r="BK112" s="420"/>
      <c r="BL112" s="420"/>
      <c r="BM112" s="420"/>
      <c r="BN112" s="420"/>
      <c r="BO112" s="420"/>
      <c r="BP112" s="420"/>
      <c r="BQ112" s="420"/>
      <c r="BR112" s="420"/>
      <c r="BS112" s="420"/>
      <c r="BT112" s="420"/>
      <c r="BU112" s="420"/>
      <c r="BV112" s="420"/>
      <c r="BW112" s="420"/>
      <c r="BX112" s="420"/>
      <c r="BY112" s="420"/>
      <c r="BZ112" s="420"/>
      <c r="CA112" s="420"/>
      <c r="CB112" s="420"/>
      <c r="CC112" s="420"/>
      <c r="CD112" s="420"/>
      <c r="CE112" s="420"/>
      <c r="CF112" s="420"/>
      <c r="CG112" s="420"/>
      <c r="CH112" s="420"/>
      <c r="CI112" s="420"/>
      <c r="CJ112" s="420"/>
      <c r="CK112" s="420"/>
      <c r="CL112" s="420"/>
      <c r="CM112" s="420"/>
      <c r="CN112" s="420"/>
      <c r="CO112" s="420"/>
      <c r="CP112" s="420"/>
      <c r="CQ112" s="420"/>
      <c r="CR112" s="420"/>
    </row>
    <row r="113" spans="1:96" s="118" customFormat="1" ht="12.75" x14ac:dyDescent="0.2">
      <c r="A113" s="705">
        <v>107</v>
      </c>
      <c r="B113" s="718" t="s">
        <v>97</v>
      </c>
      <c r="C113" s="719" t="s">
        <v>98</v>
      </c>
      <c r="D113" s="708">
        <v>75059</v>
      </c>
      <c r="E113" s="708">
        <v>42501000</v>
      </c>
      <c r="F113" s="133">
        <v>21409005</v>
      </c>
      <c r="G113" s="133">
        <v>-2259683</v>
      </c>
      <c r="H113" s="133">
        <v>361425</v>
      </c>
      <c r="I113" s="133">
        <v>-1898258</v>
      </c>
      <c r="J113" s="133">
        <v>-1498383</v>
      </c>
      <c r="K113" s="133">
        <v>-22449</v>
      </c>
      <c r="L113" s="133">
        <v>0</v>
      </c>
      <c r="M113" s="133">
        <v>-1500</v>
      </c>
      <c r="N113" s="133">
        <v>-218821</v>
      </c>
      <c r="O113" s="133">
        <v>-147927</v>
      </c>
      <c r="P113" s="133">
        <v>-75945</v>
      </c>
      <c r="Q113" s="133">
        <v>-778</v>
      </c>
      <c r="R113" s="133">
        <v>0</v>
      </c>
      <c r="S113" s="133">
        <v>0</v>
      </c>
      <c r="T113" s="133">
        <v>-401264</v>
      </c>
      <c r="U113" s="133">
        <v>-401264</v>
      </c>
      <c r="V113" s="133">
        <v>0</v>
      </c>
      <c r="W113" s="709"/>
      <c r="X113" s="709"/>
      <c r="Y113" s="709"/>
      <c r="Z113" s="133">
        <v>0</v>
      </c>
      <c r="AA113" s="133">
        <v>0</v>
      </c>
      <c r="AB113" s="133">
        <v>16540389</v>
      </c>
      <c r="AC113" s="133">
        <v>-775000</v>
      </c>
      <c r="AD113" s="709"/>
      <c r="AE113" s="710">
        <v>111</v>
      </c>
      <c r="AF113" s="711">
        <v>5</v>
      </c>
      <c r="AG113" s="710">
        <v>0</v>
      </c>
      <c r="AH113" s="710">
        <v>0</v>
      </c>
      <c r="AI113" s="710">
        <v>99</v>
      </c>
      <c r="AJ113" s="710">
        <v>65</v>
      </c>
      <c r="AK113" s="710">
        <v>14</v>
      </c>
      <c r="AL113" s="710">
        <v>2</v>
      </c>
      <c r="AM113" s="710">
        <v>0</v>
      </c>
      <c r="AN113" s="710">
        <v>0</v>
      </c>
      <c r="AO113" s="710">
        <v>33</v>
      </c>
      <c r="AP113" s="711">
        <v>0</v>
      </c>
      <c r="AQ113" s="709"/>
      <c r="AR113" s="709"/>
      <c r="AS113" s="720">
        <v>393</v>
      </c>
      <c r="AT113" s="710">
        <v>780</v>
      </c>
      <c r="AU113" s="710">
        <v>741</v>
      </c>
      <c r="AV113" s="710">
        <v>39</v>
      </c>
      <c r="AW113" s="710">
        <v>793</v>
      </c>
      <c r="AX113" s="712">
        <v>1943</v>
      </c>
      <c r="AY113" s="683">
        <v>-4049</v>
      </c>
      <c r="AZ113" s="713">
        <v>-145790</v>
      </c>
      <c r="BA113" s="714">
        <v>-232802</v>
      </c>
      <c r="BB113" s="715">
        <v>5873800</v>
      </c>
      <c r="BC113" s="715">
        <v>500750</v>
      </c>
      <c r="BD113" s="716">
        <v>-232800.80000000075</v>
      </c>
      <c r="BE113" s="420"/>
      <c r="BF113" s="717" t="s">
        <v>98</v>
      </c>
      <c r="BG113" s="118" t="b">
        <v>1</v>
      </c>
      <c r="BH113" s="494"/>
      <c r="BI113" s="420"/>
      <c r="BJ113" s="420"/>
      <c r="BK113" s="420"/>
      <c r="BL113" s="420"/>
      <c r="BM113" s="420"/>
      <c r="BN113" s="420"/>
      <c r="BO113" s="420"/>
      <c r="BP113" s="420"/>
      <c r="BQ113" s="420"/>
      <c r="BR113" s="420"/>
      <c r="BS113" s="420"/>
      <c r="BT113" s="420"/>
      <c r="BU113" s="420"/>
      <c r="BV113" s="420"/>
      <c r="BW113" s="420"/>
      <c r="BX113" s="420"/>
      <c r="BY113" s="420"/>
      <c r="BZ113" s="420"/>
      <c r="CA113" s="420"/>
      <c r="CB113" s="420"/>
      <c r="CC113" s="420"/>
      <c r="CD113" s="420"/>
      <c r="CE113" s="420"/>
      <c r="CF113" s="420"/>
      <c r="CG113" s="420"/>
      <c r="CH113" s="420"/>
      <c r="CI113" s="420"/>
      <c r="CJ113" s="420"/>
      <c r="CK113" s="420"/>
      <c r="CL113" s="420"/>
      <c r="CM113" s="420"/>
      <c r="CN113" s="420"/>
      <c r="CO113" s="420"/>
      <c r="CP113" s="420"/>
      <c r="CQ113" s="420"/>
      <c r="CR113" s="420"/>
    </row>
    <row r="114" spans="1:96" s="118" customFormat="1" ht="12.75" x14ac:dyDescent="0.2">
      <c r="A114" s="705">
        <v>108</v>
      </c>
      <c r="B114" s="718" t="s">
        <v>99</v>
      </c>
      <c r="C114" s="719" t="s">
        <v>100</v>
      </c>
      <c r="D114" s="708">
        <v>91575</v>
      </c>
      <c r="E114" s="708">
        <v>64584000</v>
      </c>
      <c r="F114" s="133">
        <v>31557663</v>
      </c>
      <c r="G114" s="133">
        <v>-2800564</v>
      </c>
      <c r="H114" s="133">
        <v>586898</v>
      </c>
      <c r="I114" s="133">
        <v>-2213666</v>
      </c>
      <c r="J114" s="133">
        <v>-2798288</v>
      </c>
      <c r="K114" s="133">
        <v>-43284</v>
      </c>
      <c r="L114" s="133">
        <v>-6085</v>
      </c>
      <c r="M114" s="133">
        <v>0</v>
      </c>
      <c r="N114" s="133">
        <v>-771541</v>
      </c>
      <c r="O114" s="133">
        <v>-96835</v>
      </c>
      <c r="P114" s="133">
        <v>-21464</v>
      </c>
      <c r="Q114" s="133">
        <v>-267</v>
      </c>
      <c r="R114" s="133">
        <v>-511</v>
      </c>
      <c r="S114" s="133">
        <v>0</v>
      </c>
      <c r="T114" s="133">
        <v>0</v>
      </c>
      <c r="U114" s="133">
        <v>0</v>
      </c>
      <c r="V114" s="133">
        <v>0</v>
      </c>
      <c r="W114" s="709"/>
      <c r="X114" s="709"/>
      <c r="Y114" s="709"/>
      <c r="Z114" s="133">
        <v>-6086</v>
      </c>
      <c r="AA114" s="133">
        <v>-1500</v>
      </c>
      <c r="AB114" s="133">
        <v>24910793</v>
      </c>
      <c r="AC114" s="133">
        <v>-500000</v>
      </c>
      <c r="AD114" s="709"/>
      <c r="AE114" s="710">
        <v>121</v>
      </c>
      <c r="AF114" s="711">
        <v>14</v>
      </c>
      <c r="AG114" s="710">
        <v>4</v>
      </c>
      <c r="AH114" s="710">
        <v>0</v>
      </c>
      <c r="AI114" s="710">
        <v>152</v>
      </c>
      <c r="AJ114" s="710">
        <v>27</v>
      </c>
      <c r="AK114" s="710">
        <v>4</v>
      </c>
      <c r="AL114" s="710">
        <v>1</v>
      </c>
      <c r="AM114" s="710">
        <v>5</v>
      </c>
      <c r="AN114" s="710">
        <v>0</v>
      </c>
      <c r="AO114" s="710">
        <v>0</v>
      </c>
      <c r="AP114" s="711">
        <v>0</v>
      </c>
      <c r="AQ114" s="709"/>
      <c r="AR114" s="709"/>
      <c r="AS114" s="720">
        <v>601</v>
      </c>
      <c r="AT114" s="710">
        <v>919</v>
      </c>
      <c r="AU114" s="710">
        <v>847</v>
      </c>
      <c r="AV114" s="710">
        <v>72</v>
      </c>
      <c r="AW114" s="710">
        <v>798</v>
      </c>
      <c r="AX114" s="712">
        <v>2332</v>
      </c>
      <c r="AY114" s="683">
        <v>-25324</v>
      </c>
      <c r="AZ114" s="713">
        <v>-414650</v>
      </c>
      <c r="BA114" s="714">
        <v>580000</v>
      </c>
      <c r="BB114" s="715">
        <v>6602095</v>
      </c>
      <c r="BC114" s="715">
        <v>0</v>
      </c>
      <c r="BD114" s="716">
        <v>703431</v>
      </c>
      <c r="BE114" s="420"/>
      <c r="BF114" s="717" t="s">
        <v>100</v>
      </c>
      <c r="BG114" s="118" t="b">
        <v>1</v>
      </c>
      <c r="BH114" s="494"/>
      <c r="BI114" s="420"/>
      <c r="BJ114" s="420"/>
      <c r="BK114" s="420"/>
      <c r="BL114" s="420"/>
      <c r="BM114" s="420"/>
      <c r="BN114" s="420"/>
      <c r="BO114" s="420"/>
      <c r="BP114" s="420"/>
      <c r="BQ114" s="420"/>
      <c r="BR114" s="420"/>
      <c r="BS114" s="420"/>
      <c r="BT114" s="420"/>
      <c r="BU114" s="420"/>
      <c r="BV114" s="420"/>
      <c r="BW114" s="420"/>
      <c r="BX114" s="420"/>
      <c r="BY114" s="420"/>
      <c r="BZ114" s="420"/>
      <c r="CA114" s="420"/>
      <c r="CB114" s="420"/>
      <c r="CC114" s="420"/>
      <c r="CD114" s="420"/>
      <c r="CE114" s="420"/>
      <c r="CF114" s="420"/>
      <c r="CG114" s="420"/>
      <c r="CH114" s="420"/>
      <c r="CI114" s="420"/>
      <c r="CJ114" s="420"/>
      <c r="CK114" s="420"/>
      <c r="CL114" s="420"/>
      <c r="CM114" s="420"/>
      <c r="CN114" s="420"/>
      <c r="CO114" s="420"/>
      <c r="CP114" s="420"/>
      <c r="CQ114" s="420"/>
      <c r="CR114" s="420"/>
    </row>
    <row r="115" spans="1:96" s="118" customFormat="1" ht="12.75" x14ac:dyDescent="0.2">
      <c r="A115" s="705">
        <v>109</v>
      </c>
      <c r="B115" s="718" t="s">
        <v>101</v>
      </c>
      <c r="C115" s="719" t="s">
        <v>102</v>
      </c>
      <c r="D115" s="708">
        <v>181184</v>
      </c>
      <c r="E115" s="708">
        <v>79844000</v>
      </c>
      <c r="F115" s="133">
        <v>39507616</v>
      </c>
      <c r="G115" s="133">
        <v>-3957298</v>
      </c>
      <c r="H115" s="133">
        <v>677290</v>
      </c>
      <c r="I115" s="133">
        <v>-3280008</v>
      </c>
      <c r="J115" s="133">
        <v>-2173921</v>
      </c>
      <c r="K115" s="133">
        <v>-18850</v>
      </c>
      <c r="L115" s="133">
        <v>-688</v>
      </c>
      <c r="M115" s="133">
        <v>0</v>
      </c>
      <c r="N115" s="133">
        <v>-1182521</v>
      </c>
      <c r="O115" s="133">
        <v>-128775</v>
      </c>
      <c r="P115" s="133">
        <v>-15005</v>
      </c>
      <c r="Q115" s="133">
        <v>0</v>
      </c>
      <c r="R115" s="133">
        <v>0</v>
      </c>
      <c r="S115" s="133">
        <v>0</v>
      </c>
      <c r="T115" s="133">
        <v>-619151</v>
      </c>
      <c r="U115" s="133">
        <v>-619151</v>
      </c>
      <c r="V115" s="133">
        <v>0</v>
      </c>
      <c r="W115" s="709"/>
      <c r="X115" s="709"/>
      <c r="Y115" s="709"/>
      <c r="Z115" s="133">
        <v>-688</v>
      </c>
      <c r="AA115" s="133">
        <v>0</v>
      </c>
      <c r="AB115" s="133">
        <v>31990151</v>
      </c>
      <c r="AC115" s="133">
        <v>-1503537</v>
      </c>
      <c r="AD115" s="709"/>
      <c r="AE115" s="710">
        <v>190</v>
      </c>
      <c r="AF115" s="711">
        <v>1</v>
      </c>
      <c r="AG115" s="710">
        <v>2</v>
      </c>
      <c r="AH115" s="710">
        <v>0</v>
      </c>
      <c r="AI115" s="710">
        <v>348</v>
      </c>
      <c r="AJ115" s="710">
        <v>115</v>
      </c>
      <c r="AK115" s="710">
        <v>8</v>
      </c>
      <c r="AL115" s="710">
        <v>0</v>
      </c>
      <c r="AM115" s="710">
        <v>0</v>
      </c>
      <c r="AN115" s="710">
        <v>0</v>
      </c>
      <c r="AO115" s="710">
        <v>20</v>
      </c>
      <c r="AP115" s="711">
        <v>0</v>
      </c>
      <c r="AQ115" s="709"/>
      <c r="AR115" s="709"/>
      <c r="AS115" s="720">
        <v>902</v>
      </c>
      <c r="AT115" s="710">
        <v>2108</v>
      </c>
      <c r="AU115" s="710">
        <v>2044</v>
      </c>
      <c r="AV115" s="710">
        <v>64</v>
      </c>
      <c r="AW115" s="710">
        <v>1951</v>
      </c>
      <c r="AX115" s="712">
        <v>5098</v>
      </c>
      <c r="AY115" s="683">
        <v>-17244</v>
      </c>
      <c r="AZ115" s="713">
        <v>-2531738</v>
      </c>
      <c r="BA115" s="714">
        <v>-3645003</v>
      </c>
      <c r="BB115" s="715">
        <v>11637475</v>
      </c>
      <c r="BC115" s="715">
        <v>348750</v>
      </c>
      <c r="BD115" s="716">
        <v>-2776480</v>
      </c>
      <c r="BE115" s="420"/>
      <c r="BF115" s="717" t="s">
        <v>102</v>
      </c>
      <c r="BG115" s="118" t="b">
        <v>1</v>
      </c>
      <c r="BH115" s="494"/>
      <c r="BI115" s="420"/>
      <c r="BJ115" s="420"/>
      <c r="BK115" s="420"/>
      <c r="BL115" s="420"/>
      <c r="BM115" s="420"/>
      <c r="BN115" s="420"/>
      <c r="BO115" s="420"/>
      <c r="BP115" s="420"/>
      <c r="BQ115" s="420"/>
      <c r="BR115" s="420"/>
      <c r="BS115" s="420"/>
      <c r="BT115" s="420"/>
      <c r="BU115" s="420"/>
      <c r="BV115" s="420"/>
      <c r="BW115" s="420"/>
      <c r="BX115" s="420"/>
      <c r="BY115" s="420"/>
      <c r="BZ115" s="420"/>
      <c r="CA115" s="420"/>
      <c r="CB115" s="420"/>
      <c r="CC115" s="420"/>
      <c r="CD115" s="420"/>
      <c r="CE115" s="420"/>
      <c r="CF115" s="420"/>
      <c r="CG115" s="420"/>
      <c r="CH115" s="420"/>
      <c r="CI115" s="420"/>
      <c r="CJ115" s="420"/>
      <c r="CK115" s="420"/>
      <c r="CL115" s="420"/>
      <c r="CM115" s="420"/>
      <c r="CN115" s="420"/>
      <c r="CO115" s="420"/>
      <c r="CP115" s="420"/>
      <c r="CQ115" s="420"/>
      <c r="CR115" s="420"/>
    </row>
    <row r="116" spans="1:96" s="118" customFormat="1" ht="12.75" x14ac:dyDescent="0.2">
      <c r="A116" s="705">
        <v>110</v>
      </c>
      <c r="B116" s="718" t="s">
        <v>103</v>
      </c>
      <c r="C116" s="719" t="s">
        <v>104</v>
      </c>
      <c r="D116" s="708">
        <v>298670</v>
      </c>
      <c r="E116" s="708">
        <v>242576000</v>
      </c>
      <c r="F116" s="133">
        <v>115055166</v>
      </c>
      <c r="G116" s="133">
        <v>-5551317</v>
      </c>
      <c r="H116" s="133">
        <v>2562817</v>
      </c>
      <c r="I116" s="133">
        <v>-2988500</v>
      </c>
      <c r="J116" s="133">
        <v>-11343685</v>
      </c>
      <c r="K116" s="133">
        <v>-122413</v>
      </c>
      <c r="L116" s="133">
        <v>0</v>
      </c>
      <c r="M116" s="133">
        <v>-2535</v>
      </c>
      <c r="N116" s="133">
        <v>-2398988</v>
      </c>
      <c r="O116" s="133">
        <v>-730123</v>
      </c>
      <c r="P116" s="133">
        <v>-36181</v>
      </c>
      <c r="Q116" s="133">
        <v>0</v>
      </c>
      <c r="R116" s="133">
        <v>0</v>
      </c>
      <c r="S116" s="133">
        <v>0</v>
      </c>
      <c r="T116" s="133">
        <v>0</v>
      </c>
      <c r="U116" s="133">
        <v>0</v>
      </c>
      <c r="V116" s="133">
        <v>0</v>
      </c>
      <c r="W116" s="709"/>
      <c r="X116" s="709"/>
      <c r="Y116" s="709"/>
      <c r="Z116" s="133">
        <v>0</v>
      </c>
      <c r="AA116" s="133">
        <v>0</v>
      </c>
      <c r="AB116" s="133">
        <v>92738058</v>
      </c>
      <c r="AC116" s="133">
        <v>-4432787</v>
      </c>
      <c r="AD116" s="709"/>
      <c r="AE116" s="710">
        <v>356</v>
      </c>
      <c r="AF116" s="711">
        <v>12</v>
      </c>
      <c r="AG116" s="710">
        <v>0</v>
      </c>
      <c r="AH116" s="710">
        <v>1</v>
      </c>
      <c r="AI116" s="710">
        <v>425</v>
      </c>
      <c r="AJ116" s="710">
        <v>142</v>
      </c>
      <c r="AK116" s="710">
        <v>8</v>
      </c>
      <c r="AL116" s="710">
        <v>0</v>
      </c>
      <c r="AM116" s="710">
        <v>0</v>
      </c>
      <c r="AN116" s="710">
        <v>0</v>
      </c>
      <c r="AO116" s="710">
        <v>0</v>
      </c>
      <c r="AP116" s="711">
        <v>915</v>
      </c>
      <c r="AQ116" s="709"/>
      <c r="AR116" s="709"/>
      <c r="AS116" s="720">
        <v>1401</v>
      </c>
      <c r="AT116" s="710">
        <v>1840</v>
      </c>
      <c r="AU116" s="710">
        <v>1686</v>
      </c>
      <c r="AV116" s="710">
        <v>154</v>
      </c>
      <c r="AW116" s="710">
        <v>2284</v>
      </c>
      <c r="AX116" s="712">
        <v>5620</v>
      </c>
      <c r="AY116" s="683">
        <v>-102813</v>
      </c>
      <c r="AZ116" s="713">
        <v>11765529</v>
      </c>
      <c r="BA116" s="714">
        <v>13109035</v>
      </c>
      <c r="BB116" s="715">
        <v>17908000</v>
      </c>
      <c r="BC116" s="715">
        <v>0</v>
      </c>
      <c r="BD116" s="716">
        <v>13109035</v>
      </c>
      <c r="BE116" s="420"/>
      <c r="BF116" s="717" t="s">
        <v>104</v>
      </c>
      <c r="BG116" s="118" t="b">
        <v>1</v>
      </c>
      <c r="BH116" s="494"/>
      <c r="BI116" s="420"/>
      <c r="BJ116" s="420"/>
      <c r="BK116" s="420"/>
      <c r="BL116" s="420"/>
      <c r="BM116" s="420"/>
      <c r="BN116" s="420"/>
      <c r="BO116" s="420"/>
      <c r="BP116" s="420"/>
      <c r="BQ116" s="420"/>
      <c r="BR116" s="420"/>
      <c r="BS116" s="420"/>
      <c r="BT116" s="420"/>
      <c r="BU116" s="420"/>
      <c r="BV116" s="420"/>
      <c r="BW116" s="420"/>
      <c r="BX116" s="420"/>
      <c r="BY116" s="420"/>
      <c r="BZ116" s="420"/>
      <c r="CA116" s="420"/>
      <c r="CB116" s="420"/>
      <c r="CC116" s="420"/>
      <c r="CD116" s="420"/>
      <c r="CE116" s="420"/>
      <c r="CF116" s="420"/>
      <c r="CG116" s="420"/>
      <c r="CH116" s="420"/>
      <c r="CI116" s="420"/>
      <c r="CJ116" s="420"/>
      <c r="CK116" s="420"/>
      <c r="CL116" s="420"/>
      <c r="CM116" s="420"/>
      <c r="CN116" s="420"/>
      <c r="CO116" s="420"/>
      <c r="CP116" s="420"/>
      <c r="CQ116" s="420"/>
      <c r="CR116" s="420"/>
    </row>
    <row r="117" spans="1:96" s="118" customFormat="1" ht="12.75" x14ac:dyDescent="0.2">
      <c r="A117" s="705">
        <v>111</v>
      </c>
      <c r="B117" s="718" t="s">
        <v>105</v>
      </c>
      <c r="C117" s="719" t="s">
        <v>106</v>
      </c>
      <c r="D117" s="708">
        <v>231039</v>
      </c>
      <c r="E117" s="708">
        <v>223244000</v>
      </c>
      <c r="F117" s="133">
        <v>109205306</v>
      </c>
      <c r="G117" s="133">
        <v>-3301132</v>
      </c>
      <c r="H117" s="133">
        <v>2399973</v>
      </c>
      <c r="I117" s="133">
        <v>-901159</v>
      </c>
      <c r="J117" s="133">
        <v>-11201217</v>
      </c>
      <c r="K117" s="133">
        <v>-36923</v>
      </c>
      <c r="L117" s="133">
        <v>-13337</v>
      </c>
      <c r="M117" s="133">
        <v>-810129</v>
      </c>
      <c r="N117" s="133">
        <v>-1876637</v>
      </c>
      <c r="O117" s="133">
        <v>-176789</v>
      </c>
      <c r="P117" s="133">
        <v>-6601</v>
      </c>
      <c r="Q117" s="133">
        <v>0</v>
      </c>
      <c r="R117" s="133">
        <v>0</v>
      </c>
      <c r="S117" s="133">
        <v>-19272</v>
      </c>
      <c r="T117" s="133">
        <v>0</v>
      </c>
      <c r="U117" s="133">
        <v>0</v>
      </c>
      <c r="V117" s="133">
        <v>0</v>
      </c>
      <c r="W117" s="709"/>
      <c r="X117" s="709"/>
      <c r="Y117" s="709"/>
      <c r="Z117" s="133">
        <v>-13337</v>
      </c>
      <c r="AA117" s="133">
        <v>-1500</v>
      </c>
      <c r="AB117" s="133">
        <v>89911843</v>
      </c>
      <c r="AC117" s="133">
        <v>-2300000</v>
      </c>
      <c r="AD117" s="709"/>
      <c r="AE117" s="710">
        <v>305</v>
      </c>
      <c r="AF117" s="711">
        <v>17</v>
      </c>
      <c r="AG117" s="710">
        <v>11</v>
      </c>
      <c r="AH117" s="710">
        <v>1</v>
      </c>
      <c r="AI117" s="710">
        <v>199</v>
      </c>
      <c r="AJ117" s="710">
        <v>125</v>
      </c>
      <c r="AK117" s="710">
        <v>1</v>
      </c>
      <c r="AL117" s="710">
        <v>0</v>
      </c>
      <c r="AM117" s="710">
        <v>0</v>
      </c>
      <c r="AN117" s="710">
        <v>3</v>
      </c>
      <c r="AO117" s="710">
        <v>0</v>
      </c>
      <c r="AP117" s="711">
        <v>0</v>
      </c>
      <c r="AQ117" s="709"/>
      <c r="AR117" s="709"/>
      <c r="AS117" s="720">
        <v>1404</v>
      </c>
      <c r="AT117" s="710">
        <v>1125</v>
      </c>
      <c r="AU117" s="710">
        <v>1037</v>
      </c>
      <c r="AV117" s="710">
        <v>88</v>
      </c>
      <c r="AW117" s="710">
        <v>1975</v>
      </c>
      <c r="AX117" s="712">
        <v>4661</v>
      </c>
      <c r="AY117" s="683">
        <v>-27334</v>
      </c>
      <c r="AZ117" s="713">
        <v>-986781</v>
      </c>
      <c r="BA117" s="714">
        <v>-3739506</v>
      </c>
      <c r="BB117" s="715">
        <v>22479750</v>
      </c>
      <c r="BC117" s="715">
        <v>0</v>
      </c>
      <c r="BD117" s="716">
        <v>-3739506</v>
      </c>
      <c r="BE117" s="420"/>
      <c r="BF117" s="717" t="s">
        <v>106</v>
      </c>
      <c r="BG117" s="118" t="b">
        <v>1</v>
      </c>
      <c r="BH117" s="494"/>
      <c r="BI117" s="420"/>
      <c r="BJ117" s="420"/>
      <c r="BK117" s="420"/>
      <c r="BL117" s="420"/>
      <c r="BM117" s="420"/>
      <c r="BN117" s="420"/>
      <c r="BO117" s="420"/>
      <c r="BP117" s="420"/>
      <c r="BQ117" s="420"/>
      <c r="BR117" s="420"/>
      <c r="BS117" s="420"/>
      <c r="BT117" s="420"/>
      <c r="BU117" s="420"/>
      <c r="BV117" s="420"/>
      <c r="BW117" s="420"/>
      <c r="BX117" s="420"/>
      <c r="BY117" s="420"/>
      <c r="BZ117" s="420"/>
      <c r="CA117" s="420"/>
      <c r="CB117" s="420"/>
      <c r="CC117" s="420"/>
      <c r="CD117" s="420"/>
      <c r="CE117" s="420"/>
      <c r="CF117" s="420"/>
      <c r="CG117" s="420"/>
      <c r="CH117" s="420"/>
      <c r="CI117" s="420"/>
      <c r="CJ117" s="420"/>
      <c r="CK117" s="420"/>
      <c r="CL117" s="420"/>
      <c r="CM117" s="420"/>
      <c r="CN117" s="420"/>
      <c r="CO117" s="420"/>
      <c r="CP117" s="420"/>
      <c r="CQ117" s="420"/>
      <c r="CR117" s="420"/>
    </row>
    <row r="118" spans="1:96" s="118" customFormat="1" ht="12.75" x14ac:dyDescent="0.2">
      <c r="A118" s="705">
        <v>112</v>
      </c>
      <c r="B118" s="718" t="s">
        <v>107</v>
      </c>
      <c r="C118" s="719" t="s">
        <v>108</v>
      </c>
      <c r="D118" s="708">
        <v>572716</v>
      </c>
      <c r="E118" s="708">
        <v>391377000</v>
      </c>
      <c r="F118" s="133">
        <v>172349721</v>
      </c>
      <c r="G118" s="133">
        <v>-8183000</v>
      </c>
      <c r="H118" s="133">
        <v>3480000</v>
      </c>
      <c r="I118" s="133">
        <v>-4703000</v>
      </c>
      <c r="J118" s="133">
        <v>-14500000</v>
      </c>
      <c r="K118" s="133">
        <v>0</v>
      </c>
      <c r="L118" s="133">
        <v>0</v>
      </c>
      <c r="M118" s="133">
        <v>0</v>
      </c>
      <c r="N118" s="133">
        <v>-3580000</v>
      </c>
      <c r="O118" s="133">
        <v>-400000</v>
      </c>
      <c r="P118" s="133">
        <v>0</v>
      </c>
      <c r="Q118" s="133">
        <v>0</v>
      </c>
      <c r="R118" s="133">
        <v>0</v>
      </c>
      <c r="S118" s="133">
        <v>0</v>
      </c>
      <c r="T118" s="133">
        <v>0</v>
      </c>
      <c r="U118" s="133">
        <v>0</v>
      </c>
      <c r="V118" s="133">
        <v>0</v>
      </c>
      <c r="W118" s="709"/>
      <c r="X118" s="709"/>
      <c r="Y118" s="709"/>
      <c r="Z118" s="133">
        <v>0</v>
      </c>
      <c r="AA118" s="133">
        <v>0</v>
      </c>
      <c r="AB118" s="133">
        <v>129304041</v>
      </c>
      <c r="AC118" s="133">
        <v>-1000000</v>
      </c>
      <c r="AD118" s="709"/>
      <c r="AE118" s="710">
        <v>596</v>
      </c>
      <c r="AF118" s="711">
        <v>0</v>
      </c>
      <c r="AG118" s="710">
        <v>0</v>
      </c>
      <c r="AH118" s="710">
        <v>0</v>
      </c>
      <c r="AI118" s="710">
        <v>395</v>
      </c>
      <c r="AJ118" s="710">
        <v>46</v>
      </c>
      <c r="AK118" s="710">
        <v>4</v>
      </c>
      <c r="AL118" s="710">
        <v>0</v>
      </c>
      <c r="AM118" s="710">
        <v>0</v>
      </c>
      <c r="AN118" s="710">
        <v>0</v>
      </c>
      <c r="AO118" s="710">
        <v>0</v>
      </c>
      <c r="AP118" s="711">
        <v>0</v>
      </c>
      <c r="AQ118" s="709"/>
      <c r="AR118" s="709"/>
      <c r="AS118" s="720">
        <v>2971</v>
      </c>
      <c r="AT118" s="710">
        <v>2883</v>
      </c>
      <c r="AU118" s="710">
        <v>2420</v>
      </c>
      <c r="AV118" s="710">
        <v>463</v>
      </c>
      <c r="AW118" s="710">
        <v>5220</v>
      </c>
      <c r="AX118" s="712">
        <v>11471</v>
      </c>
      <c r="AY118" s="683">
        <v>-1300000</v>
      </c>
      <c r="AZ118" s="713">
        <v>11337110.939999998</v>
      </c>
      <c r="BA118" s="714">
        <v>1073216.9399999976</v>
      </c>
      <c r="BB118" s="715">
        <v>46543350</v>
      </c>
      <c r="BC118" s="715">
        <v>0</v>
      </c>
      <c r="BD118" s="716">
        <v>1073218.4400000013</v>
      </c>
      <c r="BE118" s="420"/>
      <c r="BF118" s="717" t="s">
        <v>108</v>
      </c>
      <c r="BG118" s="118" t="b">
        <v>1</v>
      </c>
      <c r="BH118" s="494"/>
      <c r="BI118" s="420"/>
      <c r="BJ118" s="420"/>
      <c r="BK118" s="420"/>
      <c r="BL118" s="420"/>
      <c r="BM118" s="420"/>
      <c r="BN118" s="420"/>
      <c r="BO118" s="420"/>
      <c r="BP118" s="420"/>
      <c r="BQ118" s="420"/>
      <c r="BR118" s="420"/>
      <c r="BS118" s="420"/>
      <c r="BT118" s="420"/>
      <c r="BU118" s="420"/>
      <c r="BV118" s="420"/>
      <c r="BW118" s="420"/>
      <c r="BX118" s="420"/>
      <c r="BY118" s="420"/>
      <c r="BZ118" s="420"/>
      <c r="CA118" s="420"/>
      <c r="CB118" s="420"/>
      <c r="CC118" s="420"/>
      <c r="CD118" s="420"/>
      <c r="CE118" s="420"/>
      <c r="CF118" s="420"/>
      <c r="CG118" s="420"/>
      <c r="CH118" s="420"/>
      <c r="CI118" s="420"/>
      <c r="CJ118" s="420"/>
      <c r="CK118" s="420"/>
      <c r="CL118" s="420"/>
      <c r="CM118" s="420"/>
      <c r="CN118" s="420"/>
      <c r="CO118" s="420"/>
      <c r="CP118" s="420"/>
      <c r="CQ118" s="420"/>
      <c r="CR118" s="420"/>
    </row>
    <row r="119" spans="1:96" s="118" customFormat="1" ht="12.75" x14ac:dyDescent="0.2">
      <c r="A119" s="705">
        <v>113</v>
      </c>
      <c r="B119" s="718" t="s">
        <v>543</v>
      </c>
      <c r="C119" s="719" t="s">
        <v>110</v>
      </c>
      <c r="D119" s="708">
        <v>157134</v>
      </c>
      <c r="E119" s="708">
        <v>127551000</v>
      </c>
      <c r="F119" s="133">
        <v>61612982</v>
      </c>
      <c r="G119" s="133">
        <v>-3149636</v>
      </c>
      <c r="H119" s="133">
        <v>1260543</v>
      </c>
      <c r="I119" s="133">
        <v>-1889093</v>
      </c>
      <c r="J119" s="133">
        <v>-2305249</v>
      </c>
      <c r="K119" s="133">
        <v>-97978</v>
      </c>
      <c r="L119" s="133">
        <v>0</v>
      </c>
      <c r="M119" s="133">
        <v>0</v>
      </c>
      <c r="N119" s="133">
        <v>-2011849</v>
      </c>
      <c r="O119" s="133">
        <v>-60986</v>
      </c>
      <c r="P119" s="133">
        <v>-66114</v>
      </c>
      <c r="Q119" s="133">
        <v>-13381</v>
      </c>
      <c r="R119" s="133">
        <v>0</v>
      </c>
      <c r="S119" s="133">
        <v>0</v>
      </c>
      <c r="T119" s="133">
        <v>-316103</v>
      </c>
      <c r="U119" s="133">
        <v>-283820</v>
      </c>
      <c r="V119" s="133">
        <v>-32283</v>
      </c>
      <c r="W119" s="709"/>
      <c r="X119" s="709"/>
      <c r="Y119" s="709"/>
      <c r="Z119" s="133">
        <v>0</v>
      </c>
      <c r="AA119" s="133">
        <v>0</v>
      </c>
      <c r="AB119" s="133">
        <v>56200538</v>
      </c>
      <c r="AC119" s="133">
        <v>-1886602</v>
      </c>
      <c r="AD119" s="709"/>
      <c r="AE119" s="710">
        <v>128</v>
      </c>
      <c r="AF119" s="711">
        <v>6</v>
      </c>
      <c r="AG119" s="710">
        <v>0</v>
      </c>
      <c r="AH119" s="710">
        <v>0</v>
      </c>
      <c r="AI119" s="710">
        <v>564</v>
      </c>
      <c r="AJ119" s="710">
        <v>57</v>
      </c>
      <c r="AK119" s="710">
        <v>18</v>
      </c>
      <c r="AL119" s="710">
        <v>4</v>
      </c>
      <c r="AM119" s="710">
        <v>0</v>
      </c>
      <c r="AN119" s="710">
        <v>0</v>
      </c>
      <c r="AO119" s="710">
        <v>32</v>
      </c>
      <c r="AP119" s="711">
        <v>0</v>
      </c>
      <c r="AQ119" s="709"/>
      <c r="AR119" s="709"/>
      <c r="AS119" s="720">
        <v>1086</v>
      </c>
      <c r="AT119" s="710">
        <v>1185</v>
      </c>
      <c r="AU119" s="710">
        <v>1128</v>
      </c>
      <c r="AV119" s="710">
        <v>57</v>
      </c>
      <c r="AW119" s="710">
        <v>1880</v>
      </c>
      <c r="AX119" s="712">
        <v>3805</v>
      </c>
      <c r="AY119" s="683">
        <v>-7959</v>
      </c>
      <c r="AZ119" s="713">
        <v>1399537</v>
      </c>
      <c r="BA119" s="714">
        <v>1759175</v>
      </c>
      <c r="BB119" s="715">
        <v>16389250</v>
      </c>
      <c r="BC119" s="715">
        <v>365250</v>
      </c>
      <c r="BD119" s="716">
        <v>1814043</v>
      </c>
      <c r="BE119" s="420"/>
      <c r="BF119" s="717" t="s">
        <v>110</v>
      </c>
      <c r="BG119" s="118" t="b">
        <v>1</v>
      </c>
      <c r="BH119" s="494"/>
      <c r="BI119" s="420"/>
      <c r="BJ119" s="420"/>
      <c r="BK119" s="420"/>
      <c r="BL119" s="420"/>
      <c r="BM119" s="420"/>
      <c r="BN119" s="420"/>
      <c r="BO119" s="420"/>
      <c r="BP119" s="420"/>
      <c r="BQ119" s="420"/>
      <c r="BR119" s="420"/>
      <c r="BS119" s="420"/>
      <c r="BT119" s="420"/>
      <c r="BU119" s="420"/>
      <c r="BV119" s="420"/>
      <c r="BW119" s="420"/>
      <c r="BX119" s="420"/>
      <c r="BY119" s="420"/>
      <c r="BZ119" s="420"/>
      <c r="CA119" s="420"/>
      <c r="CB119" s="420"/>
      <c r="CC119" s="420"/>
      <c r="CD119" s="420"/>
      <c r="CE119" s="420"/>
      <c r="CF119" s="420"/>
      <c r="CG119" s="420"/>
      <c r="CH119" s="420"/>
      <c r="CI119" s="420"/>
      <c r="CJ119" s="420"/>
      <c r="CK119" s="420"/>
      <c r="CL119" s="420"/>
      <c r="CM119" s="420"/>
      <c r="CN119" s="420"/>
      <c r="CO119" s="420"/>
      <c r="CP119" s="420"/>
      <c r="CQ119" s="420"/>
      <c r="CR119" s="420"/>
    </row>
    <row r="120" spans="1:96" s="118" customFormat="1" ht="12.75" x14ac:dyDescent="0.2">
      <c r="A120" s="705">
        <v>114</v>
      </c>
      <c r="B120" s="718" t="s">
        <v>111</v>
      </c>
      <c r="C120" s="719" t="s">
        <v>112</v>
      </c>
      <c r="D120" s="708">
        <v>155705</v>
      </c>
      <c r="E120" s="708">
        <v>74237000</v>
      </c>
      <c r="F120" s="133">
        <v>36143397</v>
      </c>
      <c r="G120" s="133">
        <v>-4806128</v>
      </c>
      <c r="H120" s="133">
        <v>545639</v>
      </c>
      <c r="I120" s="133">
        <v>-4260489</v>
      </c>
      <c r="J120" s="133">
        <v>-1246219</v>
      </c>
      <c r="K120" s="133">
        <v>-104227</v>
      </c>
      <c r="L120" s="133">
        <v>-58389</v>
      </c>
      <c r="M120" s="133">
        <v>-11000</v>
      </c>
      <c r="N120" s="133">
        <v>-650000</v>
      </c>
      <c r="O120" s="133">
        <v>-68859</v>
      </c>
      <c r="P120" s="133">
        <v>-13544</v>
      </c>
      <c r="Q120" s="133">
        <v>-1001</v>
      </c>
      <c r="R120" s="133">
        <v>0</v>
      </c>
      <c r="S120" s="133">
        <v>0</v>
      </c>
      <c r="T120" s="133">
        <v>0</v>
      </c>
      <c r="U120" s="133">
        <v>0</v>
      </c>
      <c r="V120" s="133">
        <v>0</v>
      </c>
      <c r="W120" s="709"/>
      <c r="X120" s="709"/>
      <c r="Y120" s="709"/>
      <c r="Z120" s="133">
        <v>-58389</v>
      </c>
      <c r="AA120" s="133">
        <v>0</v>
      </c>
      <c r="AB120" s="133">
        <v>28592175</v>
      </c>
      <c r="AC120" s="133">
        <v>-434604</v>
      </c>
      <c r="AD120" s="709"/>
      <c r="AE120" s="710">
        <v>256</v>
      </c>
      <c r="AF120" s="711">
        <v>23</v>
      </c>
      <c r="AG120" s="710">
        <v>51</v>
      </c>
      <c r="AH120" s="710">
        <v>0</v>
      </c>
      <c r="AI120" s="710">
        <v>346</v>
      </c>
      <c r="AJ120" s="710">
        <v>113</v>
      </c>
      <c r="AK120" s="710">
        <v>4</v>
      </c>
      <c r="AL120" s="710">
        <v>12</v>
      </c>
      <c r="AM120" s="710">
        <v>1</v>
      </c>
      <c r="AN120" s="710">
        <v>0</v>
      </c>
      <c r="AO120" s="710">
        <v>0</v>
      </c>
      <c r="AP120" s="711">
        <v>0</v>
      </c>
      <c r="AQ120" s="709"/>
      <c r="AR120" s="709"/>
      <c r="AS120" s="720">
        <v>842</v>
      </c>
      <c r="AT120" s="710">
        <v>1978</v>
      </c>
      <c r="AU120" s="710">
        <v>1872</v>
      </c>
      <c r="AV120" s="710">
        <v>106</v>
      </c>
      <c r="AW120" s="710">
        <v>1435</v>
      </c>
      <c r="AX120" s="712">
        <v>4326</v>
      </c>
      <c r="AY120" s="683">
        <v>-33418</v>
      </c>
      <c r="AZ120" s="713">
        <v>-1036763</v>
      </c>
      <c r="BA120" s="714">
        <v>-1707909</v>
      </c>
      <c r="BB120" s="715">
        <v>12465115</v>
      </c>
      <c r="BC120" s="715">
        <v>0</v>
      </c>
      <c r="BD120" s="716">
        <v>-1707909</v>
      </c>
      <c r="BE120" s="420"/>
      <c r="BF120" s="717" t="s">
        <v>112</v>
      </c>
      <c r="BG120" s="118" t="b">
        <v>1</v>
      </c>
      <c r="BH120" s="494"/>
      <c r="BI120" s="420"/>
      <c r="BJ120" s="420"/>
      <c r="BK120" s="420"/>
      <c r="BL120" s="420"/>
      <c r="BM120" s="420"/>
      <c r="BN120" s="420"/>
      <c r="BO120" s="420"/>
      <c r="BP120" s="420"/>
      <c r="BQ120" s="420"/>
      <c r="BR120" s="420"/>
      <c r="BS120" s="420"/>
      <c r="BT120" s="420"/>
      <c r="BU120" s="420"/>
      <c r="BV120" s="420"/>
      <c r="BW120" s="420"/>
      <c r="BX120" s="420"/>
      <c r="BY120" s="420"/>
      <c r="BZ120" s="420"/>
      <c r="CA120" s="420"/>
      <c r="CB120" s="420"/>
      <c r="CC120" s="420"/>
      <c r="CD120" s="420"/>
      <c r="CE120" s="420"/>
      <c r="CF120" s="420"/>
      <c r="CG120" s="420"/>
      <c r="CH120" s="420"/>
      <c r="CI120" s="420"/>
      <c r="CJ120" s="420"/>
      <c r="CK120" s="420"/>
      <c r="CL120" s="420"/>
      <c r="CM120" s="420"/>
      <c r="CN120" s="420"/>
      <c r="CO120" s="420"/>
      <c r="CP120" s="420"/>
      <c r="CQ120" s="420"/>
      <c r="CR120" s="420"/>
    </row>
    <row r="121" spans="1:96" s="118" customFormat="1" ht="12.75" x14ac:dyDescent="0.2">
      <c r="A121" s="705">
        <v>115</v>
      </c>
      <c r="B121" s="718" t="s">
        <v>113</v>
      </c>
      <c r="C121" s="719" t="s">
        <v>114</v>
      </c>
      <c r="D121" s="708">
        <v>585400</v>
      </c>
      <c r="E121" s="708">
        <v>593070000</v>
      </c>
      <c r="F121" s="133">
        <v>283630844</v>
      </c>
      <c r="G121" s="133">
        <v>-5078087</v>
      </c>
      <c r="H121" s="133">
        <v>6323305</v>
      </c>
      <c r="I121" s="133">
        <v>1245218</v>
      </c>
      <c r="J121" s="133">
        <v>-11959404</v>
      </c>
      <c r="K121" s="133">
        <v>0</v>
      </c>
      <c r="L121" s="133">
        <v>0</v>
      </c>
      <c r="M121" s="133">
        <v>0</v>
      </c>
      <c r="N121" s="133">
        <v>-8620366</v>
      </c>
      <c r="O121" s="133">
        <v>-87178</v>
      </c>
      <c r="P121" s="133">
        <v>-86718</v>
      </c>
      <c r="Q121" s="133">
        <v>0</v>
      </c>
      <c r="R121" s="133">
        <v>0</v>
      </c>
      <c r="S121" s="133">
        <v>0</v>
      </c>
      <c r="T121" s="133">
        <v>0</v>
      </c>
      <c r="U121" s="133">
        <v>0</v>
      </c>
      <c r="V121" s="133">
        <v>0</v>
      </c>
      <c r="W121" s="709"/>
      <c r="X121" s="709"/>
      <c r="Y121" s="709"/>
      <c r="Z121" s="133">
        <v>0</v>
      </c>
      <c r="AA121" s="133">
        <v>0</v>
      </c>
      <c r="AB121" s="133">
        <v>256113595</v>
      </c>
      <c r="AC121" s="133">
        <v>-15501023</v>
      </c>
      <c r="AD121" s="709"/>
      <c r="AE121" s="710">
        <v>294</v>
      </c>
      <c r="AF121" s="711">
        <v>0</v>
      </c>
      <c r="AG121" s="710">
        <v>0</v>
      </c>
      <c r="AH121" s="710">
        <v>0</v>
      </c>
      <c r="AI121" s="710">
        <v>762</v>
      </c>
      <c r="AJ121" s="710">
        <v>18</v>
      </c>
      <c r="AK121" s="710">
        <v>20</v>
      </c>
      <c r="AL121" s="710">
        <v>0</v>
      </c>
      <c r="AM121" s="710">
        <v>0</v>
      </c>
      <c r="AN121" s="710">
        <v>0</v>
      </c>
      <c r="AO121" s="710">
        <v>0</v>
      </c>
      <c r="AP121" s="711">
        <v>0</v>
      </c>
      <c r="AQ121" s="709"/>
      <c r="AR121" s="709"/>
      <c r="AS121" s="720">
        <v>3650</v>
      </c>
      <c r="AT121" s="710">
        <v>1506</v>
      </c>
      <c r="AU121" s="710">
        <v>1259</v>
      </c>
      <c r="AV121" s="710">
        <v>247</v>
      </c>
      <c r="AW121" s="710">
        <v>4623</v>
      </c>
      <c r="AX121" s="712">
        <v>9913</v>
      </c>
      <c r="AY121" s="683">
        <v>-41505</v>
      </c>
      <c r="AZ121" s="713">
        <v>21327516</v>
      </c>
      <c r="BA121" s="714">
        <v>28436665</v>
      </c>
      <c r="BB121" s="715">
        <v>38039650</v>
      </c>
      <c r="BC121" s="715">
        <v>0</v>
      </c>
      <c r="BD121" s="716">
        <v>28436667</v>
      </c>
      <c r="BE121" s="420"/>
      <c r="BF121" s="717" t="s">
        <v>114</v>
      </c>
      <c r="BG121" s="118" t="b">
        <v>1</v>
      </c>
      <c r="BH121" s="494"/>
      <c r="BI121" s="420"/>
      <c r="BJ121" s="420"/>
      <c r="BK121" s="420"/>
      <c r="BL121" s="420"/>
      <c r="BM121" s="420"/>
      <c r="BN121" s="420"/>
      <c r="BO121" s="420"/>
      <c r="BP121" s="420"/>
      <c r="BQ121" s="420"/>
      <c r="BR121" s="420"/>
      <c r="BS121" s="420"/>
      <c r="BT121" s="420"/>
      <c r="BU121" s="420"/>
      <c r="BV121" s="420"/>
      <c r="BW121" s="420"/>
      <c r="BX121" s="420"/>
      <c r="BY121" s="420"/>
      <c r="BZ121" s="420"/>
      <c r="CA121" s="420"/>
      <c r="CB121" s="420"/>
      <c r="CC121" s="420"/>
      <c r="CD121" s="420"/>
      <c r="CE121" s="420"/>
      <c r="CF121" s="420"/>
      <c r="CG121" s="420"/>
      <c r="CH121" s="420"/>
      <c r="CI121" s="420"/>
      <c r="CJ121" s="420"/>
      <c r="CK121" s="420"/>
      <c r="CL121" s="420"/>
      <c r="CM121" s="420"/>
      <c r="CN121" s="420"/>
      <c r="CO121" s="420"/>
      <c r="CP121" s="420"/>
      <c r="CQ121" s="420"/>
      <c r="CR121" s="420"/>
    </row>
    <row r="122" spans="1:96" s="118" customFormat="1" ht="12.75" x14ac:dyDescent="0.2">
      <c r="A122" s="705">
        <v>116</v>
      </c>
      <c r="B122" s="718" t="s">
        <v>115</v>
      </c>
      <c r="C122" s="719" t="s">
        <v>116</v>
      </c>
      <c r="D122" s="708">
        <v>126910</v>
      </c>
      <c r="E122" s="708">
        <v>106182000</v>
      </c>
      <c r="F122" s="133">
        <v>52300728</v>
      </c>
      <c r="G122" s="133">
        <v>-3069722</v>
      </c>
      <c r="H122" s="133">
        <v>1021146</v>
      </c>
      <c r="I122" s="133">
        <v>-2048576</v>
      </c>
      <c r="J122" s="133">
        <v>-2170100</v>
      </c>
      <c r="K122" s="133">
        <v>-44249</v>
      </c>
      <c r="L122" s="133">
        <v>-20494</v>
      </c>
      <c r="M122" s="133">
        <v>-206000</v>
      </c>
      <c r="N122" s="133">
        <v>-473410</v>
      </c>
      <c r="O122" s="133">
        <v>-29921</v>
      </c>
      <c r="P122" s="133">
        <v>-35068</v>
      </c>
      <c r="Q122" s="133">
        <v>-11062</v>
      </c>
      <c r="R122" s="133">
        <v>0</v>
      </c>
      <c r="S122" s="133">
        <v>-3314</v>
      </c>
      <c r="T122" s="133">
        <v>0</v>
      </c>
      <c r="U122" s="133">
        <v>0</v>
      </c>
      <c r="V122" s="133">
        <v>0</v>
      </c>
      <c r="W122" s="709"/>
      <c r="X122" s="709"/>
      <c r="Y122" s="709"/>
      <c r="Z122" s="133">
        <v>-20493</v>
      </c>
      <c r="AA122" s="133">
        <v>0</v>
      </c>
      <c r="AB122" s="133">
        <v>45126033</v>
      </c>
      <c r="AC122" s="133">
        <v>-2505460</v>
      </c>
      <c r="AD122" s="709"/>
      <c r="AE122" s="710">
        <v>179</v>
      </c>
      <c r="AF122" s="711">
        <v>14</v>
      </c>
      <c r="AG122" s="710">
        <v>21</v>
      </c>
      <c r="AH122" s="710">
        <v>0</v>
      </c>
      <c r="AI122" s="710">
        <v>90</v>
      </c>
      <c r="AJ122" s="710">
        <v>78</v>
      </c>
      <c r="AK122" s="710">
        <v>24</v>
      </c>
      <c r="AL122" s="710">
        <v>15</v>
      </c>
      <c r="AM122" s="710">
        <v>0</v>
      </c>
      <c r="AN122" s="710">
        <v>2</v>
      </c>
      <c r="AO122" s="710">
        <v>0</v>
      </c>
      <c r="AP122" s="711">
        <v>0</v>
      </c>
      <c r="AQ122" s="709"/>
      <c r="AR122" s="709"/>
      <c r="AS122" s="720">
        <v>599</v>
      </c>
      <c r="AT122" s="710">
        <v>1170</v>
      </c>
      <c r="AU122" s="710">
        <v>1098</v>
      </c>
      <c r="AV122" s="710">
        <v>72</v>
      </c>
      <c r="AW122" s="710">
        <v>1300</v>
      </c>
      <c r="AX122" s="712">
        <v>3099</v>
      </c>
      <c r="AY122" s="683">
        <v>-41231</v>
      </c>
      <c r="AZ122" s="713">
        <v>2198395</v>
      </c>
      <c r="BA122" s="714">
        <v>864060</v>
      </c>
      <c r="BB122" s="715">
        <v>14185550</v>
      </c>
      <c r="BC122" s="715">
        <v>0</v>
      </c>
      <c r="BD122" s="716">
        <v>863788.16999999806</v>
      </c>
      <c r="BE122" s="420"/>
      <c r="BF122" s="717" t="s">
        <v>116</v>
      </c>
      <c r="BG122" s="118" t="b">
        <v>1</v>
      </c>
      <c r="BH122" s="494"/>
      <c r="BI122" s="420"/>
      <c r="BJ122" s="420"/>
      <c r="BK122" s="420"/>
      <c r="BL122" s="420"/>
      <c r="BM122" s="420"/>
      <c r="BN122" s="420"/>
      <c r="BO122" s="420"/>
      <c r="BP122" s="420"/>
      <c r="BQ122" s="420"/>
      <c r="BR122" s="420"/>
      <c r="BS122" s="420"/>
      <c r="BT122" s="420"/>
      <c r="BU122" s="420"/>
      <c r="BV122" s="420"/>
      <c r="BW122" s="420"/>
      <c r="BX122" s="420"/>
      <c r="BY122" s="420"/>
      <c r="BZ122" s="420"/>
      <c r="CA122" s="420"/>
      <c r="CB122" s="420"/>
      <c r="CC122" s="420"/>
      <c r="CD122" s="420"/>
      <c r="CE122" s="420"/>
      <c r="CF122" s="420"/>
      <c r="CG122" s="420"/>
      <c r="CH122" s="420"/>
      <c r="CI122" s="420"/>
      <c r="CJ122" s="420"/>
      <c r="CK122" s="420"/>
      <c r="CL122" s="420"/>
      <c r="CM122" s="420"/>
      <c r="CN122" s="420"/>
      <c r="CO122" s="420"/>
      <c r="CP122" s="420"/>
      <c r="CQ122" s="420"/>
      <c r="CR122" s="420"/>
    </row>
    <row r="123" spans="1:96" s="118" customFormat="1" ht="12.75" x14ac:dyDescent="0.2">
      <c r="A123" s="705">
        <v>117</v>
      </c>
      <c r="B123" s="718" t="s">
        <v>117</v>
      </c>
      <c r="C123" s="719" t="s">
        <v>118</v>
      </c>
      <c r="D123" s="708">
        <v>300915</v>
      </c>
      <c r="E123" s="708">
        <v>201127000</v>
      </c>
      <c r="F123" s="133">
        <v>97656269</v>
      </c>
      <c r="G123" s="133">
        <v>-8534489</v>
      </c>
      <c r="H123" s="133">
        <v>1563567</v>
      </c>
      <c r="I123" s="133">
        <v>-6970922</v>
      </c>
      <c r="J123" s="133">
        <v>-7145327</v>
      </c>
      <c r="K123" s="133">
        <v>-35369</v>
      </c>
      <c r="L123" s="133">
        <v>0</v>
      </c>
      <c r="M123" s="133">
        <v>0</v>
      </c>
      <c r="N123" s="133">
        <v>-861753</v>
      </c>
      <c r="O123" s="133">
        <v>-351088</v>
      </c>
      <c r="P123" s="133">
        <v>-253542</v>
      </c>
      <c r="Q123" s="133">
        <v>0</v>
      </c>
      <c r="R123" s="133">
        <v>0</v>
      </c>
      <c r="S123" s="133">
        <v>0</v>
      </c>
      <c r="T123" s="133">
        <v>0</v>
      </c>
      <c r="U123" s="133">
        <v>0</v>
      </c>
      <c r="V123" s="133">
        <v>0</v>
      </c>
      <c r="W123" s="709"/>
      <c r="X123" s="709"/>
      <c r="Y123" s="709"/>
      <c r="Z123" s="133">
        <v>0</v>
      </c>
      <c r="AA123" s="133">
        <v>0</v>
      </c>
      <c r="AB123" s="133">
        <v>75636346</v>
      </c>
      <c r="AC123" s="133">
        <v>-3674814</v>
      </c>
      <c r="AD123" s="709"/>
      <c r="AE123" s="710">
        <v>335</v>
      </c>
      <c r="AF123" s="711">
        <v>9</v>
      </c>
      <c r="AG123" s="710">
        <v>0</v>
      </c>
      <c r="AH123" s="710">
        <v>0</v>
      </c>
      <c r="AI123" s="710">
        <v>379</v>
      </c>
      <c r="AJ123" s="710">
        <v>70</v>
      </c>
      <c r="AK123" s="710">
        <v>25</v>
      </c>
      <c r="AL123" s="710">
        <v>0</v>
      </c>
      <c r="AM123" s="710">
        <v>0</v>
      </c>
      <c r="AN123" s="710">
        <v>0</v>
      </c>
      <c r="AO123" s="710">
        <v>0</v>
      </c>
      <c r="AP123" s="711">
        <v>0</v>
      </c>
      <c r="AQ123" s="709"/>
      <c r="AR123" s="709"/>
      <c r="AS123" s="720">
        <v>1431</v>
      </c>
      <c r="AT123" s="710">
        <v>2626</v>
      </c>
      <c r="AU123" s="710">
        <v>2275</v>
      </c>
      <c r="AV123" s="710">
        <v>351</v>
      </c>
      <c r="AW123" s="710">
        <v>2038</v>
      </c>
      <c r="AX123" s="712">
        <v>7142</v>
      </c>
      <c r="AY123" s="683">
        <v>-67272</v>
      </c>
      <c r="AZ123" s="713">
        <v>-2973624.0699999928</v>
      </c>
      <c r="BA123" s="714">
        <v>1761215.9299999997</v>
      </c>
      <c r="BB123" s="715">
        <v>28886450</v>
      </c>
      <c r="BC123" s="715">
        <v>0</v>
      </c>
      <c r="BD123" s="716">
        <v>1761349.4699999988</v>
      </c>
      <c r="BE123" s="420"/>
      <c r="BF123" s="717" t="s">
        <v>118</v>
      </c>
      <c r="BG123" s="118" t="b">
        <v>1</v>
      </c>
      <c r="BH123" s="494"/>
      <c r="BI123" s="420"/>
      <c r="BJ123" s="420"/>
      <c r="BK123" s="420"/>
      <c r="BL123" s="420"/>
      <c r="BM123" s="420"/>
      <c r="BN123" s="420"/>
      <c r="BO123" s="420"/>
      <c r="BP123" s="420"/>
      <c r="BQ123" s="420"/>
      <c r="BR123" s="420"/>
      <c r="BS123" s="420"/>
      <c r="BT123" s="420"/>
      <c r="BU123" s="420"/>
      <c r="BV123" s="420"/>
      <c r="BW123" s="420"/>
      <c r="BX123" s="420"/>
      <c r="BY123" s="420"/>
      <c r="BZ123" s="420"/>
      <c r="CA123" s="420"/>
      <c r="CB123" s="420"/>
      <c r="CC123" s="420"/>
      <c r="CD123" s="420"/>
      <c r="CE123" s="420"/>
      <c r="CF123" s="420"/>
      <c r="CG123" s="420"/>
      <c r="CH123" s="420"/>
      <c r="CI123" s="420"/>
      <c r="CJ123" s="420"/>
      <c r="CK123" s="420"/>
      <c r="CL123" s="420"/>
      <c r="CM123" s="420"/>
      <c r="CN123" s="420"/>
      <c r="CO123" s="420"/>
      <c r="CP123" s="420"/>
      <c r="CQ123" s="420"/>
      <c r="CR123" s="420"/>
    </row>
    <row r="124" spans="1:96" s="118" customFormat="1" ht="12.75" x14ac:dyDescent="0.2">
      <c r="A124" s="705">
        <v>118</v>
      </c>
      <c r="B124" s="718" t="s">
        <v>119</v>
      </c>
      <c r="C124" s="719" t="s">
        <v>120</v>
      </c>
      <c r="D124" s="708">
        <v>113749</v>
      </c>
      <c r="E124" s="708">
        <v>109507000</v>
      </c>
      <c r="F124" s="133">
        <v>54182478</v>
      </c>
      <c r="G124" s="133">
        <v>-1887345</v>
      </c>
      <c r="H124" s="133">
        <v>1149651</v>
      </c>
      <c r="I124" s="133">
        <v>-737694</v>
      </c>
      <c r="J124" s="133">
        <v>-2963359</v>
      </c>
      <c r="K124" s="133">
        <v>-70459</v>
      </c>
      <c r="L124" s="133">
        <v>0</v>
      </c>
      <c r="M124" s="133">
        <v>0</v>
      </c>
      <c r="N124" s="133">
        <v>-992100</v>
      </c>
      <c r="O124" s="133">
        <v>-43201</v>
      </c>
      <c r="P124" s="133">
        <v>0</v>
      </c>
      <c r="Q124" s="133">
        <v>0</v>
      </c>
      <c r="R124" s="133">
        <v>0</v>
      </c>
      <c r="S124" s="133">
        <v>0</v>
      </c>
      <c r="T124" s="133">
        <v>-121832</v>
      </c>
      <c r="U124" s="133">
        <v>0</v>
      </c>
      <c r="V124" s="133">
        <v>0</v>
      </c>
      <c r="W124" s="709"/>
      <c r="X124" s="709"/>
      <c r="Y124" s="709"/>
      <c r="Z124" s="133">
        <v>0</v>
      </c>
      <c r="AA124" s="133">
        <v>0</v>
      </c>
      <c r="AB124" s="133">
        <v>48737176</v>
      </c>
      <c r="AC124" s="133">
        <v>-1067000</v>
      </c>
      <c r="AD124" s="709"/>
      <c r="AE124" s="710">
        <v>150</v>
      </c>
      <c r="AF124" s="711">
        <v>7</v>
      </c>
      <c r="AG124" s="710">
        <v>0</v>
      </c>
      <c r="AH124" s="710">
        <v>1</v>
      </c>
      <c r="AI124" s="710">
        <v>134</v>
      </c>
      <c r="AJ124" s="710">
        <v>40</v>
      </c>
      <c r="AK124" s="710">
        <v>0</v>
      </c>
      <c r="AL124" s="710">
        <v>0</v>
      </c>
      <c r="AM124" s="710">
        <v>0</v>
      </c>
      <c r="AN124" s="710">
        <v>0</v>
      </c>
      <c r="AO124" s="710">
        <v>3</v>
      </c>
      <c r="AP124" s="711">
        <v>81</v>
      </c>
      <c r="AQ124" s="709"/>
      <c r="AR124" s="709"/>
      <c r="AS124" s="720">
        <v>702</v>
      </c>
      <c r="AT124" s="710">
        <v>612</v>
      </c>
      <c r="AU124" s="710">
        <v>547</v>
      </c>
      <c r="AV124" s="710">
        <v>65</v>
      </c>
      <c r="AW124" s="710">
        <v>1035</v>
      </c>
      <c r="AX124" s="712">
        <v>2425</v>
      </c>
      <c r="AY124" s="683">
        <v>-7221</v>
      </c>
      <c r="AZ124" s="713">
        <v>1958092</v>
      </c>
      <c r="BA124" s="714">
        <v>-1861323</v>
      </c>
      <c r="BB124" s="715">
        <v>13451300</v>
      </c>
      <c r="BC124" s="715">
        <v>1077750</v>
      </c>
      <c r="BD124" s="716">
        <v>-2012800</v>
      </c>
      <c r="BE124" s="420"/>
      <c r="BF124" s="717" t="s">
        <v>120</v>
      </c>
      <c r="BG124" s="118" t="b">
        <v>1</v>
      </c>
      <c r="BH124" s="494"/>
      <c r="BI124" s="420"/>
      <c r="BJ124" s="420"/>
      <c r="BK124" s="420"/>
      <c r="BL124" s="420"/>
      <c r="BM124" s="420"/>
      <c r="BN124" s="420"/>
      <c r="BO124" s="420"/>
      <c r="BP124" s="420"/>
      <c r="BQ124" s="420"/>
      <c r="BR124" s="420"/>
      <c r="BS124" s="420"/>
      <c r="BT124" s="420"/>
      <c r="BU124" s="420"/>
      <c r="BV124" s="420"/>
      <c r="BW124" s="420"/>
      <c r="BX124" s="420"/>
      <c r="BY124" s="420"/>
      <c r="BZ124" s="420"/>
      <c r="CA124" s="420"/>
      <c r="CB124" s="420"/>
      <c r="CC124" s="420"/>
      <c r="CD124" s="420"/>
      <c r="CE124" s="420"/>
      <c r="CF124" s="420"/>
      <c r="CG124" s="420"/>
      <c r="CH124" s="420"/>
      <c r="CI124" s="420"/>
      <c r="CJ124" s="420"/>
      <c r="CK124" s="420"/>
      <c r="CL124" s="420"/>
      <c r="CM124" s="420"/>
      <c r="CN124" s="420"/>
      <c r="CO124" s="420"/>
      <c r="CP124" s="420"/>
      <c r="CQ124" s="420"/>
      <c r="CR124" s="420"/>
    </row>
    <row r="125" spans="1:96" s="118" customFormat="1" ht="12.75" x14ac:dyDescent="0.2">
      <c r="A125" s="705">
        <v>119</v>
      </c>
      <c r="B125" s="718" t="s">
        <v>121</v>
      </c>
      <c r="C125" s="719" t="s">
        <v>122</v>
      </c>
      <c r="D125" s="708">
        <v>280168</v>
      </c>
      <c r="E125" s="708">
        <v>164563000</v>
      </c>
      <c r="F125" s="133">
        <v>80965822</v>
      </c>
      <c r="G125" s="133">
        <v>-7946080</v>
      </c>
      <c r="H125" s="133">
        <v>1410924</v>
      </c>
      <c r="I125" s="133">
        <v>-6535156</v>
      </c>
      <c r="J125" s="133">
        <v>-3682517</v>
      </c>
      <c r="K125" s="133">
        <v>-122347</v>
      </c>
      <c r="L125" s="133">
        <v>-51693</v>
      </c>
      <c r="M125" s="133">
        <v>0</v>
      </c>
      <c r="N125" s="133">
        <v>-1850000</v>
      </c>
      <c r="O125" s="133">
        <v>-30445</v>
      </c>
      <c r="P125" s="133">
        <v>-10593</v>
      </c>
      <c r="Q125" s="133">
        <v>0</v>
      </c>
      <c r="R125" s="133">
        <v>0</v>
      </c>
      <c r="S125" s="133">
        <v>0</v>
      </c>
      <c r="T125" s="133">
        <v>-250000</v>
      </c>
      <c r="U125" s="133">
        <v>0</v>
      </c>
      <c r="V125" s="133">
        <v>0</v>
      </c>
      <c r="W125" s="709"/>
      <c r="X125" s="709"/>
      <c r="Y125" s="709"/>
      <c r="Z125" s="133">
        <v>-51693</v>
      </c>
      <c r="AA125" s="133">
        <v>0</v>
      </c>
      <c r="AB125" s="133">
        <v>66035013</v>
      </c>
      <c r="AC125" s="133">
        <v>-3800000</v>
      </c>
      <c r="AD125" s="709"/>
      <c r="AE125" s="710">
        <v>305</v>
      </c>
      <c r="AF125" s="711">
        <v>30</v>
      </c>
      <c r="AG125" s="710">
        <v>42</v>
      </c>
      <c r="AH125" s="710">
        <v>0</v>
      </c>
      <c r="AI125" s="710">
        <v>727</v>
      </c>
      <c r="AJ125" s="710">
        <v>29</v>
      </c>
      <c r="AK125" s="710">
        <v>2</v>
      </c>
      <c r="AL125" s="710">
        <v>0</v>
      </c>
      <c r="AM125" s="710">
        <v>0</v>
      </c>
      <c r="AN125" s="710">
        <v>0</v>
      </c>
      <c r="AO125" s="710">
        <v>0</v>
      </c>
      <c r="AP125" s="711">
        <v>0</v>
      </c>
      <c r="AQ125" s="709"/>
      <c r="AR125" s="709"/>
      <c r="AS125" s="720">
        <v>2963</v>
      </c>
      <c r="AT125" s="710">
        <v>3042</v>
      </c>
      <c r="AU125" s="710">
        <v>2871</v>
      </c>
      <c r="AV125" s="710">
        <v>171</v>
      </c>
      <c r="AW125" s="710">
        <v>1309</v>
      </c>
      <c r="AX125" s="712">
        <v>7502</v>
      </c>
      <c r="AY125" s="683">
        <v>-51071</v>
      </c>
      <c r="AZ125" s="713">
        <v>-754001</v>
      </c>
      <c r="BA125" s="714">
        <v>-1232343</v>
      </c>
      <c r="BB125" s="715">
        <v>27662940</v>
      </c>
      <c r="BC125" s="715">
        <v>0</v>
      </c>
      <c r="BD125" s="716">
        <v>-1232343</v>
      </c>
      <c r="BE125" s="420"/>
      <c r="BF125" s="717" t="s">
        <v>122</v>
      </c>
      <c r="BG125" s="118" t="b">
        <v>1</v>
      </c>
      <c r="BH125" s="494"/>
      <c r="BI125" s="420"/>
      <c r="BJ125" s="420"/>
      <c r="BK125" s="420"/>
      <c r="BL125" s="420"/>
      <c r="BM125" s="420"/>
      <c r="BN125" s="420"/>
      <c r="BO125" s="420"/>
      <c r="BP125" s="420"/>
      <c r="BQ125" s="420"/>
      <c r="BR125" s="420"/>
      <c r="BS125" s="420"/>
      <c r="BT125" s="420"/>
      <c r="BU125" s="420"/>
      <c r="BV125" s="420"/>
      <c r="BW125" s="420"/>
      <c r="BX125" s="420"/>
      <c r="BY125" s="420"/>
      <c r="BZ125" s="420"/>
      <c r="CA125" s="420"/>
      <c r="CB125" s="420"/>
      <c r="CC125" s="420"/>
      <c r="CD125" s="420"/>
      <c r="CE125" s="420"/>
      <c r="CF125" s="420"/>
      <c r="CG125" s="420"/>
      <c r="CH125" s="420"/>
      <c r="CI125" s="420"/>
      <c r="CJ125" s="420"/>
      <c r="CK125" s="420"/>
      <c r="CL125" s="420"/>
      <c r="CM125" s="420"/>
      <c r="CN125" s="420"/>
      <c r="CO125" s="420"/>
      <c r="CP125" s="420"/>
      <c r="CQ125" s="420"/>
      <c r="CR125" s="420"/>
    </row>
    <row r="126" spans="1:96" s="118" customFormat="1" ht="12.75" x14ac:dyDescent="0.2">
      <c r="A126" s="705">
        <v>120</v>
      </c>
      <c r="B126" s="718" t="s">
        <v>123</v>
      </c>
      <c r="C126" s="719" t="s">
        <v>124</v>
      </c>
      <c r="D126" s="708">
        <v>241060</v>
      </c>
      <c r="E126" s="708">
        <v>138775000</v>
      </c>
      <c r="F126" s="133">
        <v>68690167</v>
      </c>
      <c r="G126" s="133">
        <v>-6000000</v>
      </c>
      <c r="H126" s="133">
        <v>500000</v>
      </c>
      <c r="I126" s="133">
        <v>-5500000</v>
      </c>
      <c r="J126" s="133">
        <v>-5700000</v>
      </c>
      <c r="K126" s="133">
        <v>-130000</v>
      </c>
      <c r="L126" s="133">
        <v>0</v>
      </c>
      <c r="M126" s="133">
        <v>-100000</v>
      </c>
      <c r="N126" s="133">
        <v>-1400000</v>
      </c>
      <c r="O126" s="133">
        <v>-25000</v>
      </c>
      <c r="P126" s="133">
        <v>-30000</v>
      </c>
      <c r="Q126" s="133">
        <v>-5000</v>
      </c>
      <c r="R126" s="133">
        <v>0</v>
      </c>
      <c r="S126" s="133">
        <v>0</v>
      </c>
      <c r="T126" s="133">
        <v>0</v>
      </c>
      <c r="U126" s="133">
        <v>0</v>
      </c>
      <c r="V126" s="133">
        <v>0</v>
      </c>
      <c r="W126" s="709"/>
      <c r="X126" s="709"/>
      <c r="Y126" s="709"/>
      <c r="Z126" s="133">
        <v>0</v>
      </c>
      <c r="AA126" s="133">
        <v>0</v>
      </c>
      <c r="AB126" s="133">
        <v>53540167</v>
      </c>
      <c r="AC126" s="133">
        <v>-1125000</v>
      </c>
      <c r="AD126" s="709"/>
      <c r="AE126" s="710">
        <v>220</v>
      </c>
      <c r="AF126" s="711">
        <v>11</v>
      </c>
      <c r="AG126" s="710">
        <v>0</v>
      </c>
      <c r="AH126" s="710">
        <v>2</v>
      </c>
      <c r="AI126" s="710">
        <v>469</v>
      </c>
      <c r="AJ126" s="710">
        <v>28</v>
      </c>
      <c r="AK126" s="710">
        <v>2</v>
      </c>
      <c r="AL126" s="710">
        <v>0</v>
      </c>
      <c r="AM126" s="710">
        <v>0</v>
      </c>
      <c r="AN126" s="710">
        <v>0</v>
      </c>
      <c r="AO126" s="710">
        <v>0</v>
      </c>
      <c r="AP126" s="711">
        <v>0</v>
      </c>
      <c r="AQ126" s="709"/>
      <c r="AR126" s="709"/>
      <c r="AS126" s="720">
        <v>1077</v>
      </c>
      <c r="AT126" s="710">
        <v>1844</v>
      </c>
      <c r="AU126" s="710">
        <v>1548</v>
      </c>
      <c r="AV126" s="710">
        <v>296</v>
      </c>
      <c r="AW126" s="710">
        <v>2739</v>
      </c>
      <c r="AX126" s="712">
        <v>5696</v>
      </c>
      <c r="AY126" s="683">
        <v>-100000</v>
      </c>
      <c r="AZ126" s="713">
        <v>-1170512</v>
      </c>
      <c r="BA126" s="714">
        <v>-1224094</v>
      </c>
      <c r="BB126" s="715">
        <v>19811800</v>
      </c>
      <c r="BC126" s="715">
        <v>0</v>
      </c>
      <c r="BD126" s="716">
        <v>-1224094</v>
      </c>
      <c r="BE126" s="420"/>
      <c r="BF126" s="717" t="s">
        <v>124</v>
      </c>
      <c r="BG126" s="118" t="b">
        <v>1</v>
      </c>
      <c r="BH126" s="494"/>
      <c r="BI126" s="420"/>
      <c r="BJ126" s="420"/>
      <c r="BK126" s="420"/>
      <c r="BL126" s="420"/>
      <c r="BM126" s="420"/>
      <c r="BN126" s="420"/>
      <c r="BO126" s="420"/>
      <c r="BP126" s="420"/>
      <c r="BQ126" s="420"/>
      <c r="BR126" s="420"/>
      <c r="BS126" s="420"/>
      <c r="BT126" s="420"/>
      <c r="BU126" s="420"/>
      <c r="BV126" s="420"/>
      <c r="BW126" s="420"/>
      <c r="BX126" s="420"/>
      <c r="BY126" s="420"/>
      <c r="BZ126" s="420"/>
      <c r="CA126" s="420"/>
      <c r="CB126" s="420"/>
      <c r="CC126" s="420"/>
      <c r="CD126" s="420"/>
      <c r="CE126" s="420"/>
      <c r="CF126" s="420"/>
      <c r="CG126" s="420"/>
      <c r="CH126" s="420"/>
      <c r="CI126" s="420"/>
      <c r="CJ126" s="420"/>
      <c r="CK126" s="420"/>
      <c r="CL126" s="420"/>
      <c r="CM126" s="420"/>
      <c r="CN126" s="420"/>
      <c r="CO126" s="420"/>
      <c r="CP126" s="420"/>
      <c r="CQ126" s="420"/>
      <c r="CR126" s="420"/>
    </row>
    <row r="127" spans="1:96" s="118" customFormat="1" ht="12.75" x14ac:dyDescent="0.2">
      <c r="A127" s="705">
        <v>121</v>
      </c>
      <c r="B127" s="718" t="s">
        <v>125</v>
      </c>
      <c r="C127" s="719" t="s">
        <v>126</v>
      </c>
      <c r="D127" s="708">
        <v>97335</v>
      </c>
      <c r="E127" s="708">
        <v>74878000</v>
      </c>
      <c r="F127" s="133">
        <v>37210326</v>
      </c>
      <c r="G127" s="133">
        <v>-2278244</v>
      </c>
      <c r="H127" s="133">
        <v>716342</v>
      </c>
      <c r="I127" s="133">
        <v>-1561902</v>
      </c>
      <c r="J127" s="133">
        <v>-1920313</v>
      </c>
      <c r="K127" s="133">
        <v>-5766</v>
      </c>
      <c r="L127" s="133">
        <v>-2291</v>
      </c>
      <c r="M127" s="133">
        <v>0</v>
      </c>
      <c r="N127" s="133">
        <v>-1918924</v>
      </c>
      <c r="O127" s="133">
        <v>-127572</v>
      </c>
      <c r="P127" s="133">
        <v>-22701</v>
      </c>
      <c r="Q127" s="133">
        <v>-1441</v>
      </c>
      <c r="R127" s="133">
        <v>0</v>
      </c>
      <c r="S127" s="133">
        <v>0</v>
      </c>
      <c r="T127" s="133">
        <v>0</v>
      </c>
      <c r="U127" s="133">
        <v>0</v>
      </c>
      <c r="V127" s="133">
        <v>0</v>
      </c>
      <c r="W127" s="709"/>
      <c r="X127" s="709"/>
      <c r="Y127" s="709"/>
      <c r="Z127" s="133">
        <v>-2291</v>
      </c>
      <c r="AA127" s="133">
        <v>0</v>
      </c>
      <c r="AB127" s="133">
        <v>30705859</v>
      </c>
      <c r="AC127" s="133">
        <v>-100603</v>
      </c>
      <c r="AD127" s="709"/>
      <c r="AE127" s="710">
        <v>93</v>
      </c>
      <c r="AF127" s="711">
        <v>2</v>
      </c>
      <c r="AG127" s="710">
        <v>1</v>
      </c>
      <c r="AH127" s="710">
        <v>0</v>
      </c>
      <c r="AI127" s="710">
        <v>272</v>
      </c>
      <c r="AJ127" s="710">
        <v>65</v>
      </c>
      <c r="AK127" s="710">
        <v>9</v>
      </c>
      <c r="AL127" s="710">
        <v>2</v>
      </c>
      <c r="AM127" s="710">
        <v>0</v>
      </c>
      <c r="AN127" s="710">
        <v>0</v>
      </c>
      <c r="AO127" s="710">
        <v>0</v>
      </c>
      <c r="AP127" s="711">
        <v>0</v>
      </c>
      <c r="AQ127" s="709"/>
      <c r="AR127" s="709"/>
      <c r="AS127" s="720">
        <v>595</v>
      </c>
      <c r="AT127" s="710">
        <v>752</v>
      </c>
      <c r="AU127" s="710">
        <v>661</v>
      </c>
      <c r="AV127" s="710">
        <v>91</v>
      </c>
      <c r="AW127" s="710">
        <v>959</v>
      </c>
      <c r="AX127" s="712">
        <v>2332</v>
      </c>
      <c r="AY127" s="683">
        <v>-17239</v>
      </c>
      <c r="AZ127" s="713">
        <v>268478</v>
      </c>
      <c r="BA127" s="714">
        <v>-273169</v>
      </c>
      <c r="BB127" s="715">
        <v>11082850</v>
      </c>
      <c r="BC127" s="715">
        <v>0</v>
      </c>
      <c r="BD127" s="716">
        <v>-273167</v>
      </c>
      <c r="BE127" s="420"/>
      <c r="BF127" s="717" t="s">
        <v>126</v>
      </c>
      <c r="BG127" s="118" t="b">
        <v>1</v>
      </c>
      <c r="BH127" s="494"/>
      <c r="BI127" s="420"/>
      <c r="BJ127" s="420"/>
      <c r="BK127" s="420"/>
      <c r="BL127" s="420"/>
      <c r="BM127" s="420"/>
      <c r="BN127" s="420"/>
      <c r="BO127" s="420"/>
      <c r="BP127" s="420"/>
      <c r="BQ127" s="420"/>
      <c r="BR127" s="420"/>
      <c r="BS127" s="420"/>
      <c r="BT127" s="420"/>
      <c r="BU127" s="420"/>
      <c r="BV127" s="420"/>
      <c r="BW127" s="420"/>
      <c r="BX127" s="420"/>
      <c r="BY127" s="420"/>
      <c r="BZ127" s="420"/>
      <c r="CA127" s="420"/>
      <c r="CB127" s="420"/>
      <c r="CC127" s="420"/>
      <c r="CD127" s="420"/>
      <c r="CE127" s="420"/>
      <c r="CF127" s="420"/>
      <c r="CG127" s="420"/>
      <c r="CH127" s="420"/>
      <c r="CI127" s="420"/>
      <c r="CJ127" s="420"/>
      <c r="CK127" s="420"/>
      <c r="CL127" s="420"/>
      <c r="CM127" s="420"/>
      <c r="CN127" s="420"/>
      <c r="CO127" s="420"/>
      <c r="CP127" s="420"/>
      <c r="CQ127" s="420"/>
      <c r="CR127" s="420"/>
    </row>
    <row r="128" spans="1:96" s="118" customFormat="1" ht="12.75" x14ac:dyDescent="0.2">
      <c r="A128" s="705">
        <v>122</v>
      </c>
      <c r="B128" s="718" t="s">
        <v>547</v>
      </c>
      <c r="C128" s="719" t="s">
        <v>128</v>
      </c>
      <c r="D128" s="708">
        <v>112202</v>
      </c>
      <c r="E128" s="708">
        <v>80121000</v>
      </c>
      <c r="F128" s="133">
        <v>38851396</v>
      </c>
      <c r="G128" s="133">
        <v>-3030401</v>
      </c>
      <c r="H128" s="133">
        <v>784300</v>
      </c>
      <c r="I128" s="133">
        <v>-2246101</v>
      </c>
      <c r="J128" s="133">
        <v>-2490840</v>
      </c>
      <c r="K128" s="133">
        <v>-25112</v>
      </c>
      <c r="L128" s="133">
        <v>0</v>
      </c>
      <c r="M128" s="133">
        <v>-30283</v>
      </c>
      <c r="N128" s="133">
        <v>-946350</v>
      </c>
      <c r="O128" s="133">
        <v>-115000</v>
      </c>
      <c r="P128" s="133">
        <v>-29714</v>
      </c>
      <c r="Q128" s="133">
        <v>-1620</v>
      </c>
      <c r="R128" s="133">
        <v>0</v>
      </c>
      <c r="S128" s="133">
        <v>0</v>
      </c>
      <c r="T128" s="133">
        <v>-44097</v>
      </c>
      <c r="U128" s="133">
        <v>-44097</v>
      </c>
      <c r="V128" s="133">
        <v>0</v>
      </c>
      <c r="W128" s="709"/>
      <c r="X128" s="709"/>
      <c r="Y128" s="709"/>
      <c r="Z128" s="133">
        <v>0</v>
      </c>
      <c r="AA128" s="133">
        <v>-515</v>
      </c>
      <c r="AB128" s="133">
        <v>32680667</v>
      </c>
      <c r="AC128" s="133">
        <v>-380170</v>
      </c>
      <c r="AD128" s="709"/>
      <c r="AE128" s="710">
        <v>120</v>
      </c>
      <c r="AF128" s="711">
        <v>4</v>
      </c>
      <c r="AG128" s="710">
        <v>0</v>
      </c>
      <c r="AH128" s="710">
        <v>0</v>
      </c>
      <c r="AI128" s="710">
        <v>198</v>
      </c>
      <c r="AJ128" s="710">
        <v>53</v>
      </c>
      <c r="AK128" s="710">
        <v>9</v>
      </c>
      <c r="AL128" s="710">
        <v>2</v>
      </c>
      <c r="AM128" s="710">
        <v>0</v>
      </c>
      <c r="AN128" s="710">
        <v>0</v>
      </c>
      <c r="AO128" s="710">
        <v>7</v>
      </c>
      <c r="AP128" s="711">
        <v>0</v>
      </c>
      <c r="AQ128" s="709"/>
      <c r="AR128" s="709"/>
      <c r="AS128" s="720">
        <v>686</v>
      </c>
      <c r="AT128" s="710">
        <v>1314</v>
      </c>
      <c r="AU128" s="710">
        <v>1268</v>
      </c>
      <c r="AV128" s="710">
        <v>46</v>
      </c>
      <c r="AW128" s="710">
        <v>806</v>
      </c>
      <c r="AX128" s="712">
        <v>2872</v>
      </c>
      <c r="AY128" s="683">
        <v>-28052</v>
      </c>
      <c r="AZ128" s="713">
        <v>-537375</v>
      </c>
      <c r="BA128" s="714">
        <v>-2722964</v>
      </c>
      <c r="BB128" s="715">
        <v>7687750</v>
      </c>
      <c r="BC128" s="715">
        <v>25250</v>
      </c>
      <c r="BD128" s="716">
        <v>-2722963</v>
      </c>
      <c r="BE128" s="420"/>
      <c r="BF128" s="717" t="s">
        <v>128</v>
      </c>
      <c r="BG128" s="118" t="b">
        <v>1</v>
      </c>
      <c r="BH128" s="494"/>
      <c r="BI128" s="420"/>
      <c r="BJ128" s="420"/>
      <c r="BK128" s="420"/>
      <c r="BL128" s="420"/>
      <c r="BM128" s="420"/>
      <c r="BN128" s="420"/>
      <c r="BO128" s="420"/>
      <c r="BP128" s="420"/>
      <c r="BQ128" s="420"/>
      <c r="BR128" s="420"/>
      <c r="BS128" s="420"/>
      <c r="BT128" s="420"/>
      <c r="BU128" s="420"/>
      <c r="BV128" s="420"/>
      <c r="BW128" s="420"/>
      <c r="BX128" s="420"/>
      <c r="BY128" s="420"/>
      <c r="BZ128" s="420"/>
      <c r="CA128" s="420"/>
      <c r="CB128" s="420"/>
      <c r="CC128" s="420"/>
      <c r="CD128" s="420"/>
      <c r="CE128" s="420"/>
      <c r="CF128" s="420"/>
      <c r="CG128" s="420"/>
      <c r="CH128" s="420"/>
      <c r="CI128" s="420"/>
      <c r="CJ128" s="420"/>
      <c r="CK128" s="420"/>
      <c r="CL128" s="420"/>
      <c r="CM128" s="420"/>
      <c r="CN128" s="420"/>
      <c r="CO128" s="420"/>
      <c r="CP128" s="420"/>
      <c r="CQ128" s="420"/>
      <c r="CR128" s="420"/>
    </row>
    <row r="129" spans="1:96" s="118" customFormat="1" ht="12.75" x14ac:dyDescent="0.2">
      <c r="A129" s="705">
        <v>123</v>
      </c>
      <c r="B129" s="718" t="s">
        <v>129</v>
      </c>
      <c r="C129" s="719" t="s">
        <v>130</v>
      </c>
      <c r="D129" s="708">
        <v>130479</v>
      </c>
      <c r="E129" s="708">
        <v>62305000</v>
      </c>
      <c r="F129" s="133">
        <v>30813102</v>
      </c>
      <c r="G129" s="133">
        <v>-3466974</v>
      </c>
      <c r="H129" s="133">
        <v>524750</v>
      </c>
      <c r="I129" s="133">
        <v>-2942224</v>
      </c>
      <c r="J129" s="133">
        <v>-3356985</v>
      </c>
      <c r="K129" s="133">
        <v>-39844</v>
      </c>
      <c r="L129" s="133">
        <v>0</v>
      </c>
      <c r="M129" s="133">
        <v>0</v>
      </c>
      <c r="N129" s="133">
        <v>-547661</v>
      </c>
      <c r="O129" s="133">
        <v>-103406</v>
      </c>
      <c r="P129" s="133">
        <v>-44765</v>
      </c>
      <c r="Q129" s="133">
        <v>-554</v>
      </c>
      <c r="R129" s="133">
        <v>0</v>
      </c>
      <c r="S129" s="133">
        <v>0</v>
      </c>
      <c r="T129" s="133">
        <v>0</v>
      </c>
      <c r="U129" s="133">
        <v>0</v>
      </c>
      <c r="V129" s="133">
        <v>0</v>
      </c>
      <c r="W129" s="709"/>
      <c r="X129" s="709"/>
      <c r="Y129" s="709"/>
      <c r="Z129" s="133">
        <v>0</v>
      </c>
      <c r="AA129" s="133">
        <v>0</v>
      </c>
      <c r="AB129" s="133">
        <v>23085782</v>
      </c>
      <c r="AC129" s="133">
        <v>-1472879</v>
      </c>
      <c r="AD129" s="709"/>
      <c r="AE129" s="710">
        <v>181</v>
      </c>
      <c r="AF129" s="711">
        <v>7</v>
      </c>
      <c r="AG129" s="710">
        <v>0</v>
      </c>
      <c r="AH129" s="710">
        <v>0</v>
      </c>
      <c r="AI129" s="710">
        <v>492</v>
      </c>
      <c r="AJ129" s="710">
        <v>56</v>
      </c>
      <c r="AK129" s="710">
        <v>6</v>
      </c>
      <c r="AL129" s="710">
        <v>2</v>
      </c>
      <c r="AM129" s="710">
        <v>0</v>
      </c>
      <c r="AN129" s="710">
        <v>0</v>
      </c>
      <c r="AO129" s="710">
        <v>0</v>
      </c>
      <c r="AP129" s="711">
        <v>0</v>
      </c>
      <c r="AQ129" s="709"/>
      <c r="AR129" s="709"/>
      <c r="AS129" s="720">
        <v>747</v>
      </c>
      <c r="AT129" s="710">
        <v>1695</v>
      </c>
      <c r="AU129" s="710">
        <v>1632</v>
      </c>
      <c r="AV129" s="710">
        <v>63</v>
      </c>
      <c r="AW129" s="710">
        <v>1150</v>
      </c>
      <c r="AX129" s="712">
        <v>3594</v>
      </c>
      <c r="AY129" s="683">
        <v>-38958</v>
      </c>
      <c r="AZ129" s="713">
        <v>70458</v>
      </c>
      <c r="BA129" s="714">
        <v>-398924</v>
      </c>
      <c r="BB129" s="715">
        <v>9605600</v>
      </c>
      <c r="BC129" s="715">
        <v>0</v>
      </c>
      <c r="BD129" s="716">
        <v>-398923</v>
      </c>
      <c r="BE129" s="420"/>
      <c r="BF129" s="717" t="s">
        <v>130</v>
      </c>
      <c r="BG129" s="118" t="b">
        <v>1</v>
      </c>
      <c r="BH129" s="494"/>
      <c r="BI129" s="420"/>
      <c r="BJ129" s="420"/>
      <c r="BK129" s="420"/>
      <c r="BL129" s="420"/>
      <c r="BM129" s="420"/>
      <c r="BN129" s="420"/>
      <c r="BO129" s="420"/>
      <c r="BP129" s="420"/>
      <c r="BQ129" s="420"/>
      <c r="BR129" s="420"/>
      <c r="BS129" s="420"/>
      <c r="BT129" s="420"/>
      <c r="BU129" s="420"/>
      <c r="BV129" s="420"/>
      <c r="BW129" s="420"/>
      <c r="BX129" s="420"/>
      <c r="BY129" s="420"/>
      <c r="BZ129" s="420"/>
      <c r="CA129" s="420"/>
      <c r="CB129" s="420"/>
      <c r="CC129" s="420"/>
      <c r="CD129" s="420"/>
      <c r="CE129" s="420"/>
      <c r="CF129" s="420"/>
      <c r="CG129" s="420"/>
      <c r="CH129" s="420"/>
      <c r="CI129" s="420"/>
      <c r="CJ129" s="420"/>
      <c r="CK129" s="420"/>
      <c r="CL129" s="420"/>
      <c r="CM129" s="420"/>
      <c r="CN129" s="420"/>
      <c r="CO129" s="420"/>
      <c r="CP129" s="420"/>
      <c r="CQ129" s="420"/>
      <c r="CR129" s="420"/>
    </row>
    <row r="130" spans="1:96" s="118" customFormat="1" ht="12.75" x14ac:dyDescent="0.2">
      <c r="A130" s="705">
        <v>124</v>
      </c>
      <c r="B130" s="718" t="s">
        <v>131</v>
      </c>
      <c r="C130" s="719" t="s">
        <v>132</v>
      </c>
      <c r="D130" s="708">
        <v>133279</v>
      </c>
      <c r="E130" s="708">
        <v>85551000</v>
      </c>
      <c r="F130" s="133">
        <v>41716103</v>
      </c>
      <c r="G130" s="133">
        <v>-3336168</v>
      </c>
      <c r="H130" s="133">
        <v>765892</v>
      </c>
      <c r="I130" s="133">
        <v>-2570276</v>
      </c>
      <c r="J130" s="133">
        <v>-2203408</v>
      </c>
      <c r="K130" s="133">
        <v>-13033</v>
      </c>
      <c r="L130" s="133">
        <v>-2392</v>
      </c>
      <c r="M130" s="133">
        <v>0</v>
      </c>
      <c r="N130" s="133">
        <v>-845163</v>
      </c>
      <c r="O130" s="133">
        <v>-117182</v>
      </c>
      <c r="P130" s="133">
        <v>-72584</v>
      </c>
      <c r="Q130" s="133">
        <v>-1164</v>
      </c>
      <c r="R130" s="133">
        <v>0</v>
      </c>
      <c r="S130" s="133">
        <v>0</v>
      </c>
      <c r="T130" s="133">
        <v>0</v>
      </c>
      <c r="U130" s="133">
        <v>0</v>
      </c>
      <c r="V130" s="133">
        <v>0</v>
      </c>
      <c r="W130" s="709"/>
      <c r="X130" s="709"/>
      <c r="Y130" s="709"/>
      <c r="Z130" s="133">
        <v>-2302</v>
      </c>
      <c r="AA130" s="133">
        <v>0</v>
      </c>
      <c r="AB130" s="133">
        <v>35686867</v>
      </c>
      <c r="AC130" s="133">
        <v>-500000</v>
      </c>
      <c r="AD130" s="709"/>
      <c r="AE130" s="710">
        <v>140</v>
      </c>
      <c r="AF130" s="711">
        <v>5</v>
      </c>
      <c r="AG130" s="710">
        <v>2</v>
      </c>
      <c r="AH130" s="710">
        <v>0</v>
      </c>
      <c r="AI130" s="710">
        <v>260</v>
      </c>
      <c r="AJ130" s="710">
        <v>38</v>
      </c>
      <c r="AK130" s="710">
        <v>11</v>
      </c>
      <c r="AL130" s="710">
        <v>2</v>
      </c>
      <c r="AM130" s="710">
        <v>0</v>
      </c>
      <c r="AN130" s="710">
        <v>0</v>
      </c>
      <c r="AO130" s="710">
        <v>0</v>
      </c>
      <c r="AP130" s="711">
        <v>0</v>
      </c>
      <c r="AQ130" s="709"/>
      <c r="AR130" s="709"/>
      <c r="AS130" s="720">
        <v>658</v>
      </c>
      <c r="AT130" s="710">
        <v>1500</v>
      </c>
      <c r="AU130" s="710">
        <v>1430</v>
      </c>
      <c r="AV130" s="710">
        <v>70</v>
      </c>
      <c r="AW130" s="710">
        <v>1164</v>
      </c>
      <c r="AX130" s="712">
        <v>3350</v>
      </c>
      <c r="AY130" s="683">
        <v>-3793</v>
      </c>
      <c r="AZ130" s="713">
        <v>-514874</v>
      </c>
      <c r="BA130" s="714">
        <v>-380581</v>
      </c>
      <c r="BB130" s="715">
        <v>13015500</v>
      </c>
      <c r="BC130" s="715">
        <v>0</v>
      </c>
      <c r="BD130" s="716">
        <v>93703.009999999776</v>
      </c>
      <c r="BE130" s="420"/>
      <c r="BF130" s="717" t="s">
        <v>132</v>
      </c>
      <c r="BG130" s="118" t="b">
        <v>1</v>
      </c>
      <c r="BH130" s="494"/>
      <c r="BI130" s="420"/>
      <c r="BJ130" s="420"/>
      <c r="BK130" s="420"/>
      <c r="BL130" s="420"/>
      <c r="BM130" s="420"/>
      <c r="BN130" s="420"/>
      <c r="BO130" s="420"/>
      <c r="BP130" s="420"/>
      <c r="BQ130" s="420"/>
      <c r="BR130" s="420"/>
      <c r="BS130" s="420"/>
      <c r="BT130" s="420"/>
      <c r="BU130" s="420"/>
      <c r="BV130" s="420"/>
      <c r="BW130" s="420"/>
      <c r="BX130" s="420"/>
      <c r="BY130" s="420"/>
      <c r="BZ130" s="420"/>
      <c r="CA130" s="420"/>
      <c r="CB130" s="420"/>
      <c r="CC130" s="420"/>
      <c r="CD130" s="420"/>
      <c r="CE130" s="420"/>
      <c r="CF130" s="420"/>
      <c r="CG130" s="420"/>
      <c r="CH130" s="420"/>
      <c r="CI130" s="420"/>
      <c r="CJ130" s="420"/>
      <c r="CK130" s="420"/>
      <c r="CL130" s="420"/>
      <c r="CM130" s="420"/>
      <c r="CN130" s="420"/>
      <c r="CO130" s="420"/>
      <c r="CP130" s="420"/>
      <c r="CQ130" s="420"/>
      <c r="CR130" s="420"/>
    </row>
    <row r="131" spans="1:96" s="118" customFormat="1" ht="12.75" x14ac:dyDescent="0.2">
      <c r="A131" s="705">
        <v>125</v>
      </c>
      <c r="B131" s="718" t="s">
        <v>133</v>
      </c>
      <c r="C131" s="719" t="s">
        <v>134</v>
      </c>
      <c r="D131" s="708">
        <v>266826</v>
      </c>
      <c r="E131" s="708">
        <v>204002000</v>
      </c>
      <c r="F131" s="133">
        <v>100728823</v>
      </c>
      <c r="G131" s="133">
        <v>-6589882</v>
      </c>
      <c r="H131" s="133">
        <v>1894539</v>
      </c>
      <c r="I131" s="133">
        <v>-4695343</v>
      </c>
      <c r="J131" s="133">
        <v>-6192732</v>
      </c>
      <c r="K131" s="133">
        <v>0</v>
      </c>
      <c r="L131" s="133">
        <v>0</v>
      </c>
      <c r="M131" s="133">
        <v>0</v>
      </c>
      <c r="N131" s="133">
        <v>-2030396</v>
      </c>
      <c r="O131" s="133">
        <v>-287057</v>
      </c>
      <c r="P131" s="133">
        <v>-12969</v>
      </c>
      <c r="Q131" s="133">
        <v>0</v>
      </c>
      <c r="R131" s="133">
        <v>0</v>
      </c>
      <c r="S131" s="133">
        <v>0</v>
      </c>
      <c r="T131" s="133">
        <v>0</v>
      </c>
      <c r="U131" s="133">
        <v>0</v>
      </c>
      <c r="V131" s="133">
        <v>0</v>
      </c>
      <c r="W131" s="709"/>
      <c r="X131" s="709"/>
      <c r="Y131" s="709"/>
      <c r="Z131" s="133">
        <v>0</v>
      </c>
      <c r="AA131" s="133">
        <v>0</v>
      </c>
      <c r="AB131" s="133">
        <v>83325975</v>
      </c>
      <c r="AC131" s="133">
        <v>-3819668</v>
      </c>
      <c r="AD131" s="709"/>
      <c r="AE131" s="710">
        <v>235</v>
      </c>
      <c r="AF131" s="711">
        <v>18</v>
      </c>
      <c r="AG131" s="710">
        <v>0</v>
      </c>
      <c r="AH131" s="710">
        <v>0</v>
      </c>
      <c r="AI131" s="710">
        <v>214</v>
      </c>
      <c r="AJ131" s="710">
        <v>62</v>
      </c>
      <c r="AK131" s="710">
        <v>2</v>
      </c>
      <c r="AL131" s="710">
        <v>6</v>
      </c>
      <c r="AM131" s="710">
        <v>0</v>
      </c>
      <c r="AN131" s="710">
        <v>0</v>
      </c>
      <c r="AO131" s="710">
        <v>0</v>
      </c>
      <c r="AP131" s="711">
        <v>0</v>
      </c>
      <c r="AQ131" s="709"/>
      <c r="AR131" s="709"/>
      <c r="AS131" s="720">
        <v>1377</v>
      </c>
      <c r="AT131" s="710">
        <v>2044</v>
      </c>
      <c r="AU131" s="710">
        <v>1805</v>
      </c>
      <c r="AV131" s="710">
        <v>239</v>
      </c>
      <c r="AW131" s="710">
        <v>2688</v>
      </c>
      <c r="AX131" s="712">
        <v>6092</v>
      </c>
      <c r="AY131" s="683">
        <v>-104227</v>
      </c>
      <c r="AZ131" s="713">
        <v>-514947.26000000536</v>
      </c>
      <c r="BA131" s="714">
        <v>-1010890.2600000054</v>
      </c>
      <c r="BB131" s="715">
        <v>21731300</v>
      </c>
      <c r="BC131" s="715">
        <v>0</v>
      </c>
      <c r="BD131" s="716">
        <v>-1012093.0599999996</v>
      </c>
      <c r="BE131" s="420"/>
      <c r="BF131" s="717" t="s">
        <v>134</v>
      </c>
      <c r="BG131" s="118" t="b">
        <v>1</v>
      </c>
      <c r="BH131" s="494"/>
      <c r="BI131" s="420"/>
      <c r="BJ131" s="420"/>
      <c r="BK131" s="420"/>
      <c r="BL131" s="420"/>
      <c r="BM131" s="420"/>
      <c r="BN131" s="420"/>
      <c r="BO131" s="420"/>
      <c r="BP131" s="420"/>
      <c r="BQ131" s="420"/>
      <c r="BR131" s="420"/>
      <c r="BS131" s="420"/>
      <c r="BT131" s="420"/>
      <c r="BU131" s="420"/>
      <c r="BV131" s="420"/>
      <c r="BW131" s="420"/>
      <c r="BX131" s="420"/>
      <c r="BY131" s="420"/>
      <c r="BZ131" s="420"/>
      <c r="CA131" s="420"/>
      <c r="CB131" s="420"/>
      <c r="CC131" s="420"/>
      <c r="CD131" s="420"/>
      <c r="CE131" s="420"/>
      <c r="CF131" s="420"/>
      <c r="CG131" s="420"/>
      <c r="CH131" s="420"/>
      <c r="CI131" s="420"/>
      <c r="CJ131" s="420"/>
      <c r="CK131" s="420"/>
      <c r="CL131" s="420"/>
      <c r="CM131" s="420"/>
      <c r="CN131" s="420"/>
      <c r="CO131" s="420"/>
      <c r="CP131" s="420"/>
      <c r="CQ131" s="420"/>
      <c r="CR131" s="420"/>
    </row>
    <row r="132" spans="1:96" s="118" customFormat="1" ht="12.75" x14ac:dyDescent="0.2">
      <c r="A132" s="705">
        <v>126</v>
      </c>
      <c r="B132" s="718" t="s">
        <v>576</v>
      </c>
      <c r="C132" s="719" t="s">
        <v>136</v>
      </c>
      <c r="D132" s="708">
        <v>297013</v>
      </c>
      <c r="E132" s="708">
        <v>135186000</v>
      </c>
      <c r="F132" s="133">
        <v>66234425</v>
      </c>
      <c r="G132" s="133">
        <v>-8700319</v>
      </c>
      <c r="H132" s="133">
        <v>1043769</v>
      </c>
      <c r="I132" s="133">
        <v>-7656550</v>
      </c>
      <c r="J132" s="133">
        <v>-4622272</v>
      </c>
      <c r="K132" s="133">
        <v>-93781</v>
      </c>
      <c r="L132" s="133">
        <v>-81845</v>
      </c>
      <c r="M132" s="133">
        <v>-1347</v>
      </c>
      <c r="N132" s="133">
        <v>-1778500</v>
      </c>
      <c r="O132" s="133">
        <v>-376795</v>
      </c>
      <c r="P132" s="133">
        <v>-102000</v>
      </c>
      <c r="Q132" s="133">
        <v>-14486</v>
      </c>
      <c r="R132" s="133">
        <v>0</v>
      </c>
      <c r="S132" s="133">
        <v>0</v>
      </c>
      <c r="T132" s="133">
        <v>-340840</v>
      </c>
      <c r="U132" s="133">
        <v>-340840</v>
      </c>
      <c r="V132" s="133">
        <v>0</v>
      </c>
      <c r="W132" s="709"/>
      <c r="X132" s="709"/>
      <c r="Y132" s="709"/>
      <c r="Z132" s="133">
        <v>-81844</v>
      </c>
      <c r="AA132" s="133">
        <v>-1500</v>
      </c>
      <c r="AB132" s="133">
        <v>48447732</v>
      </c>
      <c r="AC132" s="133">
        <v>-2300000</v>
      </c>
      <c r="AD132" s="709"/>
      <c r="AE132" s="710">
        <v>568</v>
      </c>
      <c r="AF132" s="711">
        <v>20</v>
      </c>
      <c r="AG132" s="710">
        <v>82</v>
      </c>
      <c r="AH132" s="710">
        <v>1</v>
      </c>
      <c r="AI132" s="710">
        <v>780</v>
      </c>
      <c r="AJ132" s="710">
        <v>364</v>
      </c>
      <c r="AK132" s="710">
        <v>24</v>
      </c>
      <c r="AL132" s="710">
        <v>15</v>
      </c>
      <c r="AM132" s="710">
        <v>82</v>
      </c>
      <c r="AN132" s="710">
        <v>0</v>
      </c>
      <c r="AO132" s="710">
        <v>62</v>
      </c>
      <c r="AP132" s="711">
        <v>0</v>
      </c>
      <c r="AQ132" s="709"/>
      <c r="AR132" s="709"/>
      <c r="AS132" s="720">
        <v>1813</v>
      </c>
      <c r="AT132" s="710">
        <v>3971</v>
      </c>
      <c r="AU132" s="710">
        <v>3817</v>
      </c>
      <c r="AV132" s="710">
        <v>154</v>
      </c>
      <c r="AW132" s="710">
        <v>2508</v>
      </c>
      <c r="AX132" s="712">
        <v>8317</v>
      </c>
      <c r="AY132" s="683">
        <v>-100000</v>
      </c>
      <c r="AZ132" s="713">
        <v>-1876517</v>
      </c>
      <c r="BA132" s="714">
        <v>362390</v>
      </c>
      <c r="BB132" s="715">
        <v>23650875</v>
      </c>
      <c r="BC132" s="715">
        <v>379500</v>
      </c>
      <c r="BD132" s="716">
        <v>362391.29999999702</v>
      </c>
      <c r="BE132" s="420"/>
      <c r="BF132" s="717" t="s">
        <v>136</v>
      </c>
      <c r="BG132" s="118" t="b">
        <v>1</v>
      </c>
      <c r="BH132" s="494"/>
      <c r="BI132" s="420"/>
      <c r="BJ132" s="420"/>
      <c r="BK132" s="420"/>
      <c r="BL132" s="420"/>
      <c r="BM132" s="420"/>
      <c r="BN132" s="420"/>
      <c r="BO132" s="420"/>
      <c r="BP132" s="420"/>
      <c r="BQ132" s="420"/>
      <c r="BR132" s="420"/>
      <c r="BS132" s="420"/>
      <c r="BT132" s="420"/>
      <c r="BU132" s="420"/>
      <c r="BV132" s="420"/>
      <c r="BW132" s="420"/>
      <c r="BX132" s="420"/>
      <c r="BY132" s="420"/>
      <c r="BZ132" s="420"/>
      <c r="CA132" s="420"/>
      <c r="CB132" s="420"/>
      <c r="CC132" s="420"/>
      <c r="CD132" s="420"/>
      <c r="CE132" s="420"/>
      <c r="CF132" s="420"/>
      <c r="CG132" s="420"/>
      <c r="CH132" s="420"/>
      <c r="CI132" s="420"/>
      <c r="CJ132" s="420"/>
      <c r="CK132" s="420"/>
      <c r="CL132" s="420"/>
      <c r="CM132" s="420"/>
      <c r="CN132" s="420"/>
      <c r="CO132" s="420"/>
      <c r="CP132" s="420"/>
      <c r="CQ132" s="420"/>
      <c r="CR132" s="420"/>
    </row>
    <row r="133" spans="1:96" s="118" customFormat="1" ht="12.75" x14ac:dyDescent="0.2">
      <c r="A133" s="705">
        <v>127</v>
      </c>
      <c r="B133" s="718" t="s">
        <v>137</v>
      </c>
      <c r="C133" s="719" t="s">
        <v>138</v>
      </c>
      <c r="D133" s="708">
        <v>145115</v>
      </c>
      <c r="E133" s="708">
        <v>117283000</v>
      </c>
      <c r="F133" s="133">
        <v>57948852</v>
      </c>
      <c r="G133" s="133">
        <v>-3117094</v>
      </c>
      <c r="H133" s="133">
        <v>1119822</v>
      </c>
      <c r="I133" s="133">
        <v>-1997272</v>
      </c>
      <c r="J133" s="133">
        <v>-4956806</v>
      </c>
      <c r="K133" s="133">
        <v>-21091</v>
      </c>
      <c r="L133" s="133">
        <v>0</v>
      </c>
      <c r="M133" s="133">
        <v>0</v>
      </c>
      <c r="N133" s="133">
        <v>-396071</v>
      </c>
      <c r="O133" s="133">
        <v>-89500</v>
      </c>
      <c r="P133" s="133">
        <v>-36921.43</v>
      </c>
      <c r="Q133" s="133">
        <v>-17906</v>
      </c>
      <c r="R133" s="133">
        <v>0</v>
      </c>
      <c r="S133" s="133">
        <v>0</v>
      </c>
      <c r="T133" s="133">
        <v>0</v>
      </c>
      <c r="U133" s="133">
        <v>0</v>
      </c>
      <c r="V133" s="133">
        <v>0</v>
      </c>
      <c r="W133" s="709"/>
      <c r="X133" s="709"/>
      <c r="Y133" s="709"/>
      <c r="Z133" s="133">
        <v>0</v>
      </c>
      <c r="AA133" s="133">
        <v>0</v>
      </c>
      <c r="AB133" s="133">
        <v>49201410.590000004</v>
      </c>
      <c r="AC133" s="133">
        <v>-3296495</v>
      </c>
      <c r="AD133" s="709"/>
      <c r="AE133" s="710">
        <v>149</v>
      </c>
      <c r="AF133" s="711">
        <v>6</v>
      </c>
      <c r="AG133" s="710">
        <v>0</v>
      </c>
      <c r="AH133" s="710">
        <v>0</v>
      </c>
      <c r="AI133" s="710">
        <v>179</v>
      </c>
      <c r="AJ133" s="710">
        <v>58</v>
      </c>
      <c r="AK133" s="710">
        <v>9</v>
      </c>
      <c r="AL133" s="710">
        <v>0</v>
      </c>
      <c r="AM133" s="710">
        <v>0</v>
      </c>
      <c r="AN133" s="710">
        <v>0</v>
      </c>
      <c r="AO133" s="710">
        <v>0</v>
      </c>
      <c r="AP133" s="711">
        <v>0</v>
      </c>
      <c r="AQ133" s="709"/>
      <c r="AR133" s="709"/>
      <c r="AS133" s="720">
        <v>724</v>
      </c>
      <c r="AT133" s="710">
        <v>965</v>
      </c>
      <c r="AU133" s="710">
        <v>843</v>
      </c>
      <c r="AV133" s="710">
        <v>122</v>
      </c>
      <c r="AW133" s="710">
        <v>1601</v>
      </c>
      <c r="AX133" s="712">
        <v>3226</v>
      </c>
      <c r="AY133" s="683">
        <v>-9012.74</v>
      </c>
      <c r="AZ133" s="713">
        <v>-1225073</v>
      </c>
      <c r="BA133" s="714">
        <v>-1365285</v>
      </c>
      <c r="BB133" s="715">
        <v>18749450</v>
      </c>
      <c r="BC133" s="715">
        <v>0</v>
      </c>
      <c r="BD133" s="716">
        <v>-1365284.9999999981</v>
      </c>
      <c r="BE133" s="420"/>
      <c r="BF133" s="717" t="s">
        <v>138</v>
      </c>
      <c r="BG133" s="118" t="b">
        <v>1</v>
      </c>
      <c r="BH133" s="494"/>
      <c r="BI133" s="420"/>
      <c r="BJ133" s="420"/>
      <c r="BK133" s="420"/>
      <c r="BL133" s="420"/>
      <c r="BM133" s="420"/>
      <c r="BN133" s="420"/>
      <c r="BO133" s="420"/>
      <c r="BP133" s="420"/>
      <c r="BQ133" s="420"/>
      <c r="BR133" s="420"/>
      <c r="BS133" s="420"/>
      <c r="BT133" s="420"/>
      <c r="BU133" s="420"/>
      <c r="BV133" s="420"/>
      <c r="BW133" s="420"/>
      <c r="BX133" s="420"/>
      <c r="BY133" s="420"/>
      <c r="BZ133" s="420"/>
      <c r="CA133" s="420"/>
      <c r="CB133" s="420"/>
      <c r="CC133" s="420"/>
      <c r="CD133" s="420"/>
      <c r="CE133" s="420"/>
      <c r="CF133" s="420"/>
      <c r="CG133" s="420"/>
      <c r="CH133" s="420"/>
      <c r="CI133" s="420"/>
      <c r="CJ133" s="420"/>
      <c r="CK133" s="420"/>
      <c r="CL133" s="420"/>
      <c r="CM133" s="420"/>
      <c r="CN133" s="420"/>
      <c r="CO133" s="420"/>
      <c r="CP133" s="420"/>
      <c r="CQ133" s="420"/>
      <c r="CR133" s="420"/>
    </row>
    <row r="134" spans="1:96" s="118" customFormat="1" ht="12.75" x14ac:dyDescent="0.2">
      <c r="A134" s="705">
        <v>128</v>
      </c>
      <c r="B134" s="718" t="s">
        <v>139</v>
      </c>
      <c r="C134" s="719" t="s">
        <v>140</v>
      </c>
      <c r="D134" s="708">
        <v>132509</v>
      </c>
      <c r="E134" s="708">
        <v>70089000</v>
      </c>
      <c r="F134" s="133">
        <v>34383009</v>
      </c>
      <c r="G134" s="133">
        <v>-4157972</v>
      </c>
      <c r="H134" s="133">
        <v>565161</v>
      </c>
      <c r="I134" s="133">
        <v>-3592811</v>
      </c>
      <c r="J134" s="133">
        <v>-1238364</v>
      </c>
      <c r="K134" s="133">
        <v>-83472</v>
      </c>
      <c r="L134" s="133">
        <v>-10337</v>
      </c>
      <c r="M134" s="133">
        <v>-8273</v>
      </c>
      <c r="N134" s="133">
        <v>-458031</v>
      </c>
      <c r="O134" s="133">
        <v>-39018</v>
      </c>
      <c r="P134" s="133">
        <v>-92402</v>
      </c>
      <c r="Q134" s="133">
        <v>-447</v>
      </c>
      <c r="R134" s="133">
        <v>-3268</v>
      </c>
      <c r="S134" s="133">
        <v>0</v>
      </c>
      <c r="T134" s="133">
        <v>0</v>
      </c>
      <c r="U134" s="133">
        <v>0</v>
      </c>
      <c r="V134" s="133">
        <v>0</v>
      </c>
      <c r="W134" s="709"/>
      <c r="X134" s="709"/>
      <c r="Y134" s="709"/>
      <c r="Z134" s="133">
        <v>-9807</v>
      </c>
      <c r="AA134" s="133">
        <v>0</v>
      </c>
      <c r="AB134" s="133">
        <v>26274596</v>
      </c>
      <c r="AC134" s="133">
        <v>-1111415</v>
      </c>
      <c r="AD134" s="709"/>
      <c r="AE134" s="710">
        <v>179</v>
      </c>
      <c r="AF134" s="711">
        <v>19</v>
      </c>
      <c r="AG134" s="710">
        <v>8</v>
      </c>
      <c r="AH134" s="710">
        <v>0</v>
      </c>
      <c r="AI134" s="710">
        <v>370</v>
      </c>
      <c r="AJ134" s="710">
        <v>49</v>
      </c>
      <c r="AK134" s="710">
        <v>24</v>
      </c>
      <c r="AL134" s="710">
        <v>1</v>
      </c>
      <c r="AM134" s="710">
        <v>2</v>
      </c>
      <c r="AN134" s="710">
        <v>0</v>
      </c>
      <c r="AO134" s="710">
        <v>0</v>
      </c>
      <c r="AP134" s="711">
        <v>0</v>
      </c>
      <c r="AQ134" s="709"/>
      <c r="AR134" s="709"/>
      <c r="AS134" s="720">
        <v>639</v>
      </c>
      <c r="AT134" s="710">
        <v>1873</v>
      </c>
      <c r="AU134" s="710">
        <v>1774</v>
      </c>
      <c r="AV134" s="710">
        <v>99</v>
      </c>
      <c r="AW134" s="710">
        <v>1051</v>
      </c>
      <c r="AX134" s="712">
        <v>3621</v>
      </c>
      <c r="AY134" s="683">
        <v>-51853</v>
      </c>
      <c r="AZ134" s="713">
        <v>258097</v>
      </c>
      <c r="BA134" s="714">
        <v>178468</v>
      </c>
      <c r="BB134" s="715">
        <v>11641900</v>
      </c>
      <c r="BC134" s="715">
        <v>0</v>
      </c>
      <c r="BD134" s="716">
        <v>178467</v>
      </c>
      <c r="BE134" s="420"/>
      <c r="BF134" s="717" t="s">
        <v>140</v>
      </c>
      <c r="BG134" s="118" t="b">
        <v>1</v>
      </c>
      <c r="BH134" s="494"/>
      <c r="BI134" s="420"/>
      <c r="BJ134" s="420"/>
      <c r="BK134" s="420"/>
      <c r="BL134" s="420"/>
      <c r="BM134" s="420"/>
      <c r="BN134" s="420"/>
      <c r="BO134" s="420"/>
      <c r="BP134" s="420"/>
      <c r="BQ134" s="420"/>
      <c r="BR134" s="420"/>
      <c r="BS134" s="420"/>
      <c r="BT134" s="420"/>
      <c r="BU134" s="420"/>
      <c r="BV134" s="420"/>
      <c r="BW134" s="420"/>
      <c r="BX134" s="420"/>
      <c r="BY134" s="420"/>
      <c r="BZ134" s="420"/>
      <c r="CA134" s="420"/>
      <c r="CB134" s="420"/>
      <c r="CC134" s="420"/>
      <c r="CD134" s="420"/>
      <c r="CE134" s="420"/>
      <c r="CF134" s="420"/>
      <c r="CG134" s="420"/>
      <c r="CH134" s="420"/>
      <c r="CI134" s="420"/>
      <c r="CJ134" s="420"/>
      <c r="CK134" s="420"/>
      <c r="CL134" s="420"/>
      <c r="CM134" s="420"/>
      <c r="CN134" s="420"/>
      <c r="CO134" s="420"/>
      <c r="CP134" s="420"/>
      <c r="CQ134" s="420"/>
      <c r="CR134" s="420"/>
    </row>
    <row r="135" spans="1:96" s="118" customFormat="1" ht="12.75" x14ac:dyDescent="0.2">
      <c r="A135" s="705">
        <v>129</v>
      </c>
      <c r="B135" s="718" t="s">
        <v>141</v>
      </c>
      <c r="C135" s="719" t="s">
        <v>142</v>
      </c>
      <c r="D135" s="708">
        <v>573175</v>
      </c>
      <c r="E135" s="708">
        <v>814445000</v>
      </c>
      <c r="F135" s="133">
        <v>402378559</v>
      </c>
      <c r="G135" s="133">
        <v>-6501000</v>
      </c>
      <c r="H135" s="133">
        <v>9859000</v>
      </c>
      <c r="I135" s="133">
        <v>3358000</v>
      </c>
      <c r="J135" s="133">
        <v>-10592000</v>
      </c>
      <c r="K135" s="133">
        <v>-74000</v>
      </c>
      <c r="L135" s="133">
        <v>0</v>
      </c>
      <c r="M135" s="133">
        <v>-75000</v>
      </c>
      <c r="N135" s="133">
        <v>-11911000</v>
      </c>
      <c r="O135" s="133">
        <v>-244000</v>
      </c>
      <c r="P135" s="133">
        <v>0</v>
      </c>
      <c r="Q135" s="133">
        <v>0</v>
      </c>
      <c r="R135" s="133">
        <v>0</v>
      </c>
      <c r="S135" s="133">
        <v>0</v>
      </c>
      <c r="T135" s="133">
        <v>0</v>
      </c>
      <c r="U135" s="133">
        <v>0</v>
      </c>
      <c r="V135" s="133">
        <v>0</v>
      </c>
      <c r="W135" s="709"/>
      <c r="X135" s="709"/>
      <c r="Y135" s="709"/>
      <c r="Z135" s="133">
        <v>0</v>
      </c>
      <c r="AA135" s="133">
        <v>0</v>
      </c>
      <c r="AB135" s="133">
        <v>392776732</v>
      </c>
      <c r="AC135" s="133">
        <v>-6400000</v>
      </c>
      <c r="AD135" s="709"/>
      <c r="AE135" s="710">
        <v>294</v>
      </c>
      <c r="AF135" s="711">
        <v>13</v>
      </c>
      <c r="AG135" s="710">
        <v>0</v>
      </c>
      <c r="AH135" s="710">
        <v>0</v>
      </c>
      <c r="AI135" s="710">
        <v>532</v>
      </c>
      <c r="AJ135" s="710">
        <v>162</v>
      </c>
      <c r="AK135" s="710">
        <v>0</v>
      </c>
      <c r="AL135" s="710">
        <v>0</v>
      </c>
      <c r="AM135" s="710">
        <v>0</v>
      </c>
      <c r="AN135" s="710">
        <v>0</v>
      </c>
      <c r="AO135" s="710">
        <v>0</v>
      </c>
      <c r="AP135" s="711">
        <v>0</v>
      </c>
      <c r="AQ135" s="709"/>
      <c r="AR135" s="709"/>
      <c r="AS135" s="720">
        <v>2820</v>
      </c>
      <c r="AT135" s="710">
        <v>2314</v>
      </c>
      <c r="AU135" s="710">
        <v>1884</v>
      </c>
      <c r="AV135" s="710">
        <v>430</v>
      </c>
      <c r="AW135" s="710">
        <v>3653</v>
      </c>
      <c r="AX135" s="712">
        <v>8995</v>
      </c>
      <c r="AY135" s="683">
        <v>-37000</v>
      </c>
      <c r="AZ135" s="713">
        <v>582367</v>
      </c>
      <c r="BA135" s="714">
        <v>-2015270</v>
      </c>
      <c r="BB135" s="715">
        <v>23676200</v>
      </c>
      <c r="BC135" s="715">
        <v>0</v>
      </c>
      <c r="BD135" s="716">
        <v>-2015270</v>
      </c>
      <c r="BE135" s="420"/>
      <c r="BF135" s="717" t="s">
        <v>142</v>
      </c>
      <c r="BG135" s="118" t="b">
        <v>1</v>
      </c>
      <c r="BH135" s="494"/>
      <c r="BI135" s="420"/>
      <c r="BJ135" s="420"/>
      <c r="BK135" s="420"/>
      <c r="BL135" s="420"/>
      <c r="BM135" s="420"/>
      <c r="BN135" s="420"/>
      <c r="BO135" s="420"/>
      <c r="BP135" s="420"/>
      <c r="BQ135" s="420"/>
      <c r="BR135" s="420"/>
      <c r="BS135" s="420"/>
      <c r="BT135" s="420"/>
      <c r="BU135" s="420"/>
      <c r="BV135" s="420"/>
      <c r="BW135" s="420"/>
      <c r="BX135" s="420"/>
      <c r="BY135" s="420"/>
      <c r="BZ135" s="420"/>
      <c r="CA135" s="420"/>
      <c r="CB135" s="420"/>
      <c r="CC135" s="420"/>
      <c r="CD135" s="420"/>
      <c r="CE135" s="420"/>
      <c r="CF135" s="420"/>
      <c r="CG135" s="420"/>
      <c r="CH135" s="420"/>
      <c r="CI135" s="420"/>
      <c r="CJ135" s="420"/>
      <c r="CK135" s="420"/>
      <c r="CL135" s="420"/>
      <c r="CM135" s="420"/>
      <c r="CN135" s="420"/>
      <c r="CO135" s="420"/>
      <c r="CP135" s="420"/>
      <c r="CQ135" s="420"/>
      <c r="CR135" s="420"/>
    </row>
    <row r="136" spans="1:96" s="118" customFormat="1" ht="12.75" x14ac:dyDescent="0.2">
      <c r="A136" s="705">
        <v>130</v>
      </c>
      <c r="B136" s="718" t="s">
        <v>143</v>
      </c>
      <c r="C136" s="719" t="s">
        <v>144</v>
      </c>
      <c r="D136" s="708">
        <v>123846</v>
      </c>
      <c r="E136" s="708">
        <v>85015000</v>
      </c>
      <c r="F136" s="133">
        <v>42047959</v>
      </c>
      <c r="G136" s="133">
        <v>-3991670</v>
      </c>
      <c r="H136" s="133">
        <v>754377</v>
      </c>
      <c r="I136" s="133">
        <v>-3237293</v>
      </c>
      <c r="J136" s="133">
        <v>-2564925</v>
      </c>
      <c r="K136" s="133">
        <v>-6290</v>
      </c>
      <c r="L136" s="133">
        <v>-5947</v>
      </c>
      <c r="M136" s="133">
        <v>-50000</v>
      </c>
      <c r="N136" s="133">
        <v>-329995</v>
      </c>
      <c r="O136" s="133">
        <v>-66698</v>
      </c>
      <c r="P136" s="133">
        <v>-83377</v>
      </c>
      <c r="Q136" s="133">
        <v>-1572</v>
      </c>
      <c r="R136" s="133">
        <v>0</v>
      </c>
      <c r="S136" s="133">
        <v>0</v>
      </c>
      <c r="T136" s="133">
        <v>-193704</v>
      </c>
      <c r="U136" s="133">
        <v>-193704</v>
      </c>
      <c r="V136" s="133">
        <v>0</v>
      </c>
      <c r="W136" s="709"/>
      <c r="X136" s="709"/>
      <c r="Y136" s="709"/>
      <c r="Z136" s="133">
        <v>-3626</v>
      </c>
      <c r="AA136" s="133">
        <v>-581</v>
      </c>
      <c r="AB136" s="133">
        <v>34209196</v>
      </c>
      <c r="AC136" s="133">
        <v>-1027775</v>
      </c>
      <c r="AD136" s="709"/>
      <c r="AE136" s="710">
        <v>124</v>
      </c>
      <c r="AF136" s="711">
        <v>2</v>
      </c>
      <c r="AG136" s="710">
        <v>5</v>
      </c>
      <c r="AH136" s="710">
        <v>0</v>
      </c>
      <c r="AI136" s="710">
        <v>109</v>
      </c>
      <c r="AJ136" s="710">
        <v>68</v>
      </c>
      <c r="AK136" s="710">
        <v>18</v>
      </c>
      <c r="AL136" s="710">
        <v>2</v>
      </c>
      <c r="AM136" s="710">
        <v>3</v>
      </c>
      <c r="AN136" s="710">
        <v>0</v>
      </c>
      <c r="AO136" s="710">
        <v>18</v>
      </c>
      <c r="AP136" s="711">
        <v>2</v>
      </c>
      <c r="AQ136" s="709"/>
      <c r="AR136" s="709"/>
      <c r="AS136" s="720">
        <v>538</v>
      </c>
      <c r="AT136" s="710">
        <v>1495</v>
      </c>
      <c r="AU136" s="710">
        <v>1402</v>
      </c>
      <c r="AV136" s="710">
        <v>93</v>
      </c>
      <c r="AW136" s="710">
        <v>1134</v>
      </c>
      <c r="AX136" s="712">
        <v>3195</v>
      </c>
      <c r="AY136" s="683">
        <v>-47068</v>
      </c>
      <c r="AZ136" s="713">
        <v>-642327</v>
      </c>
      <c r="BA136" s="714">
        <v>-488416</v>
      </c>
      <c r="BB136" s="715">
        <v>12012225</v>
      </c>
      <c r="BC136" s="715">
        <v>129000</v>
      </c>
      <c r="BD136" s="716">
        <v>-488416</v>
      </c>
      <c r="BE136" s="420"/>
      <c r="BF136" s="717" t="s">
        <v>144</v>
      </c>
      <c r="BG136" s="118" t="b">
        <v>1</v>
      </c>
      <c r="BH136" s="494"/>
      <c r="BI136" s="420"/>
      <c r="BJ136" s="420"/>
      <c r="BK136" s="420"/>
      <c r="BL136" s="420"/>
      <c r="BM136" s="420"/>
      <c r="BN136" s="420"/>
      <c r="BO136" s="420"/>
      <c r="BP136" s="420"/>
      <c r="BQ136" s="420"/>
      <c r="BR136" s="420"/>
      <c r="BS136" s="420"/>
      <c r="BT136" s="420"/>
      <c r="BU136" s="420"/>
      <c r="BV136" s="420"/>
      <c r="BW136" s="420"/>
      <c r="BX136" s="420"/>
      <c r="BY136" s="420"/>
      <c r="BZ136" s="420"/>
      <c r="CA136" s="420"/>
      <c r="CB136" s="420"/>
      <c r="CC136" s="420"/>
      <c r="CD136" s="420"/>
      <c r="CE136" s="420"/>
      <c r="CF136" s="420"/>
      <c r="CG136" s="420"/>
      <c r="CH136" s="420"/>
      <c r="CI136" s="420"/>
      <c r="CJ136" s="420"/>
      <c r="CK136" s="420"/>
      <c r="CL136" s="420"/>
      <c r="CM136" s="420"/>
      <c r="CN136" s="420"/>
      <c r="CO136" s="420"/>
      <c r="CP136" s="420"/>
      <c r="CQ136" s="420"/>
      <c r="CR136" s="420"/>
    </row>
    <row r="137" spans="1:96" s="118" customFormat="1" ht="12.75" x14ac:dyDescent="0.2">
      <c r="A137" s="705">
        <v>131</v>
      </c>
      <c r="B137" s="718" t="s">
        <v>145</v>
      </c>
      <c r="C137" s="719" t="s">
        <v>146</v>
      </c>
      <c r="D137" s="708">
        <v>181481</v>
      </c>
      <c r="E137" s="708">
        <v>111725000</v>
      </c>
      <c r="F137" s="133">
        <v>55609689</v>
      </c>
      <c r="G137" s="133">
        <v>-5025114</v>
      </c>
      <c r="H137" s="133">
        <v>917361</v>
      </c>
      <c r="I137" s="133">
        <v>-4107753</v>
      </c>
      <c r="J137" s="133">
        <v>-3495232</v>
      </c>
      <c r="K137" s="133">
        <v>-61096</v>
      </c>
      <c r="L137" s="133">
        <v>-9480</v>
      </c>
      <c r="M137" s="133">
        <v>0</v>
      </c>
      <c r="N137" s="133">
        <v>-765095</v>
      </c>
      <c r="O137" s="133">
        <v>-55465</v>
      </c>
      <c r="P137" s="133">
        <v>-466811</v>
      </c>
      <c r="Q137" s="133">
        <v>-2752</v>
      </c>
      <c r="R137" s="133">
        <v>0</v>
      </c>
      <c r="S137" s="133">
        <v>0</v>
      </c>
      <c r="T137" s="133">
        <v>0</v>
      </c>
      <c r="U137" s="133">
        <v>0</v>
      </c>
      <c r="V137" s="133">
        <v>0</v>
      </c>
      <c r="W137" s="709"/>
      <c r="X137" s="709"/>
      <c r="Y137" s="709"/>
      <c r="Z137" s="133">
        <v>-9480</v>
      </c>
      <c r="AA137" s="133">
        <v>0</v>
      </c>
      <c r="AB137" s="133">
        <v>45311735</v>
      </c>
      <c r="AC137" s="133">
        <v>-2129650</v>
      </c>
      <c r="AD137" s="709"/>
      <c r="AE137" s="710">
        <v>215</v>
      </c>
      <c r="AF137" s="711">
        <v>11</v>
      </c>
      <c r="AG137" s="710">
        <v>7</v>
      </c>
      <c r="AH137" s="710">
        <v>0</v>
      </c>
      <c r="AI137" s="710">
        <v>239</v>
      </c>
      <c r="AJ137" s="710">
        <v>39</v>
      </c>
      <c r="AK137" s="710">
        <v>6</v>
      </c>
      <c r="AL137" s="710">
        <v>5</v>
      </c>
      <c r="AM137" s="710">
        <v>0</v>
      </c>
      <c r="AN137" s="710">
        <v>0</v>
      </c>
      <c r="AO137" s="710">
        <v>0</v>
      </c>
      <c r="AP137" s="711">
        <v>0</v>
      </c>
      <c r="AQ137" s="709"/>
      <c r="AR137" s="709"/>
      <c r="AS137" s="720">
        <v>814</v>
      </c>
      <c r="AT137" s="710">
        <v>1852</v>
      </c>
      <c r="AU137" s="710">
        <v>1725</v>
      </c>
      <c r="AV137" s="710">
        <v>127</v>
      </c>
      <c r="AW137" s="710">
        <v>2186</v>
      </c>
      <c r="AX137" s="712">
        <v>4812</v>
      </c>
      <c r="AY137" s="683">
        <v>-37175</v>
      </c>
      <c r="AZ137" s="713">
        <v>-34202</v>
      </c>
      <c r="BA137" s="714">
        <v>-2739153</v>
      </c>
      <c r="BB137" s="715">
        <v>22667625</v>
      </c>
      <c r="BC137" s="715">
        <v>0</v>
      </c>
      <c r="BD137" s="716">
        <v>-2739152.4700000016</v>
      </c>
      <c r="BE137" s="420"/>
      <c r="BF137" s="717" t="s">
        <v>146</v>
      </c>
      <c r="BG137" s="118" t="b">
        <v>1</v>
      </c>
      <c r="BH137" s="494"/>
      <c r="BI137" s="420"/>
      <c r="BJ137" s="420"/>
      <c r="BK137" s="420"/>
      <c r="BL137" s="420"/>
      <c r="BM137" s="420"/>
      <c r="BN137" s="420"/>
      <c r="BO137" s="420"/>
      <c r="BP137" s="420"/>
      <c r="BQ137" s="420"/>
      <c r="BR137" s="420"/>
      <c r="BS137" s="420"/>
      <c r="BT137" s="420"/>
      <c r="BU137" s="420"/>
      <c r="BV137" s="420"/>
      <c r="BW137" s="420"/>
      <c r="BX137" s="420"/>
      <c r="BY137" s="420"/>
      <c r="BZ137" s="420"/>
      <c r="CA137" s="420"/>
      <c r="CB137" s="420"/>
      <c r="CC137" s="420"/>
      <c r="CD137" s="420"/>
      <c r="CE137" s="420"/>
      <c r="CF137" s="420"/>
      <c r="CG137" s="420"/>
      <c r="CH137" s="420"/>
      <c r="CI137" s="420"/>
      <c r="CJ137" s="420"/>
      <c r="CK137" s="420"/>
      <c r="CL137" s="420"/>
      <c r="CM137" s="420"/>
      <c r="CN137" s="420"/>
      <c r="CO137" s="420"/>
      <c r="CP137" s="420"/>
      <c r="CQ137" s="420"/>
      <c r="CR137" s="420"/>
    </row>
    <row r="138" spans="1:96" s="118" customFormat="1" ht="12.75" x14ac:dyDescent="0.2">
      <c r="A138" s="705">
        <v>132</v>
      </c>
      <c r="B138" s="718" t="s">
        <v>147</v>
      </c>
      <c r="C138" s="719" t="s">
        <v>148</v>
      </c>
      <c r="D138" s="708">
        <v>408310</v>
      </c>
      <c r="E138" s="708">
        <v>463271000</v>
      </c>
      <c r="F138" s="133">
        <v>225502657</v>
      </c>
      <c r="G138" s="133">
        <v>-5534450</v>
      </c>
      <c r="H138" s="133">
        <v>5103723</v>
      </c>
      <c r="I138" s="133">
        <v>-430727</v>
      </c>
      <c r="J138" s="133">
        <v>-6638495</v>
      </c>
      <c r="K138" s="133">
        <v>-55747</v>
      </c>
      <c r="L138" s="133">
        <v>0</v>
      </c>
      <c r="M138" s="133">
        <v>0</v>
      </c>
      <c r="N138" s="133">
        <v>-6594506</v>
      </c>
      <c r="O138" s="133">
        <v>-326865</v>
      </c>
      <c r="P138" s="133">
        <v>-137592</v>
      </c>
      <c r="Q138" s="133">
        <v>-2057</v>
      </c>
      <c r="R138" s="133">
        <v>0</v>
      </c>
      <c r="S138" s="133">
        <v>0</v>
      </c>
      <c r="T138" s="133">
        <v>0</v>
      </c>
      <c r="U138" s="133">
        <v>0</v>
      </c>
      <c r="V138" s="133">
        <v>0</v>
      </c>
      <c r="W138" s="709"/>
      <c r="X138" s="709"/>
      <c r="Y138" s="709"/>
      <c r="Z138" s="133">
        <v>0</v>
      </c>
      <c r="AA138" s="133">
        <v>0</v>
      </c>
      <c r="AB138" s="133">
        <v>206913785</v>
      </c>
      <c r="AC138" s="133">
        <v>-1400000</v>
      </c>
      <c r="AD138" s="709"/>
      <c r="AE138" s="710">
        <v>265</v>
      </c>
      <c r="AF138" s="711">
        <v>10</v>
      </c>
      <c r="AG138" s="710">
        <v>0</v>
      </c>
      <c r="AH138" s="710">
        <v>0</v>
      </c>
      <c r="AI138" s="710">
        <v>262</v>
      </c>
      <c r="AJ138" s="710">
        <v>76</v>
      </c>
      <c r="AK138" s="710">
        <v>9</v>
      </c>
      <c r="AL138" s="710">
        <v>1</v>
      </c>
      <c r="AM138" s="710">
        <v>0</v>
      </c>
      <c r="AN138" s="710">
        <v>0</v>
      </c>
      <c r="AO138" s="710">
        <v>0</v>
      </c>
      <c r="AP138" s="711">
        <v>0</v>
      </c>
      <c r="AQ138" s="709"/>
      <c r="AR138" s="709"/>
      <c r="AS138" s="720">
        <v>2358</v>
      </c>
      <c r="AT138" s="710">
        <v>1678</v>
      </c>
      <c r="AU138" s="710">
        <v>1479</v>
      </c>
      <c r="AV138" s="710">
        <v>199</v>
      </c>
      <c r="AW138" s="710">
        <v>3093</v>
      </c>
      <c r="AX138" s="712">
        <v>7514</v>
      </c>
      <c r="AY138" s="683">
        <v>-20830</v>
      </c>
      <c r="AZ138" s="713">
        <v>-20138503.25999999</v>
      </c>
      <c r="BA138" s="714">
        <v>-22697566</v>
      </c>
      <c r="BB138" s="715">
        <v>32027300</v>
      </c>
      <c r="BC138" s="715">
        <v>0</v>
      </c>
      <c r="BD138" s="716">
        <v>-22697566.300000001</v>
      </c>
      <c r="BE138" s="420"/>
      <c r="BF138" s="717" t="s">
        <v>148</v>
      </c>
      <c r="BG138" s="118" t="b">
        <v>1</v>
      </c>
      <c r="BH138" s="494"/>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row>
    <row r="139" spans="1:96" s="118" customFormat="1" ht="12.75" x14ac:dyDescent="0.2">
      <c r="A139" s="705">
        <v>133</v>
      </c>
      <c r="B139" s="718" t="s">
        <v>149</v>
      </c>
      <c r="C139" s="719" t="s">
        <v>150</v>
      </c>
      <c r="D139" s="708">
        <v>218087</v>
      </c>
      <c r="E139" s="708">
        <v>152275000</v>
      </c>
      <c r="F139" s="133">
        <v>73947990</v>
      </c>
      <c r="G139" s="133">
        <v>-5307367</v>
      </c>
      <c r="H139" s="133">
        <v>1295088</v>
      </c>
      <c r="I139" s="133">
        <v>-4012279</v>
      </c>
      <c r="J139" s="133">
        <v>-3454350</v>
      </c>
      <c r="K139" s="133">
        <v>-232616</v>
      </c>
      <c r="L139" s="133">
        <v>-32710</v>
      </c>
      <c r="M139" s="133">
        <v>0</v>
      </c>
      <c r="N139" s="133">
        <v>-1442333</v>
      </c>
      <c r="O139" s="133">
        <v>-7248</v>
      </c>
      <c r="P139" s="133">
        <v>-27899</v>
      </c>
      <c r="Q139" s="133">
        <v>0</v>
      </c>
      <c r="R139" s="133">
        <v>0</v>
      </c>
      <c r="S139" s="133">
        <v>0</v>
      </c>
      <c r="T139" s="133">
        <v>-209234</v>
      </c>
      <c r="U139" s="133">
        <v>-209234</v>
      </c>
      <c r="V139" s="133">
        <v>0</v>
      </c>
      <c r="W139" s="709"/>
      <c r="X139" s="709"/>
      <c r="Y139" s="709"/>
      <c r="Z139" s="133">
        <v>-32710</v>
      </c>
      <c r="AA139" s="133">
        <v>0</v>
      </c>
      <c r="AB139" s="133">
        <v>63258236</v>
      </c>
      <c r="AC139" s="133">
        <v>-2650000</v>
      </c>
      <c r="AD139" s="709"/>
      <c r="AE139" s="710">
        <v>299</v>
      </c>
      <c r="AF139" s="711">
        <v>26</v>
      </c>
      <c r="AG139" s="710">
        <v>28</v>
      </c>
      <c r="AH139" s="710">
        <v>0</v>
      </c>
      <c r="AI139" s="710">
        <v>163</v>
      </c>
      <c r="AJ139" s="710">
        <v>0</v>
      </c>
      <c r="AK139" s="710">
        <v>7</v>
      </c>
      <c r="AL139" s="710">
        <v>0</v>
      </c>
      <c r="AM139" s="710">
        <v>0</v>
      </c>
      <c r="AN139" s="710">
        <v>0</v>
      </c>
      <c r="AO139" s="710">
        <v>21</v>
      </c>
      <c r="AP139" s="711">
        <v>0</v>
      </c>
      <c r="AQ139" s="709"/>
      <c r="AR139" s="709"/>
      <c r="AS139" s="720">
        <v>1310</v>
      </c>
      <c r="AT139" s="710">
        <v>1851</v>
      </c>
      <c r="AU139" s="710">
        <v>1702</v>
      </c>
      <c r="AV139" s="710">
        <v>149</v>
      </c>
      <c r="AW139" s="710">
        <v>1941</v>
      </c>
      <c r="AX139" s="712">
        <v>5381</v>
      </c>
      <c r="AY139" s="683">
        <v>-35202</v>
      </c>
      <c r="AZ139" s="713">
        <v>1587969</v>
      </c>
      <c r="BA139" s="714">
        <v>400838</v>
      </c>
      <c r="BB139" s="715">
        <v>26052051</v>
      </c>
      <c r="BC139" s="715">
        <v>188750</v>
      </c>
      <c r="BD139" s="716">
        <v>1455802</v>
      </c>
      <c r="BE139" s="420"/>
      <c r="BF139" s="717" t="s">
        <v>150</v>
      </c>
      <c r="BG139" s="118" t="b">
        <v>1</v>
      </c>
      <c r="BH139" s="494"/>
      <c r="BI139" s="420"/>
      <c r="BJ139" s="420"/>
      <c r="BK139" s="420"/>
      <c r="BL139" s="420"/>
      <c r="BM139" s="420"/>
      <c r="BN139" s="420"/>
      <c r="BO139" s="420"/>
      <c r="BP139" s="420"/>
      <c r="BQ139" s="420"/>
      <c r="BR139" s="420"/>
      <c r="BS139" s="420"/>
      <c r="BT139" s="420"/>
      <c r="BU139" s="420"/>
      <c r="BV139" s="420"/>
      <c r="BW139" s="420"/>
      <c r="BX139" s="420"/>
      <c r="BY139" s="420"/>
      <c r="BZ139" s="420"/>
      <c r="CA139" s="420"/>
      <c r="CB139" s="420"/>
      <c r="CC139" s="420"/>
      <c r="CD139" s="420"/>
      <c r="CE139" s="420"/>
      <c r="CF139" s="420"/>
      <c r="CG139" s="420"/>
      <c r="CH139" s="420"/>
      <c r="CI139" s="420"/>
      <c r="CJ139" s="420"/>
      <c r="CK139" s="420"/>
      <c r="CL139" s="420"/>
      <c r="CM139" s="420"/>
      <c r="CN139" s="420"/>
      <c r="CO139" s="420"/>
      <c r="CP139" s="420"/>
      <c r="CQ139" s="420"/>
      <c r="CR139" s="420"/>
    </row>
    <row r="140" spans="1:96" s="118" customFormat="1" ht="12.75" x14ac:dyDescent="0.2">
      <c r="A140" s="705">
        <v>134</v>
      </c>
      <c r="B140" s="718" t="s">
        <v>151</v>
      </c>
      <c r="C140" s="719" t="s">
        <v>152</v>
      </c>
      <c r="D140" s="708">
        <v>121029</v>
      </c>
      <c r="E140" s="708">
        <v>56182000</v>
      </c>
      <c r="F140" s="133">
        <v>27418913</v>
      </c>
      <c r="G140" s="133">
        <v>-3847479</v>
      </c>
      <c r="H140" s="133">
        <v>472002</v>
      </c>
      <c r="I140" s="133">
        <v>-3375477</v>
      </c>
      <c r="J140" s="133">
        <v>-1417276</v>
      </c>
      <c r="K140" s="133">
        <v>-51764</v>
      </c>
      <c r="L140" s="133">
        <v>0</v>
      </c>
      <c r="M140" s="133">
        <v>-349</v>
      </c>
      <c r="N140" s="133">
        <v>-1564787</v>
      </c>
      <c r="O140" s="133">
        <v>-120276</v>
      </c>
      <c r="P140" s="133">
        <v>-80999</v>
      </c>
      <c r="Q140" s="133">
        <v>0</v>
      </c>
      <c r="R140" s="133">
        <v>0</v>
      </c>
      <c r="S140" s="133">
        <v>0</v>
      </c>
      <c r="T140" s="133">
        <v>0</v>
      </c>
      <c r="U140" s="133">
        <v>0</v>
      </c>
      <c r="V140" s="133">
        <v>0</v>
      </c>
      <c r="W140" s="709"/>
      <c r="X140" s="709"/>
      <c r="Y140" s="709"/>
      <c r="Z140" s="133">
        <v>0</v>
      </c>
      <c r="AA140" s="133">
        <v>0</v>
      </c>
      <c r="AB140" s="133">
        <v>19540586</v>
      </c>
      <c r="AC140" s="133">
        <v>-1954058</v>
      </c>
      <c r="AD140" s="709"/>
      <c r="AE140" s="710">
        <v>147</v>
      </c>
      <c r="AF140" s="711">
        <v>0</v>
      </c>
      <c r="AG140" s="710">
        <v>0</v>
      </c>
      <c r="AH140" s="710">
        <v>1</v>
      </c>
      <c r="AI140" s="710">
        <v>551</v>
      </c>
      <c r="AJ140" s="710">
        <v>85</v>
      </c>
      <c r="AK140" s="710">
        <v>28</v>
      </c>
      <c r="AL140" s="710">
        <v>0</v>
      </c>
      <c r="AM140" s="710">
        <v>0</v>
      </c>
      <c r="AN140" s="710">
        <v>0</v>
      </c>
      <c r="AO140" s="710">
        <v>0</v>
      </c>
      <c r="AP140" s="711">
        <v>0</v>
      </c>
      <c r="AQ140" s="709"/>
      <c r="AR140" s="709"/>
      <c r="AS140" s="720">
        <v>836</v>
      </c>
      <c r="AT140" s="710">
        <v>1711</v>
      </c>
      <c r="AU140" s="710">
        <v>1668</v>
      </c>
      <c r="AV140" s="710">
        <v>43</v>
      </c>
      <c r="AW140" s="710">
        <v>842</v>
      </c>
      <c r="AX140" s="712">
        <v>3384</v>
      </c>
      <c r="AY140" s="683">
        <v>-7194</v>
      </c>
      <c r="AZ140" s="713">
        <v>455496</v>
      </c>
      <c r="BA140" s="714">
        <v>830980</v>
      </c>
      <c r="BB140" s="715">
        <v>7387750</v>
      </c>
      <c r="BC140" s="715">
        <v>0</v>
      </c>
      <c r="BD140" s="716">
        <v>830977.80000000075</v>
      </c>
      <c r="BE140" s="420"/>
      <c r="BF140" s="717" t="s">
        <v>152</v>
      </c>
      <c r="BG140" s="118" t="b">
        <v>1</v>
      </c>
      <c r="BH140" s="494"/>
      <c r="BI140" s="420"/>
      <c r="BJ140" s="420"/>
      <c r="BK140" s="420"/>
      <c r="BL140" s="420"/>
      <c r="BM140" s="420"/>
      <c r="BN140" s="420"/>
      <c r="BO140" s="420"/>
      <c r="BP140" s="420"/>
      <c r="BQ140" s="420"/>
      <c r="BR140" s="420"/>
      <c r="BS140" s="420"/>
      <c r="BT140" s="420"/>
      <c r="BU140" s="420"/>
      <c r="BV140" s="420"/>
      <c r="BW140" s="420"/>
      <c r="BX140" s="420"/>
      <c r="BY140" s="420"/>
      <c r="BZ140" s="420"/>
      <c r="CA140" s="420"/>
      <c r="CB140" s="420"/>
      <c r="CC140" s="420"/>
      <c r="CD140" s="420"/>
      <c r="CE140" s="420"/>
      <c r="CF140" s="420"/>
      <c r="CG140" s="420"/>
      <c r="CH140" s="420"/>
      <c r="CI140" s="420"/>
      <c r="CJ140" s="420"/>
      <c r="CK140" s="420"/>
      <c r="CL140" s="420"/>
      <c r="CM140" s="420"/>
      <c r="CN140" s="420"/>
      <c r="CO140" s="420"/>
      <c r="CP140" s="420"/>
      <c r="CQ140" s="420"/>
      <c r="CR140" s="420"/>
    </row>
    <row r="141" spans="1:96" s="118" customFormat="1" ht="12.75" x14ac:dyDescent="0.2">
      <c r="A141" s="705">
        <v>135</v>
      </c>
      <c r="B141" s="718" t="s">
        <v>153</v>
      </c>
      <c r="C141" s="719" t="s">
        <v>154</v>
      </c>
      <c r="D141" s="708">
        <v>187142</v>
      </c>
      <c r="E141" s="708">
        <v>137296000</v>
      </c>
      <c r="F141" s="133">
        <v>67717363</v>
      </c>
      <c r="G141" s="133">
        <v>-4316415</v>
      </c>
      <c r="H141" s="133">
        <v>1315134</v>
      </c>
      <c r="I141" s="133">
        <v>-3001281</v>
      </c>
      <c r="J141" s="133">
        <v>-4657585</v>
      </c>
      <c r="K141" s="133">
        <v>-106252</v>
      </c>
      <c r="L141" s="133">
        <v>0</v>
      </c>
      <c r="M141" s="133">
        <v>-295</v>
      </c>
      <c r="N141" s="133">
        <v>-1401543</v>
      </c>
      <c r="O141" s="133">
        <v>-141108</v>
      </c>
      <c r="P141" s="133">
        <v>-45328</v>
      </c>
      <c r="Q141" s="133">
        <v>0</v>
      </c>
      <c r="R141" s="133">
        <v>0</v>
      </c>
      <c r="S141" s="133">
        <v>0</v>
      </c>
      <c r="T141" s="133">
        <v>-149938</v>
      </c>
      <c r="U141" s="133">
        <v>-149938</v>
      </c>
      <c r="V141" s="133">
        <v>0</v>
      </c>
      <c r="W141" s="709"/>
      <c r="X141" s="709"/>
      <c r="Y141" s="709"/>
      <c r="Z141" s="133">
        <v>0</v>
      </c>
      <c r="AA141" s="133">
        <v>-1500</v>
      </c>
      <c r="AB141" s="133">
        <v>57250781</v>
      </c>
      <c r="AC141" s="133">
        <v>-1941505</v>
      </c>
      <c r="AD141" s="709"/>
      <c r="AE141" s="710">
        <v>303</v>
      </c>
      <c r="AF141" s="711">
        <v>4</v>
      </c>
      <c r="AG141" s="710">
        <v>0</v>
      </c>
      <c r="AH141" s="710">
        <v>1</v>
      </c>
      <c r="AI141" s="710">
        <v>471</v>
      </c>
      <c r="AJ141" s="710">
        <v>58</v>
      </c>
      <c r="AK141" s="710">
        <v>17</v>
      </c>
      <c r="AL141" s="710">
        <v>0</v>
      </c>
      <c r="AM141" s="710">
        <v>0</v>
      </c>
      <c r="AN141" s="710">
        <v>0</v>
      </c>
      <c r="AO141" s="710">
        <v>13</v>
      </c>
      <c r="AP141" s="711">
        <v>0</v>
      </c>
      <c r="AQ141" s="709"/>
      <c r="AR141" s="709"/>
      <c r="AS141" s="720">
        <v>1527</v>
      </c>
      <c r="AT141" s="710">
        <v>1517</v>
      </c>
      <c r="AU141" s="710">
        <v>1421</v>
      </c>
      <c r="AV141" s="710">
        <v>96</v>
      </c>
      <c r="AW141" s="710">
        <v>1656</v>
      </c>
      <c r="AX141" s="712">
        <v>4722</v>
      </c>
      <c r="AY141" s="683">
        <v>-5262</v>
      </c>
      <c r="AZ141" s="713">
        <v>-1906573</v>
      </c>
      <c r="BA141" s="714">
        <v>-3098392</v>
      </c>
      <c r="BB141" s="715">
        <v>18010450</v>
      </c>
      <c r="BC141" s="715">
        <v>147250</v>
      </c>
      <c r="BD141" s="716">
        <v>-3098391.3999999985</v>
      </c>
      <c r="BE141" s="420"/>
      <c r="BF141" s="717" t="s">
        <v>154</v>
      </c>
      <c r="BG141" s="118" t="b">
        <v>1</v>
      </c>
      <c r="BH141" s="494"/>
      <c r="BI141" s="420"/>
      <c r="BJ141" s="420"/>
      <c r="BK141" s="420"/>
      <c r="BL141" s="420"/>
      <c r="BM141" s="420"/>
      <c r="BN141" s="420"/>
      <c r="BO141" s="420"/>
      <c r="BP141" s="420"/>
      <c r="BQ141" s="420"/>
      <c r="BR141" s="420"/>
      <c r="BS141" s="420"/>
      <c r="BT141" s="420"/>
      <c r="BU141" s="420"/>
      <c r="BV141" s="420"/>
      <c r="BW141" s="420"/>
      <c r="BX141" s="420"/>
      <c r="BY141" s="420"/>
      <c r="BZ141" s="420"/>
      <c r="CA141" s="420"/>
      <c r="CB141" s="420"/>
      <c r="CC141" s="420"/>
      <c r="CD141" s="420"/>
      <c r="CE141" s="420"/>
      <c r="CF141" s="420"/>
      <c r="CG141" s="420"/>
      <c r="CH141" s="420"/>
      <c r="CI141" s="420"/>
      <c r="CJ141" s="420"/>
      <c r="CK141" s="420"/>
      <c r="CL141" s="420"/>
      <c r="CM141" s="420"/>
      <c r="CN141" s="420"/>
      <c r="CO141" s="420"/>
      <c r="CP141" s="420"/>
      <c r="CQ141" s="420"/>
      <c r="CR141" s="420"/>
    </row>
    <row r="142" spans="1:96" s="118" customFormat="1" ht="12.75" x14ac:dyDescent="0.2">
      <c r="A142" s="705">
        <v>136</v>
      </c>
      <c r="B142" s="718" t="s">
        <v>912</v>
      </c>
      <c r="C142" s="719" t="s">
        <v>156</v>
      </c>
      <c r="D142" s="708">
        <v>266205</v>
      </c>
      <c r="E142" s="708">
        <v>111407000</v>
      </c>
      <c r="F142" s="133">
        <v>54296462</v>
      </c>
      <c r="G142" s="133">
        <v>-8025049</v>
      </c>
      <c r="H142" s="133">
        <v>853238</v>
      </c>
      <c r="I142" s="133">
        <v>-7171811</v>
      </c>
      <c r="J142" s="133">
        <v>-3600915</v>
      </c>
      <c r="K142" s="133">
        <v>-106999</v>
      </c>
      <c r="L142" s="133">
        <v>0</v>
      </c>
      <c r="M142" s="133">
        <v>-10000</v>
      </c>
      <c r="N142" s="133">
        <v>-882508</v>
      </c>
      <c r="O142" s="133">
        <v>-144743</v>
      </c>
      <c r="P142" s="133">
        <v>-61420</v>
      </c>
      <c r="Q142" s="133">
        <v>-958</v>
      </c>
      <c r="R142" s="133">
        <v>0</v>
      </c>
      <c r="S142" s="133">
        <v>0</v>
      </c>
      <c r="T142" s="133">
        <v>-22000</v>
      </c>
      <c r="U142" s="133">
        <v>0</v>
      </c>
      <c r="V142" s="133">
        <v>0</v>
      </c>
      <c r="W142" s="709"/>
      <c r="X142" s="709"/>
      <c r="Y142" s="709"/>
      <c r="Z142" s="133">
        <v>-622</v>
      </c>
      <c r="AA142" s="133">
        <v>-1500</v>
      </c>
      <c r="AB142" s="133">
        <v>40501669</v>
      </c>
      <c r="AC142" s="133">
        <v>-1949547</v>
      </c>
      <c r="AD142" s="709"/>
      <c r="AE142" s="710">
        <v>369</v>
      </c>
      <c r="AF142" s="711">
        <v>20</v>
      </c>
      <c r="AG142" s="710">
        <v>2</v>
      </c>
      <c r="AH142" s="710">
        <v>0</v>
      </c>
      <c r="AI142" s="710">
        <v>408</v>
      </c>
      <c r="AJ142" s="710">
        <v>114</v>
      </c>
      <c r="AK142" s="710">
        <v>13</v>
      </c>
      <c r="AL142" s="710">
        <v>1</v>
      </c>
      <c r="AM142" s="710">
        <v>2</v>
      </c>
      <c r="AN142" s="710">
        <v>0</v>
      </c>
      <c r="AO142" s="710">
        <v>0</v>
      </c>
      <c r="AP142" s="711">
        <v>3</v>
      </c>
      <c r="AQ142" s="709"/>
      <c r="AR142" s="709"/>
      <c r="AS142" s="720">
        <v>1442</v>
      </c>
      <c r="AT142" s="710">
        <v>3946</v>
      </c>
      <c r="AU142" s="710">
        <v>3804</v>
      </c>
      <c r="AV142" s="710">
        <v>142</v>
      </c>
      <c r="AW142" s="710">
        <v>1725</v>
      </c>
      <c r="AX142" s="712">
        <v>7245</v>
      </c>
      <c r="AY142" s="683">
        <v>-32665</v>
      </c>
      <c r="AZ142" s="713">
        <v>-869312</v>
      </c>
      <c r="BA142" s="714">
        <v>-581629</v>
      </c>
      <c r="BB142" s="715">
        <v>16510700</v>
      </c>
      <c r="BC142" s="715">
        <v>0</v>
      </c>
      <c r="BD142" s="716">
        <v>-581629.39999999851</v>
      </c>
      <c r="BE142" s="420"/>
      <c r="BF142" s="717" t="s">
        <v>156</v>
      </c>
      <c r="BG142" s="118" t="b">
        <v>1</v>
      </c>
      <c r="BH142" s="494"/>
      <c r="BI142" s="420"/>
      <c r="BJ142" s="420"/>
      <c r="BK142" s="420"/>
      <c r="BL142" s="420"/>
      <c r="BM142" s="420"/>
      <c r="BN142" s="420"/>
      <c r="BO142" s="420"/>
      <c r="BP142" s="420"/>
      <c r="BQ142" s="420"/>
      <c r="BR142" s="420"/>
      <c r="BS142" s="420"/>
      <c r="BT142" s="420"/>
      <c r="BU142" s="420"/>
      <c r="BV142" s="420"/>
      <c r="BW142" s="420"/>
      <c r="BX142" s="420"/>
      <c r="BY142" s="420"/>
      <c r="BZ142" s="420"/>
      <c r="CA142" s="420"/>
      <c r="CB142" s="420"/>
      <c r="CC142" s="420"/>
      <c r="CD142" s="420"/>
      <c r="CE142" s="420"/>
      <c r="CF142" s="420"/>
      <c r="CG142" s="420"/>
      <c r="CH142" s="420"/>
      <c r="CI142" s="420"/>
      <c r="CJ142" s="420"/>
      <c r="CK142" s="420"/>
      <c r="CL142" s="420"/>
      <c r="CM142" s="420"/>
      <c r="CN142" s="420"/>
      <c r="CO142" s="420"/>
      <c r="CP142" s="420"/>
      <c r="CQ142" s="420"/>
      <c r="CR142" s="420"/>
    </row>
    <row r="143" spans="1:96" s="118" customFormat="1" ht="12.75" x14ac:dyDescent="0.2">
      <c r="A143" s="705">
        <v>137</v>
      </c>
      <c r="B143" s="718" t="s">
        <v>913</v>
      </c>
      <c r="C143" s="719" t="s">
        <v>158</v>
      </c>
      <c r="D143" s="708">
        <v>24286</v>
      </c>
      <c r="E143" s="708">
        <v>4553000</v>
      </c>
      <c r="F143" s="133">
        <v>2195980</v>
      </c>
      <c r="G143" s="133">
        <v>-578216</v>
      </c>
      <c r="H143" s="133">
        <v>19413</v>
      </c>
      <c r="I143" s="133">
        <v>-558803</v>
      </c>
      <c r="J143" s="133">
        <v>-20703</v>
      </c>
      <c r="K143" s="133">
        <v>-7741</v>
      </c>
      <c r="L143" s="133">
        <v>-2021</v>
      </c>
      <c r="M143" s="133">
        <v>0</v>
      </c>
      <c r="N143" s="133">
        <v>-4221</v>
      </c>
      <c r="O143" s="133">
        <v>-3352</v>
      </c>
      <c r="P143" s="133">
        <v>-3427</v>
      </c>
      <c r="Q143" s="133">
        <v>-1648</v>
      </c>
      <c r="R143" s="133">
        <v>0</v>
      </c>
      <c r="S143" s="133">
        <v>0</v>
      </c>
      <c r="T143" s="133">
        <v>0</v>
      </c>
      <c r="U143" s="133">
        <v>0</v>
      </c>
      <c r="V143" s="133">
        <v>0</v>
      </c>
      <c r="W143" s="709"/>
      <c r="X143" s="709"/>
      <c r="Y143" s="709"/>
      <c r="Z143" s="133">
        <v>-2021</v>
      </c>
      <c r="AA143" s="133">
        <v>0</v>
      </c>
      <c r="AB143" s="133">
        <v>1521114</v>
      </c>
      <c r="AC143" s="133">
        <v>-70000</v>
      </c>
      <c r="AD143" s="709"/>
      <c r="AE143" s="710">
        <v>9</v>
      </c>
      <c r="AF143" s="711">
        <v>3</v>
      </c>
      <c r="AG143" s="710">
        <v>2</v>
      </c>
      <c r="AH143" s="710">
        <v>0</v>
      </c>
      <c r="AI143" s="710">
        <v>2</v>
      </c>
      <c r="AJ143" s="710">
        <v>7</v>
      </c>
      <c r="AK143" s="710">
        <v>6</v>
      </c>
      <c r="AL143" s="710">
        <v>2</v>
      </c>
      <c r="AM143" s="710">
        <v>0</v>
      </c>
      <c r="AN143" s="710">
        <v>0</v>
      </c>
      <c r="AO143" s="710">
        <v>0</v>
      </c>
      <c r="AP143" s="711">
        <v>0</v>
      </c>
      <c r="AQ143" s="709"/>
      <c r="AR143" s="709"/>
      <c r="AS143" s="720">
        <v>32</v>
      </c>
      <c r="AT143" s="710">
        <v>249</v>
      </c>
      <c r="AU143" s="710">
        <v>239</v>
      </c>
      <c r="AV143" s="710">
        <v>10</v>
      </c>
      <c r="AW143" s="710">
        <v>187</v>
      </c>
      <c r="AX143" s="712">
        <v>480</v>
      </c>
      <c r="AY143" s="683">
        <v>0</v>
      </c>
      <c r="AZ143" s="713">
        <v>0</v>
      </c>
      <c r="BA143" s="714">
        <v>10077</v>
      </c>
      <c r="BB143" s="715">
        <v>702750</v>
      </c>
      <c r="BC143" s="715">
        <v>0</v>
      </c>
      <c r="BD143" s="716">
        <v>167154.35000000009</v>
      </c>
      <c r="BE143" s="420"/>
      <c r="BF143" s="717" t="s">
        <v>158</v>
      </c>
      <c r="BG143" s="118" t="b">
        <v>1</v>
      </c>
      <c r="BH143" s="494"/>
      <c r="BI143" s="420"/>
      <c r="BJ143" s="420"/>
      <c r="BK143" s="420"/>
      <c r="BL143" s="420"/>
      <c r="BM143" s="420"/>
      <c r="BN143" s="420"/>
      <c r="BO143" s="420"/>
      <c r="BP143" s="420"/>
      <c r="BQ143" s="420"/>
      <c r="BR143" s="420"/>
      <c r="BS143" s="420"/>
      <c r="BT143" s="420"/>
      <c r="BU143" s="420"/>
      <c r="BV143" s="420"/>
      <c r="BW143" s="420"/>
      <c r="BX143" s="420"/>
      <c r="BY143" s="420"/>
      <c r="BZ143" s="420"/>
      <c r="CA143" s="420"/>
      <c r="CB143" s="420"/>
      <c r="CC143" s="420"/>
      <c r="CD143" s="420"/>
      <c r="CE143" s="420"/>
      <c r="CF143" s="420"/>
      <c r="CG143" s="420"/>
      <c r="CH143" s="420"/>
      <c r="CI143" s="420"/>
      <c r="CJ143" s="420"/>
      <c r="CK143" s="420"/>
      <c r="CL143" s="420"/>
      <c r="CM143" s="420"/>
      <c r="CN143" s="420"/>
      <c r="CO143" s="420"/>
      <c r="CP143" s="420"/>
      <c r="CQ143" s="420"/>
      <c r="CR143" s="420"/>
    </row>
    <row r="144" spans="1:96" s="118" customFormat="1" ht="12.75" x14ac:dyDescent="0.2">
      <c r="A144" s="705">
        <v>138</v>
      </c>
      <c r="B144" s="718" t="s">
        <v>159</v>
      </c>
      <c r="C144" s="719" t="s">
        <v>160</v>
      </c>
      <c r="D144" s="708">
        <v>723769</v>
      </c>
      <c r="E144" s="708">
        <v>709035000</v>
      </c>
      <c r="F144" s="133">
        <v>342813607</v>
      </c>
      <c r="G144" s="133">
        <v>-5770302</v>
      </c>
      <c r="H144" s="133">
        <v>7739441</v>
      </c>
      <c r="I144" s="133">
        <v>1969139</v>
      </c>
      <c r="J144" s="133">
        <v>-26292460</v>
      </c>
      <c r="K144" s="133">
        <v>-7592</v>
      </c>
      <c r="L144" s="133">
        <v>0</v>
      </c>
      <c r="M144" s="133">
        <v>0</v>
      </c>
      <c r="N144" s="133">
        <v>-10376455</v>
      </c>
      <c r="O144" s="133">
        <v>-819399</v>
      </c>
      <c r="P144" s="133">
        <v>-542911</v>
      </c>
      <c r="Q144" s="133">
        <v>-1898</v>
      </c>
      <c r="R144" s="133">
        <v>0</v>
      </c>
      <c r="S144" s="133">
        <v>0</v>
      </c>
      <c r="T144" s="133">
        <v>0</v>
      </c>
      <c r="U144" s="133">
        <v>0</v>
      </c>
      <c r="V144" s="133">
        <v>0</v>
      </c>
      <c r="W144" s="709"/>
      <c r="X144" s="709"/>
      <c r="Y144" s="709"/>
      <c r="Z144" s="133">
        <v>0</v>
      </c>
      <c r="AA144" s="133">
        <v>0</v>
      </c>
      <c r="AB144" s="133">
        <v>289914508</v>
      </c>
      <c r="AC144" s="133">
        <v>-9790750</v>
      </c>
      <c r="AD144" s="709"/>
      <c r="AE144" s="710">
        <v>696</v>
      </c>
      <c r="AF144" s="711">
        <v>1</v>
      </c>
      <c r="AG144" s="710">
        <v>0</v>
      </c>
      <c r="AH144" s="710">
        <v>0</v>
      </c>
      <c r="AI144" s="710">
        <v>1243</v>
      </c>
      <c r="AJ144" s="710">
        <v>160</v>
      </c>
      <c r="AK144" s="710">
        <v>75</v>
      </c>
      <c r="AL144" s="710">
        <v>1</v>
      </c>
      <c r="AM144" s="710">
        <v>0</v>
      </c>
      <c r="AN144" s="710">
        <v>0</v>
      </c>
      <c r="AO144" s="710">
        <v>0</v>
      </c>
      <c r="AP144" s="711">
        <v>240</v>
      </c>
      <c r="AQ144" s="709"/>
      <c r="AR144" s="709"/>
      <c r="AS144" s="720">
        <v>2670</v>
      </c>
      <c r="AT144" s="710">
        <v>1708</v>
      </c>
      <c r="AU144" s="710">
        <v>1327</v>
      </c>
      <c r="AV144" s="710">
        <v>381</v>
      </c>
      <c r="AW144" s="710">
        <v>7499</v>
      </c>
      <c r="AX144" s="712">
        <v>12476</v>
      </c>
      <c r="AY144" s="683">
        <v>-256679</v>
      </c>
      <c r="AZ144" s="713">
        <v>5946962</v>
      </c>
      <c r="BA144" s="714">
        <v>13414905</v>
      </c>
      <c r="BB144" s="715">
        <v>37017750</v>
      </c>
      <c r="BC144" s="715">
        <v>0</v>
      </c>
      <c r="BD144" s="716">
        <v>13414906</v>
      </c>
      <c r="BE144" s="420"/>
      <c r="BF144" s="717" t="s">
        <v>160</v>
      </c>
      <c r="BG144" s="118" t="b">
        <v>1</v>
      </c>
      <c r="BH144" s="494"/>
      <c r="BI144" s="420"/>
      <c r="BJ144" s="420"/>
      <c r="BK144" s="420"/>
      <c r="BL144" s="420"/>
      <c r="BM144" s="420"/>
      <c r="BN144" s="420"/>
      <c r="BO144" s="420"/>
      <c r="BP144" s="420"/>
      <c r="BQ144" s="420"/>
      <c r="BR144" s="420"/>
      <c r="BS144" s="420"/>
      <c r="BT144" s="420"/>
      <c r="BU144" s="420"/>
      <c r="BV144" s="420"/>
      <c r="BW144" s="420"/>
      <c r="BX144" s="420"/>
      <c r="BY144" s="420"/>
      <c r="BZ144" s="420"/>
      <c r="CA144" s="420"/>
      <c r="CB144" s="420"/>
      <c r="CC144" s="420"/>
      <c r="CD144" s="420"/>
      <c r="CE144" s="420"/>
      <c r="CF144" s="420"/>
      <c r="CG144" s="420"/>
      <c r="CH144" s="420"/>
      <c r="CI144" s="420"/>
      <c r="CJ144" s="420"/>
      <c r="CK144" s="420"/>
      <c r="CL144" s="420"/>
      <c r="CM144" s="420"/>
      <c r="CN144" s="420"/>
      <c r="CO144" s="420"/>
      <c r="CP144" s="420"/>
      <c r="CQ144" s="420"/>
      <c r="CR144" s="420"/>
    </row>
    <row r="145" spans="1:96" s="118" customFormat="1" ht="12.75" x14ac:dyDescent="0.2">
      <c r="A145" s="705">
        <v>139</v>
      </c>
      <c r="B145" s="718" t="s">
        <v>161</v>
      </c>
      <c r="C145" s="719" t="s">
        <v>162</v>
      </c>
      <c r="D145" s="708">
        <v>633545</v>
      </c>
      <c r="E145" s="708">
        <v>810505000</v>
      </c>
      <c r="F145" s="133">
        <v>400354966</v>
      </c>
      <c r="G145" s="133">
        <v>-3441969</v>
      </c>
      <c r="H145" s="133">
        <v>9435414</v>
      </c>
      <c r="I145" s="133">
        <v>5993445</v>
      </c>
      <c r="J145" s="133">
        <v>-24956326</v>
      </c>
      <c r="K145" s="133">
        <v>0</v>
      </c>
      <c r="L145" s="133">
        <v>0</v>
      </c>
      <c r="M145" s="133">
        <v>-100000</v>
      </c>
      <c r="N145" s="133">
        <v>-9288813</v>
      </c>
      <c r="O145" s="133">
        <v>-93363</v>
      </c>
      <c r="P145" s="133">
        <v>-56404</v>
      </c>
      <c r="Q145" s="133">
        <v>0</v>
      </c>
      <c r="R145" s="133">
        <v>0</v>
      </c>
      <c r="S145" s="133">
        <v>0</v>
      </c>
      <c r="T145" s="133">
        <v>0</v>
      </c>
      <c r="U145" s="133">
        <v>0</v>
      </c>
      <c r="V145" s="133">
        <v>0</v>
      </c>
      <c r="W145" s="709"/>
      <c r="X145" s="709"/>
      <c r="Y145" s="709"/>
      <c r="Z145" s="133">
        <v>0</v>
      </c>
      <c r="AA145" s="133">
        <v>0</v>
      </c>
      <c r="AB145" s="133">
        <v>362549817</v>
      </c>
      <c r="AC145" s="133">
        <v>-27040000</v>
      </c>
      <c r="AD145" s="709"/>
      <c r="AE145" s="710">
        <v>335</v>
      </c>
      <c r="AF145" s="711">
        <v>0</v>
      </c>
      <c r="AG145" s="710">
        <v>0</v>
      </c>
      <c r="AH145" s="710">
        <v>0</v>
      </c>
      <c r="AI145" s="710">
        <v>1003</v>
      </c>
      <c r="AJ145" s="710">
        <v>56</v>
      </c>
      <c r="AK145" s="710">
        <v>9</v>
      </c>
      <c r="AL145" s="710">
        <v>0</v>
      </c>
      <c r="AM145" s="710">
        <v>0</v>
      </c>
      <c r="AN145" s="710">
        <v>0</v>
      </c>
      <c r="AO145" s="710">
        <v>0</v>
      </c>
      <c r="AP145" s="711">
        <v>0</v>
      </c>
      <c r="AQ145" s="709"/>
      <c r="AR145" s="709"/>
      <c r="AS145" s="720">
        <v>3811</v>
      </c>
      <c r="AT145" s="710">
        <v>994</v>
      </c>
      <c r="AU145" s="710">
        <v>812</v>
      </c>
      <c r="AV145" s="710">
        <v>182</v>
      </c>
      <c r="AW145" s="710">
        <v>4124</v>
      </c>
      <c r="AX145" s="712">
        <v>9135</v>
      </c>
      <c r="AY145" s="683">
        <v>-62723</v>
      </c>
      <c r="AZ145" s="713">
        <v>3401708</v>
      </c>
      <c r="BA145" s="714">
        <v>631291</v>
      </c>
      <c r="BB145" s="715">
        <v>0</v>
      </c>
      <c r="BC145" s="715">
        <v>0</v>
      </c>
      <c r="BD145" s="716">
        <v>631288</v>
      </c>
      <c r="BE145" s="420"/>
      <c r="BF145" s="717" t="s">
        <v>162</v>
      </c>
      <c r="BG145" s="118" t="b">
        <v>1</v>
      </c>
      <c r="BH145" s="494"/>
      <c r="BI145" s="420"/>
      <c r="BJ145" s="420"/>
      <c r="BK145" s="420"/>
      <c r="BL145" s="420"/>
      <c r="BM145" s="420"/>
      <c r="BN145" s="420"/>
      <c r="BO145" s="420"/>
      <c r="BP145" s="420"/>
      <c r="BQ145" s="420"/>
      <c r="BR145" s="420"/>
      <c r="BS145" s="420"/>
      <c r="BT145" s="420"/>
      <c r="BU145" s="420"/>
      <c r="BV145" s="420"/>
      <c r="BW145" s="420"/>
      <c r="BX145" s="420"/>
      <c r="BY145" s="420"/>
      <c r="BZ145" s="420"/>
      <c r="CA145" s="420"/>
      <c r="CB145" s="420"/>
      <c r="CC145" s="420"/>
      <c r="CD145" s="420"/>
      <c r="CE145" s="420"/>
      <c r="CF145" s="420"/>
      <c r="CG145" s="420"/>
      <c r="CH145" s="420"/>
      <c r="CI145" s="420"/>
      <c r="CJ145" s="420"/>
      <c r="CK145" s="420"/>
      <c r="CL145" s="420"/>
      <c r="CM145" s="420"/>
      <c r="CN145" s="420"/>
      <c r="CO145" s="420"/>
      <c r="CP145" s="420"/>
      <c r="CQ145" s="420"/>
      <c r="CR145" s="420"/>
    </row>
    <row r="146" spans="1:96" s="118" customFormat="1" ht="12.75" x14ac:dyDescent="0.2">
      <c r="A146" s="705">
        <v>140</v>
      </c>
      <c r="B146" s="718" t="s">
        <v>163</v>
      </c>
      <c r="C146" s="719" t="s">
        <v>164</v>
      </c>
      <c r="D146" s="708">
        <v>111367</v>
      </c>
      <c r="E146" s="708">
        <v>81843000</v>
      </c>
      <c r="F146" s="133">
        <v>39730036</v>
      </c>
      <c r="G146" s="133">
        <v>-2985751.2510000002</v>
      </c>
      <c r="H146" s="133">
        <v>780383.35899999994</v>
      </c>
      <c r="I146" s="133">
        <v>-2205367.892</v>
      </c>
      <c r="J146" s="133">
        <v>-3241822</v>
      </c>
      <c r="K146" s="133">
        <v>-50575</v>
      </c>
      <c r="L146" s="133">
        <v>-4017</v>
      </c>
      <c r="M146" s="133">
        <v>0</v>
      </c>
      <c r="N146" s="133">
        <v>-553473.16500000004</v>
      </c>
      <c r="O146" s="133">
        <v>-9574</v>
      </c>
      <c r="P146" s="133">
        <v>-37480</v>
      </c>
      <c r="Q146" s="133">
        <v>-2075</v>
      </c>
      <c r="R146" s="133">
        <v>0</v>
      </c>
      <c r="S146" s="133">
        <v>0</v>
      </c>
      <c r="T146" s="133">
        <v>0</v>
      </c>
      <c r="U146" s="133">
        <v>0</v>
      </c>
      <c r="V146" s="133">
        <v>0</v>
      </c>
      <c r="W146" s="709"/>
      <c r="X146" s="709"/>
      <c r="Y146" s="709"/>
      <c r="Z146" s="133">
        <v>-4017</v>
      </c>
      <c r="AA146" s="133">
        <v>0</v>
      </c>
      <c r="AB146" s="133">
        <v>33124851.078000002</v>
      </c>
      <c r="AC146" s="133">
        <v>-400000</v>
      </c>
      <c r="AD146" s="709"/>
      <c r="AE146" s="710">
        <v>145</v>
      </c>
      <c r="AF146" s="711">
        <v>12</v>
      </c>
      <c r="AG146" s="710">
        <v>0</v>
      </c>
      <c r="AH146" s="710">
        <v>0</v>
      </c>
      <c r="AI146" s="710">
        <v>261</v>
      </c>
      <c r="AJ146" s="710">
        <v>36</v>
      </c>
      <c r="AK146" s="710">
        <v>18</v>
      </c>
      <c r="AL146" s="710">
        <v>8</v>
      </c>
      <c r="AM146" s="710">
        <v>0</v>
      </c>
      <c r="AN146" s="710">
        <v>0</v>
      </c>
      <c r="AO146" s="710">
        <v>0</v>
      </c>
      <c r="AP146" s="711">
        <v>0</v>
      </c>
      <c r="AQ146" s="709"/>
      <c r="AR146" s="709"/>
      <c r="AS146" s="720">
        <v>605</v>
      </c>
      <c r="AT146" s="710">
        <v>1099</v>
      </c>
      <c r="AU146" s="710">
        <v>1047</v>
      </c>
      <c r="AV146" s="710">
        <v>52</v>
      </c>
      <c r="AW146" s="710">
        <v>1055</v>
      </c>
      <c r="AX146" s="712">
        <v>2778</v>
      </c>
      <c r="AY146" s="683">
        <v>-1000</v>
      </c>
      <c r="AZ146" s="713">
        <v>1354391</v>
      </c>
      <c r="BA146" s="714">
        <v>596775</v>
      </c>
      <c r="BB146" s="715">
        <v>10551400</v>
      </c>
      <c r="BC146" s="715">
        <v>0</v>
      </c>
      <c r="BD146" s="716">
        <v>596776</v>
      </c>
      <c r="BE146" s="420"/>
      <c r="BF146" s="717" t="s">
        <v>164</v>
      </c>
      <c r="BG146" s="118" t="b">
        <v>1</v>
      </c>
      <c r="BH146" s="494"/>
      <c r="BI146" s="420"/>
      <c r="BJ146" s="420"/>
      <c r="BK146" s="420"/>
      <c r="BL146" s="420"/>
      <c r="BM146" s="420"/>
      <c r="BN146" s="420"/>
      <c r="BO146" s="420"/>
      <c r="BP146" s="420"/>
      <c r="BQ146" s="420"/>
      <c r="BR146" s="420"/>
      <c r="BS146" s="420"/>
      <c r="BT146" s="420"/>
      <c r="BU146" s="420"/>
      <c r="BV146" s="420"/>
      <c r="BW146" s="420"/>
      <c r="BX146" s="420"/>
      <c r="BY146" s="420"/>
      <c r="BZ146" s="420"/>
      <c r="CA146" s="420"/>
      <c r="CB146" s="420"/>
      <c r="CC146" s="420"/>
      <c r="CD146" s="420"/>
      <c r="CE146" s="420"/>
      <c r="CF146" s="420"/>
      <c r="CG146" s="420"/>
      <c r="CH146" s="420"/>
      <c r="CI146" s="420"/>
      <c r="CJ146" s="420"/>
      <c r="CK146" s="420"/>
      <c r="CL146" s="420"/>
      <c r="CM146" s="420"/>
      <c r="CN146" s="420"/>
      <c r="CO146" s="420"/>
      <c r="CP146" s="420"/>
      <c r="CQ146" s="420"/>
      <c r="CR146" s="420"/>
    </row>
    <row r="147" spans="1:96" s="118" customFormat="1" ht="12.75" x14ac:dyDescent="0.2">
      <c r="A147" s="705">
        <v>141</v>
      </c>
      <c r="B147" s="718" t="s">
        <v>915</v>
      </c>
      <c r="C147" s="719" t="s">
        <v>166</v>
      </c>
      <c r="D147" s="708">
        <v>223431</v>
      </c>
      <c r="E147" s="708">
        <v>118593000</v>
      </c>
      <c r="F147" s="133">
        <v>59317917</v>
      </c>
      <c r="G147" s="133">
        <v>-5978793</v>
      </c>
      <c r="H147" s="133">
        <v>1056145</v>
      </c>
      <c r="I147" s="133">
        <v>-4922648</v>
      </c>
      <c r="J147" s="133">
        <v>-3629656</v>
      </c>
      <c r="K147" s="133">
        <v>-34266</v>
      </c>
      <c r="L147" s="133">
        <v>-65431</v>
      </c>
      <c r="M147" s="133">
        <v>-15000</v>
      </c>
      <c r="N147" s="133">
        <v>-957351</v>
      </c>
      <c r="O147" s="133">
        <v>-231384</v>
      </c>
      <c r="P147" s="133">
        <v>-89710</v>
      </c>
      <c r="Q147" s="133">
        <v>-7289</v>
      </c>
      <c r="R147" s="133">
        <v>0</v>
      </c>
      <c r="S147" s="133">
        <v>-8662</v>
      </c>
      <c r="T147" s="133">
        <v>-79701</v>
      </c>
      <c r="U147" s="133">
        <v>-79701</v>
      </c>
      <c r="V147" s="133">
        <v>0</v>
      </c>
      <c r="W147" s="709"/>
      <c r="X147" s="709"/>
      <c r="Y147" s="709"/>
      <c r="Z147" s="133">
        <v>-65431</v>
      </c>
      <c r="AA147" s="133">
        <v>-1500</v>
      </c>
      <c r="AB147" s="133">
        <v>47918304</v>
      </c>
      <c r="AC147" s="133">
        <v>-1196203</v>
      </c>
      <c r="AD147" s="709"/>
      <c r="AE147" s="710">
        <v>338</v>
      </c>
      <c r="AF147" s="711">
        <v>9</v>
      </c>
      <c r="AG147" s="710">
        <v>54</v>
      </c>
      <c r="AH147" s="710">
        <v>1</v>
      </c>
      <c r="AI147" s="710">
        <v>312</v>
      </c>
      <c r="AJ147" s="710">
        <v>187</v>
      </c>
      <c r="AK147" s="710">
        <v>30</v>
      </c>
      <c r="AL147" s="710">
        <v>3</v>
      </c>
      <c r="AM147" s="710">
        <v>0</v>
      </c>
      <c r="AN147" s="710">
        <v>3</v>
      </c>
      <c r="AO147" s="710">
        <v>31</v>
      </c>
      <c r="AP147" s="711">
        <v>0</v>
      </c>
      <c r="AQ147" s="709"/>
      <c r="AR147" s="709"/>
      <c r="AS147" s="720">
        <v>1155</v>
      </c>
      <c r="AT147" s="710">
        <v>2868</v>
      </c>
      <c r="AU147" s="710">
        <v>2758</v>
      </c>
      <c r="AV147" s="710">
        <v>110</v>
      </c>
      <c r="AW147" s="710">
        <v>2071</v>
      </c>
      <c r="AX147" s="712">
        <v>6103</v>
      </c>
      <c r="AY147" s="683">
        <v>-67804</v>
      </c>
      <c r="AZ147" s="713">
        <v>-345229</v>
      </c>
      <c r="BA147" s="714">
        <v>-553595</v>
      </c>
      <c r="BB147" s="715">
        <v>18154625</v>
      </c>
      <c r="BC147" s="715">
        <v>0</v>
      </c>
      <c r="BD147" s="716">
        <v>-556596</v>
      </c>
      <c r="BE147" s="420"/>
      <c r="BF147" s="717" t="s">
        <v>166</v>
      </c>
      <c r="BG147" s="118" t="b">
        <v>1</v>
      </c>
      <c r="BH147" s="494"/>
      <c r="BI147" s="420"/>
      <c r="BJ147" s="420"/>
      <c r="BK147" s="420"/>
      <c r="BL147" s="420"/>
      <c r="BM147" s="420"/>
      <c r="BN147" s="420"/>
      <c r="BO147" s="420"/>
      <c r="BP147" s="420"/>
      <c r="BQ147" s="420"/>
      <c r="BR147" s="420"/>
      <c r="BS147" s="420"/>
      <c r="BT147" s="420"/>
      <c r="BU147" s="420"/>
      <c r="BV147" s="420"/>
      <c r="BW147" s="420"/>
      <c r="BX147" s="420"/>
      <c r="BY147" s="420"/>
      <c r="BZ147" s="420"/>
      <c r="CA147" s="420"/>
      <c r="CB147" s="420"/>
      <c r="CC147" s="420"/>
      <c r="CD147" s="420"/>
      <c r="CE147" s="420"/>
      <c r="CF147" s="420"/>
      <c r="CG147" s="420"/>
      <c r="CH147" s="420"/>
      <c r="CI147" s="420"/>
      <c r="CJ147" s="420"/>
      <c r="CK147" s="420"/>
      <c r="CL147" s="420"/>
      <c r="CM147" s="420"/>
      <c r="CN147" s="420"/>
      <c r="CO147" s="420"/>
      <c r="CP147" s="420"/>
      <c r="CQ147" s="420"/>
      <c r="CR147" s="420"/>
    </row>
    <row r="148" spans="1:96" s="118" customFormat="1" ht="12.75" x14ac:dyDescent="0.2">
      <c r="A148" s="705">
        <v>142</v>
      </c>
      <c r="B148" s="718" t="s">
        <v>911</v>
      </c>
      <c r="C148" s="719" t="s">
        <v>168</v>
      </c>
      <c r="D148" s="708">
        <v>355193</v>
      </c>
      <c r="E148" s="708">
        <v>227611000</v>
      </c>
      <c r="F148" s="133">
        <v>112984573</v>
      </c>
      <c r="G148" s="133">
        <v>-9305923</v>
      </c>
      <c r="H148" s="133">
        <v>2055617</v>
      </c>
      <c r="I148" s="133">
        <v>-7250306</v>
      </c>
      <c r="J148" s="133">
        <v>-9159346</v>
      </c>
      <c r="K148" s="133">
        <v>0</v>
      </c>
      <c r="L148" s="133">
        <v>0</v>
      </c>
      <c r="M148" s="133">
        <v>0</v>
      </c>
      <c r="N148" s="133">
        <v>-2606514</v>
      </c>
      <c r="O148" s="133">
        <v>-5382</v>
      </c>
      <c r="P148" s="133">
        <v>-1229172</v>
      </c>
      <c r="Q148" s="133">
        <v>0</v>
      </c>
      <c r="R148" s="133">
        <v>0</v>
      </c>
      <c r="S148" s="133">
        <v>0</v>
      </c>
      <c r="T148" s="133">
        <v>-63660</v>
      </c>
      <c r="U148" s="133">
        <v>-63660</v>
      </c>
      <c r="V148" s="133">
        <v>0</v>
      </c>
      <c r="W148" s="709"/>
      <c r="X148" s="709"/>
      <c r="Y148" s="709"/>
      <c r="Z148" s="133">
        <v>0</v>
      </c>
      <c r="AA148" s="133">
        <v>-1500</v>
      </c>
      <c r="AB148" s="133">
        <v>93205059</v>
      </c>
      <c r="AC148" s="133">
        <v>-1255701</v>
      </c>
      <c r="AD148" s="709"/>
      <c r="AE148" s="710">
        <v>485</v>
      </c>
      <c r="AF148" s="711">
        <v>0</v>
      </c>
      <c r="AG148" s="710">
        <v>0</v>
      </c>
      <c r="AH148" s="710">
        <v>0</v>
      </c>
      <c r="AI148" s="710">
        <v>687</v>
      </c>
      <c r="AJ148" s="710">
        <v>2</v>
      </c>
      <c r="AK148" s="710">
        <v>36</v>
      </c>
      <c r="AL148" s="710">
        <v>0</v>
      </c>
      <c r="AM148" s="710">
        <v>0</v>
      </c>
      <c r="AN148" s="710">
        <v>0</v>
      </c>
      <c r="AO148" s="710">
        <v>4</v>
      </c>
      <c r="AP148" s="711">
        <v>0</v>
      </c>
      <c r="AQ148" s="709"/>
      <c r="AR148" s="709"/>
      <c r="AS148" s="720">
        <v>2193</v>
      </c>
      <c r="AT148" s="710">
        <v>3574</v>
      </c>
      <c r="AU148" s="710">
        <v>3428</v>
      </c>
      <c r="AV148" s="710">
        <v>146</v>
      </c>
      <c r="AW148" s="710">
        <v>3385</v>
      </c>
      <c r="AX148" s="712">
        <v>9326</v>
      </c>
      <c r="AY148" s="683">
        <v>-18334</v>
      </c>
      <c r="AZ148" s="713">
        <v>-4192507</v>
      </c>
      <c r="BA148" s="714">
        <v>-15160678</v>
      </c>
      <c r="BB148" s="715">
        <v>31766350</v>
      </c>
      <c r="BC148" s="715">
        <v>232000</v>
      </c>
      <c r="BD148" s="716">
        <v>-15160676</v>
      </c>
      <c r="BE148" s="420"/>
      <c r="BF148" s="717" t="s">
        <v>168</v>
      </c>
      <c r="BG148" s="118" t="b">
        <v>1</v>
      </c>
      <c r="BH148" s="494"/>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row>
    <row r="149" spans="1:96" s="118" customFormat="1" ht="12.75" x14ac:dyDescent="0.2">
      <c r="A149" s="705">
        <v>143</v>
      </c>
      <c r="B149" s="718" t="s">
        <v>169</v>
      </c>
      <c r="C149" s="719" t="s">
        <v>170</v>
      </c>
      <c r="D149" s="708">
        <v>234417</v>
      </c>
      <c r="E149" s="708">
        <v>212938000</v>
      </c>
      <c r="F149" s="133">
        <v>105080629</v>
      </c>
      <c r="G149" s="133">
        <v>-4067753</v>
      </c>
      <c r="H149" s="133">
        <v>2234780</v>
      </c>
      <c r="I149" s="133">
        <v>-1832973</v>
      </c>
      <c r="J149" s="133">
        <v>-8278601</v>
      </c>
      <c r="K149" s="133">
        <v>-133963</v>
      </c>
      <c r="L149" s="133">
        <v>0</v>
      </c>
      <c r="M149" s="133">
        <v>-10000</v>
      </c>
      <c r="N149" s="133">
        <v>-2570000</v>
      </c>
      <c r="O149" s="133">
        <v>-74669</v>
      </c>
      <c r="P149" s="133">
        <v>-402459</v>
      </c>
      <c r="Q149" s="133">
        <v>0</v>
      </c>
      <c r="R149" s="133">
        <v>0</v>
      </c>
      <c r="S149" s="133">
        <v>0</v>
      </c>
      <c r="T149" s="133">
        <v>0</v>
      </c>
      <c r="U149" s="133">
        <v>0</v>
      </c>
      <c r="V149" s="133">
        <v>0</v>
      </c>
      <c r="W149" s="709"/>
      <c r="X149" s="709"/>
      <c r="Y149" s="709"/>
      <c r="Z149" s="133">
        <v>0</v>
      </c>
      <c r="AA149" s="133">
        <v>0</v>
      </c>
      <c r="AB149" s="133">
        <v>88576439</v>
      </c>
      <c r="AC149" s="133">
        <v>-1001000</v>
      </c>
      <c r="AD149" s="709"/>
      <c r="AE149" s="710">
        <v>202</v>
      </c>
      <c r="AF149" s="711">
        <v>11</v>
      </c>
      <c r="AG149" s="710">
        <v>0</v>
      </c>
      <c r="AH149" s="710">
        <v>0</v>
      </c>
      <c r="AI149" s="710">
        <v>592</v>
      </c>
      <c r="AJ149" s="710">
        <v>21</v>
      </c>
      <c r="AK149" s="710">
        <v>28</v>
      </c>
      <c r="AL149" s="710">
        <v>0</v>
      </c>
      <c r="AM149" s="710">
        <v>0</v>
      </c>
      <c r="AN149" s="710">
        <v>0</v>
      </c>
      <c r="AO149" s="710">
        <v>0</v>
      </c>
      <c r="AP149" s="711">
        <v>0</v>
      </c>
      <c r="AQ149" s="709"/>
      <c r="AR149" s="709"/>
      <c r="AS149" s="720">
        <v>1455</v>
      </c>
      <c r="AT149" s="710">
        <v>1395</v>
      </c>
      <c r="AU149" s="710">
        <v>1215</v>
      </c>
      <c r="AV149" s="710">
        <v>180</v>
      </c>
      <c r="AW149" s="710">
        <v>1958</v>
      </c>
      <c r="AX149" s="712">
        <v>4814</v>
      </c>
      <c r="AY149" s="683">
        <v>-12000</v>
      </c>
      <c r="AZ149" s="713">
        <v>4239751</v>
      </c>
      <c r="BA149" s="714">
        <v>3441485</v>
      </c>
      <c r="BB149" s="715">
        <v>18105000</v>
      </c>
      <c r="BC149" s="715">
        <v>0</v>
      </c>
      <c r="BD149" s="716">
        <v>3433628.0999999996</v>
      </c>
      <c r="BE149" s="420"/>
      <c r="BF149" s="717" t="s">
        <v>170</v>
      </c>
      <c r="BG149" s="118" t="b">
        <v>1</v>
      </c>
      <c r="BH149" s="494"/>
      <c r="BI149" s="420"/>
      <c r="BJ149" s="420"/>
      <c r="BK149" s="420"/>
      <c r="BL149" s="420"/>
      <c r="BM149" s="420"/>
      <c r="BN149" s="420"/>
      <c r="BO149" s="420"/>
      <c r="BP149" s="420"/>
      <c r="BQ149" s="420"/>
      <c r="BR149" s="420"/>
      <c r="BS149" s="420"/>
      <c r="BT149" s="420"/>
      <c r="BU149" s="420"/>
      <c r="BV149" s="420"/>
      <c r="BW149" s="420"/>
      <c r="BX149" s="420"/>
      <c r="BY149" s="420"/>
      <c r="BZ149" s="420"/>
      <c r="CA149" s="420"/>
      <c r="CB149" s="420"/>
      <c r="CC149" s="420"/>
      <c r="CD149" s="420"/>
      <c r="CE149" s="420"/>
      <c r="CF149" s="420"/>
      <c r="CG149" s="420"/>
      <c r="CH149" s="420"/>
      <c r="CI149" s="420"/>
      <c r="CJ149" s="420"/>
      <c r="CK149" s="420"/>
      <c r="CL149" s="420"/>
      <c r="CM149" s="420"/>
      <c r="CN149" s="420"/>
      <c r="CO149" s="420"/>
      <c r="CP149" s="420"/>
      <c r="CQ149" s="420"/>
      <c r="CR149" s="420"/>
    </row>
    <row r="150" spans="1:96" s="118" customFormat="1" ht="12.75" x14ac:dyDescent="0.2">
      <c r="A150" s="705">
        <v>144</v>
      </c>
      <c r="B150" s="718" t="s">
        <v>171</v>
      </c>
      <c r="C150" s="719" t="s">
        <v>172</v>
      </c>
      <c r="D150" s="708">
        <v>585676</v>
      </c>
      <c r="E150" s="708">
        <v>287071000</v>
      </c>
      <c r="F150" s="133">
        <v>140364250</v>
      </c>
      <c r="G150" s="133">
        <v>-19721792</v>
      </c>
      <c r="H150" s="133">
        <v>2381531</v>
      </c>
      <c r="I150" s="133">
        <v>-17340261</v>
      </c>
      <c r="J150" s="133">
        <v>-9079655</v>
      </c>
      <c r="K150" s="133">
        <v>-146206</v>
      </c>
      <c r="L150" s="133">
        <v>-4124</v>
      </c>
      <c r="M150" s="133">
        <v>-251</v>
      </c>
      <c r="N150" s="133">
        <v>-4832041</v>
      </c>
      <c r="O150" s="133">
        <v>-283555</v>
      </c>
      <c r="P150" s="133">
        <v>-99535</v>
      </c>
      <c r="Q150" s="133">
        <v>0</v>
      </c>
      <c r="R150" s="133">
        <v>0</v>
      </c>
      <c r="S150" s="133">
        <v>-89288</v>
      </c>
      <c r="T150" s="133">
        <v>-101891</v>
      </c>
      <c r="U150" s="133">
        <v>-101891</v>
      </c>
      <c r="V150" s="133">
        <v>0</v>
      </c>
      <c r="W150" s="709"/>
      <c r="X150" s="709"/>
      <c r="Y150" s="709"/>
      <c r="Z150" s="133">
        <v>0</v>
      </c>
      <c r="AA150" s="133">
        <v>-1500</v>
      </c>
      <c r="AB150" s="133">
        <v>106925843</v>
      </c>
      <c r="AC150" s="133">
        <v>-1700000</v>
      </c>
      <c r="AD150" s="709"/>
      <c r="AE150" s="710">
        <v>530</v>
      </c>
      <c r="AF150" s="711">
        <v>30</v>
      </c>
      <c r="AG150" s="710">
        <v>1</v>
      </c>
      <c r="AH150" s="710">
        <v>1</v>
      </c>
      <c r="AI150" s="710">
        <v>1935</v>
      </c>
      <c r="AJ150" s="710">
        <v>73</v>
      </c>
      <c r="AK150" s="710">
        <v>43</v>
      </c>
      <c r="AL150" s="710">
        <v>0</v>
      </c>
      <c r="AM150" s="710">
        <v>0</v>
      </c>
      <c r="AN150" s="710">
        <v>22</v>
      </c>
      <c r="AO150" s="710">
        <v>2</v>
      </c>
      <c r="AP150" s="711">
        <v>0</v>
      </c>
      <c r="AQ150" s="709"/>
      <c r="AR150" s="709"/>
      <c r="AS150" s="720">
        <v>4081</v>
      </c>
      <c r="AT150" s="710">
        <v>8006</v>
      </c>
      <c r="AU150" s="710">
        <v>7675</v>
      </c>
      <c r="AV150" s="710">
        <v>331</v>
      </c>
      <c r="AW150" s="710">
        <v>3893</v>
      </c>
      <c r="AX150" s="712">
        <v>16113</v>
      </c>
      <c r="AY150" s="683">
        <v>-62875</v>
      </c>
      <c r="AZ150" s="713">
        <v>6998999.8781110048</v>
      </c>
      <c r="BA150" s="714">
        <v>8793964.8781110048</v>
      </c>
      <c r="BB150" s="715">
        <v>38865551</v>
      </c>
      <c r="BC150" s="715">
        <v>0</v>
      </c>
      <c r="BD150" s="716">
        <v>8793963.8781110048</v>
      </c>
      <c r="BE150" s="420"/>
      <c r="BF150" s="717" t="s">
        <v>172</v>
      </c>
      <c r="BG150" s="118" t="b">
        <v>1</v>
      </c>
      <c r="BH150" s="494"/>
      <c r="BI150" s="420"/>
      <c r="BJ150" s="420"/>
      <c r="BK150" s="420"/>
      <c r="BL150" s="420"/>
      <c r="BM150" s="420"/>
      <c r="BN150" s="420"/>
      <c r="BO150" s="420"/>
      <c r="BP150" s="420"/>
      <c r="BQ150" s="420"/>
      <c r="BR150" s="420"/>
      <c r="BS150" s="420"/>
      <c r="BT150" s="420"/>
      <c r="BU150" s="420"/>
      <c r="BV150" s="420"/>
      <c r="BW150" s="420"/>
      <c r="BX150" s="420"/>
      <c r="BY150" s="420"/>
      <c r="BZ150" s="420"/>
      <c r="CA150" s="420"/>
      <c r="CB150" s="420"/>
      <c r="CC150" s="420"/>
      <c r="CD150" s="420"/>
      <c r="CE150" s="420"/>
      <c r="CF150" s="420"/>
      <c r="CG150" s="420"/>
      <c r="CH150" s="420"/>
      <c r="CI150" s="420"/>
      <c r="CJ150" s="420"/>
      <c r="CK150" s="420"/>
      <c r="CL150" s="420"/>
      <c r="CM150" s="420"/>
      <c r="CN150" s="420"/>
      <c r="CO150" s="420"/>
      <c r="CP150" s="420"/>
      <c r="CQ150" s="420"/>
      <c r="CR150" s="420"/>
    </row>
    <row r="151" spans="1:96" s="118" customFormat="1" ht="12.75" x14ac:dyDescent="0.2">
      <c r="A151" s="705">
        <v>145</v>
      </c>
      <c r="B151" s="718" t="s">
        <v>173</v>
      </c>
      <c r="C151" s="719" t="s">
        <v>174</v>
      </c>
      <c r="D151" s="708">
        <v>134565</v>
      </c>
      <c r="E151" s="708">
        <v>112016000</v>
      </c>
      <c r="F151" s="133">
        <v>54633425</v>
      </c>
      <c r="G151" s="133">
        <v>-3308684</v>
      </c>
      <c r="H151" s="133">
        <v>1098139</v>
      </c>
      <c r="I151" s="133">
        <v>-2210545</v>
      </c>
      <c r="J151" s="133">
        <v>-2526293</v>
      </c>
      <c r="K151" s="133">
        <v>-8749</v>
      </c>
      <c r="L151" s="133">
        <v>0</v>
      </c>
      <c r="M151" s="133">
        <v>-250000</v>
      </c>
      <c r="N151" s="133">
        <v>-700407</v>
      </c>
      <c r="O151" s="133">
        <v>-225162</v>
      </c>
      <c r="P151" s="133">
        <v>-811116</v>
      </c>
      <c r="Q151" s="133">
        <v>0</v>
      </c>
      <c r="R151" s="133">
        <v>0</v>
      </c>
      <c r="S151" s="133">
        <v>0</v>
      </c>
      <c r="T151" s="133">
        <v>0</v>
      </c>
      <c r="U151" s="133">
        <v>0</v>
      </c>
      <c r="V151" s="133">
        <v>0</v>
      </c>
      <c r="W151" s="709"/>
      <c r="X151" s="709"/>
      <c r="Y151" s="709"/>
      <c r="Z151" s="133">
        <v>0</v>
      </c>
      <c r="AA151" s="133">
        <v>0</v>
      </c>
      <c r="AB151" s="133">
        <v>47203035</v>
      </c>
      <c r="AC151" s="133">
        <v>-1021777</v>
      </c>
      <c r="AD151" s="709"/>
      <c r="AE151" s="710">
        <v>166</v>
      </c>
      <c r="AF151" s="711">
        <v>3</v>
      </c>
      <c r="AG151" s="710">
        <v>0</v>
      </c>
      <c r="AH151" s="710">
        <v>0</v>
      </c>
      <c r="AI151" s="710">
        <v>390</v>
      </c>
      <c r="AJ151" s="710">
        <v>73</v>
      </c>
      <c r="AK151" s="710">
        <v>17</v>
      </c>
      <c r="AL151" s="710">
        <v>0</v>
      </c>
      <c r="AM151" s="710">
        <v>0</v>
      </c>
      <c r="AN151" s="710">
        <v>0</v>
      </c>
      <c r="AO151" s="710">
        <v>0</v>
      </c>
      <c r="AP151" s="711">
        <v>0</v>
      </c>
      <c r="AQ151" s="709"/>
      <c r="AR151" s="709"/>
      <c r="AS151" s="720">
        <v>830</v>
      </c>
      <c r="AT151" s="710">
        <v>1212</v>
      </c>
      <c r="AU151" s="710">
        <v>1142</v>
      </c>
      <c r="AV151" s="710">
        <v>70</v>
      </c>
      <c r="AW151" s="710">
        <v>1243</v>
      </c>
      <c r="AX151" s="712">
        <v>3264</v>
      </c>
      <c r="AY151" s="683">
        <v>-7555</v>
      </c>
      <c r="AZ151" s="713">
        <v>790251</v>
      </c>
      <c r="BA151" s="714">
        <v>787607</v>
      </c>
      <c r="BB151" s="715">
        <v>12881950</v>
      </c>
      <c r="BC151" s="715">
        <v>0</v>
      </c>
      <c r="BD151" s="716">
        <v>787607</v>
      </c>
      <c r="BE151" s="420"/>
      <c r="BF151" s="717" t="s">
        <v>174</v>
      </c>
      <c r="BG151" s="118" t="b">
        <v>1</v>
      </c>
      <c r="BH151" s="494"/>
      <c r="BI151" s="420"/>
      <c r="BJ151" s="420"/>
      <c r="BK151" s="420"/>
      <c r="BL151" s="420"/>
      <c r="BM151" s="420"/>
      <c r="BN151" s="420"/>
      <c r="BO151" s="420"/>
      <c r="BP151" s="420"/>
      <c r="BQ151" s="420"/>
      <c r="BR151" s="420"/>
      <c r="BS151" s="420"/>
      <c r="BT151" s="420"/>
      <c r="BU151" s="420"/>
      <c r="BV151" s="420"/>
      <c r="BW151" s="420"/>
      <c r="BX151" s="420"/>
      <c r="BY151" s="420"/>
      <c r="BZ151" s="420"/>
      <c r="CA151" s="420"/>
      <c r="CB151" s="420"/>
      <c r="CC151" s="420"/>
      <c r="CD151" s="420"/>
      <c r="CE151" s="420"/>
      <c r="CF151" s="420"/>
      <c r="CG151" s="420"/>
      <c r="CH151" s="420"/>
      <c r="CI151" s="420"/>
      <c r="CJ151" s="420"/>
      <c r="CK151" s="420"/>
      <c r="CL151" s="420"/>
      <c r="CM151" s="420"/>
      <c r="CN151" s="420"/>
      <c r="CO151" s="420"/>
      <c r="CP151" s="420"/>
      <c r="CQ151" s="420"/>
      <c r="CR151" s="420"/>
    </row>
    <row r="152" spans="1:96" s="118" customFormat="1" ht="12.75" x14ac:dyDescent="0.2">
      <c r="A152" s="705">
        <v>146</v>
      </c>
      <c r="B152" s="718" t="s">
        <v>175</v>
      </c>
      <c r="C152" s="719" t="s">
        <v>176</v>
      </c>
      <c r="D152" s="708">
        <v>498755</v>
      </c>
      <c r="E152" s="708">
        <v>427955000</v>
      </c>
      <c r="F152" s="133">
        <v>206896714</v>
      </c>
      <c r="G152" s="133">
        <v>-8315795</v>
      </c>
      <c r="H152" s="133">
        <v>4350132</v>
      </c>
      <c r="I152" s="133">
        <v>-3965663</v>
      </c>
      <c r="J152" s="133">
        <v>-21337268</v>
      </c>
      <c r="K152" s="133">
        <v>-7963</v>
      </c>
      <c r="L152" s="133">
        <v>0</v>
      </c>
      <c r="M152" s="133">
        <v>0</v>
      </c>
      <c r="N152" s="133">
        <v>-2803953</v>
      </c>
      <c r="O152" s="133">
        <v>-278603</v>
      </c>
      <c r="P152" s="133">
        <v>-456746</v>
      </c>
      <c r="Q152" s="133">
        <v>0</v>
      </c>
      <c r="R152" s="133">
        <v>0</v>
      </c>
      <c r="S152" s="133">
        <v>0</v>
      </c>
      <c r="T152" s="133">
        <v>0</v>
      </c>
      <c r="U152" s="133">
        <v>0</v>
      </c>
      <c r="V152" s="133">
        <v>0</v>
      </c>
      <c r="W152" s="709"/>
      <c r="X152" s="709"/>
      <c r="Y152" s="709"/>
      <c r="Z152" s="133">
        <v>0</v>
      </c>
      <c r="AA152" s="133">
        <v>0</v>
      </c>
      <c r="AB152" s="133">
        <v>166752163</v>
      </c>
      <c r="AC152" s="133">
        <v>-4190676</v>
      </c>
      <c r="AD152" s="709"/>
      <c r="AE152" s="710">
        <v>639</v>
      </c>
      <c r="AF152" s="711">
        <v>2</v>
      </c>
      <c r="AG152" s="710">
        <v>0</v>
      </c>
      <c r="AH152" s="710">
        <v>0</v>
      </c>
      <c r="AI152" s="710">
        <v>701</v>
      </c>
      <c r="AJ152" s="710">
        <v>74</v>
      </c>
      <c r="AK152" s="710">
        <v>31</v>
      </c>
      <c r="AL152" s="710">
        <v>0</v>
      </c>
      <c r="AM152" s="710">
        <v>0</v>
      </c>
      <c r="AN152" s="710">
        <v>0</v>
      </c>
      <c r="AO152" s="710">
        <v>0</v>
      </c>
      <c r="AP152" s="711">
        <v>0</v>
      </c>
      <c r="AQ152" s="709"/>
      <c r="AR152" s="709"/>
      <c r="AS152" s="720">
        <v>2355</v>
      </c>
      <c r="AT152" s="710">
        <v>2758</v>
      </c>
      <c r="AU152" s="710">
        <v>2418</v>
      </c>
      <c r="AV152" s="710">
        <v>340</v>
      </c>
      <c r="AW152" s="710">
        <v>3715</v>
      </c>
      <c r="AX152" s="712">
        <v>9168</v>
      </c>
      <c r="AY152" s="683">
        <v>-330461</v>
      </c>
      <c r="AZ152" s="713">
        <v>14569289</v>
      </c>
      <c r="BA152" s="714">
        <v>16203214</v>
      </c>
      <c r="BB152" s="715">
        <v>34134400</v>
      </c>
      <c r="BC152" s="715">
        <v>0</v>
      </c>
      <c r="BD152" s="716">
        <v>10961296</v>
      </c>
      <c r="BE152" s="420"/>
      <c r="BF152" s="717" t="s">
        <v>176</v>
      </c>
      <c r="BG152" s="118" t="b">
        <v>1</v>
      </c>
      <c r="BH152" s="494"/>
      <c r="BI152" s="420"/>
      <c r="BJ152" s="420"/>
      <c r="BK152" s="420"/>
      <c r="BL152" s="420"/>
      <c r="BM152" s="420"/>
      <c r="BN152" s="420"/>
      <c r="BO152" s="420"/>
      <c r="BP152" s="420"/>
      <c r="BQ152" s="420"/>
      <c r="BR152" s="420"/>
      <c r="BS152" s="420"/>
      <c r="BT152" s="420"/>
      <c r="BU152" s="420"/>
      <c r="BV152" s="420"/>
      <c r="BW152" s="420"/>
      <c r="BX152" s="420"/>
      <c r="BY152" s="420"/>
      <c r="BZ152" s="420"/>
      <c r="CA152" s="420"/>
      <c r="CB152" s="420"/>
      <c r="CC152" s="420"/>
      <c r="CD152" s="420"/>
      <c r="CE152" s="420"/>
      <c r="CF152" s="420"/>
      <c r="CG152" s="420"/>
      <c r="CH152" s="420"/>
      <c r="CI152" s="420"/>
      <c r="CJ152" s="420"/>
      <c r="CK152" s="420"/>
      <c r="CL152" s="420"/>
      <c r="CM152" s="420"/>
      <c r="CN152" s="420"/>
      <c r="CO152" s="420"/>
      <c r="CP152" s="420"/>
      <c r="CQ152" s="420"/>
      <c r="CR152" s="420"/>
    </row>
    <row r="153" spans="1:96" s="118" customFormat="1" ht="12.75" x14ac:dyDescent="0.2">
      <c r="A153" s="705">
        <v>147</v>
      </c>
      <c r="B153" s="718" t="s">
        <v>177</v>
      </c>
      <c r="C153" s="719" t="s">
        <v>178</v>
      </c>
      <c r="D153" s="708">
        <v>210405</v>
      </c>
      <c r="E153" s="708">
        <v>156834000</v>
      </c>
      <c r="F153" s="133">
        <v>77107699</v>
      </c>
      <c r="G153" s="133">
        <v>-5072444</v>
      </c>
      <c r="H153" s="133">
        <v>1594242</v>
      </c>
      <c r="I153" s="133">
        <v>-3478202</v>
      </c>
      <c r="J153" s="133">
        <v>-4539620</v>
      </c>
      <c r="K153" s="133">
        <v>-49045</v>
      </c>
      <c r="L153" s="133">
        <v>-27107</v>
      </c>
      <c r="M153" s="133">
        <v>0</v>
      </c>
      <c r="N153" s="133">
        <v>-880644</v>
      </c>
      <c r="O153" s="133">
        <v>-102921</v>
      </c>
      <c r="P153" s="133">
        <v>-81217</v>
      </c>
      <c r="Q153" s="133">
        <v>-3267</v>
      </c>
      <c r="R153" s="133">
        <v>0</v>
      </c>
      <c r="S153" s="133">
        <v>0</v>
      </c>
      <c r="T153" s="133">
        <v>0</v>
      </c>
      <c r="U153" s="133">
        <v>0</v>
      </c>
      <c r="V153" s="133">
        <v>0</v>
      </c>
      <c r="W153" s="709"/>
      <c r="X153" s="709"/>
      <c r="Y153" s="709"/>
      <c r="Z153" s="133">
        <v>-27107</v>
      </c>
      <c r="AA153" s="133">
        <v>0</v>
      </c>
      <c r="AB153" s="133">
        <v>66786582</v>
      </c>
      <c r="AC153" s="133">
        <v>-3138969</v>
      </c>
      <c r="AD153" s="709"/>
      <c r="AE153" s="710">
        <v>265</v>
      </c>
      <c r="AF153" s="711">
        <v>28</v>
      </c>
      <c r="AG153" s="710">
        <v>19</v>
      </c>
      <c r="AH153" s="710">
        <v>0</v>
      </c>
      <c r="AI153" s="710">
        <v>384</v>
      </c>
      <c r="AJ153" s="710">
        <v>133</v>
      </c>
      <c r="AK153" s="710">
        <v>16</v>
      </c>
      <c r="AL153" s="710">
        <v>15</v>
      </c>
      <c r="AM153" s="710">
        <v>0</v>
      </c>
      <c r="AN153" s="710">
        <v>0</v>
      </c>
      <c r="AO153" s="710">
        <v>0</v>
      </c>
      <c r="AP153" s="711">
        <v>0</v>
      </c>
      <c r="AQ153" s="709"/>
      <c r="AR153" s="709"/>
      <c r="AS153" s="720">
        <v>1215</v>
      </c>
      <c r="AT153" s="710">
        <v>2361</v>
      </c>
      <c r="AU153" s="710">
        <v>2278</v>
      </c>
      <c r="AV153" s="710">
        <v>83</v>
      </c>
      <c r="AW153" s="710">
        <v>1708</v>
      </c>
      <c r="AX153" s="712">
        <v>5322</v>
      </c>
      <c r="AY153" s="683">
        <v>-31054</v>
      </c>
      <c r="AZ153" s="713">
        <v>739081</v>
      </c>
      <c r="BA153" s="714">
        <v>1496854</v>
      </c>
      <c r="BB153" s="715">
        <v>15670450</v>
      </c>
      <c r="BC153" s="715">
        <v>0</v>
      </c>
      <c r="BD153" s="716">
        <v>1496854</v>
      </c>
      <c r="BE153" s="420"/>
      <c r="BF153" s="717" t="s">
        <v>178</v>
      </c>
      <c r="BG153" s="118" t="b">
        <v>1</v>
      </c>
      <c r="BH153" s="494"/>
      <c r="BI153" s="420"/>
      <c r="BJ153" s="420"/>
      <c r="BK153" s="420"/>
      <c r="BL153" s="420"/>
      <c r="BM153" s="420"/>
      <c r="BN153" s="420"/>
      <c r="BO153" s="420"/>
      <c r="BP153" s="420"/>
      <c r="BQ153" s="420"/>
      <c r="BR153" s="420"/>
      <c r="BS153" s="420"/>
      <c r="BT153" s="420"/>
      <c r="BU153" s="420"/>
      <c r="BV153" s="420"/>
      <c r="BW153" s="420"/>
      <c r="BX153" s="420"/>
      <c r="BY153" s="420"/>
      <c r="BZ153" s="420"/>
      <c r="CA153" s="420"/>
      <c r="CB153" s="420"/>
      <c r="CC153" s="420"/>
      <c r="CD153" s="420"/>
      <c r="CE153" s="420"/>
      <c r="CF153" s="420"/>
      <c r="CG153" s="420"/>
      <c r="CH153" s="420"/>
      <c r="CI153" s="420"/>
      <c r="CJ153" s="420"/>
      <c r="CK153" s="420"/>
      <c r="CL153" s="420"/>
      <c r="CM153" s="420"/>
      <c r="CN153" s="420"/>
      <c r="CO153" s="420"/>
      <c r="CP153" s="420"/>
      <c r="CQ153" s="420"/>
      <c r="CR153" s="420"/>
    </row>
    <row r="154" spans="1:96" s="118" customFormat="1" ht="12.75" x14ac:dyDescent="0.2">
      <c r="A154" s="705">
        <v>148</v>
      </c>
      <c r="B154" s="718" t="s">
        <v>179</v>
      </c>
      <c r="C154" s="719" t="s">
        <v>180</v>
      </c>
      <c r="D154" s="708">
        <v>1263664</v>
      </c>
      <c r="E154" s="708">
        <v>936394000</v>
      </c>
      <c r="F154" s="133">
        <v>462507694</v>
      </c>
      <c r="G154" s="133">
        <v>-28181883</v>
      </c>
      <c r="H154" s="133">
        <v>9108195</v>
      </c>
      <c r="I154" s="133">
        <v>-19073688</v>
      </c>
      <c r="J154" s="133">
        <v>-27305968</v>
      </c>
      <c r="K154" s="133">
        <v>-336324</v>
      </c>
      <c r="L154" s="133">
        <v>-9262</v>
      </c>
      <c r="M154" s="133">
        <v>-100000</v>
      </c>
      <c r="N154" s="133">
        <v>-19000000</v>
      </c>
      <c r="O154" s="133">
        <v>-71660</v>
      </c>
      <c r="P154" s="133">
        <v>-430797</v>
      </c>
      <c r="Q154" s="133">
        <v>-64492</v>
      </c>
      <c r="R154" s="133">
        <v>0</v>
      </c>
      <c r="S154" s="133">
        <v>-2315</v>
      </c>
      <c r="T154" s="133">
        <v>-968160</v>
      </c>
      <c r="U154" s="133">
        <v>-468160</v>
      </c>
      <c r="V154" s="133">
        <v>0</v>
      </c>
      <c r="W154" s="709"/>
      <c r="X154" s="709"/>
      <c r="Y154" s="709"/>
      <c r="Z154" s="133">
        <v>-9262</v>
      </c>
      <c r="AA154" s="133">
        <v>-1500</v>
      </c>
      <c r="AB154" s="133">
        <v>395412775</v>
      </c>
      <c r="AC154" s="133">
        <v>-13000000</v>
      </c>
      <c r="AD154" s="709"/>
      <c r="AE154" s="710">
        <v>1145</v>
      </c>
      <c r="AF154" s="711">
        <v>73</v>
      </c>
      <c r="AG154" s="710">
        <v>5</v>
      </c>
      <c r="AH154" s="710">
        <v>1</v>
      </c>
      <c r="AI154" s="710">
        <v>2563</v>
      </c>
      <c r="AJ154" s="710">
        <v>39</v>
      </c>
      <c r="AK154" s="710">
        <v>136</v>
      </c>
      <c r="AL154" s="710">
        <v>73</v>
      </c>
      <c r="AM154" s="710">
        <v>0</v>
      </c>
      <c r="AN154" s="710">
        <v>5</v>
      </c>
      <c r="AO154" s="710">
        <v>10</v>
      </c>
      <c r="AP154" s="711">
        <v>43</v>
      </c>
      <c r="AQ154" s="709"/>
      <c r="AR154" s="709"/>
      <c r="AS154" s="720">
        <v>8386</v>
      </c>
      <c r="AT154" s="710">
        <v>9931</v>
      </c>
      <c r="AU154" s="710">
        <v>9227</v>
      </c>
      <c r="AV154" s="710">
        <v>704</v>
      </c>
      <c r="AW154" s="710">
        <v>11434</v>
      </c>
      <c r="AX154" s="712">
        <v>31781</v>
      </c>
      <c r="AY154" s="683">
        <v>-104797</v>
      </c>
      <c r="AZ154" s="713">
        <v>-3401025</v>
      </c>
      <c r="BA154" s="714">
        <v>-9223539</v>
      </c>
      <c r="BB154" s="715">
        <v>116009725</v>
      </c>
      <c r="BC154" s="715">
        <v>40000</v>
      </c>
      <c r="BD154" s="716">
        <v>-9223540</v>
      </c>
      <c r="BE154" s="420"/>
      <c r="BF154" s="717" t="s">
        <v>180</v>
      </c>
      <c r="BG154" s="118" t="b">
        <v>1</v>
      </c>
      <c r="BH154" s="494"/>
      <c r="BI154" s="420"/>
      <c r="BJ154" s="420"/>
      <c r="BK154" s="420"/>
      <c r="BL154" s="420"/>
      <c r="BM154" s="420"/>
      <c r="BN154" s="420"/>
      <c r="BO154" s="420"/>
      <c r="BP154" s="420"/>
      <c r="BQ154" s="420"/>
      <c r="BR154" s="420"/>
      <c r="BS154" s="420"/>
      <c r="BT154" s="420"/>
      <c r="BU154" s="420"/>
      <c r="BV154" s="420"/>
      <c r="BW154" s="420"/>
      <c r="BX154" s="420"/>
      <c r="BY154" s="420"/>
      <c r="BZ154" s="420"/>
      <c r="CA154" s="420"/>
      <c r="CB154" s="420"/>
      <c r="CC154" s="420"/>
      <c r="CD154" s="420"/>
      <c r="CE154" s="420"/>
      <c r="CF154" s="420"/>
      <c r="CG154" s="420"/>
      <c r="CH154" s="420"/>
      <c r="CI154" s="420"/>
      <c r="CJ154" s="420"/>
      <c r="CK154" s="420"/>
      <c r="CL154" s="420"/>
      <c r="CM154" s="420"/>
      <c r="CN154" s="420"/>
      <c r="CO154" s="420"/>
      <c r="CP154" s="420"/>
      <c r="CQ154" s="420"/>
      <c r="CR154" s="420"/>
    </row>
    <row r="155" spans="1:96" s="118" customFormat="1" ht="12.75" x14ac:dyDescent="0.2">
      <c r="A155" s="705">
        <v>149</v>
      </c>
      <c r="B155" s="718" t="s">
        <v>591</v>
      </c>
      <c r="C155" s="719" t="s">
        <v>182</v>
      </c>
      <c r="D155" s="708">
        <v>482698</v>
      </c>
      <c r="E155" s="708">
        <v>306046000</v>
      </c>
      <c r="F155" s="133">
        <v>149524386</v>
      </c>
      <c r="G155" s="133">
        <v>-14419465</v>
      </c>
      <c r="H155" s="133">
        <v>2746238</v>
      </c>
      <c r="I155" s="133">
        <v>-11673227</v>
      </c>
      <c r="J155" s="133">
        <v>-12713665</v>
      </c>
      <c r="K155" s="133">
        <v>-62063</v>
      </c>
      <c r="L155" s="133">
        <v>0</v>
      </c>
      <c r="M155" s="133">
        <v>-35000</v>
      </c>
      <c r="N155" s="133">
        <v>-2430107</v>
      </c>
      <c r="O155" s="133">
        <v>-462661</v>
      </c>
      <c r="P155" s="133">
        <v>-238204</v>
      </c>
      <c r="Q155" s="133">
        <v>0</v>
      </c>
      <c r="R155" s="133">
        <v>0</v>
      </c>
      <c r="S155" s="133">
        <v>0</v>
      </c>
      <c r="T155" s="133">
        <v>-200000</v>
      </c>
      <c r="U155" s="133">
        <v>0</v>
      </c>
      <c r="V155" s="133">
        <v>0</v>
      </c>
      <c r="W155" s="709"/>
      <c r="X155" s="709"/>
      <c r="Y155" s="709"/>
      <c r="Z155" s="133">
        <v>0</v>
      </c>
      <c r="AA155" s="133">
        <v>-1500</v>
      </c>
      <c r="AB155" s="133">
        <v>113490545</v>
      </c>
      <c r="AC155" s="133">
        <v>-5244911</v>
      </c>
      <c r="AD155" s="709"/>
      <c r="AE155" s="710">
        <v>493</v>
      </c>
      <c r="AF155" s="711">
        <v>10</v>
      </c>
      <c r="AG155" s="710">
        <v>0</v>
      </c>
      <c r="AH155" s="710">
        <v>0</v>
      </c>
      <c r="AI155" s="710">
        <v>1086</v>
      </c>
      <c r="AJ155" s="710">
        <v>272</v>
      </c>
      <c r="AK155" s="710">
        <v>23</v>
      </c>
      <c r="AL155" s="710">
        <v>0</v>
      </c>
      <c r="AM155" s="710">
        <v>0</v>
      </c>
      <c r="AN155" s="710">
        <v>0</v>
      </c>
      <c r="AO155" s="710">
        <v>0</v>
      </c>
      <c r="AP155" s="711">
        <v>5</v>
      </c>
      <c r="AQ155" s="709"/>
      <c r="AR155" s="709"/>
      <c r="AS155" s="720">
        <v>2975</v>
      </c>
      <c r="AT155" s="710">
        <v>5466</v>
      </c>
      <c r="AU155" s="710">
        <v>5141</v>
      </c>
      <c r="AV155" s="710">
        <v>325</v>
      </c>
      <c r="AW155" s="710">
        <v>3842</v>
      </c>
      <c r="AX155" s="712">
        <v>12708</v>
      </c>
      <c r="AY155" s="683">
        <v>-133299</v>
      </c>
      <c r="AZ155" s="713">
        <v>-7358557</v>
      </c>
      <c r="BA155" s="714">
        <v>-8138673</v>
      </c>
      <c r="BB155" s="715">
        <v>37694200</v>
      </c>
      <c r="BC155" s="715">
        <v>1323500</v>
      </c>
      <c r="BD155" s="716">
        <v>-8138671.5</v>
      </c>
      <c r="BE155" s="420"/>
      <c r="BF155" s="717" t="s">
        <v>182</v>
      </c>
      <c r="BG155" s="118" t="b">
        <v>1</v>
      </c>
      <c r="BH155" s="494"/>
      <c r="BI155" s="420"/>
      <c r="BJ155" s="420"/>
      <c r="BK155" s="420"/>
      <c r="BL155" s="420"/>
      <c r="BM155" s="420"/>
      <c r="BN155" s="420"/>
      <c r="BO155" s="420"/>
      <c r="BP155" s="420"/>
      <c r="BQ155" s="420"/>
      <c r="BR155" s="420"/>
      <c r="BS155" s="420"/>
      <c r="BT155" s="420"/>
      <c r="BU155" s="420"/>
      <c r="BV155" s="420"/>
      <c r="BW155" s="420"/>
      <c r="BX155" s="420"/>
      <c r="BY155" s="420"/>
      <c r="BZ155" s="420"/>
      <c r="CA155" s="420"/>
      <c r="CB155" s="420"/>
      <c r="CC155" s="420"/>
      <c r="CD155" s="420"/>
      <c r="CE155" s="420"/>
      <c r="CF155" s="420"/>
      <c r="CG155" s="420"/>
      <c r="CH155" s="420"/>
      <c r="CI155" s="420"/>
      <c r="CJ155" s="420"/>
      <c r="CK155" s="420"/>
      <c r="CL155" s="420"/>
      <c r="CM155" s="420"/>
      <c r="CN155" s="420"/>
      <c r="CO155" s="420"/>
      <c r="CP155" s="420"/>
      <c r="CQ155" s="420"/>
      <c r="CR155" s="420"/>
    </row>
    <row r="156" spans="1:96" s="118" customFormat="1" ht="12.75" x14ac:dyDescent="0.2">
      <c r="A156" s="705">
        <v>150</v>
      </c>
      <c r="B156" s="718" t="s">
        <v>183</v>
      </c>
      <c r="C156" s="719" t="s">
        <v>184</v>
      </c>
      <c r="D156" s="708">
        <v>135758</v>
      </c>
      <c r="E156" s="708">
        <v>71771000</v>
      </c>
      <c r="F156" s="133">
        <v>35325908</v>
      </c>
      <c r="G156" s="133">
        <v>-4204669</v>
      </c>
      <c r="H156" s="133">
        <v>557665</v>
      </c>
      <c r="I156" s="133">
        <v>-3647004</v>
      </c>
      <c r="J156" s="133">
        <v>-3172639</v>
      </c>
      <c r="K156" s="133">
        <v>-92386</v>
      </c>
      <c r="L156" s="133">
        <v>-5343</v>
      </c>
      <c r="M156" s="133">
        <v>0</v>
      </c>
      <c r="N156" s="133">
        <v>-645849</v>
      </c>
      <c r="O156" s="133">
        <v>-167162</v>
      </c>
      <c r="P156" s="133">
        <v>-20561</v>
      </c>
      <c r="Q156" s="133">
        <v>-605</v>
      </c>
      <c r="R156" s="133">
        <v>0</v>
      </c>
      <c r="S156" s="133">
        <v>0</v>
      </c>
      <c r="T156" s="133">
        <v>-310492</v>
      </c>
      <c r="U156" s="133">
        <v>-310492</v>
      </c>
      <c r="V156" s="133">
        <v>0</v>
      </c>
      <c r="W156" s="709"/>
      <c r="X156" s="709"/>
      <c r="Y156" s="709"/>
      <c r="Z156" s="133">
        <v>-5343</v>
      </c>
      <c r="AA156" s="133">
        <v>0</v>
      </c>
      <c r="AB156" s="133">
        <v>25864227</v>
      </c>
      <c r="AC156" s="133">
        <v>-943170</v>
      </c>
      <c r="AD156" s="709"/>
      <c r="AE156" s="710">
        <v>208</v>
      </c>
      <c r="AF156" s="711">
        <v>20</v>
      </c>
      <c r="AG156" s="710">
        <v>7</v>
      </c>
      <c r="AH156" s="710">
        <v>0</v>
      </c>
      <c r="AI156" s="710">
        <v>167</v>
      </c>
      <c r="AJ156" s="710">
        <v>86</v>
      </c>
      <c r="AK156" s="710">
        <v>3</v>
      </c>
      <c r="AL156" s="710">
        <v>2</v>
      </c>
      <c r="AM156" s="710">
        <v>0</v>
      </c>
      <c r="AN156" s="710">
        <v>0</v>
      </c>
      <c r="AO156" s="710">
        <v>13</v>
      </c>
      <c r="AP156" s="711">
        <v>0</v>
      </c>
      <c r="AQ156" s="709"/>
      <c r="AR156" s="709"/>
      <c r="AS156" s="720">
        <v>729</v>
      </c>
      <c r="AT156" s="710">
        <v>1661</v>
      </c>
      <c r="AU156" s="710">
        <v>1581</v>
      </c>
      <c r="AV156" s="710">
        <v>80</v>
      </c>
      <c r="AW156" s="710">
        <v>1274</v>
      </c>
      <c r="AX156" s="712">
        <v>3671</v>
      </c>
      <c r="AY156" s="683">
        <v>-21232</v>
      </c>
      <c r="AZ156" s="713">
        <v>224703</v>
      </c>
      <c r="BA156" s="714">
        <v>105183</v>
      </c>
      <c r="BB156" s="715">
        <v>12124750</v>
      </c>
      <c r="BC156" s="715">
        <v>1370170</v>
      </c>
      <c r="BD156" s="716">
        <v>104942</v>
      </c>
      <c r="BE156" s="420"/>
      <c r="BF156" s="717" t="s">
        <v>184</v>
      </c>
      <c r="BG156" s="118" t="b">
        <v>1</v>
      </c>
      <c r="BH156" s="494"/>
      <c r="BI156" s="420"/>
      <c r="BJ156" s="420"/>
      <c r="BK156" s="420"/>
      <c r="BL156" s="420"/>
      <c r="BM156" s="420"/>
      <c r="BN156" s="420"/>
      <c r="BO156" s="420"/>
      <c r="BP156" s="420"/>
      <c r="BQ156" s="420"/>
      <c r="BR156" s="420"/>
      <c r="BS156" s="420"/>
      <c r="BT156" s="420"/>
      <c r="BU156" s="420"/>
      <c r="BV156" s="420"/>
      <c r="BW156" s="420"/>
      <c r="BX156" s="420"/>
      <c r="BY156" s="420"/>
      <c r="BZ156" s="420"/>
      <c r="CA156" s="420"/>
      <c r="CB156" s="420"/>
      <c r="CC156" s="420"/>
      <c r="CD156" s="420"/>
      <c r="CE156" s="420"/>
      <c r="CF156" s="420"/>
      <c r="CG156" s="420"/>
      <c r="CH156" s="420"/>
      <c r="CI156" s="420"/>
      <c r="CJ156" s="420"/>
      <c r="CK156" s="420"/>
      <c r="CL156" s="420"/>
      <c r="CM156" s="420"/>
      <c r="CN156" s="420"/>
      <c r="CO156" s="420"/>
      <c r="CP156" s="420"/>
      <c r="CQ156" s="420"/>
      <c r="CR156" s="420"/>
    </row>
    <row r="157" spans="1:96" s="118" customFormat="1" ht="12.75" x14ac:dyDescent="0.2">
      <c r="A157" s="705">
        <v>151</v>
      </c>
      <c r="B157" s="718" t="s">
        <v>185</v>
      </c>
      <c r="C157" s="719" t="s">
        <v>186</v>
      </c>
      <c r="D157" s="708">
        <v>303389</v>
      </c>
      <c r="E157" s="708">
        <v>177116000</v>
      </c>
      <c r="F157" s="133">
        <v>87104918</v>
      </c>
      <c r="G157" s="133">
        <v>-7658709</v>
      </c>
      <c r="H157" s="133">
        <v>1616968</v>
      </c>
      <c r="I157" s="133">
        <v>-6041741</v>
      </c>
      <c r="J157" s="133">
        <v>-9001246</v>
      </c>
      <c r="K157" s="133">
        <v>0</v>
      </c>
      <c r="L157" s="133">
        <v>0</v>
      </c>
      <c r="M157" s="133">
        <v>0</v>
      </c>
      <c r="N157" s="133">
        <v>-718388</v>
      </c>
      <c r="O157" s="133">
        <v>-715567</v>
      </c>
      <c r="P157" s="133">
        <v>0</v>
      </c>
      <c r="Q157" s="133">
        <v>0</v>
      </c>
      <c r="R157" s="133">
        <v>0</v>
      </c>
      <c r="S157" s="133">
        <v>0</v>
      </c>
      <c r="T157" s="133">
        <v>0</v>
      </c>
      <c r="U157" s="133">
        <v>0</v>
      </c>
      <c r="V157" s="133">
        <v>0</v>
      </c>
      <c r="W157" s="709"/>
      <c r="X157" s="709"/>
      <c r="Y157" s="709"/>
      <c r="Z157" s="133">
        <v>0</v>
      </c>
      <c r="AA157" s="133">
        <v>0</v>
      </c>
      <c r="AB157" s="133">
        <v>63774861</v>
      </c>
      <c r="AC157" s="133">
        <v>-3061193</v>
      </c>
      <c r="AD157" s="709"/>
      <c r="AE157" s="710">
        <v>386</v>
      </c>
      <c r="AF157" s="711">
        <v>0</v>
      </c>
      <c r="AG157" s="710">
        <v>0</v>
      </c>
      <c r="AH157" s="710">
        <v>0</v>
      </c>
      <c r="AI157" s="710">
        <v>385</v>
      </c>
      <c r="AJ157" s="710">
        <v>139</v>
      </c>
      <c r="AK157" s="710">
        <v>0</v>
      </c>
      <c r="AL157" s="710">
        <v>0</v>
      </c>
      <c r="AM157" s="710">
        <v>0</v>
      </c>
      <c r="AN157" s="710">
        <v>0</v>
      </c>
      <c r="AO157" s="710">
        <v>0</v>
      </c>
      <c r="AP157" s="711">
        <v>3</v>
      </c>
      <c r="AQ157" s="709"/>
      <c r="AR157" s="709"/>
      <c r="AS157" s="720">
        <v>1186</v>
      </c>
      <c r="AT157" s="710">
        <v>2368</v>
      </c>
      <c r="AU157" s="710">
        <v>2096</v>
      </c>
      <c r="AV157" s="710">
        <v>272</v>
      </c>
      <c r="AW157" s="710">
        <v>2490</v>
      </c>
      <c r="AX157" s="712">
        <v>6361</v>
      </c>
      <c r="AY157" s="683">
        <v>-145130</v>
      </c>
      <c r="AZ157" s="713">
        <v>1359552</v>
      </c>
      <c r="BA157" s="714">
        <v>-2741538</v>
      </c>
      <c r="BB157" s="715">
        <v>18154600</v>
      </c>
      <c r="BC157" s="715">
        <v>0</v>
      </c>
      <c r="BD157" s="716">
        <v>-220766.80000000168</v>
      </c>
      <c r="BE157" s="420"/>
      <c r="BF157" s="717" t="s">
        <v>186</v>
      </c>
      <c r="BG157" s="118" t="b">
        <v>1</v>
      </c>
      <c r="BH157" s="494"/>
      <c r="BI157" s="420"/>
      <c r="BJ157" s="420"/>
      <c r="BK157" s="420"/>
      <c r="BL157" s="420"/>
      <c r="BM157" s="420"/>
      <c r="BN157" s="420"/>
      <c r="BO157" s="420"/>
      <c r="BP157" s="420"/>
      <c r="BQ157" s="420"/>
      <c r="BR157" s="420"/>
      <c r="BS157" s="420"/>
      <c r="BT157" s="420"/>
      <c r="BU157" s="420"/>
      <c r="BV157" s="420"/>
      <c r="BW157" s="420"/>
      <c r="BX157" s="420"/>
      <c r="BY157" s="420"/>
      <c r="BZ157" s="420"/>
      <c r="CA157" s="420"/>
      <c r="CB157" s="420"/>
      <c r="CC157" s="420"/>
      <c r="CD157" s="420"/>
      <c r="CE157" s="420"/>
      <c r="CF157" s="420"/>
      <c r="CG157" s="420"/>
      <c r="CH157" s="420"/>
      <c r="CI157" s="420"/>
      <c r="CJ157" s="420"/>
      <c r="CK157" s="420"/>
      <c r="CL157" s="420"/>
      <c r="CM157" s="420"/>
      <c r="CN157" s="420"/>
      <c r="CO157" s="420"/>
      <c r="CP157" s="420"/>
      <c r="CQ157" s="420"/>
      <c r="CR157" s="420"/>
    </row>
    <row r="158" spans="1:96" s="118" customFormat="1" ht="12.75" x14ac:dyDescent="0.2">
      <c r="A158" s="705">
        <v>152</v>
      </c>
      <c r="B158" s="718" t="s">
        <v>187</v>
      </c>
      <c r="C158" s="719" t="s">
        <v>188</v>
      </c>
      <c r="D158" s="708">
        <v>121325</v>
      </c>
      <c r="E158" s="708">
        <v>90185000</v>
      </c>
      <c r="F158" s="133">
        <v>43039234</v>
      </c>
      <c r="G158" s="133">
        <v>-3286665</v>
      </c>
      <c r="H158" s="133">
        <v>831938</v>
      </c>
      <c r="I158" s="133">
        <v>-2454727</v>
      </c>
      <c r="J158" s="133">
        <v>-1907927</v>
      </c>
      <c r="K158" s="133">
        <v>-55148</v>
      </c>
      <c r="L158" s="133">
        <v>-3604</v>
      </c>
      <c r="M158" s="133">
        <v>0</v>
      </c>
      <c r="N158" s="133">
        <v>-796788</v>
      </c>
      <c r="O158" s="133">
        <v>-30000</v>
      </c>
      <c r="P158" s="133">
        <v>-10000</v>
      </c>
      <c r="Q158" s="133">
        <v>0</v>
      </c>
      <c r="R158" s="133">
        <v>0</v>
      </c>
      <c r="S158" s="133">
        <v>0</v>
      </c>
      <c r="T158" s="133">
        <v>0</v>
      </c>
      <c r="U158" s="133">
        <v>0</v>
      </c>
      <c r="V158" s="133">
        <v>0</v>
      </c>
      <c r="W158" s="709"/>
      <c r="X158" s="709"/>
      <c r="Y158" s="709"/>
      <c r="Z158" s="133">
        <v>-3604</v>
      </c>
      <c r="AA158" s="133">
        <v>0</v>
      </c>
      <c r="AB158" s="133">
        <v>35122255</v>
      </c>
      <c r="AC158" s="133">
        <v>-1717000</v>
      </c>
      <c r="AD158" s="709"/>
      <c r="AE158" s="710">
        <v>131</v>
      </c>
      <c r="AF158" s="711">
        <v>13</v>
      </c>
      <c r="AG158" s="710">
        <v>3</v>
      </c>
      <c r="AH158" s="710">
        <v>0</v>
      </c>
      <c r="AI158" s="710">
        <v>258</v>
      </c>
      <c r="AJ158" s="710">
        <v>25</v>
      </c>
      <c r="AK158" s="710">
        <v>6</v>
      </c>
      <c r="AL158" s="710">
        <v>0</v>
      </c>
      <c r="AM158" s="710">
        <v>0</v>
      </c>
      <c r="AN158" s="710">
        <v>0</v>
      </c>
      <c r="AO158" s="710">
        <v>0</v>
      </c>
      <c r="AP158" s="711">
        <v>0</v>
      </c>
      <c r="AQ158" s="709"/>
      <c r="AR158" s="709"/>
      <c r="AS158" s="720">
        <v>834</v>
      </c>
      <c r="AT158" s="710">
        <v>1145</v>
      </c>
      <c r="AU158" s="710">
        <v>1034</v>
      </c>
      <c r="AV158" s="710">
        <v>111</v>
      </c>
      <c r="AW158" s="710">
        <v>1076</v>
      </c>
      <c r="AX158" s="712">
        <v>3065</v>
      </c>
      <c r="AY158" s="683">
        <v>-31014</v>
      </c>
      <c r="AZ158" s="713">
        <v>532000</v>
      </c>
      <c r="BA158" s="714">
        <v>598809</v>
      </c>
      <c r="BB158" s="715">
        <v>13004925</v>
      </c>
      <c r="BC158" s="715">
        <v>0</v>
      </c>
      <c r="BD158" s="716">
        <v>598806</v>
      </c>
      <c r="BE158" s="420"/>
      <c r="BF158" s="717" t="s">
        <v>188</v>
      </c>
      <c r="BG158" s="118" t="b">
        <v>1</v>
      </c>
      <c r="BH158" s="494"/>
      <c r="BI158" s="420"/>
      <c r="BJ158" s="420"/>
      <c r="BK158" s="420"/>
      <c r="BL158" s="420"/>
      <c r="BM158" s="420"/>
      <c r="BN158" s="420"/>
      <c r="BO158" s="420"/>
      <c r="BP158" s="420"/>
      <c r="BQ158" s="420"/>
      <c r="BR158" s="420"/>
      <c r="BS158" s="420"/>
      <c r="BT158" s="420"/>
      <c r="BU158" s="420"/>
      <c r="BV158" s="420"/>
      <c r="BW158" s="420"/>
      <c r="BX158" s="420"/>
      <c r="BY158" s="420"/>
      <c r="BZ158" s="420"/>
      <c r="CA158" s="420"/>
      <c r="CB158" s="420"/>
      <c r="CC158" s="420"/>
      <c r="CD158" s="420"/>
      <c r="CE158" s="420"/>
      <c r="CF158" s="420"/>
      <c r="CG158" s="420"/>
      <c r="CH158" s="420"/>
      <c r="CI158" s="420"/>
      <c r="CJ158" s="420"/>
      <c r="CK158" s="420"/>
      <c r="CL158" s="420"/>
      <c r="CM158" s="420"/>
      <c r="CN158" s="420"/>
      <c r="CO158" s="420"/>
      <c r="CP158" s="420"/>
      <c r="CQ158" s="420"/>
      <c r="CR158" s="420"/>
    </row>
    <row r="159" spans="1:96" s="118" customFormat="1" ht="12.75" x14ac:dyDescent="0.2">
      <c r="A159" s="705">
        <v>153</v>
      </c>
      <c r="B159" s="718" t="s">
        <v>189</v>
      </c>
      <c r="C159" s="719" t="s">
        <v>190</v>
      </c>
      <c r="D159" s="708">
        <v>143084</v>
      </c>
      <c r="E159" s="708">
        <v>112806000</v>
      </c>
      <c r="F159" s="133">
        <v>55520050</v>
      </c>
      <c r="G159" s="133">
        <v>-3310465</v>
      </c>
      <c r="H159" s="133">
        <v>1098310</v>
      </c>
      <c r="I159" s="133">
        <v>-2212155</v>
      </c>
      <c r="J159" s="133">
        <v>-5307404</v>
      </c>
      <c r="K159" s="133">
        <v>-71526</v>
      </c>
      <c r="L159" s="133">
        <v>0</v>
      </c>
      <c r="M159" s="133">
        <v>0</v>
      </c>
      <c r="N159" s="133">
        <v>-1002928</v>
      </c>
      <c r="O159" s="133">
        <v>-41128</v>
      </c>
      <c r="P159" s="133">
        <v>-6113</v>
      </c>
      <c r="Q159" s="133">
        <v>-466</v>
      </c>
      <c r="R159" s="133">
        <v>0</v>
      </c>
      <c r="S159" s="133">
        <v>0</v>
      </c>
      <c r="T159" s="133">
        <v>-100000</v>
      </c>
      <c r="U159" s="133">
        <v>0</v>
      </c>
      <c r="V159" s="133">
        <v>0</v>
      </c>
      <c r="W159" s="709"/>
      <c r="X159" s="709"/>
      <c r="Y159" s="709"/>
      <c r="Z159" s="133">
        <v>0</v>
      </c>
      <c r="AA159" s="133">
        <v>-1500</v>
      </c>
      <c r="AB159" s="133">
        <v>43857273</v>
      </c>
      <c r="AC159" s="133">
        <v>-1500000</v>
      </c>
      <c r="AD159" s="709"/>
      <c r="AE159" s="710">
        <v>210</v>
      </c>
      <c r="AF159" s="711">
        <v>9</v>
      </c>
      <c r="AG159" s="710">
        <v>0</v>
      </c>
      <c r="AH159" s="710">
        <v>1</v>
      </c>
      <c r="AI159" s="710">
        <v>344</v>
      </c>
      <c r="AJ159" s="710">
        <v>34</v>
      </c>
      <c r="AK159" s="710">
        <v>1</v>
      </c>
      <c r="AL159" s="710">
        <v>2</v>
      </c>
      <c r="AM159" s="710">
        <v>0</v>
      </c>
      <c r="AN159" s="710">
        <v>0</v>
      </c>
      <c r="AO159" s="710">
        <v>0</v>
      </c>
      <c r="AP159" s="711">
        <v>0</v>
      </c>
      <c r="AQ159" s="709"/>
      <c r="AR159" s="709"/>
      <c r="AS159" s="720">
        <v>1216</v>
      </c>
      <c r="AT159" s="710">
        <v>1216</v>
      </c>
      <c r="AU159" s="710">
        <v>1119</v>
      </c>
      <c r="AV159" s="710">
        <v>97</v>
      </c>
      <c r="AW159" s="710">
        <v>1440</v>
      </c>
      <c r="AX159" s="712">
        <v>3560</v>
      </c>
      <c r="AY159" s="683">
        <v>-6678</v>
      </c>
      <c r="AZ159" s="713">
        <v>2463736</v>
      </c>
      <c r="BA159" s="714">
        <v>1580531.7599999979</v>
      </c>
      <c r="BB159" s="715">
        <v>13942000</v>
      </c>
      <c r="BC159" s="715">
        <v>0</v>
      </c>
      <c r="BD159" s="716">
        <v>1580530.7599999979</v>
      </c>
      <c r="BE159" s="420"/>
      <c r="BF159" s="717" t="s">
        <v>190</v>
      </c>
      <c r="BG159" s="118" t="b">
        <v>1</v>
      </c>
      <c r="BH159" s="494"/>
      <c r="BI159" s="420"/>
      <c r="BJ159" s="420"/>
      <c r="BK159" s="420"/>
      <c r="BL159" s="420"/>
      <c r="BM159" s="420"/>
      <c r="BN159" s="420"/>
      <c r="BO159" s="420"/>
      <c r="BP159" s="420"/>
      <c r="BQ159" s="420"/>
      <c r="BR159" s="420"/>
      <c r="BS159" s="420"/>
      <c r="BT159" s="420"/>
      <c r="BU159" s="420"/>
      <c r="BV159" s="420"/>
      <c r="BW159" s="420"/>
      <c r="BX159" s="420"/>
      <c r="BY159" s="420"/>
      <c r="BZ159" s="420"/>
      <c r="CA159" s="420"/>
      <c r="CB159" s="420"/>
      <c r="CC159" s="420"/>
      <c r="CD159" s="420"/>
      <c r="CE159" s="420"/>
      <c r="CF159" s="420"/>
      <c r="CG159" s="420"/>
      <c r="CH159" s="420"/>
      <c r="CI159" s="420"/>
      <c r="CJ159" s="420"/>
      <c r="CK159" s="420"/>
      <c r="CL159" s="420"/>
      <c r="CM159" s="420"/>
      <c r="CN159" s="420"/>
      <c r="CO159" s="420"/>
      <c r="CP159" s="420"/>
      <c r="CQ159" s="420"/>
      <c r="CR159" s="420"/>
    </row>
    <row r="160" spans="1:96" s="118" customFormat="1" ht="12.75" x14ac:dyDescent="0.2">
      <c r="A160" s="705">
        <v>154</v>
      </c>
      <c r="B160" s="718" t="s">
        <v>191</v>
      </c>
      <c r="C160" s="719" t="s">
        <v>192</v>
      </c>
      <c r="D160" s="708">
        <v>779985</v>
      </c>
      <c r="E160" s="708">
        <v>543527000</v>
      </c>
      <c r="F160" s="133">
        <v>267726677</v>
      </c>
      <c r="G160" s="133">
        <v>-15196141</v>
      </c>
      <c r="H160" s="133">
        <v>5381289</v>
      </c>
      <c r="I160" s="133">
        <v>-9814852</v>
      </c>
      <c r="J160" s="133">
        <v>-21144068</v>
      </c>
      <c r="K160" s="133">
        <v>-6124</v>
      </c>
      <c r="L160" s="133">
        <v>0</v>
      </c>
      <c r="M160" s="133">
        <v>0</v>
      </c>
      <c r="N160" s="133">
        <v>-11825934</v>
      </c>
      <c r="O160" s="133">
        <v>-121065</v>
      </c>
      <c r="P160" s="133">
        <v>-34738</v>
      </c>
      <c r="Q160" s="133">
        <v>0</v>
      </c>
      <c r="R160" s="133">
        <v>0</v>
      </c>
      <c r="S160" s="133">
        <v>0</v>
      </c>
      <c r="T160" s="133">
        <v>-414488</v>
      </c>
      <c r="U160" s="133">
        <v>-414488</v>
      </c>
      <c r="V160" s="133">
        <v>0</v>
      </c>
      <c r="W160" s="709"/>
      <c r="X160" s="709"/>
      <c r="Y160" s="709"/>
      <c r="Z160" s="133">
        <v>0</v>
      </c>
      <c r="AA160" s="133">
        <v>-1500</v>
      </c>
      <c r="AB160" s="133">
        <v>216901799</v>
      </c>
      <c r="AC160" s="133">
        <v>-12406813</v>
      </c>
      <c r="AD160" s="709"/>
      <c r="AE160" s="710">
        <v>754</v>
      </c>
      <c r="AF160" s="711">
        <v>2</v>
      </c>
      <c r="AG160" s="710">
        <v>0</v>
      </c>
      <c r="AH160" s="710">
        <v>0</v>
      </c>
      <c r="AI160" s="710">
        <v>2957</v>
      </c>
      <c r="AJ160" s="710">
        <v>50</v>
      </c>
      <c r="AK160" s="710">
        <v>5</v>
      </c>
      <c r="AL160" s="710">
        <v>0</v>
      </c>
      <c r="AM160" s="710">
        <v>0</v>
      </c>
      <c r="AN160" s="710">
        <v>0</v>
      </c>
      <c r="AO160" s="710">
        <v>38</v>
      </c>
      <c r="AP160" s="711">
        <v>0</v>
      </c>
      <c r="AQ160" s="709"/>
      <c r="AR160" s="709"/>
      <c r="AS160" s="720">
        <v>5640</v>
      </c>
      <c r="AT160" s="710">
        <v>6165</v>
      </c>
      <c r="AU160" s="710">
        <v>5817</v>
      </c>
      <c r="AV160" s="710">
        <v>348</v>
      </c>
      <c r="AW160" s="710">
        <v>7378</v>
      </c>
      <c r="AX160" s="712">
        <v>19886</v>
      </c>
      <c r="AY160" s="683">
        <v>-104872</v>
      </c>
      <c r="AZ160" s="713">
        <v>3686394</v>
      </c>
      <c r="BA160" s="714">
        <v>3748353</v>
      </c>
      <c r="BB160" s="715">
        <v>49264850</v>
      </c>
      <c r="BC160" s="715">
        <v>8167750</v>
      </c>
      <c r="BD160" s="716">
        <v>3748357</v>
      </c>
      <c r="BE160" s="420"/>
      <c r="BF160" s="717" t="s">
        <v>192</v>
      </c>
      <c r="BG160" s="118" t="b">
        <v>1</v>
      </c>
      <c r="BH160" s="494"/>
      <c r="BI160" s="420"/>
      <c r="BJ160" s="420"/>
      <c r="BK160" s="420"/>
      <c r="BL160" s="420"/>
      <c r="BM160" s="420"/>
      <c r="BN160" s="420"/>
      <c r="BO160" s="420"/>
      <c r="BP160" s="420"/>
      <c r="BQ160" s="420"/>
      <c r="BR160" s="420"/>
      <c r="BS160" s="420"/>
      <c r="BT160" s="420"/>
      <c r="BU160" s="420"/>
      <c r="BV160" s="420"/>
      <c r="BW160" s="420"/>
      <c r="BX160" s="420"/>
      <c r="BY160" s="420"/>
      <c r="BZ160" s="420"/>
      <c r="CA160" s="420"/>
      <c r="CB160" s="420"/>
      <c r="CC160" s="420"/>
      <c r="CD160" s="420"/>
      <c r="CE160" s="420"/>
      <c r="CF160" s="420"/>
      <c r="CG160" s="420"/>
      <c r="CH160" s="420"/>
      <c r="CI160" s="420"/>
      <c r="CJ160" s="420"/>
      <c r="CK160" s="420"/>
      <c r="CL160" s="420"/>
      <c r="CM160" s="420"/>
      <c r="CN160" s="420"/>
      <c r="CO160" s="420"/>
      <c r="CP160" s="420"/>
      <c r="CQ160" s="420"/>
      <c r="CR160" s="420"/>
    </row>
    <row r="161" spans="1:96" s="118" customFormat="1" ht="12.75" x14ac:dyDescent="0.2">
      <c r="A161" s="705">
        <v>155</v>
      </c>
      <c r="B161" s="718" t="s">
        <v>529</v>
      </c>
      <c r="C161" s="719" t="s">
        <v>194</v>
      </c>
      <c r="D161" s="708">
        <v>238245</v>
      </c>
      <c r="E161" s="708">
        <v>172588000</v>
      </c>
      <c r="F161" s="133">
        <v>83072047</v>
      </c>
      <c r="G161" s="133">
        <v>-5488895</v>
      </c>
      <c r="H161" s="133">
        <v>1596364</v>
      </c>
      <c r="I161" s="133">
        <v>-3892531</v>
      </c>
      <c r="J161" s="133">
        <v>-5865807</v>
      </c>
      <c r="K161" s="133">
        <v>-44916</v>
      </c>
      <c r="L161" s="133">
        <v>0</v>
      </c>
      <c r="M161" s="133">
        <v>-209675</v>
      </c>
      <c r="N161" s="133">
        <v>-1528905</v>
      </c>
      <c r="O161" s="133">
        <v>-172774</v>
      </c>
      <c r="P161" s="133">
        <v>-69311</v>
      </c>
      <c r="Q161" s="133">
        <v>0</v>
      </c>
      <c r="R161" s="133">
        <v>0</v>
      </c>
      <c r="S161" s="133">
        <v>0</v>
      </c>
      <c r="T161" s="133">
        <v>-2110</v>
      </c>
      <c r="U161" s="133">
        <v>0</v>
      </c>
      <c r="V161" s="133">
        <v>0</v>
      </c>
      <c r="W161" s="709"/>
      <c r="X161" s="709"/>
      <c r="Y161" s="709"/>
      <c r="Z161" s="133">
        <v>0</v>
      </c>
      <c r="AA161" s="133">
        <v>-1500</v>
      </c>
      <c r="AB161" s="133">
        <v>70107217</v>
      </c>
      <c r="AC161" s="133">
        <v>-3246677</v>
      </c>
      <c r="AD161" s="709"/>
      <c r="AE161" s="710">
        <v>199</v>
      </c>
      <c r="AF161" s="711">
        <v>6</v>
      </c>
      <c r="AG161" s="710">
        <v>0</v>
      </c>
      <c r="AH161" s="710">
        <v>0</v>
      </c>
      <c r="AI161" s="710">
        <v>740</v>
      </c>
      <c r="AJ161" s="710">
        <v>73</v>
      </c>
      <c r="AK161" s="710">
        <v>14</v>
      </c>
      <c r="AL161" s="710">
        <v>2</v>
      </c>
      <c r="AM161" s="710">
        <v>0</v>
      </c>
      <c r="AN161" s="710">
        <v>0</v>
      </c>
      <c r="AO161" s="710">
        <v>0</v>
      </c>
      <c r="AP161" s="711">
        <v>197</v>
      </c>
      <c r="AQ161" s="709"/>
      <c r="AR161" s="709"/>
      <c r="AS161" s="720">
        <v>1595</v>
      </c>
      <c r="AT161" s="710">
        <v>1797</v>
      </c>
      <c r="AU161" s="710">
        <v>1641</v>
      </c>
      <c r="AV161" s="710">
        <v>156</v>
      </c>
      <c r="AW161" s="710">
        <v>2362</v>
      </c>
      <c r="AX161" s="712">
        <v>5784</v>
      </c>
      <c r="AY161" s="683">
        <v>-85550</v>
      </c>
      <c r="AZ161" s="713">
        <v>-3526478</v>
      </c>
      <c r="BA161" s="714">
        <v>-1127656</v>
      </c>
      <c r="BB161" s="715">
        <v>21697450</v>
      </c>
      <c r="BC161" s="715">
        <v>904250</v>
      </c>
      <c r="BD161" s="716">
        <v>-2091980</v>
      </c>
      <c r="BE161" s="420"/>
      <c r="BF161" s="717" t="s">
        <v>194</v>
      </c>
      <c r="BG161" s="118" t="b">
        <v>1</v>
      </c>
      <c r="BH161" s="494"/>
      <c r="BI161" s="420"/>
      <c r="BJ161" s="420"/>
      <c r="BK161" s="420"/>
      <c r="BL161" s="420"/>
      <c r="BM161" s="420"/>
      <c r="BN161" s="420"/>
      <c r="BO161" s="420"/>
      <c r="BP161" s="420"/>
      <c r="BQ161" s="420"/>
      <c r="BR161" s="420"/>
      <c r="BS161" s="420"/>
      <c r="BT161" s="420"/>
      <c r="BU161" s="420"/>
      <c r="BV161" s="420"/>
      <c r="BW161" s="420"/>
      <c r="BX161" s="420"/>
      <c r="BY161" s="420"/>
      <c r="BZ161" s="420"/>
      <c r="CA161" s="420"/>
      <c r="CB161" s="420"/>
      <c r="CC161" s="420"/>
      <c r="CD161" s="420"/>
      <c r="CE161" s="420"/>
      <c r="CF161" s="420"/>
      <c r="CG161" s="420"/>
      <c r="CH161" s="420"/>
      <c r="CI161" s="420"/>
      <c r="CJ161" s="420"/>
      <c r="CK161" s="420"/>
      <c r="CL161" s="420"/>
      <c r="CM161" s="420"/>
      <c r="CN161" s="420"/>
      <c r="CO161" s="420"/>
      <c r="CP161" s="420"/>
      <c r="CQ161" s="420"/>
      <c r="CR161" s="420"/>
    </row>
    <row r="162" spans="1:96" s="118" customFormat="1" ht="12.75" x14ac:dyDescent="0.2">
      <c r="A162" s="705">
        <v>156</v>
      </c>
      <c r="B162" s="718" t="s">
        <v>195</v>
      </c>
      <c r="C162" s="719" t="s">
        <v>196</v>
      </c>
      <c r="D162" s="708">
        <v>205242</v>
      </c>
      <c r="E162" s="708">
        <v>147103000</v>
      </c>
      <c r="F162" s="133">
        <v>71549402</v>
      </c>
      <c r="G162" s="133">
        <v>-4496591</v>
      </c>
      <c r="H162" s="133">
        <v>1320950</v>
      </c>
      <c r="I162" s="133">
        <v>-3175641</v>
      </c>
      <c r="J162" s="133">
        <v>-4881848</v>
      </c>
      <c r="K162" s="133">
        <v>-111067</v>
      </c>
      <c r="L162" s="133">
        <v>-3320</v>
      </c>
      <c r="M162" s="133">
        <v>0</v>
      </c>
      <c r="N162" s="133">
        <v>-1762545</v>
      </c>
      <c r="O162" s="133">
        <v>-143706</v>
      </c>
      <c r="P162" s="133">
        <v>-9512</v>
      </c>
      <c r="Q162" s="133">
        <v>-7913</v>
      </c>
      <c r="R162" s="133">
        <v>-3320</v>
      </c>
      <c r="S162" s="133">
        <v>0</v>
      </c>
      <c r="T162" s="133">
        <v>-55000</v>
      </c>
      <c r="U162" s="133">
        <v>-55000</v>
      </c>
      <c r="V162" s="133">
        <v>0</v>
      </c>
      <c r="W162" s="709"/>
      <c r="X162" s="709"/>
      <c r="Y162" s="709"/>
      <c r="Z162" s="133">
        <v>0</v>
      </c>
      <c r="AA162" s="133">
        <v>-2001</v>
      </c>
      <c r="AB162" s="133">
        <v>60341623</v>
      </c>
      <c r="AC162" s="133">
        <v>-2645000</v>
      </c>
      <c r="AD162" s="709"/>
      <c r="AE162" s="710">
        <v>515</v>
      </c>
      <c r="AF162" s="711">
        <v>29</v>
      </c>
      <c r="AG162" s="710">
        <v>4</v>
      </c>
      <c r="AH162" s="710">
        <v>0</v>
      </c>
      <c r="AI162" s="710">
        <v>293</v>
      </c>
      <c r="AJ162" s="710">
        <v>204</v>
      </c>
      <c r="AK162" s="710">
        <v>5</v>
      </c>
      <c r="AL162" s="710">
        <v>1</v>
      </c>
      <c r="AM162" s="710">
        <v>4</v>
      </c>
      <c r="AN162" s="710">
        <v>0</v>
      </c>
      <c r="AO162" s="710">
        <v>0</v>
      </c>
      <c r="AP162" s="711">
        <v>0</v>
      </c>
      <c r="AQ162" s="709"/>
      <c r="AR162" s="709"/>
      <c r="AS162" s="720">
        <v>1330</v>
      </c>
      <c r="AT162" s="710">
        <v>1504</v>
      </c>
      <c r="AU162" s="710">
        <v>1384</v>
      </c>
      <c r="AV162" s="710">
        <v>120</v>
      </c>
      <c r="AW162" s="710">
        <v>2195</v>
      </c>
      <c r="AX162" s="712">
        <v>5199</v>
      </c>
      <c r="AY162" s="683">
        <v>-51501</v>
      </c>
      <c r="AZ162" s="713">
        <v>-1238067</v>
      </c>
      <c r="BA162" s="714">
        <v>-3458347</v>
      </c>
      <c r="BB162" s="715">
        <v>23763200</v>
      </c>
      <c r="BC162" s="715">
        <v>0</v>
      </c>
      <c r="BD162" s="716">
        <v>-3479449</v>
      </c>
      <c r="BE162" s="420"/>
      <c r="BF162" s="717" t="s">
        <v>196</v>
      </c>
      <c r="BG162" s="118" t="b">
        <v>1</v>
      </c>
      <c r="BH162" s="494"/>
      <c r="BI162" s="420"/>
      <c r="BJ162" s="420"/>
      <c r="BK162" s="420"/>
      <c r="BL162" s="420"/>
      <c r="BM162" s="420"/>
      <c r="BN162" s="420"/>
      <c r="BO162" s="420"/>
      <c r="BP162" s="420"/>
      <c r="BQ162" s="420"/>
      <c r="BR162" s="420"/>
      <c r="BS162" s="420"/>
      <c r="BT162" s="420"/>
      <c r="BU162" s="420"/>
      <c r="BV162" s="420"/>
      <c r="BW162" s="420"/>
      <c r="BX162" s="420"/>
      <c r="BY162" s="420"/>
      <c r="BZ162" s="420"/>
      <c r="CA162" s="420"/>
      <c r="CB162" s="420"/>
      <c r="CC162" s="420"/>
      <c r="CD162" s="420"/>
      <c r="CE162" s="420"/>
      <c r="CF162" s="420"/>
      <c r="CG162" s="420"/>
      <c r="CH162" s="420"/>
      <c r="CI162" s="420"/>
      <c r="CJ162" s="420"/>
      <c r="CK162" s="420"/>
      <c r="CL162" s="420"/>
      <c r="CM162" s="420"/>
      <c r="CN162" s="420"/>
      <c r="CO162" s="420"/>
      <c r="CP162" s="420"/>
      <c r="CQ162" s="420"/>
      <c r="CR162" s="420"/>
    </row>
    <row r="163" spans="1:96" s="118" customFormat="1" ht="12.75" x14ac:dyDescent="0.2">
      <c r="A163" s="705">
        <v>157</v>
      </c>
      <c r="B163" s="718" t="s">
        <v>197</v>
      </c>
      <c r="C163" s="719" t="s">
        <v>198</v>
      </c>
      <c r="D163" s="708">
        <v>89580</v>
      </c>
      <c r="E163" s="708">
        <v>41007000</v>
      </c>
      <c r="F163" s="133">
        <v>19565338</v>
      </c>
      <c r="G163" s="133">
        <v>-2960337</v>
      </c>
      <c r="H163" s="133">
        <v>280396</v>
      </c>
      <c r="I163" s="133">
        <v>-2679941</v>
      </c>
      <c r="J163" s="133">
        <v>-873946</v>
      </c>
      <c r="K163" s="133">
        <v>-62992</v>
      </c>
      <c r="L163" s="133">
        <v>-9299</v>
      </c>
      <c r="M163" s="133">
        <v>0</v>
      </c>
      <c r="N163" s="133">
        <v>-368569</v>
      </c>
      <c r="O163" s="133">
        <v>-31795</v>
      </c>
      <c r="P163" s="133">
        <v>-5975</v>
      </c>
      <c r="Q163" s="133">
        <v>-297</v>
      </c>
      <c r="R163" s="133">
        <v>0</v>
      </c>
      <c r="S163" s="133">
        <v>0</v>
      </c>
      <c r="T163" s="133">
        <v>0</v>
      </c>
      <c r="U163" s="133">
        <v>0</v>
      </c>
      <c r="V163" s="133">
        <v>0</v>
      </c>
      <c r="W163" s="709"/>
      <c r="X163" s="709"/>
      <c r="Y163" s="709"/>
      <c r="Z163" s="133">
        <v>-9299</v>
      </c>
      <c r="AA163" s="133">
        <v>0</v>
      </c>
      <c r="AB163" s="133">
        <v>14901963</v>
      </c>
      <c r="AC163" s="133">
        <v>-902984</v>
      </c>
      <c r="AD163" s="709"/>
      <c r="AE163" s="710">
        <v>116</v>
      </c>
      <c r="AF163" s="711">
        <v>10</v>
      </c>
      <c r="AG163" s="710">
        <v>7</v>
      </c>
      <c r="AH163" s="710">
        <v>0</v>
      </c>
      <c r="AI163" s="710">
        <v>123</v>
      </c>
      <c r="AJ163" s="710">
        <v>55</v>
      </c>
      <c r="AK163" s="710">
        <v>5</v>
      </c>
      <c r="AL163" s="710">
        <v>1</v>
      </c>
      <c r="AM163" s="710">
        <v>0</v>
      </c>
      <c r="AN163" s="710">
        <v>0</v>
      </c>
      <c r="AO163" s="710">
        <v>0</v>
      </c>
      <c r="AP163" s="711">
        <v>0</v>
      </c>
      <c r="AQ163" s="709"/>
      <c r="AR163" s="709"/>
      <c r="AS163" s="720">
        <v>419</v>
      </c>
      <c r="AT163" s="710">
        <v>1209</v>
      </c>
      <c r="AU163" s="710">
        <v>1150</v>
      </c>
      <c r="AV163" s="710">
        <v>59</v>
      </c>
      <c r="AW163" s="710">
        <v>812</v>
      </c>
      <c r="AX163" s="712">
        <v>2465</v>
      </c>
      <c r="AY163" s="683">
        <v>-31821</v>
      </c>
      <c r="AZ163" s="713">
        <v>354623</v>
      </c>
      <c r="BA163" s="714">
        <v>-1055557.4100000001</v>
      </c>
      <c r="BB163" s="715">
        <v>7465150</v>
      </c>
      <c r="BC163" s="715">
        <v>0</v>
      </c>
      <c r="BD163" s="716">
        <v>-856802.5</v>
      </c>
      <c r="BE163" s="420"/>
      <c r="BF163" s="717" t="s">
        <v>198</v>
      </c>
      <c r="BG163" s="118" t="b">
        <v>1</v>
      </c>
      <c r="BH163" s="494"/>
      <c r="BI163" s="420"/>
      <c r="BJ163" s="420"/>
      <c r="BK163" s="420"/>
      <c r="BL163" s="420"/>
      <c r="BM163" s="420"/>
      <c r="BN163" s="420"/>
      <c r="BO163" s="420"/>
      <c r="BP163" s="420"/>
      <c r="BQ163" s="420"/>
      <c r="BR163" s="420"/>
      <c r="BS163" s="420"/>
      <c r="BT163" s="420"/>
      <c r="BU163" s="420"/>
      <c r="BV163" s="420"/>
      <c r="BW163" s="420"/>
      <c r="BX163" s="420"/>
      <c r="BY163" s="420"/>
      <c r="BZ163" s="420"/>
      <c r="CA163" s="420"/>
      <c r="CB163" s="420"/>
      <c r="CC163" s="420"/>
      <c r="CD163" s="420"/>
      <c r="CE163" s="420"/>
      <c r="CF163" s="420"/>
      <c r="CG163" s="420"/>
      <c r="CH163" s="420"/>
      <c r="CI163" s="420"/>
      <c r="CJ163" s="420"/>
      <c r="CK163" s="420"/>
      <c r="CL163" s="420"/>
      <c r="CM163" s="420"/>
      <c r="CN163" s="420"/>
      <c r="CO163" s="420"/>
      <c r="CP163" s="420"/>
      <c r="CQ163" s="420"/>
      <c r="CR163" s="420"/>
    </row>
    <row r="164" spans="1:96" s="118" customFormat="1" ht="12.75" x14ac:dyDescent="0.2">
      <c r="A164" s="705">
        <v>158</v>
      </c>
      <c r="B164" s="718" t="s">
        <v>199</v>
      </c>
      <c r="C164" s="719" t="s">
        <v>200</v>
      </c>
      <c r="D164" s="708">
        <v>104198</v>
      </c>
      <c r="E164" s="708">
        <v>47299000</v>
      </c>
      <c r="F164" s="133">
        <v>22896652</v>
      </c>
      <c r="G164" s="133">
        <v>-3625448</v>
      </c>
      <c r="H164" s="133">
        <v>356926</v>
      </c>
      <c r="I164" s="133">
        <v>-3268522</v>
      </c>
      <c r="J164" s="133">
        <v>-2078329</v>
      </c>
      <c r="K164" s="133">
        <v>-151088</v>
      </c>
      <c r="L164" s="133">
        <v>-36018</v>
      </c>
      <c r="M164" s="133">
        <v>0</v>
      </c>
      <c r="N164" s="133">
        <v>-449303</v>
      </c>
      <c r="O164" s="133">
        <v>-85837</v>
      </c>
      <c r="P164" s="133">
        <v>-44284</v>
      </c>
      <c r="Q164" s="133">
        <v>-37673</v>
      </c>
      <c r="R164" s="133">
        <v>0</v>
      </c>
      <c r="S164" s="133">
        <v>0</v>
      </c>
      <c r="T164" s="133">
        <v>0</v>
      </c>
      <c r="U164" s="133">
        <v>0</v>
      </c>
      <c r="V164" s="133">
        <v>0</v>
      </c>
      <c r="W164" s="709"/>
      <c r="X164" s="709"/>
      <c r="Y164" s="709"/>
      <c r="Z164" s="133">
        <v>-38915</v>
      </c>
      <c r="AA164" s="133">
        <v>0</v>
      </c>
      <c r="AB164" s="133">
        <v>15467203</v>
      </c>
      <c r="AC164" s="133">
        <v>-1160040</v>
      </c>
      <c r="AD164" s="709"/>
      <c r="AE164" s="710">
        <v>206</v>
      </c>
      <c r="AF164" s="711">
        <v>12</v>
      </c>
      <c r="AG164" s="710">
        <v>28</v>
      </c>
      <c r="AH164" s="710">
        <v>0</v>
      </c>
      <c r="AI164" s="710">
        <v>166</v>
      </c>
      <c r="AJ164" s="710">
        <v>117</v>
      </c>
      <c r="AK164" s="710">
        <v>12</v>
      </c>
      <c r="AL164" s="710">
        <v>13</v>
      </c>
      <c r="AM164" s="710">
        <v>0</v>
      </c>
      <c r="AN164" s="710">
        <v>0</v>
      </c>
      <c r="AO164" s="710">
        <v>0</v>
      </c>
      <c r="AP164" s="711">
        <v>0</v>
      </c>
      <c r="AQ164" s="709"/>
      <c r="AR164" s="709"/>
      <c r="AS164" s="720">
        <v>611</v>
      </c>
      <c r="AT164" s="710">
        <v>1499</v>
      </c>
      <c r="AU164" s="710">
        <v>1438</v>
      </c>
      <c r="AV164" s="710">
        <v>61</v>
      </c>
      <c r="AW164" s="710">
        <v>822</v>
      </c>
      <c r="AX164" s="712">
        <v>2917</v>
      </c>
      <c r="AY164" s="683">
        <v>-25074</v>
      </c>
      <c r="AZ164" s="713">
        <v>2251653</v>
      </c>
      <c r="BA164" s="714">
        <v>2223468</v>
      </c>
      <c r="BB164" s="715">
        <v>6971825</v>
      </c>
      <c r="BC164" s="715">
        <v>0</v>
      </c>
      <c r="BD164" s="716">
        <v>2177089.3000000007</v>
      </c>
      <c r="BE164" s="420"/>
      <c r="BF164" s="717" t="s">
        <v>200</v>
      </c>
      <c r="BG164" s="118" t="b">
        <v>1</v>
      </c>
      <c r="BH164" s="494"/>
      <c r="BI164" s="420"/>
      <c r="BJ164" s="420"/>
      <c r="BK164" s="420"/>
      <c r="BL164" s="420"/>
      <c r="BM164" s="420"/>
      <c r="BN164" s="420"/>
      <c r="BO164" s="420"/>
      <c r="BP164" s="420"/>
      <c r="BQ164" s="420"/>
      <c r="BR164" s="420"/>
      <c r="BS164" s="420"/>
      <c r="BT164" s="420"/>
      <c r="BU164" s="420"/>
      <c r="BV164" s="420"/>
      <c r="BW164" s="420"/>
      <c r="BX164" s="420"/>
      <c r="BY164" s="420"/>
      <c r="BZ164" s="420"/>
      <c r="CA164" s="420"/>
      <c r="CB164" s="420"/>
      <c r="CC164" s="420"/>
      <c r="CD164" s="420"/>
      <c r="CE164" s="420"/>
      <c r="CF164" s="420"/>
      <c r="CG164" s="420"/>
      <c r="CH164" s="420"/>
      <c r="CI164" s="420"/>
      <c r="CJ164" s="420"/>
      <c r="CK164" s="420"/>
      <c r="CL164" s="420"/>
      <c r="CM164" s="420"/>
      <c r="CN164" s="420"/>
      <c r="CO164" s="420"/>
      <c r="CP164" s="420"/>
      <c r="CQ164" s="420"/>
      <c r="CR164" s="420"/>
    </row>
    <row r="165" spans="1:96" s="118" customFormat="1" ht="12.75" x14ac:dyDescent="0.2">
      <c r="A165" s="705">
        <v>159</v>
      </c>
      <c r="B165" s="718" t="s">
        <v>201</v>
      </c>
      <c r="C165" s="719" t="s">
        <v>202</v>
      </c>
      <c r="D165" s="708">
        <v>1123822</v>
      </c>
      <c r="E165" s="708">
        <v>910291000</v>
      </c>
      <c r="F165" s="133">
        <v>449311607</v>
      </c>
      <c r="G165" s="133">
        <v>-19203173</v>
      </c>
      <c r="H165" s="133">
        <v>9343976</v>
      </c>
      <c r="I165" s="133">
        <v>-9859197</v>
      </c>
      <c r="J165" s="133">
        <v>-30177026</v>
      </c>
      <c r="K165" s="133">
        <v>-112082</v>
      </c>
      <c r="L165" s="133">
        <v>0</v>
      </c>
      <c r="M165" s="133">
        <v>0</v>
      </c>
      <c r="N165" s="133">
        <v>-23404117</v>
      </c>
      <c r="O165" s="133">
        <v>-2208631</v>
      </c>
      <c r="P165" s="133">
        <v>-703787</v>
      </c>
      <c r="Q165" s="133">
        <v>0</v>
      </c>
      <c r="R165" s="133">
        <v>0</v>
      </c>
      <c r="S165" s="133">
        <v>0</v>
      </c>
      <c r="T165" s="133">
        <v>-1086800</v>
      </c>
      <c r="U165" s="133">
        <v>-1034015</v>
      </c>
      <c r="V165" s="133">
        <v>0</v>
      </c>
      <c r="W165" s="709"/>
      <c r="X165" s="709"/>
      <c r="Y165" s="709"/>
      <c r="Z165" s="133">
        <v>0</v>
      </c>
      <c r="AA165" s="133">
        <v>0</v>
      </c>
      <c r="AB165" s="133">
        <v>374551691</v>
      </c>
      <c r="AC165" s="133">
        <v>-27975267</v>
      </c>
      <c r="AD165" s="709"/>
      <c r="AE165" s="710">
        <v>826</v>
      </c>
      <c r="AF165" s="711">
        <v>10</v>
      </c>
      <c r="AG165" s="710">
        <v>0</v>
      </c>
      <c r="AH165" s="710">
        <v>0</v>
      </c>
      <c r="AI165" s="710">
        <v>3377</v>
      </c>
      <c r="AJ165" s="710">
        <v>42</v>
      </c>
      <c r="AK165" s="710">
        <v>16</v>
      </c>
      <c r="AL165" s="710">
        <v>0</v>
      </c>
      <c r="AM165" s="710">
        <v>0</v>
      </c>
      <c r="AN165" s="710">
        <v>0</v>
      </c>
      <c r="AO165" s="710">
        <v>65</v>
      </c>
      <c r="AP165" s="711">
        <v>81</v>
      </c>
      <c r="AQ165" s="709"/>
      <c r="AR165" s="709"/>
      <c r="AS165" s="720">
        <v>8125</v>
      </c>
      <c r="AT165" s="710">
        <v>6890</v>
      </c>
      <c r="AU165" s="710">
        <v>6474</v>
      </c>
      <c r="AV165" s="710">
        <v>416</v>
      </c>
      <c r="AW165" s="710">
        <v>11333</v>
      </c>
      <c r="AX165" s="712">
        <v>27125</v>
      </c>
      <c r="AY165" s="683">
        <v>-208674</v>
      </c>
      <c r="AZ165" s="713">
        <v>13404690</v>
      </c>
      <c r="BA165" s="714">
        <v>15930760</v>
      </c>
      <c r="BB165" s="715">
        <v>93805950</v>
      </c>
      <c r="BC165" s="715">
        <v>3002000</v>
      </c>
      <c r="BD165" s="716">
        <v>15890967</v>
      </c>
      <c r="BE165" s="420"/>
      <c r="BF165" s="717" t="s">
        <v>202</v>
      </c>
      <c r="BG165" s="118" t="b">
        <v>1</v>
      </c>
      <c r="BH165" s="494"/>
      <c r="BI165" s="420"/>
      <c r="BJ165" s="420"/>
      <c r="BK165" s="420"/>
      <c r="BL165" s="420"/>
      <c r="BM165" s="420"/>
      <c r="BN165" s="420"/>
      <c r="BO165" s="420"/>
      <c r="BP165" s="420"/>
      <c r="BQ165" s="420"/>
      <c r="BR165" s="420"/>
      <c r="BS165" s="420"/>
      <c r="BT165" s="420"/>
      <c r="BU165" s="420"/>
      <c r="BV165" s="420"/>
      <c r="BW165" s="420"/>
      <c r="BX165" s="420"/>
      <c r="BY165" s="420"/>
      <c r="BZ165" s="420"/>
      <c r="CA165" s="420"/>
      <c r="CB165" s="420"/>
      <c r="CC165" s="420"/>
      <c r="CD165" s="420"/>
      <c r="CE165" s="420"/>
      <c r="CF165" s="420"/>
      <c r="CG165" s="420"/>
      <c r="CH165" s="420"/>
      <c r="CI165" s="420"/>
      <c r="CJ165" s="420"/>
      <c r="CK165" s="420"/>
      <c r="CL165" s="420"/>
      <c r="CM165" s="420"/>
      <c r="CN165" s="420"/>
      <c r="CO165" s="420"/>
      <c r="CP165" s="420"/>
      <c r="CQ165" s="420"/>
      <c r="CR165" s="420"/>
    </row>
    <row r="166" spans="1:96" s="118" customFormat="1" ht="12.75" x14ac:dyDescent="0.2">
      <c r="A166" s="705">
        <v>160</v>
      </c>
      <c r="B166" s="718" t="s">
        <v>203</v>
      </c>
      <c r="C166" s="719" t="s">
        <v>204</v>
      </c>
      <c r="D166" s="708">
        <v>125307</v>
      </c>
      <c r="E166" s="708">
        <v>75311000</v>
      </c>
      <c r="F166" s="133">
        <v>36683221</v>
      </c>
      <c r="G166" s="133">
        <v>-3118369</v>
      </c>
      <c r="H166" s="133">
        <v>665734</v>
      </c>
      <c r="I166" s="133">
        <v>-2452635</v>
      </c>
      <c r="J166" s="133">
        <v>-2407236</v>
      </c>
      <c r="K166" s="133">
        <v>-15120</v>
      </c>
      <c r="L166" s="133">
        <v>0</v>
      </c>
      <c r="M166" s="133">
        <v>0</v>
      </c>
      <c r="N166" s="133">
        <v>-809026</v>
      </c>
      <c r="O166" s="133">
        <v>-6464</v>
      </c>
      <c r="P166" s="133">
        <v>-101020</v>
      </c>
      <c r="Q166" s="133">
        <v>0</v>
      </c>
      <c r="R166" s="133">
        <v>0</v>
      </c>
      <c r="S166" s="133">
        <v>0</v>
      </c>
      <c r="T166" s="133">
        <v>0</v>
      </c>
      <c r="U166" s="133">
        <v>0</v>
      </c>
      <c r="V166" s="133">
        <v>0</v>
      </c>
      <c r="W166" s="709"/>
      <c r="X166" s="709"/>
      <c r="Y166" s="709"/>
      <c r="Z166" s="133">
        <v>0</v>
      </c>
      <c r="AA166" s="133">
        <v>-1500</v>
      </c>
      <c r="AB166" s="133">
        <v>29901545</v>
      </c>
      <c r="AC166" s="133">
        <v>-1369095</v>
      </c>
      <c r="AD166" s="709"/>
      <c r="AE166" s="710">
        <v>152</v>
      </c>
      <c r="AF166" s="711">
        <v>2</v>
      </c>
      <c r="AG166" s="710">
        <v>0</v>
      </c>
      <c r="AH166" s="710">
        <v>1</v>
      </c>
      <c r="AI166" s="710">
        <v>559</v>
      </c>
      <c r="AJ166" s="710">
        <v>6</v>
      </c>
      <c r="AK166" s="710">
        <v>11</v>
      </c>
      <c r="AL166" s="710">
        <v>0</v>
      </c>
      <c r="AM166" s="710">
        <v>0</v>
      </c>
      <c r="AN166" s="710">
        <v>0</v>
      </c>
      <c r="AO166" s="710">
        <v>0</v>
      </c>
      <c r="AP166" s="711">
        <v>4</v>
      </c>
      <c r="AQ166" s="709"/>
      <c r="AR166" s="709"/>
      <c r="AS166" s="720">
        <v>778</v>
      </c>
      <c r="AT166" s="710">
        <v>1289</v>
      </c>
      <c r="AU166" s="710">
        <v>1242</v>
      </c>
      <c r="AV166" s="710">
        <v>47</v>
      </c>
      <c r="AW166" s="710">
        <v>1208</v>
      </c>
      <c r="AX166" s="712">
        <v>3291</v>
      </c>
      <c r="AY166" s="683">
        <v>-6612</v>
      </c>
      <c r="AZ166" s="713">
        <v>-2392726</v>
      </c>
      <c r="BA166" s="714">
        <v>-2809015</v>
      </c>
      <c r="BB166" s="715">
        <v>8413635</v>
      </c>
      <c r="BC166" s="715">
        <v>0</v>
      </c>
      <c r="BD166" s="716">
        <v>-2809015</v>
      </c>
      <c r="BE166" s="420"/>
      <c r="BF166" s="717" t="s">
        <v>204</v>
      </c>
      <c r="BG166" s="118" t="b">
        <v>1</v>
      </c>
      <c r="BH166" s="494"/>
      <c r="BI166" s="420"/>
      <c r="BJ166" s="420"/>
      <c r="BK166" s="420"/>
      <c r="BL166" s="420"/>
      <c r="BM166" s="420"/>
      <c r="BN166" s="420"/>
      <c r="BO166" s="420"/>
      <c r="BP166" s="420"/>
      <c r="BQ166" s="420"/>
      <c r="BR166" s="420"/>
      <c r="BS166" s="420"/>
      <c r="BT166" s="420"/>
      <c r="BU166" s="420"/>
      <c r="BV166" s="420"/>
      <c r="BW166" s="420"/>
      <c r="BX166" s="420"/>
      <c r="BY166" s="420"/>
      <c r="BZ166" s="420"/>
      <c r="CA166" s="420"/>
      <c r="CB166" s="420"/>
      <c r="CC166" s="420"/>
      <c r="CD166" s="420"/>
      <c r="CE166" s="420"/>
      <c r="CF166" s="420"/>
      <c r="CG166" s="420"/>
      <c r="CH166" s="420"/>
      <c r="CI166" s="420"/>
      <c r="CJ166" s="420"/>
      <c r="CK166" s="420"/>
      <c r="CL166" s="420"/>
      <c r="CM166" s="420"/>
      <c r="CN166" s="420"/>
      <c r="CO166" s="420"/>
      <c r="CP166" s="420"/>
      <c r="CQ166" s="420"/>
      <c r="CR166" s="420"/>
    </row>
    <row r="167" spans="1:96" s="118" customFormat="1" ht="12.75" x14ac:dyDescent="0.2">
      <c r="A167" s="705">
        <v>161</v>
      </c>
      <c r="B167" s="718" t="s">
        <v>584</v>
      </c>
      <c r="C167" s="719" t="s">
        <v>206</v>
      </c>
      <c r="D167" s="708">
        <v>265015</v>
      </c>
      <c r="E167" s="708">
        <v>231909000</v>
      </c>
      <c r="F167" s="133">
        <v>113356986</v>
      </c>
      <c r="G167" s="133">
        <v>-7112311</v>
      </c>
      <c r="H167" s="133">
        <v>2255026</v>
      </c>
      <c r="I167" s="133">
        <v>-4857285</v>
      </c>
      <c r="J167" s="133">
        <v>-9091327</v>
      </c>
      <c r="K167" s="133">
        <v>-110547</v>
      </c>
      <c r="L167" s="133">
        <v>-1046</v>
      </c>
      <c r="M167" s="133">
        <v>0</v>
      </c>
      <c r="N167" s="133">
        <v>-1909145</v>
      </c>
      <c r="O167" s="133">
        <v>-90351</v>
      </c>
      <c r="P167" s="133">
        <v>-71958</v>
      </c>
      <c r="Q167" s="133">
        <v>0</v>
      </c>
      <c r="R167" s="133">
        <v>0</v>
      </c>
      <c r="S167" s="133">
        <v>0</v>
      </c>
      <c r="T167" s="133">
        <v>0</v>
      </c>
      <c r="U167" s="133">
        <v>0</v>
      </c>
      <c r="V167" s="133">
        <v>0</v>
      </c>
      <c r="W167" s="709"/>
      <c r="X167" s="709"/>
      <c r="Y167" s="709"/>
      <c r="Z167" s="133">
        <v>0</v>
      </c>
      <c r="AA167" s="133">
        <v>-1500</v>
      </c>
      <c r="AB167" s="133">
        <v>98016008</v>
      </c>
      <c r="AC167" s="133">
        <v>-4347826</v>
      </c>
      <c r="AD167" s="709"/>
      <c r="AE167" s="710">
        <v>324</v>
      </c>
      <c r="AF167" s="711">
        <v>8</v>
      </c>
      <c r="AG167" s="710">
        <v>1</v>
      </c>
      <c r="AH167" s="710">
        <v>0</v>
      </c>
      <c r="AI167" s="710">
        <v>348</v>
      </c>
      <c r="AJ167" s="710">
        <v>89</v>
      </c>
      <c r="AK167" s="710">
        <v>15</v>
      </c>
      <c r="AL167" s="710">
        <v>0</v>
      </c>
      <c r="AM167" s="710">
        <v>0</v>
      </c>
      <c r="AN167" s="710">
        <v>0</v>
      </c>
      <c r="AO167" s="710">
        <v>0</v>
      </c>
      <c r="AP167" s="711">
        <v>0</v>
      </c>
      <c r="AQ167" s="709"/>
      <c r="AR167" s="709"/>
      <c r="AS167" s="720">
        <v>3821</v>
      </c>
      <c r="AT167" s="710">
        <v>2329</v>
      </c>
      <c r="AU167" s="710">
        <v>2122</v>
      </c>
      <c r="AV167" s="710">
        <v>207</v>
      </c>
      <c r="AW167" s="710">
        <v>140</v>
      </c>
      <c r="AX167" s="712">
        <v>6319</v>
      </c>
      <c r="AY167" s="683">
        <v>-35674</v>
      </c>
      <c r="AZ167" s="713">
        <v>-2872927</v>
      </c>
      <c r="BA167" s="714">
        <v>-3948560</v>
      </c>
      <c r="BB167" s="715">
        <v>23823872</v>
      </c>
      <c r="BC167" s="715">
        <v>0</v>
      </c>
      <c r="BD167" s="716">
        <v>-3948559.099999994</v>
      </c>
      <c r="BE167" s="420"/>
      <c r="BF167" s="717" t="s">
        <v>206</v>
      </c>
      <c r="BG167" s="118" t="b">
        <v>1</v>
      </c>
      <c r="BH167" s="494"/>
      <c r="BI167" s="420"/>
      <c r="BJ167" s="420"/>
      <c r="BK167" s="420"/>
      <c r="BL167" s="420"/>
      <c r="BM167" s="420"/>
      <c r="BN167" s="420"/>
      <c r="BO167" s="420"/>
      <c r="BP167" s="420"/>
      <c r="BQ167" s="420"/>
      <c r="BR167" s="420"/>
      <c r="BS167" s="420"/>
      <c r="BT167" s="420"/>
      <c r="BU167" s="420"/>
      <c r="BV167" s="420"/>
      <c r="BW167" s="420"/>
      <c r="BX167" s="420"/>
      <c r="BY167" s="420"/>
      <c r="BZ167" s="420"/>
      <c r="CA167" s="420"/>
      <c r="CB167" s="420"/>
      <c r="CC167" s="420"/>
      <c r="CD167" s="420"/>
      <c r="CE167" s="420"/>
      <c r="CF167" s="420"/>
      <c r="CG167" s="420"/>
      <c r="CH167" s="420"/>
      <c r="CI167" s="420"/>
      <c r="CJ167" s="420"/>
      <c r="CK167" s="420"/>
      <c r="CL167" s="420"/>
      <c r="CM167" s="420"/>
      <c r="CN167" s="420"/>
      <c r="CO167" s="420"/>
      <c r="CP167" s="420"/>
      <c r="CQ167" s="420"/>
      <c r="CR167" s="420"/>
    </row>
    <row r="168" spans="1:96" s="118" customFormat="1" ht="12.75" x14ac:dyDescent="0.2">
      <c r="A168" s="705">
        <v>162</v>
      </c>
      <c r="B168" s="718" t="s">
        <v>207</v>
      </c>
      <c r="C168" s="719" t="s">
        <v>208</v>
      </c>
      <c r="D168" s="708">
        <v>60666</v>
      </c>
      <c r="E168" s="708">
        <v>39251000</v>
      </c>
      <c r="F168" s="133">
        <v>19506961</v>
      </c>
      <c r="G168" s="133">
        <v>-1997808</v>
      </c>
      <c r="H168" s="133">
        <v>335000</v>
      </c>
      <c r="I168" s="133">
        <v>-1662808</v>
      </c>
      <c r="J168" s="133">
        <v>-1430000</v>
      </c>
      <c r="K168" s="133">
        <v>-37850</v>
      </c>
      <c r="L168" s="133">
        <v>-21400</v>
      </c>
      <c r="M168" s="133">
        <v>0</v>
      </c>
      <c r="N168" s="133">
        <v>-350000</v>
      </c>
      <c r="O168" s="133">
        <v>-55000</v>
      </c>
      <c r="P168" s="133">
        <v>-40000</v>
      </c>
      <c r="Q168" s="133">
        <v>-450</v>
      </c>
      <c r="R168" s="133">
        <v>0</v>
      </c>
      <c r="S168" s="133">
        <v>0</v>
      </c>
      <c r="T168" s="133">
        <v>0</v>
      </c>
      <c r="U168" s="133">
        <v>0</v>
      </c>
      <c r="V168" s="133">
        <v>0</v>
      </c>
      <c r="W168" s="709"/>
      <c r="X168" s="709"/>
      <c r="Y168" s="709"/>
      <c r="Z168" s="133">
        <v>-24500</v>
      </c>
      <c r="AA168" s="133">
        <v>0</v>
      </c>
      <c r="AB168" s="133">
        <v>15043953</v>
      </c>
      <c r="AC168" s="133">
        <v>-120000</v>
      </c>
      <c r="AD168" s="709"/>
      <c r="AE168" s="710">
        <v>100</v>
      </c>
      <c r="AF168" s="711">
        <v>7</v>
      </c>
      <c r="AG168" s="710">
        <v>17</v>
      </c>
      <c r="AH168" s="710">
        <v>0</v>
      </c>
      <c r="AI168" s="710">
        <v>58</v>
      </c>
      <c r="AJ168" s="710">
        <v>54</v>
      </c>
      <c r="AK168" s="710">
        <v>7</v>
      </c>
      <c r="AL168" s="710">
        <v>2</v>
      </c>
      <c r="AM168" s="710">
        <v>14</v>
      </c>
      <c r="AN168" s="710">
        <v>0</v>
      </c>
      <c r="AO168" s="710">
        <v>0</v>
      </c>
      <c r="AP168" s="711">
        <v>4</v>
      </c>
      <c r="AQ168" s="709"/>
      <c r="AR168" s="709"/>
      <c r="AS168" s="720">
        <v>345</v>
      </c>
      <c r="AT168" s="710">
        <v>706</v>
      </c>
      <c r="AU168" s="710">
        <v>663</v>
      </c>
      <c r="AV168" s="710">
        <v>43</v>
      </c>
      <c r="AW168" s="710">
        <v>517</v>
      </c>
      <c r="AX168" s="712">
        <v>1594</v>
      </c>
      <c r="AY168" s="683">
        <v>-17000</v>
      </c>
      <c r="AZ168" s="713">
        <v>-117710.59999999963</v>
      </c>
      <c r="BA168" s="714">
        <v>-441852.59999999963</v>
      </c>
      <c r="BB168" s="715">
        <v>6319850</v>
      </c>
      <c r="BC168" s="715">
        <v>0</v>
      </c>
      <c r="BD168" s="716">
        <v>-441851.29999999888</v>
      </c>
      <c r="BE168" s="420"/>
      <c r="BF168" s="717" t="s">
        <v>208</v>
      </c>
      <c r="BG168" s="118" t="b">
        <v>1</v>
      </c>
      <c r="BH168" s="494"/>
      <c r="BI168" s="420"/>
      <c r="BJ168" s="420"/>
      <c r="BK168" s="420"/>
      <c r="BL168" s="420"/>
      <c r="BM168" s="420"/>
      <c r="BN168" s="420"/>
      <c r="BO168" s="420"/>
      <c r="BP168" s="420"/>
      <c r="BQ168" s="420"/>
      <c r="BR168" s="420"/>
      <c r="BS168" s="420"/>
      <c r="BT168" s="420"/>
      <c r="BU168" s="420"/>
      <c r="BV168" s="420"/>
      <c r="BW168" s="420"/>
      <c r="BX168" s="420"/>
      <c r="BY168" s="420"/>
      <c r="BZ168" s="420"/>
      <c r="CA168" s="420"/>
      <c r="CB168" s="420"/>
      <c r="CC168" s="420"/>
      <c r="CD168" s="420"/>
      <c r="CE168" s="420"/>
      <c r="CF168" s="420"/>
      <c r="CG168" s="420"/>
      <c r="CH168" s="420"/>
      <c r="CI168" s="420"/>
      <c r="CJ168" s="420"/>
      <c r="CK168" s="420"/>
      <c r="CL168" s="420"/>
      <c r="CM168" s="420"/>
      <c r="CN168" s="420"/>
      <c r="CO168" s="420"/>
      <c r="CP168" s="420"/>
      <c r="CQ168" s="420"/>
      <c r="CR168" s="420"/>
    </row>
    <row r="169" spans="1:96" s="118" customFormat="1" ht="12.75" x14ac:dyDescent="0.2">
      <c r="A169" s="705">
        <v>163</v>
      </c>
      <c r="B169" s="718" t="s">
        <v>209</v>
      </c>
      <c r="C169" s="719" t="s">
        <v>210</v>
      </c>
      <c r="D169" s="708">
        <v>166243</v>
      </c>
      <c r="E169" s="708">
        <v>95546000</v>
      </c>
      <c r="F169" s="133">
        <v>46570947</v>
      </c>
      <c r="G169" s="133">
        <v>-5176597</v>
      </c>
      <c r="H169" s="133">
        <v>777355</v>
      </c>
      <c r="I169" s="133">
        <v>-4399242</v>
      </c>
      <c r="J169" s="133">
        <v>-3490584</v>
      </c>
      <c r="K169" s="133">
        <v>-43542</v>
      </c>
      <c r="L169" s="133">
        <v>-18736</v>
      </c>
      <c r="M169" s="133">
        <v>0</v>
      </c>
      <c r="N169" s="133">
        <v>-1282300</v>
      </c>
      <c r="O169" s="133">
        <v>-57777</v>
      </c>
      <c r="P169" s="133">
        <v>-26140</v>
      </c>
      <c r="Q169" s="133">
        <v>-5048</v>
      </c>
      <c r="R169" s="133">
        <v>0</v>
      </c>
      <c r="S169" s="133">
        <v>-4504</v>
      </c>
      <c r="T169" s="133">
        <v>0</v>
      </c>
      <c r="U169" s="133">
        <v>0</v>
      </c>
      <c r="V169" s="133">
        <v>0</v>
      </c>
      <c r="W169" s="709"/>
      <c r="X169" s="709"/>
      <c r="Y169" s="709"/>
      <c r="Z169" s="133">
        <v>-18736</v>
      </c>
      <c r="AA169" s="133">
        <v>0</v>
      </c>
      <c r="AB169" s="133">
        <v>35550068</v>
      </c>
      <c r="AC169" s="133">
        <v>-151466</v>
      </c>
      <c r="AD169" s="709"/>
      <c r="AE169" s="710">
        <v>284</v>
      </c>
      <c r="AF169" s="711">
        <v>12</v>
      </c>
      <c r="AG169" s="710">
        <v>13</v>
      </c>
      <c r="AH169" s="710">
        <v>0</v>
      </c>
      <c r="AI169" s="710">
        <v>336</v>
      </c>
      <c r="AJ169" s="710">
        <v>114</v>
      </c>
      <c r="AK169" s="710">
        <v>6</v>
      </c>
      <c r="AL169" s="710">
        <v>7</v>
      </c>
      <c r="AM169" s="710">
        <v>0</v>
      </c>
      <c r="AN169" s="710">
        <v>2</v>
      </c>
      <c r="AO169" s="710">
        <v>0</v>
      </c>
      <c r="AP169" s="711">
        <v>0</v>
      </c>
      <c r="AQ169" s="709"/>
      <c r="AR169" s="709"/>
      <c r="AS169" s="720">
        <v>943</v>
      </c>
      <c r="AT169" s="710">
        <v>2034</v>
      </c>
      <c r="AU169" s="710">
        <v>1930</v>
      </c>
      <c r="AV169" s="710">
        <v>104</v>
      </c>
      <c r="AW169" s="710">
        <v>1404</v>
      </c>
      <c r="AX169" s="712">
        <v>4467</v>
      </c>
      <c r="AY169" s="683">
        <v>-54312</v>
      </c>
      <c r="AZ169" s="713">
        <v>-2265898</v>
      </c>
      <c r="BA169" s="714">
        <v>-1972651</v>
      </c>
      <c r="BB169" s="715">
        <v>16782300</v>
      </c>
      <c r="BC169" s="715">
        <v>0</v>
      </c>
      <c r="BD169" s="716">
        <v>-1973402.9500000016</v>
      </c>
      <c r="BE169" s="420"/>
      <c r="BF169" s="717" t="s">
        <v>210</v>
      </c>
      <c r="BG169" s="118" t="b">
        <v>1</v>
      </c>
      <c r="BH169" s="494"/>
      <c r="BI169" s="420"/>
      <c r="BJ169" s="420"/>
      <c r="BK169" s="420"/>
      <c r="BL169" s="420"/>
      <c r="BM169" s="420"/>
      <c r="BN169" s="420"/>
      <c r="BO169" s="420"/>
      <c r="BP169" s="420"/>
      <c r="BQ169" s="420"/>
      <c r="BR169" s="420"/>
      <c r="BS169" s="420"/>
      <c r="BT169" s="420"/>
      <c r="BU169" s="420"/>
      <c r="BV169" s="420"/>
      <c r="BW169" s="420"/>
      <c r="BX169" s="420"/>
      <c r="BY169" s="420"/>
      <c r="BZ169" s="420"/>
      <c r="CA169" s="420"/>
      <c r="CB169" s="420"/>
      <c r="CC169" s="420"/>
      <c r="CD169" s="420"/>
      <c r="CE169" s="420"/>
      <c r="CF169" s="420"/>
      <c r="CG169" s="420"/>
      <c r="CH169" s="420"/>
      <c r="CI169" s="420"/>
      <c r="CJ169" s="420"/>
      <c r="CK169" s="420"/>
      <c r="CL169" s="420"/>
      <c r="CM169" s="420"/>
      <c r="CN169" s="420"/>
      <c r="CO169" s="420"/>
      <c r="CP169" s="420"/>
      <c r="CQ169" s="420"/>
      <c r="CR169" s="420"/>
    </row>
    <row r="170" spans="1:96" s="118" customFormat="1" ht="12.75" x14ac:dyDescent="0.2">
      <c r="A170" s="705">
        <v>164</v>
      </c>
      <c r="B170" s="718" t="s">
        <v>211</v>
      </c>
      <c r="C170" s="719" t="s">
        <v>212</v>
      </c>
      <c r="D170" s="708">
        <v>256692</v>
      </c>
      <c r="E170" s="708">
        <v>212643000</v>
      </c>
      <c r="F170" s="133">
        <v>105307650</v>
      </c>
      <c r="G170" s="133">
        <v>-4853373</v>
      </c>
      <c r="H170" s="133">
        <v>2142595</v>
      </c>
      <c r="I170" s="133">
        <v>-2710778</v>
      </c>
      <c r="J170" s="133">
        <v>-6214200</v>
      </c>
      <c r="K170" s="133">
        <v>-119146</v>
      </c>
      <c r="L170" s="133">
        <v>0</v>
      </c>
      <c r="M170" s="133">
        <v>0</v>
      </c>
      <c r="N170" s="133">
        <v>-828478</v>
      </c>
      <c r="O170" s="133">
        <v>-407066</v>
      </c>
      <c r="P170" s="133">
        <v>-104192</v>
      </c>
      <c r="Q170" s="133">
        <v>-2543</v>
      </c>
      <c r="R170" s="133">
        <v>0</v>
      </c>
      <c r="S170" s="133">
        <v>0</v>
      </c>
      <c r="T170" s="133">
        <v>-100000</v>
      </c>
      <c r="U170" s="133">
        <v>0</v>
      </c>
      <c r="V170" s="133">
        <v>0</v>
      </c>
      <c r="W170" s="709"/>
      <c r="X170" s="709"/>
      <c r="Y170" s="709"/>
      <c r="Z170" s="133">
        <v>0</v>
      </c>
      <c r="AA170" s="133">
        <v>0</v>
      </c>
      <c r="AB170" s="133">
        <v>91781823.900000006</v>
      </c>
      <c r="AC170" s="133">
        <v>-1978701</v>
      </c>
      <c r="AD170" s="709"/>
      <c r="AE170" s="710">
        <v>227</v>
      </c>
      <c r="AF170" s="711">
        <v>7</v>
      </c>
      <c r="AG170" s="710">
        <v>0</v>
      </c>
      <c r="AH170" s="710">
        <v>0</v>
      </c>
      <c r="AI170" s="710">
        <v>289</v>
      </c>
      <c r="AJ170" s="710">
        <v>101</v>
      </c>
      <c r="AK170" s="710">
        <v>18</v>
      </c>
      <c r="AL170" s="710">
        <v>2</v>
      </c>
      <c r="AM170" s="710">
        <v>0</v>
      </c>
      <c r="AN170" s="710">
        <v>0</v>
      </c>
      <c r="AO170" s="710">
        <v>0</v>
      </c>
      <c r="AP170" s="711">
        <v>0</v>
      </c>
      <c r="AQ170" s="709"/>
      <c r="AR170" s="709"/>
      <c r="AS170" s="720">
        <v>1480</v>
      </c>
      <c r="AT170" s="710">
        <v>1443</v>
      </c>
      <c r="AU170" s="710">
        <v>1308</v>
      </c>
      <c r="AV170" s="710">
        <v>135</v>
      </c>
      <c r="AW170" s="710">
        <v>2535</v>
      </c>
      <c r="AX170" s="712">
        <v>5464</v>
      </c>
      <c r="AY170" s="683">
        <v>-24594.1</v>
      </c>
      <c r="AZ170" s="713">
        <v>-4530951</v>
      </c>
      <c r="BA170" s="714">
        <v>-3569606</v>
      </c>
      <c r="BB170" s="715">
        <v>20361250</v>
      </c>
      <c r="BC170" s="715">
        <v>0</v>
      </c>
      <c r="BD170" s="716">
        <v>-3559784</v>
      </c>
      <c r="BE170" s="420"/>
      <c r="BF170" s="717" t="s">
        <v>212</v>
      </c>
      <c r="BG170" s="118" t="b">
        <v>1</v>
      </c>
      <c r="BH170" s="494"/>
      <c r="BI170" s="420"/>
      <c r="BJ170" s="420"/>
      <c r="BK170" s="420"/>
      <c r="BL170" s="420"/>
      <c r="BM170" s="420"/>
      <c r="BN170" s="420"/>
      <c r="BO170" s="420"/>
      <c r="BP170" s="420"/>
      <c r="BQ170" s="420"/>
      <c r="BR170" s="420"/>
      <c r="BS170" s="420"/>
      <c r="BT170" s="420"/>
      <c r="BU170" s="420"/>
      <c r="BV170" s="420"/>
      <c r="BW170" s="420"/>
      <c r="BX170" s="420"/>
      <c r="BY170" s="420"/>
      <c r="BZ170" s="420"/>
      <c r="CA170" s="420"/>
      <c r="CB170" s="420"/>
      <c r="CC170" s="420"/>
      <c r="CD170" s="420"/>
      <c r="CE170" s="420"/>
      <c r="CF170" s="420"/>
      <c r="CG170" s="420"/>
      <c r="CH170" s="420"/>
      <c r="CI170" s="420"/>
      <c r="CJ170" s="420"/>
      <c r="CK170" s="420"/>
      <c r="CL170" s="420"/>
      <c r="CM170" s="420"/>
      <c r="CN170" s="420"/>
      <c r="CO170" s="420"/>
      <c r="CP170" s="420"/>
      <c r="CQ170" s="420"/>
      <c r="CR170" s="420"/>
    </row>
    <row r="171" spans="1:96" s="118" customFormat="1" ht="12.75" x14ac:dyDescent="0.2">
      <c r="A171" s="705">
        <v>165</v>
      </c>
      <c r="B171" s="718" t="s">
        <v>213</v>
      </c>
      <c r="C171" s="719" t="s">
        <v>214</v>
      </c>
      <c r="D171" s="708">
        <v>110909</v>
      </c>
      <c r="E171" s="708">
        <v>44822000</v>
      </c>
      <c r="F171" s="133">
        <v>21600619</v>
      </c>
      <c r="G171" s="133">
        <v>-3638364</v>
      </c>
      <c r="H171" s="133">
        <v>296029</v>
      </c>
      <c r="I171" s="133">
        <v>-3342335</v>
      </c>
      <c r="J171" s="133">
        <v>-1374946</v>
      </c>
      <c r="K171" s="133">
        <v>-35058</v>
      </c>
      <c r="L171" s="133">
        <v>-45703</v>
      </c>
      <c r="M171" s="133">
        <v>0</v>
      </c>
      <c r="N171" s="133">
        <v>-398415</v>
      </c>
      <c r="O171" s="133">
        <v>-67232</v>
      </c>
      <c r="P171" s="133">
        <v>-3670</v>
      </c>
      <c r="Q171" s="133">
        <v>-511</v>
      </c>
      <c r="R171" s="133">
        <v>0</v>
      </c>
      <c r="S171" s="133">
        <v>-6550</v>
      </c>
      <c r="T171" s="133">
        <v>0</v>
      </c>
      <c r="U171" s="133">
        <v>0</v>
      </c>
      <c r="V171" s="133">
        <v>0</v>
      </c>
      <c r="W171" s="709"/>
      <c r="X171" s="709"/>
      <c r="Y171" s="709"/>
      <c r="Z171" s="133">
        <v>-45703</v>
      </c>
      <c r="AA171" s="133">
        <v>0</v>
      </c>
      <c r="AB171" s="133">
        <v>15755364</v>
      </c>
      <c r="AC171" s="133">
        <v>-200000</v>
      </c>
      <c r="AD171" s="709"/>
      <c r="AE171" s="710">
        <v>220</v>
      </c>
      <c r="AF171" s="711">
        <v>10</v>
      </c>
      <c r="AG171" s="710">
        <v>21</v>
      </c>
      <c r="AH171" s="710">
        <v>0</v>
      </c>
      <c r="AI171" s="710">
        <v>202</v>
      </c>
      <c r="AJ171" s="710">
        <v>126</v>
      </c>
      <c r="AK171" s="710">
        <v>6</v>
      </c>
      <c r="AL171" s="710">
        <v>3</v>
      </c>
      <c r="AM171" s="710">
        <v>9</v>
      </c>
      <c r="AN171" s="710">
        <v>0</v>
      </c>
      <c r="AO171" s="710">
        <v>0</v>
      </c>
      <c r="AP171" s="711">
        <v>0</v>
      </c>
      <c r="AQ171" s="709"/>
      <c r="AR171" s="709"/>
      <c r="AS171" s="720">
        <v>1043</v>
      </c>
      <c r="AT171" s="710">
        <v>1551</v>
      </c>
      <c r="AU171" s="710">
        <v>1490</v>
      </c>
      <c r="AV171" s="710">
        <v>61</v>
      </c>
      <c r="AW171" s="710">
        <v>485</v>
      </c>
      <c r="AX171" s="712">
        <v>3155</v>
      </c>
      <c r="AY171" s="683">
        <v>-22000</v>
      </c>
      <c r="AZ171" s="713">
        <v>-1947266</v>
      </c>
      <c r="BA171" s="714">
        <v>-1769224</v>
      </c>
      <c r="BB171" s="715">
        <v>7886450</v>
      </c>
      <c r="BC171" s="715">
        <v>0</v>
      </c>
      <c r="BD171" s="716">
        <v>-1769224</v>
      </c>
      <c r="BE171" s="420"/>
      <c r="BF171" s="717" t="s">
        <v>214</v>
      </c>
      <c r="BG171" s="118" t="b">
        <v>1</v>
      </c>
      <c r="BH171" s="494"/>
      <c r="BI171" s="420"/>
      <c r="BJ171" s="420"/>
      <c r="BK171" s="420"/>
      <c r="BL171" s="420"/>
      <c r="BM171" s="420"/>
      <c r="BN171" s="420"/>
      <c r="BO171" s="420"/>
      <c r="BP171" s="420"/>
      <c r="BQ171" s="420"/>
      <c r="BR171" s="420"/>
      <c r="BS171" s="420"/>
      <c r="BT171" s="420"/>
      <c r="BU171" s="420"/>
      <c r="BV171" s="420"/>
      <c r="BW171" s="420"/>
      <c r="BX171" s="420"/>
      <c r="BY171" s="420"/>
      <c r="BZ171" s="420"/>
      <c r="CA171" s="420"/>
      <c r="CB171" s="420"/>
      <c r="CC171" s="420"/>
      <c r="CD171" s="420"/>
      <c r="CE171" s="420"/>
      <c r="CF171" s="420"/>
      <c r="CG171" s="420"/>
      <c r="CH171" s="420"/>
      <c r="CI171" s="420"/>
      <c r="CJ171" s="420"/>
      <c r="CK171" s="420"/>
      <c r="CL171" s="420"/>
      <c r="CM171" s="420"/>
      <c r="CN171" s="420"/>
      <c r="CO171" s="420"/>
      <c r="CP171" s="420"/>
      <c r="CQ171" s="420"/>
      <c r="CR171" s="420"/>
    </row>
    <row r="172" spans="1:96" s="118" customFormat="1" ht="12.75" x14ac:dyDescent="0.2">
      <c r="A172" s="705">
        <v>166</v>
      </c>
      <c r="B172" s="718" t="s">
        <v>215</v>
      </c>
      <c r="C172" s="719" t="s">
        <v>216</v>
      </c>
      <c r="D172" s="708">
        <v>126183</v>
      </c>
      <c r="E172" s="708">
        <v>61986000</v>
      </c>
      <c r="F172" s="133">
        <v>30037823</v>
      </c>
      <c r="G172" s="133">
        <v>-3485786</v>
      </c>
      <c r="H172" s="133">
        <v>488505</v>
      </c>
      <c r="I172" s="133">
        <v>-2997281</v>
      </c>
      <c r="J172" s="133">
        <v>-1622017</v>
      </c>
      <c r="K172" s="133">
        <v>-49328</v>
      </c>
      <c r="L172" s="133">
        <v>-54090</v>
      </c>
      <c r="M172" s="133">
        <v>-19656</v>
      </c>
      <c r="N172" s="133">
        <v>-526631</v>
      </c>
      <c r="O172" s="133">
        <v>-175062</v>
      </c>
      <c r="P172" s="133">
        <v>-37645</v>
      </c>
      <c r="Q172" s="133">
        <v>-9691</v>
      </c>
      <c r="R172" s="133">
        <v>0</v>
      </c>
      <c r="S172" s="133">
        <v>-20994</v>
      </c>
      <c r="T172" s="133">
        <v>0</v>
      </c>
      <c r="U172" s="133">
        <v>0</v>
      </c>
      <c r="V172" s="133">
        <v>0</v>
      </c>
      <c r="W172" s="709"/>
      <c r="X172" s="709"/>
      <c r="Y172" s="709"/>
      <c r="Z172" s="133">
        <v>-54090</v>
      </c>
      <c r="AA172" s="133">
        <v>0</v>
      </c>
      <c r="AB172" s="133">
        <v>23534960</v>
      </c>
      <c r="AC172" s="133">
        <v>-867477</v>
      </c>
      <c r="AD172" s="709"/>
      <c r="AE172" s="710">
        <v>269</v>
      </c>
      <c r="AF172" s="711">
        <v>11</v>
      </c>
      <c r="AG172" s="710">
        <v>46</v>
      </c>
      <c r="AH172" s="710">
        <v>1</v>
      </c>
      <c r="AI172" s="710">
        <v>227</v>
      </c>
      <c r="AJ172" s="710">
        <v>210</v>
      </c>
      <c r="AK172" s="710">
        <v>7</v>
      </c>
      <c r="AL172" s="710">
        <v>8</v>
      </c>
      <c r="AM172" s="710">
        <v>46</v>
      </c>
      <c r="AN172" s="710">
        <v>4</v>
      </c>
      <c r="AO172" s="710">
        <v>0</v>
      </c>
      <c r="AP172" s="711">
        <v>0</v>
      </c>
      <c r="AQ172" s="709"/>
      <c r="AR172" s="709"/>
      <c r="AS172" s="720">
        <v>878</v>
      </c>
      <c r="AT172" s="710">
        <v>1495</v>
      </c>
      <c r="AU172" s="710">
        <v>1443</v>
      </c>
      <c r="AV172" s="710">
        <v>52</v>
      </c>
      <c r="AW172" s="710">
        <v>1031</v>
      </c>
      <c r="AX172" s="712">
        <v>3465</v>
      </c>
      <c r="AY172" s="683">
        <v>-69722</v>
      </c>
      <c r="AZ172" s="713">
        <v>-1361158</v>
      </c>
      <c r="BA172" s="714">
        <v>-1186150</v>
      </c>
      <c r="BB172" s="715">
        <v>10677550</v>
      </c>
      <c r="BC172" s="715">
        <v>0</v>
      </c>
      <c r="BD172" s="716">
        <v>-1186147.6999999993</v>
      </c>
      <c r="BE172" s="420"/>
      <c r="BF172" s="717" t="s">
        <v>216</v>
      </c>
      <c r="BG172" s="118" t="b">
        <v>1</v>
      </c>
      <c r="BH172" s="494"/>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row>
    <row r="173" spans="1:96" s="118" customFormat="1" ht="12.75" x14ac:dyDescent="0.2">
      <c r="A173" s="705">
        <v>167</v>
      </c>
      <c r="B173" s="718" t="s">
        <v>217</v>
      </c>
      <c r="C173" s="719" t="s">
        <v>218</v>
      </c>
      <c r="D173" s="708">
        <v>171934</v>
      </c>
      <c r="E173" s="708">
        <v>121485000</v>
      </c>
      <c r="F173" s="133">
        <v>58654188</v>
      </c>
      <c r="G173" s="133">
        <v>-4429367</v>
      </c>
      <c r="H173" s="133">
        <v>1006356</v>
      </c>
      <c r="I173" s="133">
        <v>-3423011</v>
      </c>
      <c r="J173" s="133">
        <v>-4236753</v>
      </c>
      <c r="K173" s="133">
        <v>-56054</v>
      </c>
      <c r="L173" s="133">
        <v>-3591</v>
      </c>
      <c r="M173" s="133">
        <v>0</v>
      </c>
      <c r="N173" s="133">
        <v>-641348</v>
      </c>
      <c r="O173" s="133">
        <v>-93754</v>
      </c>
      <c r="P173" s="133">
        <v>-712666</v>
      </c>
      <c r="Q173" s="133">
        <v>-3916</v>
      </c>
      <c r="R173" s="133">
        <v>0</v>
      </c>
      <c r="S173" s="133">
        <v>0</v>
      </c>
      <c r="T173" s="133">
        <v>0</v>
      </c>
      <c r="U173" s="133">
        <v>0</v>
      </c>
      <c r="V173" s="133">
        <v>0</v>
      </c>
      <c r="W173" s="709"/>
      <c r="X173" s="709"/>
      <c r="Y173" s="709"/>
      <c r="Z173" s="133">
        <v>-7329</v>
      </c>
      <c r="AA173" s="133">
        <v>0</v>
      </c>
      <c r="AB173" s="133">
        <v>46917366</v>
      </c>
      <c r="AC173" s="133">
        <v>-2205116</v>
      </c>
      <c r="AD173" s="709"/>
      <c r="AE173" s="710">
        <v>226</v>
      </c>
      <c r="AF173" s="711">
        <v>10</v>
      </c>
      <c r="AG173" s="710">
        <v>3</v>
      </c>
      <c r="AH173" s="710">
        <v>0</v>
      </c>
      <c r="AI173" s="710">
        <v>175</v>
      </c>
      <c r="AJ173" s="710">
        <v>60</v>
      </c>
      <c r="AK173" s="710">
        <v>9</v>
      </c>
      <c r="AL173" s="710">
        <v>4</v>
      </c>
      <c r="AM173" s="710">
        <v>0</v>
      </c>
      <c r="AN173" s="710">
        <v>0</v>
      </c>
      <c r="AO173" s="710">
        <v>0</v>
      </c>
      <c r="AP173" s="711">
        <v>60</v>
      </c>
      <c r="AQ173" s="709"/>
      <c r="AR173" s="709"/>
      <c r="AS173" s="720">
        <v>887</v>
      </c>
      <c r="AT173" s="710">
        <v>1508</v>
      </c>
      <c r="AU173" s="710">
        <v>1398</v>
      </c>
      <c r="AV173" s="710">
        <v>110</v>
      </c>
      <c r="AW173" s="710">
        <v>1982</v>
      </c>
      <c r="AX173" s="712">
        <v>4406</v>
      </c>
      <c r="AY173" s="683">
        <v>-71054</v>
      </c>
      <c r="AZ173" s="713">
        <v>1115570</v>
      </c>
      <c r="BA173" s="714">
        <v>-1072965</v>
      </c>
      <c r="BB173" s="715">
        <v>22516300</v>
      </c>
      <c r="BC173" s="715">
        <v>0</v>
      </c>
      <c r="BD173" s="716">
        <v>-1072963.4400000032</v>
      </c>
      <c r="BE173" s="420"/>
      <c r="BF173" s="717" t="s">
        <v>218</v>
      </c>
      <c r="BG173" s="118" t="b">
        <v>1</v>
      </c>
      <c r="BH173" s="494"/>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row>
    <row r="174" spans="1:96" s="118" customFormat="1" ht="12.75" x14ac:dyDescent="0.2">
      <c r="A174" s="705">
        <v>168</v>
      </c>
      <c r="B174" s="718" t="s">
        <v>549</v>
      </c>
      <c r="C174" s="719" t="s">
        <v>220</v>
      </c>
      <c r="D174" s="708">
        <v>170442</v>
      </c>
      <c r="E174" s="708">
        <v>103589000</v>
      </c>
      <c r="F174" s="133">
        <v>51430642</v>
      </c>
      <c r="G174" s="133">
        <v>-3752942</v>
      </c>
      <c r="H174" s="133">
        <v>923553</v>
      </c>
      <c r="I174" s="133">
        <v>-2829389</v>
      </c>
      <c r="J174" s="133">
        <v>-6560106</v>
      </c>
      <c r="K174" s="133">
        <v>-58233</v>
      </c>
      <c r="L174" s="133">
        <v>0</v>
      </c>
      <c r="M174" s="133">
        <v>0</v>
      </c>
      <c r="N174" s="133">
        <v>-2000000</v>
      </c>
      <c r="O174" s="133">
        <v>-10861</v>
      </c>
      <c r="P174" s="133">
        <v>-30523</v>
      </c>
      <c r="Q174" s="133">
        <v>-8616</v>
      </c>
      <c r="R174" s="133">
        <v>0</v>
      </c>
      <c r="S174" s="133">
        <v>0</v>
      </c>
      <c r="T174" s="133">
        <v>-115000</v>
      </c>
      <c r="U174" s="133">
        <v>-115000</v>
      </c>
      <c r="V174" s="133">
        <v>0</v>
      </c>
      <c r="W174" s="709"/>
      <c r="X174" s="709"/>
      <c r="Y174" s="709"/>
      <c r="Z174" s="133">
        <v>0</v>
      </c>
      <c r="AA174" s="133">
        <v>-1500</v>
      </c>
      <c r="AB174" s="133">
        <v>40309922</v>
      </c>
      <c r="AC174" s="133">
        <v>-1039000</v>
      </c>
      <c r="AD174" s="709"/>
      <c r="AE174" s="710">
        <v>247</v>
      </c>
      <c r="AF174" s="711">
        <v>5</v>
      </c>
      <c r="AG174" s="710">
        <v>0</v>
      </c>
      <c r="AH174" s="710">
        <v>0</v>
      </c>
      <c r="AI174" s="710">
        <v>425</v>
      </c>
      <c r="AJ174" s="710">
        <v>4</v>
      </c>
      <c r="AK174" s="710">
        <v>2</v>
      </c>
      <c r="AL174" s="710">
        <v>1</v>
      </c>
      <c r="AM174" s="710">
        <v>0</v>
      </c>
      <c r="AN174" s="710">
        <v>0</v>
      </c>
      <c r="AO174" s="710">
        <v>13</v>
      </c>
      <c r="AP174" s="711">
        <v>0</v>
      </c>
      <c r="AQ174" s="709"/>
      <c r="AR174" s="709"/>
      <c r="AS174" s="720">
        <v>1012</v>
      </c>
      <c r="AT174" s="710">
        <v>1385</v>
      </c>
      <c r="AU174" s="710">
        <v>1323</v>
      </c>
      <c r="AV174" s="710">
        <v>62</v>
      </c>
      <c r="AW174" s="710">
        <v>2057</v>
      </c>
      <c r="AX174" s="712">
        <v>4530</v>
      </c>
      <c r="AY174" s="683">
        <v>-10633</v>
      </c>
      <c r="AZ174" s="713">
        <v>-490527</v>
      </c>
      <c r="BA174" s="714">
        <v>358835</v>
      </c>
      <c r="BB174" s="715">
        <v>14167250</v>
      </c>
      <c r="BC174" s="715">
        <v>1260750</v>
      </c>
      <c r="BD174" s="716">
        <v>358835.10000000149</v>
      </c>
      <c r="BE174" s="420"/>
      <c r="BF174" s="717" t="s">
        <v>220</v>
      </c>
      <c r="BG174" s="118" t="b">
        <v>1</v>
      </c>
      <c r="BH174" s="494"/>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row>
    <row r="175" spans="1:96" s="118" customFormat="1" ht="12.75" x14ac:dyDescent="0.2">
      <c r="A175" s="705">
        <v>169</v>
      </c>
      <c r="B175" s="718" t="s">
        <v>537</v>
      </c>
      <c r="C175" s="719" t="s">
        <v>222</v>
      </c>
      <c r="D175" s="708">
        <v>391236</v>
      </c>
      <c r="E175" s="708">
        <v>415421000</v>
      </c>
      <c r="F175" s="133">
        <v>203006715</v>
      </c>
      <c r="G175" s="133">
        <v>-6985298</v>
      </c>
      <c r="H175" s="133">
        <v>4614000</v>
      </c>
      <c r="I175" s="133">
        <v>-2371298</v>
      </c>
      <c r="J175" s="133">
        <v>-12000000</v>
      </c>
      <c r="K175" s="133">
        <v>-50622</v>
      </c>
      <c r="L175" s="133">
        <v>-14525</v>
      </c>
      <c r="M175" s="133">
        <v>0</v>
      </c>
      <c r="N175" s="133">
        <v>-6100000</v>
      </c>
      <c r="O175" s="133">
        <v>-502000</v>
      </c>
      <c r="P175" s="133">
        <v>0</v>
      </c>
      <c r="Q175" s="133">
        <v>-19000</v>
      </c>
      <c r="R175" s="133">
        <v>0</v>
      </c>
      <c r="S175" s="133">
        <v>0</v>
      </c>
      <c r="T175" s="133">
        <v>-50000</v>
      </c>
      <c r="U175" s="133">
        <v>0</v>
      </c>
      <c r="V175" s="133">
        <v>0</v>
      </c>
      <c r="W175" s="709"/>
      <c r="X175" s="709"/>
      <c r="Y175" s="709"/>
      <c r="Z175" s="133">
        <v>-14524</v>
      </c>
      <c r="AA175" s="133">
        <v>0</v>
      </c>
      <c r="AB175" s="133">
        <v>177463763</v>
      </c>
      <c r="AC175" s="133">
        <v>-22000000</v>
      </c>
      <c r="AD175" s="709"/>
      <c r="AE175" s="710">
        <v>361</v>
      </c>
      <c r="AF175" s="711">
        <v>19</v>
      </c>
      <c r="AG175" s="710">
        <v>10</v>
      </c>
      <c r="AH175" s="710">
        <v>1</v>
      </c>
      <c r="AI175" s="710">
        <v>893</v>
      </c>
      <c r="AJ175" s="710">
        <v>204</v>
      </c>
      <c r="AK175" s="710">
        <v>3</v>
      </c>
      <c r="AL175" s="710">
        <v>9</v>
      </c>
      <c r="AM175" s="710">
        <v>12</v>
      </c>
      <c r="AN175" s="710">
        <v>0</v>
      </c>
      <c r="AO175" s="710">
        <v>0</v>
      </c>
      <c r="AP175" s="711">
        <v>2</v>
      </c>
      <c r="AQ175" s="709"/>
      <c r="AR175" s="709"/>
      <c r="AS175" s="720">
        <v>3344</v>
      </c>
      <c r="AT175" s="710">
        <v>2458</v>
      </c>
      <c r="AU175" s="710">
        <v>2268</v>
      </c>
      <c r="AV175" s="710">
        <v>190</v>
      </c>
      <c r="AW175" s="710">
        <v>2028</v>
      </c>
      <c r="AX175" s="712">
        <v>7933</v>
      </c>
      <c r="AY175" s="683">
        <v>-25000</v>
      </c>
      <c r="AZ175" s="713">
        <v>478090</v>
      </c>
      <c r="BA175" s="714">
        <v>-1678111</v>
      </c>
      <c r="BB175" s="715">
        <v>35649575</v>
      </c>
      <c r="BC175" s="715">
        <v>0</v>
      </c>
      <c r="BD175" s="716">
        <v>-1678111</v>
      </c>
      <c r="BE175" s="420"/>
      <c r="BF175" s="717" t="s">
        <v>222</v>
      </c>
      <c r="BG175" s="118" t="b">
        <v>1</v>
      </c>
      <c r="BH175" s="494"/>
      <c r="BI175" s="420"/>
      <c r="BJ175" s="420"/>
      <c r="BK175" s="420"/>
      <c r="BL175" s="420"/>
      <c r="BM175" s="420"/>
      <c r="BN175" s="420"/>
      <c r="BO175" s="420"/>
      <c r="BP175" s="420"/>
      <c r="BQ175" s="420"/>
      <c r="BR175" s="420"/>
      <c r="BS175" s="420"/>
      <c r="BT175" s="420"/>
      <c r="BU175" s="420"/>
      <c r="BV175" s="420"/>
      <c r="BW175" s="420"/>
      <c r="BX175" s="420"/>
      <c r="BY175" s="420"/>
      <c r="BZ175" s="420"/>
      <c r="CA175" s="420"/>
      <c r="CB175" s="420"/>
      <c r="CC175" s="420"/>
      <c r="CD175" s="420"/>
      <c r="CE175" s="420"/>
      <c r="CF175" s="420"/>
      <c r="CG175" s="420"/>
      <c r="CH175" s="420"/>
      <c r="CI175" s="420"/>
      <c r="CJ175" s="420"/>
      <c r="CK175" s="420"/>
      <c r="CL175" s="420"/>
      <c r="CM175" s="420"/>
      <c r="CN175" s="420"/>
      <c r="CO175" s="420"/>
      <c r="CP175" s="420"/>
      <c r="CQ175" s="420"/>
      <c r="CR175" s="420"/>
    </row>
    <row r="176" spans="1:96" s="118" customFormat="1" ht="12.75" x14ac:dyDescent="0.2">
      <c r="A176" s="705">
        <v>170</v>
      </c>
      <c r="B176" s="718" t="s">
        <v>223</v>
      </c>
      <c r="C176" s="719" t="s">
        <v>224</v>
      </c>
      <c r="D176" s="708">
        <v>150036</v>
      </c>
      <c r="E176" s="708">
        <v>104135000</v>
      </c>
      <c r="F176" s="133">
        <v>51608724</v>
      </c>
      <c r="G176" s="133">
        <v>-3205078</v>
      </c>
      <c r="H176" s="133">
        <v>994874</v>
      </c>
      <c r="I176" s="133">
        <v>-2210204</v>
      </c>
      <c r="J176" s="133">
        <v>-2909207</v>
      </c>
      <c r="K176" s="133">
        <v>-41659</v>
      </c>
      <c r="L176" s="133">
        <v>-6779</v>
      </c>
      <c r="M176" s="133">
        <v>0</v>
      </c>
      <c r="N176" s="133">
        <v>-631475</v>
      </c>
      <c r="O176" s="133">
        <v>-24230</v>
      </c>
      <c r="P176" s="133">
        <v>-10631</v>
      </c>
      <c r="Q176" s="133">
        <v>-3119</v>
      </c>
      <c r="R176" s="133">
        <v>-6779</v>
      </c>
      <c r="S176" s="133">
        <v>-17463</v>
      </c>
      <c r="T176" s="133">
        <v>0</v>
      </c>
      <c r="U176" s="133">
        <v>0</v>
      </c>
      <c r="V176" s="133">
        <v>0</v>
      </c>
      <c r="W176" s="709"/>
      <c r="X176" s="709"/>
      <c r="Y176" s="709"/>
      <c r="Z176" s="133">
        <v>-6779</v>
      </c>
      <c r="AA176" s="133">
        <v>0</v>
      </c>
      <c r="AB176" s="133">
        <v>44448922</v>
      </c>
      <c r="AC176" s="133">
        <v>-1391000</v>
      </c>
      <c r="AD176" s="709"/>
      <c r="AE176" s="710">
        <v>240</v>
      </c>
      <c r="AF176" s="711">
        <v>26</v>
      </c>
      <c r="AG176" s="710">
        <v>5</v>
      </c>
      <c r="AH176" s="710">
        <v>0</v>
      </c>
      <c r="AI176" s="710">
        <v>199</v>
      </c>
      <c r="AJ176" s="710">
        <v>58</v>
      </c>
      <c r="AK176" s="710">
        <v>9</v>
      </c>
      <c r="AL176" s="710">
        <v>17</v>
      </c>
      <c r="AM176" s="710">
        <v>9</v>
      </c>
      <c r="AN176" s="710">
        <v>0</v>
      </c>
      <c r="AO176" s="710">
        <v>0</v>
      </c>
      <c r="AP176" s="711">
        <v>0</v>
      </c>
      <c r="AQ176" s="709"/>
      <c r="AR176" s="709"/>
      <c r="AS176" s="720">
        <v>882</v>
      </c>
      <c r="AT176" s="710">
        <v>1111</v>
      </c>
      <c r="AU176" s="710">
        <v>1020</v>
      </c>
      <c r="AV176" s="710">
        <v>91</v>
      </c>
      <c r="AW176" s="710">
        <v>1347</v>
      </c>
      <c r="AX176" s="712">
        <v>3413</v>
      </c>
      <c r="AY176" s="683">
        <v>-59811</v>
      </c>
      <c r="AZ176" s="713">
        <v>-3308399</v>
      </c>
      <c r="BA176" s="714">
        <v>-2309999</v>
      </c>
      <c r="BB176" s="715">
        <v>13905950</v>
      </c>
      <c r="BC176" s="715">
        <v>0</v>
      </c>
      <c r="BD176" s="716">
        <v>-2309999.21</v>
      </c>
      <c r="BE176" s="420"/>
      <c r="BF176" s="717" t="s">
        <v>224</v>
      </c>
      <c r="BG176" s="118" t="b">
        <v>1</v>
      </c>
      <c r="BH176" s="494"/>
      <c r="BI176" s="420"/>
      <c r="BJ176" s="420"/>
      <c r="BK176" s="420"/>
      <c r="BL176" s="420"/>
      <c r="BM176" s="420"/>
      <c r="BN176" s="420"/>
      <c r="BO176" s="420"/>
      <c r="BP176" s="420"/>
      <c r="BQ176" s="420"/>
      <c r="BR176" s="420"/>
      <c r="BS176" s="420"/>
      <c r="BT176" s="420"/>
      <c r="BU176" s="420"/>
      <c r="BV176" s="420"/>
      <c r="BW176" s="420"/>
      <c r="BX176" s="420"/>
      <c r="BY176" s="420"/>
      <c r="BZ176" s="420"/>
      <c r="CA176" s="420"/>
      <c r="CB176" s="420"/>
      <c r="CC176" s="420"/>
      <c r="CD176" s="420"/>
      <c r="CE176" s="420"/>
      <c r="CF176" s="420"/>
      <c r="CG176" s="420"/>
      <c r="CH176" s="420"/>
      <c r="CI176" s="420"/>
      <c r="CJ176" s="420"/>
      <c r="CK176" s="420"/>
      <c r="CL176" s="420"/>
      <c r="CM176" s="420"/>
      <c r="CN176" s="420"/>
      <c r="CO176" s="420"/>
      <c r="CP176" s="420"/>
      <c r="CQ176" s="420"/>
      <c r="CR176" s="420"/>
    </row>
    <row r="177" spans="1:97" s="118" customFormat="1" ht="12.75" x14ac:dyDescent="0.2">
      <c r="A177" s="705">
        <v>171</v>
      </c>
      <c r="B177" s="718" t="s">
        <v>225</v>
      </c>
      <c r="C177" s="719" t="s">
        <v>226</v>
      </c>
      <c r="D177" s="708">
        <v>275425</v>
      </c>
      <c r="E177" s="708">
        <v>171778000</v>
      </c>
      <c r="F177" s="133">
        <v>83461895</v>
      </c>
      <c r="G177" s="133">
        <v>-7856707</v>
      </c>
      <c r="H177" s="133">
        <v>1477732</v>
      </c>
      <c r="I177" s="133">
        <v>-6378975</v>
      </c>
      <c r="J177" s="133">
        <v>-3881995</v>
      </c>
      <c r="K177" s="133">
        <v>-54552</v>
      </c>
      <c r="L177" s="133">
        <v>-11722</v>
      </c>
      <c r="M177" s="133">
        <v>-123145</v>
      </c>
      <c r="N177" s="133">
        <v>-1280295</v>
      </c>
      <c r="O177" s="133">
        <v>-103891</v>
      </c>
      <c r="P177" s="133">
        <v>-13901</v>
      </c>
      <c r="Q177" s="133">
        <v>0</v>
      </c>
      <c r="R177" s="133">
        <v>0</v>
      </c>
      <c r="S177" s="133">
        <v>0</v>
      </c>
      <c r="T177" s="133">
        <v>-12383</v>
      </c>
      <c r="U177" s="133">
        <v>0</v>
      </c>
      <c r="V177" s="133">
        <v>0</v>
      </c>
      <c r="W177" s="709"/>
      <c r="X177" s="709"/>
      <c r="Y177" s="709"/>
      <c r="Z177" s="133">
        <v>-11722</v>
      </c>
      <c r="AA177" s="133">
        <v>0</v>
      </c>
      <c r="AB177" s="133">
        <v>69524402</v>
      </c>
      <c r="AC177" s="133">
        <v>-2953159</v>
      </c>
      <c r="AD177" s="709"/>
      <c r="AE177" s="710">
        <v>311</v>
      </c>
      <c r="AF177" s="711">
        <v>13</v>
      </c>
      <c r="AG177" s="710">
        <v>6</v>
      </c>
      <c r="AH177" s="710">
        <v>0</v>
      </c>
      <c r="AI177" s="710">
        <v>300</v>
      </c>
      <c r="AJ177" s="710">
        <v>138</v>
      </c>
      <c r="AK177" s="710">
        <v>6</v>
      </c>
      <c r="AL177" s="710">
        <v>0</v>
      </c>
      <c r="AM177" s="710">
        <v>6</v>
      </c>
      <c r="AN177" s="710">
        <v>0</v>
      </c>
      <c r="AO177" s="710">
        <v>0</v>
      </c>
      <c r="AP177" s="711">
        <v>0</v>
      </c>
      <c r="AQ177" s="709"/>
      <c r="AR177" s="709"/>
      <c r="AS177" s="720">
        <v>1136</v>
      </c>
      <c r="AT177" s="710">
        <v>3543</v>
      </c>
      <c r="AU177" s="710">
        <v>3331</v>
      </c>
      <c r="AV177" s="710">
        <v>212</v>
      </c>
      <c r="AW177" s="710">
        <v>2201</v>
      </c>
      <c r="AX177" s="712">
        <v>6972</v>
      </c>
      <c r="AY177" s="683">
        <v>-24810</v>
      </c>
      <c r="AZ177" s="713">
        <v>415270</v>
      </c>
      <c r="BA177" s="714">
        <v>387377</v>
      </c>
      <c r="BB177" s="715">
        <v>27542660</v>
      </c>
      <c r="BC177" s="715">
        <v>0</v>
      </c>
      <c r="BD177" s="716">
        <v>387479.20000000298</v>
      </c>
      <c r="BE177" s="420"/>
      <c r="BF177" s="717" t="s">
        <v>226</v>
      </c>
      <c r="BG177" s="118" t="b">
        <v>1</v>
      </c>
      <c r="BH177" s="494"/>
      <c r="BI177" s="420"/>
      <c r="BJ177" s="420"/>
      <c r="BK177" s="420"/>
      <c r="BL177" s="420"/>
      <c r="BM177" s="420"/>
      <c r="BN177" s="420"/>
      <c r="BO177" s="420"/>
      <c r="BP177" s="420"/>
      <c r="BQ177" s="420"/>
      <c r="BR177" s="420"/>
      <c r="BS177" s="420"/>
      <c r="BT177" s="420"/>
      <c r="BU177" s="420"/>
      <c r="BV177" s="420"/>
      <c r="BW177" s="420"/>
      <c r="BX177" s="420"/>
      <c r="BY177" s="420"/>
      <c r="BZ177" s="420"/>
      <c r="CA177" s="420"/>
      <c r="CB177" s="420"/>
      <c r="CC177" s="420"/>
      <c r="CD177" s="420"/>
      <c r="CE177" s="420"/>
      <c r="CF177" s="420"/>
      <c r="CG177" s="420"/>
      <c r="CH177" s="420"/>
      <c r="CI177" s="420"/>
      <c r="CJ177" s="420"/>
      <c r="CK177" s="420"/>
      <c r="CL177" s="420"/>
      <c r="CM177" s="420"/>
      <c r="CN177" s="420"/>
      <c r="CO177" s="420"/>
      <c r="CP177" s="420"/>
      <c r="CQ177" s="420"/>
      <c r="CR177" s="420"/>
    </row>
    <row r="178" spans="1:97" s="118" customFormat="1" ht="12.75" x14ac:dyDescent="0.2">
      <c r="A178" s="705">
        <v>172</v>
      </c>
      <c r="B178" s="718" t="s">
        <v>227</v>
      </c>
      <c r="C178" s="719" t="s">
        <v>228</v>
      </c>
      <c r="D178" s="708">
        <v>162134</v>
      </c>
      <c r="E178" s="708">
        <v>107755000</v>
      </c>
      <c r="F178" s="133">
        <v>52284808</v>
      </c>
      <c r="G178" s="133">
        <v>-4511905</v>
      </c>
      <c r="H178" s="133">
        <v>991997</v>
      </c>
      <c r="I178" s="133">
        <v>-3519908</v>
      </c>
      <c r="J178" s="133">
        <v>-2147223</v>
      </c>
      <c r="K178" s="133">
        <v>-81144</v>
      </c>
      <c r="L178" s="133">
        <v>-9882</v>
      </c>
      <c r="M178" s="133">
        <v>0</v>
      </c>
      <c r="N178" s="133">
        <v>-840165</v>
      </c>
      <c r="O178" s="133">
        <v>-73686</v>
      </c>
      <c r="P178" s="133">
        <v>-270725</v>
      </c>
      <c r="Q178" s="133">
        <v>0</v>
      </c>
      <c r="R178" s="133">
        <v>0</v>
      </c>
      <c r="S178" s="133">
        <v>0</v>
      </c>
      <c r="T178" s="133">
        <v>0</v>
      </c>
      <c r="U178" s="133">
        <v>0</v>
      </c>
      <c r="V178" s="133">
        <v>0</v>
      </c>
      <c r="W178" s="709"/>
      <c r="X178" s="709"/>
      <c r="Y178" s="709"/>
      <c r="Z178" s="133">
        <v>-18302</v>
      </c>
      <c r="AA178" s="133">
        <v>-1500</v>
      </c>
      <c r="AB178" s="133">
        <v>43740152</v>
      </c>
      <c r="AC178" s="133">
        <v>-2055787</v>
      </c>
      <c r="AD178" s="709"/>
      <c r="AE178" s="710">
        <v>246</v>
      </c>
      <c r="AF178" s="711">
        <v>22</v>
      </c>
      <c r="AG178" s="710">
        <v>18</v>
      </c>
      <c r="AH178" s="710">
        <v>1</v>
      </c>
      <c r="AI178" s="710">
        <v>365</v>
      </c>
      <c r="AJ178" s="710">
        <v>134</v>
      </c>
      <c r="AK178" s="710">
        <v>7</v>
      </c>
      <c r="AL178" s="710">
        <v>0</v>
      </c>
      <c r="AM178" s="710">
        <v>15</v>
      </c>
      <c r="AN178" s="710">
        <v>0</v>
      </c>
      <c r="AO178" s="710">
        <v>0</v>
      </c>
      <c r="AP178" s="711">
        <v>0</v>
      </c>
      <c r="AQ178" s="709"/>
      <c r="AR178" s="709"/>
      <c r="AS178" s="720">
        <v>984</v>
      </c>
      <c r="AT178" s="710">
        <v>1842</v>
      </c>
      <c r="AU178" s="710">
        <v>1759</v>
      </c>
      <c r="AV178" s="710">
        <v>83</v>
      </c>
      <c r="AW178" s="710">
        <v>1377</v>
      </c>
      <c r="AX178" s="712">
        <v>4160</v>
      </c>
      <c r="AY178" s="683">
        <v>-26306</v>
      </c>
      <c r="AZ178" s="713">
        <v>1875969</v>
      </c>
      <c r="BA178" s="714">
        <v>1651579</v>
      </c>
      <c r="BB178" s="715">
        <v>13131150</v>
      </c>
      <c r="BC178" s="715">
        <v>0</v>
      </c>
      <c r="BD178" s="716">
        <v>1651579</v>
      </c>
      <c r="BE178" s="420"/>
      <c r="BF178" s="717" t="s">
        <v>228</v>
      </c>
      <c r="BG178" s="118" t="b">
        <v>1</v>
      </c>
      <c r="BH178" s="494"/>
      <c r="BI178" s="420"/>
      <c r="BJ178" s="420"/>
      <c r="BK178" s="420"/>
      <c r="BL178" s="420"/>
      <c r="BM178" s="420"/>
      <c r="BN178" s="420"/>
      <c r="BO178" s="420"/>
      <c r="BP178" s="420"/>
      <c r="BQ178" s="420"/>
      <c r="BR178" s="420"/>
      <c r="BS178" s="420"/>
      <c r="BT178" s="420"/>
      <c r="BU178" s="420"/>
      <c r="BV178" s="420"/>
      <c r="BW178" s="420"/>
      <c r="BX178" s="420"/>
      <c r="BY178" s="420"/>
      <c r="BZ178" s="420"/>
      <c r="CA178" s="420"/>
      <c r="CB178" s="420"/>
      <c r="CC178" s="420"/>
      <c r="CD178" s="420"/>
      <c r="CE178" s="420"/>
      <c r="CF178" s="420"/>
      <c r="CG178" s="420"/>
      <c r="CH178" s="420"/>
      <c r="CI178" s="420"/>
      <c r="CJ178" s="420"/>
      <c r="CK178" s="420"/>
      <c r="CL178" s="420"/>
      <c r="CM178" s="420"/>
      <c r="CN178" s="420"/>
      <c r="CO178" s="420"/>
      <c r="CP178" s="420"/>
      <c r="CQ178" s="420"/>
      <c r="CR178" s="420"/>
    </row>
    <row r="179" spans="1:97" s="118" customFormat="1" ht="12.75" x14ac:dyDescent="0.2">
      <c r="A179" s="705">
        <v>173</v>
      </c>
      <c r="B179" s="718" t="s">
        <v>860</v>
      </c>
      <c r="C179" s="719" t="s">
        <v>229</v>
      </c>
      <c r="D179" s="708">
        <v>474305</v>
      </c>
      <c r="E179" s="708">
        <v>377230000</v>
      </c>
      <c r="F179" s="133">
        <v>182728499</v>
      </c>
      <c r="G179" s="133">
        <v>-9175091</v>
      </c>
      <c r="H179" s="133">
        <v>3938574</v>
      </c>
      <c r="I179" s="133">
        <v>-5236517</v>
      </c>
      <c r="J179" s="133">
        <v>-17177653</v>
      </c>
      <c r="K179" s="133">
        <v>-146934</v>
      </c>
      <c r="L179" s="133">
        <v>-1547</v>
      </c>
      <c r="M179" s="133">
        <v>-714000</v>
      </c>
      <c r="N179" s="133">
        <v>-7324151</v>
      </c>
      <c r="O179" s="133">
        <v>-934338</v>
      </c>
      <c r="P179" s="133">
        <v>-435328</v>
      </c>
      <c r="Q179" s="133">
        <v>-21181</v>
      </c>
      <c r="R179" s="133">
        <v>0</v>
      </c>
      <c r="S179" s="133">
        <v>0</v>
      </c>
      <c r="T179" s="133">
        <v>0</v>
      </c>
      <c r="U179" s="133">
        <v>0</v>
      </c>
      <c r="V179" s="133">
        <v>0</v>
      </c>
      <c r="W179" s="709"/>
      <c r="X179" s="709"/>
      <c r="Y179" s="709"/>
      <c r="Z179" s="133">
        <v>0</v>
      </c>
      <c r="AA179" s="133">
        <v>0</v>
      </c>
      <c r="AB179" s="133">
        <v>150819482</v>
      </c>
      <c r="AC179" s="133">
        <v>-7500000</v>
      </c>
      <c r="AD179" s="709"/>
      <c r="AE179" s="710">
        <v>720</v>
      </c>
      <c r="AF179" s="711">
        <v>15</v>
      </c>
      <c r="AG179" s="710">
        <v>1</v>
      </c>
      <c r="AH179" s="710">
        <v>4</v>
      </c>
      <c r="AI179" s="710">
        <v>2372</v>
      </c>
      <c r="AJ179" s="710">
        <v>39</v>
      </c>
      <c r="AK179" s="710">
        <v>17</v>
      </c>
      <c r="AL179" s="710">
        <v>0</v>
      </c>
      <c r="AM179" s="710">
        <v>0</v>
      </c>
      <c r="AN179" s="710">
        <v>0</v>
      </c>
      <c r="AO179" s="710">
        <v>0</v>
      </c>
      <c r="AP179" s="711">
        <v>0</v>
      </c>
      <c r="AQ179" s="709"/>
      <c r="AR179" s="709"/>
      <c r="AS179" s="720">
        <v>3526</v>
      </c>
      <c r="AT179" s="710">
        <v>3650</v>
      </c>
      <c r="AU179" s="710">
        <v>3500</v>
      </c>
      <c r="AV179" s="710">
        <v>150</v>
      </c>
      <c r="AW179" s="710">
        <v>3945</v>
      </c>
      <c r="AX179" s="712">
        <v>11774</v>
      </c>
      <c r="AY179" s="683">
        <v>-43420</v>
      </c>
      <c r="AZ179" s="713">
        <v>-2900686</v>
      </c>
      <c r="BA179" s="714">
        <v>-5184458</v>
      </c>
      <c r="BB179" s="715">
        <v>33585250</v>
      </c>
      <c r="BC179" s="715">
        <v>1359250</v>
      </c>
      <c r="BD179" s="716">
        <v>-10104992</v>
      </c>
      <c r="BE179" s="420"/>
      <c r="BF179" s="717" t="s">
        <v>229</v>
      </c>
      <c r="BG179" s="118" t="b">
        <v>1</v>
      </c>
      <c r="BH179" s="494"/>
      <c r="BI179" s="420"/>
      <c r="BJ179" s="420"/>
      <c r="BK179" s="420"/>
      <c r="BL179" s="420"/>
      <c r="BM179" s="420"/>
      <c r="BN179" s="420"/>
      <c r="BO179" s="420"/>
      <c r="BP179" s="420"/>
      <c r="BQ179" s="420"/>
      <c r="BR179" s="420"/>
      <c r="BS179" s="420"/>
      <c r="BT179" s="420"/>
      <c r="BU179" s="420"/>
      <c r="BV179" s="420"/>
      <c r="BW179" s="420"/>
      <c r="BX179" s="420"/>
      <c r="BY179" s="420"/>
      <c r="BZ179" s="420"/>
      <c r="CA179" s="420"/>
      <c r="CB179" s="420"/>
      <c r="CC179" s="420"/>
      <c r="CD179" s="420"/>
      <c r="CE179" s="420"/>
      <c r="CF179" s="420"/>
      <c r="CG179" s="420"/>
      <c r="CH179" s="420"/>
      <c r="CI179" s="420"/>
      <c r="CJ179" s="420"/>
      <c r="CK179" s="420"/>
      <c r="CL179" s="420"/>
      <c r="CM179" s="420"/>
      <c r="CN179" s="420"/>
      <c r="CO179" s="420"/>
      <c r="CP179" s="420"/>
      <c r="CQ179" s="420"/>
      <c r="CR179" s="420"/>
    </row>
    <row r="180" spans="1:97" s="737" customFormat="1" ht="12.75" x14ac:dyDescent="0.2">
      <c r="A180" s="705">
        <v>174</v>
      </c>
      <c r="B180" s="718" t="s">
        <v>230</v>
      </c>
      <c r="C180" s="719" t="s">
        <v>231</v>
      </c>
      <c r="D180" s="708">
        <v>137851</v>
      </c>
      <c r="E180" s="708">
        <v>90569000</v>
      </c>
      <c r="F180" s="133">
        <v>43358726</v>
      </c>
      <c r="G180" s="133">
        <v>-3849612</v>
      </c>
      <c r="H180" s="133">
        <v>816872</v>
      </c>
      <c r="I180" s="133">
        <v>-3032740</v>
      </c>
      <c r="J180" s="133">
        <v>-3883948</v>
      </c>
      <c r="K180" s="133">
        <v>-27518</v>
      </c>
      <c r="L180" s="133">
        <v>0</v>
      </c>
      <c r="M180" s="133">
        <v>0</v>
      </c>
      <c r="N180" s="133">
        <v>-477447</v>
      </c>
      <c r="O180" s="133">
        <v>-14433</v>
      </c>
      <c r="P180" s="133">
        <v>-20148</v>
      </c>
      <c r="Q180" s="133">
        <v>-379</v>
      </c>
      <c r="R180" s="133">
        <v>-26971</v>
      </c>
      <c r="S180" s="133">
        <v>0</v>
      </c>
      <c r="T180" s="133">
        <v>0</v>
      </c>
      <c r="U180" s="133">
        <v>0</v>
      </c>
      <c r="V180" s="133">
        <v>0</v>
      </c>
      <c r="W180" s="709"/>
      <c r="X180" s="709"/>
      <c r="Y180" s="709"/>
      <c r="Z180" s="133">
        <v>-26971</v>
      </c>
      <c r="AA180" s="133">
        <v>0</v>
      </c>
      <c r="AB180" s="133">
        <v>33071169</v>
      </c>
      <c r="AC180" s="133">
        <v>-2690449</v>
      </c>
      <c r="AD180" s="709"/>
      <c r="AE180" s="710">
        <v>170</v>
      </c>
      <c r="AF180" s="711">
        <v>4</v>
      </c>
      <c r="AG180" s="710">
        <v>11</v>
      </c>
      <c r="AH180" s="710">
        <v>0</v>
      </c>
      <c r="AI180" s="710">
        <v>270</v>
      </c>
      <c r="AJ180" s="710">
        <v>48</v>
      </c>
      <c r="AK180" s="710">
        <v>7</v>
      </c>
      <c r="AL180" s="710">
        <v>2</v>
      </c>
      <c r="AM180" s="710">
        <v>12</v>
      </c>
      <c r="AN180" s="710">
        <v>0</v>
      </c>
      <c r="AO180" s="710">
        <v>0</v>
      </c>
      <c r="AP180" s="711">
        <v>0</v>
      </c>
      <c r="AQ180" s="709"/>
      <c r="AR180" s="709"/>
      <c r="AS180" s="720">
        <v>908</v>
      </c>
      <c r="AT180" s="710">
        <v>1519</v>
      </c>
      <c r="AU180" s="710">
        <v>1445</v>
      </c>
      <c r="AV180" s="710">
        <v>74</v>
      </c>
      <c r="AW180" s="710">
        <v>1153</v>
      </c>
      <c r="AX180" s="712">
        <v>3604</v>
      </c>
      <c r="AY180" s="683">
        <v>-25743</v>
      </c>
      <c r="AZ180" s="713">
        <v>-716568</v>
      </c>
      <c r="BA180" s="714">
        <v>-182668</v>
      </c>
      <c r="BB180" s="715">
        <v>12483250</v>
      </c>
      <c r="BC180" s="715">
        <v>0</v>
      </c>
      <c r="BD180" s="716">
        <v>-179716.69999999925</v>
      </c>
      <c r="BE180" s="420"/>
      <c r="BF180" s="717" t="s">
        <v>231</v>
      </c>
      <c r="BG180" s="118" t="b">
        <v>1</v>
      </c>
      <c r="BH180" s="494"/>
      <c r="BI180" s="420"/>
      <c r="BJ180" s="420"/>
      <c r="BK180" s="420"/>
      <c r="BL180" s="420"/>
      <c r="BM180" s="420"/>
      <c r="BN180" s="420"/>
      <c r="BO180" s="420"/>
      <c r="BP180" s="420"/>
      <c r="BQ180" s="420"/>
      <c r="BR180" s="420"/>
      <c r="BS180" s="420"/>
      <c r="BT180" s="420"/>
      <c r="BU180" s="420"/>
      <c r="BV180" s="420"/>
      <c r="BW180" s="420"/>
      <c r="BX180" s="420"/>
      <c r="BY180" s="420"/>
      <c r="BZ180" s="420"/>
      <c r="CA180" s="420"/>
      <c r="CB180" s="420"/>
      <c r="CC180" s="420"/>
      <c r="CD180" s="420"/>
      <c r="CE180" s="420"/>
      <c r="CF180" s="420"/>
      <c r="CG180" s="420"/>
      <c r="CH180" s="420"/>
      <c r="CI180" s="420"/>
      <c r="CJ180" s="420"/>
      <c r="CK180" s="420"/>
      <c r="CL180" s="420"/>
      <c r="CM180" s="420"/>
      <c r="CN180" s="420"/>
      <c r="CO180" s="420"/>
      <c r="CP180" s="420"/>
      <c r="CQ180" s="420"/>
      <c r="CR180" s="420"/>
      <c r="CS180" s="118"/>
    </row>
    <row r="181" spans="1:97" s="118" customFormat="1" ht="12.75" x14ac:dyDescent="0.2">
      <c r="A181" s="705">
        <v>175</v>
      </c>
      <c r="B181" s="718" t="s">
        <v>232</v>
      </c>
      <c r="C181" s="719" t="s">
        <v>233</v>
      </c>
      <c r="D181" s="708">
        <v>377735</v>
      </c>
      <c r="E181" s="708">
        <v>395350000</v>
      </c>
      <c r="F181" s="133">
        <v>188433291</v>
      </c>
      <c r="G181" s="133">
        <v>-8976960</v>
      </c>
      <c r="H181" s="133">
        <v>4111538</v>
      </c>
      <c r="I181" s="133">
        <v>-4865422</v>
      </c>
      <c r="J181" s="133">
        <v>-13982323</v>
      </c>
      <c r="K181" s="133">
        <v>0</v>
      </c>
      <c r="L181" s="133">
        <v>0</v>
      </c>
      <c r="M181" s="133">
        <v>0</v>
      </c>
      <c r="N181" s="133">
        <v>-3847952</v>
      </c>
      <c r="O181" s="133">
        <v>0</v>
      </c>
      <c r="P181" s="133">
        <v>0</v>
      </c>
      <c r="Q181" s="133">
        <v>0</v>
      </c>
      <c r="R181" s="133">
        <v>0</v>
      </c>
      <c r="S181" s="133">
        <v>0</v>
      </c>
      <c r="T181" s="133">
        <v>-490742</v>
      </c>
      <c r="U181" s="133">
        <v>-490742</v>
      </c>
      <c r="V181" s="133">
        <v>0</v>
      </c>
      <c r="W181" s="709"/>
      <c r="X181" s="709"/>
      <c r="Y181" s="709"/>
      <c r="Z181" s="133">
        <v>0</v>
      </c>
      <c r="AA181" s="133">
        <v>0</v>
      </c>
      <c r="AB181" s="133">
        <v>157049773</v>
      </c>
      <c r="AC181" s="133">
        <v>-12150375</v>
      </c>
      <c r="AD181" s="709"/>
      <c r="AE181" s="710">
        <v>436</v>
      </c>
      <c r="AF181" s="711">
        <v>0</v>
      </c>
      <c r="AG181" s="710">
        <v>0</v>
      </c>
      <c r="AH181" s="710">
        <v>2</v>
      </c>
      <c r="AI181" s="710">
        <v>451</v>
      </c>
      <c r="AJ181" s="710">
        <v>0</v>
      </c>
      <c r="AK181" s="710">
        <v>0</v>
      </c>
      <c r="AL181" s="710">
        <v>0</v>
      </c>
      <c r="AM181" s="710">
        <v>0</v>
      </c>
      <c r="AN181" s="710">
        <v>0</v>
      </c>
      <c r="AO181" s="710">
        <v>18</v>
      </c>
      <c r="AP181" s="711">
        <v>0</v>
      </c>
      <c r="AQ181" s="709"/>
      <c r="AR181" s="709"/>
      <c r="AS181" s="720">
        <v>2170</v>
      </c>
      <c r="AT181" s="710">
        <v>2758</v>
      </c>
      <c r="AU181" s="710">
        <v>2440</v>
      </c>
      <c r="AV181" s="710">
        <v>318</v>
      </c>
      <c r="AW181" s="710">
        <v>2512</v>
      </c>
      <c r="AX181" s="712">
        <v>7622</v>
      </c>
      <c r="AY181" s="683">
        <v>-67574</v>
      </c>
      <c r="AZ181" s="713">
        <v>-2767779</v>
      </c>
      <c r="BA181" s="714">
        <v>-3565527</v>
      </c>
      <c r="BB181" s="715">
        <v>24345550</v>
      </c>
      <c r="BC181" s="715">
        <v>137650</v>
      </c>
      <c r="BD181" s="716">
        <v>-3334196.5999999996</v>
      </c>
      <c r="BE181" s="420"/>
      <c r="BF181" s="717" t="s">
        <v>233</v>
      </c>
      <c r="BG181" s="118" t="b">
        <v>1</v>
      </c>
      <c r="BH181" s="494"/>
      <c r="BI181" s="420"/>
      <c r="BJ181" s="420"/>
      <c r="BK181" s="420"/>
      <c r="BL181" s="420"/>
      <c r="BM181" s="420"/>
      <c r="BN181" s="420"/>
      <c r="BO181" s="420"/>
      <c r="BP181" s="420"/>
      <c r="BQ181" s="420"/>
      <c r="BR181" s="420"/>
      <c r="BS181" s="420"/>
      <c r="BT181" s="420"/>
      <c r="BU181" s="420"/>
      <c r="BV181" s="420"/>
      <c r="BW181" s="420"/>
      <c r="BX181" s="420"/>
      <c r="BY181" s="420"/>
      <c r="BZ181" s="420"/>
      <c r="CA181" s="420"/>
      <c r="CB181" s="420"/>
      <c r="CC181" s="420"/>
      <c r="CD181" s="420"/>
      <c r="CE181" s="420"/>
      <c r="CF181" s="420"/>
      <c r="CG181" s="420"/>
      <c r="CH181" s="420"/>
      <c r="CI181" s="420"/>
      <c r="CJ181" s="420"/>
      <c r="CK181" s="420"/>
      <c r="CL181" s="420"/>
      <c r="CM181" s="420"/>
      <c r="CN181" s="420"/>
      <c r="CO181" s="420"/>
      <c r="CP181" s="420"/>
      <c r="CQ181" s="420"/>
      <c r="CR181" s="420"/>
    </row>
    <row r="182" spans="1:97" s="118" customFormat="1" ht="12.75" x14ac:dyDescent="0.2">
      <c r="A182" s="705">
        <v>176</v>
      </c>
      <c r="B182" s="718" t="s">
        <v>234</v>
      </c>
      <c r="C182" s="719" t="s">
        <v>235</v>
      </c>
      <c r="D182" s="708">
        <v>212237</v>
      </c>
      <c r="E182" s="708">
        <v>91837000</v>
      </c>
      <c r="F182" s="133">
        <v>45025622</v>
      </c>
      <c r="G182" s="133">
        <v>-7701072</v>
      </c>
      <c r="H182" s="133">
        <v>644338</v>
      </c>
      <c r="I182" s="133">
        <v>-7056734</v>
      </c>
      <c r="J182" s="133">
        <v>-2782484</v>
      </c>
      <c r="K182" s="133">
        <v>-130444</v>
      </c>
      <c r="L182" s="133">
        <v>-30093</v>
      </c>
      <c r="M182" s="133">
        <v>-12000</v>
      </c>
      <c r="N182" s="133">
        <v>-514794</v>
      </c>
      <c r="O182" s="133">
        <v>-114268</v>
      </c>
      <c r="P182" s="133">
        <v>-170530</v>
      </c>
      <c r="Q182" s="133">
        <v>-9356</v>
      </c>
      <c r="R182" s="133">
        <v>0</v>
      </c>
      <c r="S182" s="133">
        <v>-8880</v>
      </c>
      <c r="T182" s="133">
        <v>0</v>
      </c>
      <c r="U182" s="133">
        <v>0</v>
      </c>
      <c r="V182" s="133">
        <v>0</v>
      </c>
      <c r="W182" s="709"/>
      <c r="X182" s="709"/>
      <c r="Y182" s="709"/>
      <c r="Z182" s="133">
        <v>-30093</v>
      </c>
      <c r="AA182" s="133">
        <v>-3000</v>
      </c>
      <c r="AB182" s="133">
        <v>32702772</v>
      </c>
      <c r="AC182" s="133">
        <v>-359730</v>
      </c>
      <c r="AD182" s="709"/>
      <c r="AE182" s="710">
        <v>269</v>
      </c>
      <c r="AF182" s="711">
        <v>39</v>
      </c>
      <c r="AG182" s="710">
        <v>21</v>
      </c>
      <c r="AH182" s="710">
        <v>2</v>
      </c>
      <c r="AI182" s="710">
        <v>161</v>
      </c>
      <c r="AJ182" s="710">
        <v>141</v>
      </c>
      <c r="AK182" s="710">
        <v>12</v>
      </c>
      <c r="AL182" s="710">
        <v>36</v>
      </c>
      <c r="AM182" s="710">
        <v>0</v>
      </c>
      <c r="AN182" s="710">
        <v>3</v>
      </c>
      <c r="AO182" s="710">
        <v>0</v>
      </c>
      <c r="AP182" s="711">
        <v>0</v>
      </c>
      <c r="AQ182" s="709"/>
      <c r="AR182" s="709"/>
      <c r="AS182" s="720">
        <v>821</v>
      </c>
      <c r="AT182" s="710">
        <v>3155</v>
      </c>
      <c r="AU182" s="710">
        <v>3035</v>
      </c>
      <c r="AV182" s="710">
        <v>120</v>
      </c>
      <c r="AW182" s="710">
        <v>1825</v>
      </c>
      <c r="AX182" s="712">
        <v>5987</v>
      </c>
      <c r="AY182" s="683">
        <v>-23035</v>
      </c>
      <c r="AZ182" s="713">
        <v>-711500</v>
      </c>
      <c r="BA182" s="714">
        <v>-883306</v>
      </c>
      <c r="BB182" s="715">
        <v>14852450</v>
      </c>
      <c r="BC182" s="715">
        <v>0</v>
      </c>
      <c r="BD182" s="716">
        <v>-883307</v>
      </c>
      <c r="BE182" s="420"/>
      <c r="BF182" s="717" t="s">
        <v>235</v>
      </c>
      <c r="BG182" s="118" t="b">
        <v>1</v>
      </c>
      <c r="BH182" s="494"/>
      <c r="BI182" s="420"/>
      <c r="BJ182" s="420"/>
      <c r="BK182" s="420"/>
      <c r="BL182" s="420"/>
      <c r="BM182" s="420"/>
      <c r="BN182" s="420"/>
      <c r="BO182" s="420"/>
      <c r="BP182" s="420"/>
      <c r="BQ182" s="420"/>
      <c r="BR182" s="420"/>
      <c r="BS182" s="420"/>
      <c r="BT182" s="420"/>
      <c r="BU182" s="420"/>
      <c r="BV182" s="420"/>
      <c r="BW182" s="420"/>
      <c r="BX182" s="420"/>
      <c r="BY182" s="420"/>
      <c r="BZ182" s="420"/>
      <c r="CA182" s="420"/>
      <c r="CB182" s="420"/>
      <c r="CC182" s="420"/>
      <c r="CD182" s="420"/>
      <c r="CE182" s="420"/>
      <c r="CF182" s="420"/>
      <c r="CG182" s="420"/>
      <c r="CH182" s="420"/>
      <c r="CI182" s="420"/>
      <c r="CJ182" s="420"/>
      <c r="CK182" s="420"/>
      <c r="CL182" s="420"/>
      <c r="CM182" s="420"/>
      <c r="CN182" s="420"/>
      <c r="CO182" s="420"/>
      <c r="CP182" s="420"/>
      <c r="CQ182" s="420"/>
      <c r="CR182" s="420"/>
    </row>
    <row r="183" spans="1:97" s="118" customFormat="1" ht="12.75" x14ac:dyDescent="0.2">
      <c r="A183" s="705">
        <v>177</v>
      </c>
      <c r="B183" s="718" t="s">
        <v>236</v>
      </c>
      <c r="C183" s="719" t="s">
        <v>237</v>
      </c>
      <c r="D183" s="708">
        <v>102265</v>
      </c>
      <c r="E183" s="708">
        <v>47042000</v>
      </c>
      <c r="F183" s="133">
        <v>22587955</v>
      </c>
      <c r="G183" s="133">
        <v>-3035270</v>
      </c>
      <c r="H183" s="133">
        <v>333618</v>
      </c>
      <c r="I183" s="133">
        <v>-2701652</v>
      </c>
      <c r="J183" s="133">
        <v>-839655</v>
      </c>
      <c r="K183" s="133">
        <v>-18971</v>
      </c>
      <c r="L183" s="133">
        <v>-1191</v>
      </c>
      <c r="M183" s="133">
        <v>0</v>
      </c>
      <c r="N183" s="133">
        <v>-253919</v>
      </c>
      <c r="O183" s="133">
        <v>-36216</v>
      </c>
      <c r="P183" s="133">
        <v>-12105</v>
      </c>
      <c r="Q183" s="133">
        <v>-232</v>
      </c>
      <c r="R183" s="133">
        <v>0</v>
      </c>
      <c r="S183" s="133">
        <v>0</v>
      </c>
      <c r="T183" s="133">
        <v>0</v>
      </c>
      <c r="U183" s="133">
        <v>0</v>
      </c>
      <c r="V183" s="133">
        <v>0</v>
      </c>
      <c r="W183" s="709"/>
      <c r="X183" s="709"/>
      <c r="Y183" s="709"/>
      <c r="Z183" s="133">
        <v>0</v>
      </c>
      <c r="AA183" s="133">
        <v>0</v>
      </c>
      <c r="AB183" s="133">
        <v>17761396</v>
      </c>
      <c r="AC183" s="133">
        <v>-718389</v>
      </c>
      <c r="AD183" s="709"/>
      <c r="AE183" s="710">
        <v>120</v>
      </c>
      <c r="AF183" s="711">
        <v>5</v>
      </c>
      <c r="AG183" s="710">
        <v>2</v>
      </c>
      <c r="AH183" s="710">
        <v>0</v>
      </c>
      <c r="AI183" s="710">
        <v>28</v>
      </c>
      <c r="AJ183" s="710">
        <v>33</v>
      </c>
      <c r="AK183" s="710">
        <v>24</v>
      </c>
      <c r="AL183" s="710">
        <v>1</v>
      </c>
      <c r="AM183" s="710">
        <v>2</v>
      </c>
      <c r="AN183" s="710">
        <v>0</v>
      </c>
      <c r="AO183" s="710">
        <v>0</v>
      </c>
      <c r="AP183" s="711">
        <v>2</v>
      </c>
      <c r="AQ183" s="709"/>
      <c r="AR183" s="709"/>
      <c r="AS183" s="720">
        <v>447</v>
      </c>
      <c r="AT183" s="710">
        <v>1371</v>
      </c>
      <c r="AU183" s="710">
        <v>1321</v>
      </c>
      <c r="AV183" s="710">
        <v>50</v>
      </c>
      <c r="AW183" s="710">
        <v>994</v>
      </c>
      <c r="AX183" s="712">
        <v>2857</v>
      </c>
      <c r="AY183" s="683">
        <v>-25887</v>
      </c>
      <c r="AZ183" s="713">
        <v>-1747670</v>
      </c>
      <c r="BA183" s="714">
        <v>-1087917</v>
      </c>
      <c r="BB183" s="715">
        <v>9076500</v>
      </c>
      <c r="BC183" s="715">
        <v>0</v>
      </c>
      <c r="BD183" s="716">
        <v>-1087916</v>
      </c>
      <c r="BE183" s="420"/>
      <c r="BF183" s="717" t="s">
        <v>237</v>
      </c>
      <c r="BG183" s="118" t="b">
        <v>1</v>
      </c>
      <c r="BH183" s="494"/>
      <c r="BI183" s="420"/>
      <c r="BJ183" s="420"/>
      <c r="BK183" s="420"/>
      <c r="BL183" s="420"/>
      <c r="BM183" s="420"/>
      <c r="BN183" s="420"/>
      <c r="BO183" s="420"/>
      <c r="BP183" s="420"/>
      <c r="BQ183" s="420"/>
      <c r="BR183" s="420"/>
      <c r="BS183" s="420"/>
      <c r="BT183" s="420"/>
      <c r="BU183" s="420"/>
      <c r="BV183" s="420"/>
      <c r="BW183" s="420"/>
      <c r="BX183" s="420"/>
      <c r="BY183" s="420"/>
      <c r="BZ183" s="420"/>
      <c r="CA183" s="420"/>
      <c r="CB183" s="420"/>
      <c r="CC183" s="420"/>
      <c r="CD183" s="420"/>
      <c r="CE183" s="420"/>
      <c r="CF183" s="420"/>
      <c r="CG183" s="420"/>
      <c r="CH183" s="420"/>
      <c r="CI183" s="420"/>
      <c r="CJ183" s="420"/>
      <c r="CK183" s="420"/>
      <c r="CL183" s="420"/>
      <c r="CM183" s="420"/>
      <c r="CN183" s="420"/>
      <c r="CO183" s="420"/>
      <c r="CP183" s="420"/>
      <c r="CQ183" s="420"/>
      <c r="CR183" s="420"/>
    </row>
    <row r="184" spans="1:97" s="118" customFormat="1" ht="12.75" x14ac:dyDescent="0.2">
      <c r="A184" s="705">
        <v>178</v>
      </c>
      <c r="B184" s="718" t="s">
        <v>582</v>
      </c>
      <c r="C184" s="719" t="s">
        <v>239</v>
      </c>
      <c r="D184" s="708">
        <v>215287</v>
      </c>
      <c r="E184" s="708">
        <v>153392000</v>
      </c>
      <c r="F184" s="133">
        <v>75871511</v>
      </c>
      <c r="G184" s="133">
        <v>-5201428</v>
      </c>
      <c r="H184" s="133">
        <v>1474337</v>
      </c>
      <c r="I184" s="133">
        <v>-3727091</v>
      </c>
      <c r="J184" s="133">
        <v>-4388388</v>
      </c>
      <c r="K184" s="133">
        <v>-98501</v>
      </c>
      <c r="L184" s="133">
        <v>-611</v>
      </c>
      <c r="M184" s="133">
        <v>-751892</v>
      </c>
      <c r="N184" s="133">
        <v>-2387785</v>
      </c>
      <c r="O184" s="133">
        <v>-82048</v>
      </c>
      <c r="P184" s="133">
        <v>-236007</v>
      </c>
      <c r="Q184" s="133">
        <v>-2218</v>
      </c>
      <c r="R184" s="133">
        <v>0</v>
      </c>
      <c r="S184" s="133">
        <v>0</v>
      </c>
      <c r="T184" s="133">
        <v>-259366</v>
      </c>
      <c r="U184" s="133">
        <v>-176264</v>
      </c>
      <c r="V184" s="133">
        <v>0</v>
      </c>
      <c r="W184" s="709"/>
      <c r="X184" s="709"/>
      <c r="Y184" s="709"/>
      <c r="Z184" s="133">
        <v>-611</v>
      </c>
      <c r="AA184" s="133">
        <v>-1500</v>
      </c>
      <c r="AB184" s="133">
        <v>66308843</v>
      </c>
      <c r="AC184" s="133">
        <v>-3058110</v>
      </c>
      <c r="AD184" s="709"/>
      <c r="AE184" s="710">
        <v>210</v>
      </c>
      <c r="AF184" s="711">
        <v>13</v>
      </c>
      <c r="AG184" s="710">
        <v>1</v>
      </c>
      <c r="AH184" s="710">
        <v>0</v>
      </c>
      <c r="AI184" s="710">
        <v>771</v>
      </c>
      <c r="AJ184" s="710">
        <v>45</v>
      </c>
      <c r="AK184" s="710">
        <v>28</v>
      </c>
      <c r="AL184" s="710">
        <v>2</v>
      </c>
      <c r="AM184" s="710">
        <v>1</v>
      </c>
      <c r="AN184" s="710">
        <v>0</v>
      </c>
      <c r="AO184" s="710">
        <v>4</v>
      </c>
      <c r="AP184" s="711">
        <v>2</v>
      </c>
      <c r="AQ184" s="709"/>
      <c r="AR184" s="709"/>
      <c r="AS184" s="720">
        <v>1417</v>
      </c>
      <c r="AT184" s="710">
        <v>2208</v>
      </c>
      <c r="AU184" s="710">
        <v>2138</v>
      </c>
      <c r="AV184" s="710">
        <v>70</v>
      </c>
      <c r="AW184" s="710">
        <v>1952</v>
      </c>
      <c r="AX184" s="712">
        <v>5514</v>
      </c>
      <c r="AY184" s="683">
        <v>-17435</v>
      </c>
      <c r="AZ184" s="713">
        <v>-2617035</v>
      </c>
      <c r="BA184" s="714">
        <v>-1536500</v>
      </c>
      <c r="BB184" s="715">
        <v>4560850</v>
      </c>
      <c r="BC184" s="715">
        <v>0</v>
      </c>
      <c r="BD184" s="716">
        <v>-1536500</v>
      </c>
      <c r="BE184" s="420"/>
      <c r="BF184" s="717" t="s">
        <v>239</v>
      </c>
      <c r="BG184" s="118" t="b">
        <v>1</v>
      </c>
      <c r="BH184" s="494"/>
      <c r="BI184" s="420"/>
      <c r="BJ184" s="420"/>
      <c r="BK184" s="420"/>
      <c r="BL184" s="420"/>
      <c r="BM184" s="420"/>
      <c r="BN184" s="420"/>
      <c r="BO184" s="420"/>
      <c r="BP184" s="420"/>
      <c r="BQ184" s="420"/>
      <c r="BR184" s="420"/>
      <c r="BS184" s="420"/>
      <c r="BT184" s="420"/>
      <c r="BU184" s="420"/>
      <c r="BV184" s="420"/>
      <c r="BW184" s="420"/>
      <c r="BX184" s="420"/>
      <c r="BY184" s="420"/>
      <c r="BZ184" s="420"/>
      <c r="CA184" s="420"/>
      <c r="CB184" s="420"/>
      <c r="CC184" s="420"/>
      <c r="CD184" s="420"/>
      <c r="CE184" s="420"/>
      <c r="CF184" s="420"/>
      <c r="CG184" s="420"/>
      <c r="CH184" s="420"/>
      <c r="CI184" s="420"/>
      <c r="CJ184" s="420"/>
      <c r="CK184" s="420"/>
      <c r="CL184" s="420"/>
      <c r="CM184" s="420"/>
      <c r="CN184" s="420"/>
      <c r="CO184" s="420"/>
      <c r="CP184" s="420"/>
      <c r="CQ184" s="420"/>
      <c r="CR184" s="420"/>
    </row>
    <row r="185" spans="1:97" s="118" customFormat="1" ht="12.75" x14ac:dyDescent="0.2">
      <c r="A185" s="705">
        <v>179</v>
      </c>
      <c r="B185" s="718" t="s">
        <v>240</v>
      </c>
      <c r="C185" s="719" t="s">
        <v>241</v>
      </c>
      <c r="D185" s="708">
        <v>174652</v>
      </c>
      <c r="E185" s="708">
        <v>101747000</v>
      </c>
      <c r="F185" s="133">
        <v>49640484</v>
      </c>
      <c r="G185" s="133">
        <v>-4692229</v>
      </c>
      <c r="H185" s="133">
        <v>757889</v>
      </c>
      <c r="I185" s="133">
        <v>-3934340</v>
      </c>
      <c r="J185" s="133">
        <v>-3315828</v>
      </c>
      <c r="K185" s="133">
        <v>-38444</v>
      </c>
      <c r="L185" s="133">
        <v>-18805</v>
      </c>
      <c r="M185" s="133">
        <v>-20000</v>
      </c>
      <c r="N185" s="133">
        <v>-1053510</v>
      </c>
      <c r="O185" s="133">
        <v>-183250</v>
      </c>
      <c r="P185" s="133">
        <v>-105793</v>
      </c>
      <c r="Q185" s="133">
        <v>-8044</v>
      </c>
      <c r="R185" s="133">
        <v>0</v>
      </c>
      <c r="S185" s="133">
        <v>-1198</v>
      </c>
      <c r="T185" s="133">
        <v>0</v>
      </c>
      <c r="U185" s="133">
        <v>0</v>
      </c>
      <c r="V185" s="133">
        <v>0</v>
      </c>
      <c r="W185" s="709"/>
      <c r="X185" s="709"/>
      <c r="Y185" s="709"/>
      <c r="Z185" s="133">
        <v>-9400</v>
      </c>
      <c r="AA185" s="133">
        <v>0</v>
      </c>
      <c r="AB185" s="133">
        <v>39162473</v>
      </c>
      <c r="AC185" s="133">
        <v>-1000000</v>
      </c>
      <c r="AD185" s="709"/>
      <c r="AE185" s="710">
        <v>250</v>
      </c>
      <c r="AF185" s="711">
        <v>9</v>
      </c>
      <c r="AG185" s="710">
        <v>5</v>
      </c>
      <c r="AH185" s="710">
        <v>4</v>
      </c>
      <c r="AI185" s="710">
        <v>522</v>
      </c>
      <c r="AJ185" s="710">
        <v>86</v>
      </c>
      <c r="AK185" s="710">
        <v>26</v>
      </c>
      <c r="AL185" s="710">
        <v>6</v>
      </c>
      <c r="AM185" s="710">
        <v>4</v>
      </c>
      <c r="AN185" s="710">
        <v>8</v>
      </c>
      <c r="AO185" s="710">
        <v>0</v>
      </c>
      <c r="AP185" s="711">
        <v>0</v>
      </c>
      <c r="AQ185" s="709"/>
      <c r="AR185" s="709"/>
      <c r="AS185" s="720">
        <v>1485</v>
      </c>
      <c r="AT185" s="710">
        <v>1674</v>
      </c>
      <c r="AU185" s="710">
        <v>1540</v>
      </c>
      <c r="AV185" s="710">
        <v>134</v>
      </c>
      <c r="AW185" s="710">
        <v>1350</v>
      </c>
      <c r="AX185" s="712">
        <v>4465</v>
      </c>
      <c r="AY185" s="683">
        <v>-18592</v>
      </c>
      <c r="AZ185" s="713">
        <v>-144147</v>
      </c>
      <c r="BA185" s="714">
        <v>-805065</v>
      </c>
      <c r="BB185" s="715">
        <v>21315450</v>
      </c>
      <c r="BC185" s="715">
        <v>0</v>
      </c>
      <c r="BD185" s="716">
        <v>-805065</v>
      </c>
      <c r="BE185" s="420"/>
      <c r="BF185" s="717" t="s">
        <v>241</v>
      </c>
      <c r="BG185" s="118" t="b">
        <v>1</v>
      </c>
      <c r="BH185" s="494"/>
      <c r="BI185" s="420"/>
      <c r="BJ185" s="420"/>
      <c r="BK185" s="420"/>
      <c r="BL185" s="420"/>
      <c r="BM185" s="420"/>
      <c r="BN185" s="420"/>
      <c r="BO185" s="420"/>
      <c r="BP185" s="420"/>
      <c r="BQ185" s="420"/>
      <c r="BR185" s="420"/>
      <c r="BS185" s="420"/>
      <c r="BT185" s="420"/>
      <c r="BU185" s="420"/>
      <c r="BV185" s="420"/>
      <c r="BW185" s="420"/>
      <c r="BX185" s="420"/>
      <c r="BY185" s="420"/>
      <c r="BZ185" s="420"/>
      <c r="CA185" s="420"/>
      <c r="CB185" s="420"/>
      <c r="CC185" s="420"/>
      <c r="CD185" s="420"/>
      <c r="CE185" s="420"/>
      <c r="CF185" s="420"/>
      <c r="CG185" s="420"/>
      <c r="CH185" s="420"/>
      <c r="CI185" s="420"/>
      <c r="CJ185" s="420"/>
      <c r="CK185" s="420"/>
      <c r="CL185" s="420"/>
      <c r="CM185" s="420"/>
      <c r="CN185" s="420"/>
      <c r="CO185" s="420"/>
      <c r="CP185" s="420"/>
      <c r="CQ185" s="420"/>
      <c r="CR185" s="420"/>
    </row>
    <row r="186" spans="1:97" s="118" customFormat="1" ht="12.75" x14ac:dyDescent="0.2">
      <c r="A186" s="705">
        <v>180</v>
      </c>
      <c r="B186" s="718" t="s">
        <v>242</v>
      </c>
      <c r="C186" s="719" t="s">
        <v>243</v>
      </c>
      <c r="D186" s="708">
        <v>123355</v>
      </c>
      <c r="E186" s="708">
        <v>71621000</v>
      </c>
      <c r="F186" s="133">
        <v>35593950</v>
      </c>
      <c r="G186" s="133">
        <v>-3726362</v>
      </c>
      <c r="H186" s="133">
        <v>615018</v>
      </c>
      <c r="I186" s="133">
        <v>-3111344</v>
      </c>
      <c r="J186" s="133">
        <v>-2062735</v>
      </c>
      <c r="K186" s="133">
        <v>-46844</v>
      </c>
      <c r="L186" s="133">
        <v>-22286</v>
      </c>
      <c r="M186" s="133">
        <v>0</v>
      </c>
      <c r="N186" s="133">
        <v>-485785</v>
      </c>
      <c r="O186" s="133">
        <v>-81966</v>
      </c>
      <c r="P186" s="133">
        <v>-11047</v>
      </c>
      <c r="Q186" s="133">
        <v>-99</v>
      </c>
      <c r="R186" s="133">
        <v>0</v>
      </c>
      <c r="S186" s="133">
        <v>-22286</v>
      </c>
      <c r="T186" s="133">
        <v>0</v>
      </c>
      <c r="U186" s="133">
        <v>0</v>
      </c>
      <c r="V186" s="133">
        <v>0</v>
      </c>
      <c r="W186" s="709"/>
      <c r="X186" s="709"/>
      <c r="Y186" s="709"/>
      <c r="Z186" s="133">
        <v>0</v>
      </c>
      <c r="AA186" s="133">
        <v>-1500</v>
      </c>
      <c r="AB186" s="133">
        <v>28497809</v>
      </c>
      <c r="AC186" s="133">
        <v>-501027</v>
      </c>
      <c r="AD186" s="709"/>
      <c r="AE186" s="710">
        <v>169</v>
      </c>
      <c r="AF186" s="711">
        <v>5</v>
      </c>
      <c r="AG186" s="710">
        <v>21</v>
      </c>
      <c r="AH186" s="710">
        <v>1</v>
      </c>
      <c r="AI186" s="710">
        <v>281</v>
      </c>
      <c r="AJ186" s="710">
        <v>98</v>
      </c>
      <c r="AK186" s="710">
        <v>1</v>
      </c>
      <c r="AL186" s="710">
        <v>1</v>
      </c>
      <c r="AM186" s="710">
        <v>0</v>
      </c>
      <c r="AN186" s="710">
        <v>21</v>
      </c>
      <c r="AO186" s="710">
        <v>0</v>
      </c>
      <c r="AP186" s="711">
        <v>0</v>
      </c>
      <c r="AQ186" s="709"/>
      <c r="AR186" s="709"/>
      <c r="AS186" s="720">
        <v>1570</v>
      </c>
      <c r="AT186" s="710">
        <v>1570</v>
      </c>
      <c r="AU186" s="710">
        <v>1507</v>
      </c>
      <c r="AV186" s="710">
        <v>63</v>
      </c>
      <c r="AW186" s="710">
        <v>1095</v>
      </c>
      <c r="AX186" s="712">
        <v>3307</v>
      </c>
      <c r="AY186" s="683">
        <v>-25785</v>
      </c>
      <c r="AZ186" s="713">
        <v>2386609</v>
      </c>
      <c r="BA186" s="714">
        <v>2989491</v>
      </c>
      <c r="BB186" s="715">
        <v>9248750</v>
      </c>
      <c r="BC186" s="715">
        <v>0</v>
      </c>
      <c r="BD186" s="716">
        <v>3229630</v>
      </c>
      <c r="BE186" s="420"/>
      <c r="BF186" s="717" t="s">
        <v>243</v>
      </c>
      <c r="BG186" s="118" t="b">
        <v>1</v>
      </c>
      <c r="BH186" s="494"/>
      <c r="BI186" s="420"/>
      <c r="BJ186" s="420"/>
      <c r="BK186" s="420"/>
      <c r="BL186" s="420"/>
      <c r="BM186" s="420"/>
      <c r="BN186" s="420"/>
      <c r="BO186" s="420"/>
      <c r="BP186" s="420"/>
      <c r="BQ186" s="420"/>
      <c r="BR186" s="420"/>
      <c r="BS186" s="420"/>
      <c r="BT186" s="420"/>
      <c r="BU186" s="420"/>
      <c r="BV186" s="420"/>
      <c r="BW186" s="420"/>
      <c r="BX186" s="420"/>
      <c r="BY186" s="420"/>
      <c r="BZ186" s="420"/>
      <c r="CA186" s="420"/>
      <c r="CB186" s="420"/>
      <c r="CC186" s="420"/>
      <c r="CD186" s="420"/>
      <c r="CE186" s="420"/>
      <c r="CF186" s="420"/>
      <c r="CG186" s="420"/>
      <c r="CH186" s="420"/>
      <c r="CI186" s="420"/>
      <c r="CJ186" s="420"/>
      <c r="CK186" s="420"/>
      <c r="CL186" s="420"/>
      <c r="CM186" s="420"/>
      <c r="CN186" s="420"/>
      <c r="CO186" s="420"/>
      <c r="CP186" s="420"/>
      <c r="CQ186" s="420"/>
      <c r="CR186" s="420"/>
    </row>
    <row r="187" spans="1:97" s="118" customFormat="1" ht="12.75" x14ac:dyDescent="0.2">
      <c r="A187" s="705">
        <v>181</v>
      </c>
      <c r="B187" s="718" t="s">
        <v>583</v>
      </c>
      <c r="C187" s="719" t="s">
        <v>245</v>
      </c>
      <c r="D187" s="708">
        <v>233461</v>
      </c>
      <c r="E187" s="708">
        <v>196680000</v>
      </c>
      <c r="F187" s="133">
        <v>96446721</v>
      </c>
      <c r="G187" s="133">
        <v>-5828667</v>
      </c>
      <c r="H187" s="133">
        <v>2008158</v>
      </c>
      <c r="I187" s="133">
        <v>-3820509</v>
      </c>
      <c r="J187" s="133">
        <v>-2755367</v>
      </c>
      <c r="K187" s="133">
        <v>-48112</v>
      </c>
      <c r="L187" s="133">
        <v>-13369</v>
      </c>
      <c r="M187" s="133">
        <v>0</v>
      </c>
      <c r="N187" s="133">
        <v>-2892975</v>
      </c>
      <c r="O187" s="133">
        <v>-91444</v>
      </c>
      <c r="P187" s="133">
        <v>-105470</v>
      </c>
      <c r="Q187" s="133">
        <v>-7116</v>
      </c>
      <c r="R187" s="133">
        <v>0</v>
      </c>
      <c r="S187" s="133">
        <v>0</v>
      </c>
      <c r="T187" s="133">
        <v>-81176</v>
      </c>
      <c r="U187" s="133">
        <v>-81176</v>
      </c>
      <c r="V187" s="133">
        <v>0</v>
      </c>
      <c r="W187" s="709"/>
      <c r="X187" s="709"/>
      <c r="Y187" s="709"/>
      <c r="Z187" s="133">
        <v>-13369</v>
      </c>
      <c r="AA187" s="133">
        <v>0</v>
      </c>
      <c r="AB187" s="133">
        <v>88764867</v>
      </c>
      <c r="AC187" s="133">
        <v>-4123121</v>
      </c>
      <c r="AD187" s="709"/>
      <c r="AE187" s="710">
        <v>205</v>
      </c>
      <c r="AF187" s="711">
        <v>14</v>
      </c>
      <c r="AG187" s="710">
        <v>8</v>
      </c>
      <c r="AH187" s="710">
        <v>0</v>
      </c>
      <c r="AI187" s="710">
        <v>575</v>
      </c>
      <c r="AJ187" s="710">
        <v>111</v>
      </c>
      <c r="AK187" s="710">
        <v>20</v>
      </c>
      <c r="AL187" s="710">
        <v>12</v>
      </c>
      <c r="AM187" s="710">
        <v>8</v>
      </c>
      <c r="AN187" s="710">
        <v>0</v>
      </c>
      <c r="AO187" s="710">
        <v>1</v>
      </c>
      <c r="AP187" s="711">
        <v>0</v>
      </c>
      <c r="AQ187" s="709"/>
      <c r="AR187" s="709"/>
      <c r="AS187" s="720">
        <v>1219</v>
      </c>
      <c r="AT187" s="710">
        <v>2477</v>
      </c>
      <c r="AU187" s="710">
        <v>2402</v>
      </c>
      <c r="AV187" s="710">
        <v>75</v>
      </c>
      <c r="AW187" s="710">
        <v>1988</v>
      </c>
      <c r="AX187" s="712">
        <v>5686</v>
      </c>
      <c r="AY187" s="683">
        <v>-31119</v>
      </c>
      <c r="AZ187" s="713">
        <v>1634224</v>
      </c>
      <c r="BA187" s="714">
        <v>5082326</v>
      </c>
      <c r="BB187" s="715">
        <v>2745000</v>
      </c>
      <c r="BC187" s="715">
        <v>36250</v>
      </c>
      <c r="BD187" s="716">
        <v>5082326.5</v>
      </c>
      <c r="BE187" s="420"/>
      <c r="BF187" s="717" t="s">
        <v>245</v>
      </c>
      <c r="BG187" s="118" t="b">
        <v>1</v>
      </c>
      <c r="BH187" s="494"/>
      <c r="BI187" s="420"/>
      <c r="BJ187" s="420"/>
      <c r="BK187" s="420"/>
      <c r="BL187" s="420"/>
      <c r="BM187" s="420"/>
      <c r="BN187" s="420"/>
      <c r="BO187" s="420"/>
      <c r="BP187" s="420"/>
      <c r="BQ187" s="420"/>
      <c r="BR187" s="420"/>
      <c r="BS187" s="420"/>
      <c r="BT187" s="420"/>
      <c r="BU187" s="420"/>
      <c r="BV187" s="420"/>
      <c r="BW187" s="420"/>
      <c r="BX187" s="420"/>
      <c r="BY187" s="420"/>
      <c r="BZ187" s="420"/>
      <c r="CA187" s="420"/>
      <c r="CB187" s="420"/>
      <c r="CC187" s="420"/>
      <c r="CD187" s="420"/>
      <c r="CE187" s="420"/>
      <c r="CF187" s="420"/>
      <c r="CG187" s="420"/>
      <c r="CH187" s="420"/>
      <c r="CI187" s="420"/>
      <c r="CJ187" s="420"/>
      <c r="CK187" s="420"/>
      <c r="CL187" s="420"/>
      <c r="CM187" s="420"/>
      <c r="CN187" s="420"/>
      <c r="CO187" s="420"/>
      <c r="CP187" s="420"/>
      <c r="CQ187" s="420"/>
      <c r="CR187" s="420"/>
    </row>
    <row r="188" spans="1:97" s="118" customFormat="1" ht="12.75" x14ac:dyDescent="0.2">
      <c r="A188" s="705">
        <v>182</v>
      </c>
      <c r="B188" s="718" t="s">
        <v>246</v>
      </c>
      <c r="C188" s="719" t="s">
        <v>247</v>
      </c>
      <c r="D188" s="708">
        <v>259130</v>
      </c>
      <c r="E188" s="708">
        <v>82702000</v>
      </c>
      <c r="F188" s="133">
        <v>39483477</v>
      </c>
      <c r="G188" s="133">
        <v>-7250116</v>
      </c>
      <c r="H188" s="133">
        <v>545606</v>
      </c>
      <c r="I188" s="133">
        <v>-6704510</v>
      </c>
      <c r="J188" s="133">
        <v>-2256949</v>
      </c>
      <c r="K188" s="133">
        <v>-40188</v>
      </c>
      <c r="L188" s="133">
        <v>-78316</v>
      </c>
      <c r="M188" s="133">
        <v>0</v>
      </c>
      <c r="N188" s="133">
        <v>-352745</v>
      </c>
      <c r="O188" s="133">
        <v>-4119</v>
      </c>
      <c r="P188" s="133">
        <v>0</v>
      </c>
      <c r="Q188" s="133">
        <v>0</v>
      </c>
      <c r="R188" s="133">
        <v>0</v>
      </c>
      <c r="S188" s="133">
        <v>0</v>
      </c>
      <c r="T188" s="133">
        <v>-272414</v>
      </c>
      <c r="U188" s="133">
        <v>-272414</v>
      </c>
      <c r="V188" s="133">
        <v>0</v>
      </c>
      <c r="W188" s="709"/>
      <c r="X188" s="709"/>
      <c r="Y188" s="709"/>
      <c r="Z188" s="133">
        <v>-82183</v>
      </c>
      <c r="AA188" s="133">
        <v>-1500</v>
      </c>
      <c r="AB188" s="133">
        <v>27229246</v>
      </c>
      <c r="AC188" s="133">
        <v>-1802384</v>
      </c>
      <c r="AD188" s="709"/>
      <c r="AE188" s="710">
        <v>360</v>
      </c>
      <c r="AF188" s="711">
        <v>32</v>
      </c>
      <c r="AG188" s="710">
        <v>43</v>
      </c>
      <c r="AH188" s="710">
        <v>0</v>
      </c>
      <c r="AI188" s="710">
        <v>217</v>
      </c>
      <c r="AJ188" s="710">
        <v>20</v>
      </c>
      <c r="AK188" s="710">
        <v>0</v>
      </c>
      <c r="AL188" s="710">
        <v>0</v>
      </c>
      <c r="AM188" s="710">
        <v>54</v>
      </c>
      <c r="AN188" s="710">
        <v>0</v>
      </c>
      <c r="AO188" s="710">
        <v>0</v>
      </c>
      <c r="AP188" s="711">
        <v>0</v>
      </c>
      <c r="AQ188" s="709"/>
      <c r="AR188" s="709"/>
      <c r="AS188" s="720">
        <v>936</v>
      </c>
      <c r="AT188" s="710">
        <v>4054</v>
      </c>
      <c r="AU188" s="710">
        <v>3955</v>
      </c>
      <c r="AV188" s="710">
        <v>99</v>
      </c>
      <c r="AW188" s="710">
        <v>2443</v>
      </c>
      <c r="AX188" s="712">
        <v>7594</v>
      </c>
      <c r="AY188" s="683">
        <v>-78925</v>
      </c>
      <c r="AZ188" s="713">
        <v>1103753</v>
      </c>
      <c r="BA188" s="714">
        <v>966793</v>
      </c>
      <c r="BB188" s="715">
        <v>12784499</v>
      </c>
      <c r="BC188" s="715">
        <v>196000</v>
      </c>
      <c r="BD188" s="716">
        <v>812617</v>
      </c>
      <c r="BE188" s="420"/>
      <c r="BF188" s="717" t="s">
        <v>247</v>
      </c>
      <c r="BG188" s="118" t="b">
        <v>1</v>
      </c>
      <c r="BH188" s="494"/>
      <c r="BI188" s="420"/>
      <c r="BJ188" s="420"/>
      <c r="BK188" s="420"/>
      <c r="BL188" s="420"/>
      <c r="BM188" s="420"/>
      <c r="BN188" s="420"/>
      <c r="BO188" s="420"/>
      <c r="BP188" s="420"/>
      <c r="BQ188" s="420"/>
      <c r="BR188" s="420"/>
      <c r="BS188" s="420"/>
      <c r="BT188" s="420"/>
      <c r="BU188" s="420"/>
      <c r="BV188" s="420"/>
      <c r="BW188" s="420"/>
      <c r="BX188" s="420"/>
      <c r="BY188" s="420"/>
      <c r="BZ188" s="420"/>
      <c r="CA188" s="420"/>
      <c r="CB188" s="420"/>
      <c r="CC188" s="420"/>
      <c r="CD188" s="420"/>
      <c r="CE188" s="420"/>
      <c r="CF188" s="420"/>
      <c r="CG188" s="420"/>
      <c r="CH188" s="420"/>
      <c r="CI188" s="420"/>
      <c r="CJ188" s="420"/>
      <c r="CK188" s="420"/>
      <c r="CL188" s="420"/>
      <c r="CM188" s="420"/>
      <c r="CN188" s="420"/>
      <c r="CO188" s="420"/>
      <c r="CP188" s="420"/>
      <c r="CQ188" s="420"/>
      <c r="CR188" s="420"/>
    </row>
    <row r="189" spans="1:97" s="118" customFormat="1" ht="12.75" x14ac:dyDescent="0.2">
      <c r="A189" s="705">
        <v>183</v>
      </c>
      <c r="B189" s="718" t="s">
        <v>528</v>
      </c>
      <c r="C189" s="719" t="s">
        <v>249</v>
      </c>
      <c r="D189" s="708">
        <v>255492</v>
      </c>
      <c r="E189" s="708">
        <v>162725000</v>
      </c>
      <c r="F189" s="133">
        <v>78204637</v>
      </c>
      <c r="G189" s="133">
        <v>-6784996</v>
      </c>
      <c r="H189" s="133">
        <v>1468538</v>
      </c>
      <c r="I189" s="133">
        <v>-5316458</v>
      </c>
      <c r="J189" s="133">
        <v>-6235209</v>
      </c>
      <c r="K189" s="133">
        <v>-102577</v>
      </c>
      <c r="L189" s="133">
        <v>-9525</v>
      </c>
      <c r="M189" s="133">
        <v>-7500</v>
      </c>
      <c r="N189" s="133">
        <v>-1548081</v>
      </c>
      <c r="O189" s="133">
        <v>-60164</v>
      </c>
      <c r="P189" s="133">
        <v>-321093</v>
      </c>
      <c r="Q189" s="133">
        <v>0</v>
      </c>
      <c r="R189" s="133">
        <v>0</v>
      </c>
      <c r="S189" s="133">
        <v>0</v>
      </c>
      <c r="T189" s="133">
        <v>0</v>
      </c>
      <c r="U189" s="133">
        <v>0</v>
      </c>
      <c r="V189" s="133">
        <v>0</v>
      </c>
      <c r="W189" s="709"/>
      <c r="X189" s="709"/>
      <c r="Y189" s="709"/>
      <c r="Z189" s="133">
        <v>-9387</v>
      </c>
      <c r="AA189" s="133">
        <v>-1500</v>
      </c>
      <c r="AB189" s="133">
        <v>63626958</v>
      </c>
      <c r="AC189" s="133">
        <v>-3656263</v>
      </c>
      <c r="AD189" s="709"/>
      <c r="AE189" s="710">
        <v>365</v>
      </c>
      <c r="AF189" s="711">
        <v>20</v>
      </c>
      <c r="AG189" s="710">
        <v>6</v>
      </c>
      <c r="AH189" s="710">
        <v>0</v>
      </c>
      <c r="AI189" s="710">
        <v>599</v>
      </c>
      <c r="AJ189" s="710">
        <v>78</v>
      </c>
      <c r="AK189" s="710">
        <v>30</v>
      </c>
      <c r="AL189" s="710">
        <v>0</v>
      </c>
      <c r="AM189" s="710">
        <v>0</v>
      </c>
      <c r="AN189" s="710">
        <v>0</v>
      </c>
      <c r="AO189" s="710">
        <v>0</v>
      </c>
      <c r="AP189" s="711">
        <v>0</v>
      </c>
      <c r="AQ189" s="709"/>
      <c r="AR189" s="709"/>
      <c r="AS189" s="720">
        <v>1423</v>
      </c>
      <c r="AT189" s="710">
        <v>2450</v>
      </c>
      <c r="AU189" s="710">
        <v>2297</v>
      </c>
      <c r="AV189" s="710">
        <v>153</v>
      </c>
      <c r="AW189" s="710">
        <v>2581</v>
      </c>
      <c r="AX189" s="712">
        <v>6421</v>
      </c>
      <c r="AY189" s="683">
        <v>-1896</v>
      </c>
      <c r="AZ189" s="713">
        <v>-757302</v>
      </c>
      <c r="BA189" s="714">
        <v>-1413146</v>
      </c>
      <c r="BB189" s="715">
        <v>22200850</v>
      </c>
      <c r="BC189" s="715">
        <v>208500</v>
      </c>
      <c r="BD189" s="716">
        <v>-1413144.200000003</v>
      </c>
      <c r="BE189" s="420"/>
      <c r="BF189" s="717" t="s">
        <v>249</v>
      </c>
      <c r="BG189" s="118" t="b">
        <v>1</v>
      </c>
      <c r="BH189" s="494"/>
      <c r="BI189" s="420"/>
      <c r="BJ189" s="420"/>
      <c r="BK189" s="420"/>
      <c r="BL189" s="420"/>
      <c r="BM189" s="420"/>
      <c r="BN189" s="420"/>
      <c r="BO189" s="420"/>
      <c r="BP189" s="420"/>
      <c r="BQ189" s="420"/>
      <c r="BR189" s="420"/>
      <c r="BS189" s="420"/>
      <c r="BT189" s="420"/>
      <c r="BU189" s="420"/>
      <c r="BV189" s="420"/>
      <c r="BW189" s="420"/>
      <c r="BX189" s="420"/>
      <c r="BY189" s="420"/>
      <c r="BZ189" s="420"/>
      <c r="CA189" s="420"/>
      <c r="CB189" s="420"/>
      <c r="CC189" s="420"/>
      <c r="CD189" s="420"/>
      <c r="CE189" s="420"/>
      <c r="CF189" s="420"/>
      <c r="CG189" s="420"/>
      <c r="CH189" s="420"/>
      <c r="CI189" s="420"/>
      <c r="CJ189" s="420"/>
      <c r="CK189" s="420"/>
      <c r="CL189" s="420"/>
      <c r="CM189" s="420"/>
      <c r="CN189" s="420"/>
      <c r="CO189" s="420"/>
      <c r="CP189" s="420"/>
      <c r="CQ189" s="420"/>
      <c r="CR189" s="420"/>
    </row>
    <row r="190" spans="1:97" s="118" customFormat="1" ht="12.75" x14ac:dyDescent="0.2">
      <c r="A190" s="705">
        <v>184</v>
      </c>
      <c r="B190" s="718" t="s">
        <v>250</v>
      </c>
      <c r="C190" s="719" t="s">
        <v>251</v>
      </c>
      <c r="D190" s="708">
        <v>231034</v>
      </c>
      <c r="E190" s="708">
        <v>151101000</v>
      </c>
      <c r="F190" s="133">
        <v>73955202</v>
      </c>
      <c r="G190" s="133">
        <v>-6260294</v>
      </c>
      <c r="H190" s="133">
        <v>1424710</v>
      </c>
      <c r="I190" s="133">
        <v>-4835584</v>
      </c>
      <c r="J190" s="133">
        <v>-4584480</v>
      </c>
      <c r="K190" s="133">
        <v>-66782</v>
      </c>
      <c r="L190" s="133">
        <v>0</v>
      </c>
      <c r="M190" s="133">
        <v>0</v>
      </c>
      <c r="N190" s="133">
        <v>-3004768</v>
      </c>
      <c r="O190" s="133">
        <v>-321757</v>
      </c>
      <c r="P190" s="133">
        <v>-20132</v>
      </c>
      <c r="Q190" s="133">
        <v>-16696</v>
      </c>
      <c r="R190" s="133">
        <v>0</v>
      </c>
      <c r="S190" s="133">
        <v>0</v>
      </c>
      <c r="T190" s="133">
        <v>-24187</v>
      </c>
      <c r="U190" s="133">
        <v>-24187</v>
      </c>
      <c r="V190" s="133">
        <v>0</v>
      </c>
      <c r="W190" s="709"/>
      <c r="X190" s="709"/>
      <c r="Y190" s="709"/>
      <c r="Z190" s="133">
        <v>0</v>
      </c>
      <c r="AA190" s="133">
        <v>0</v>
      </c>
      <c r="AB190" s="133">
        <v>60241784</v>
      </c>
      <c r="AC190" s="133">
        <v>-1000000</v>
      </c>
      <c r="AD190" s="709"/>
      <c r="AE190" s="710">
        <v>249</v>
      </c>
      <c r="AF190" s="711">
        <v>10</v>
      </c>
      <c r="AG190" s="710">
        <v>0</v>
      </c>
      <c r="AH190" s="710">
        <v>0</v>
      </c>
      <c r="AI190" s="710">
        <v>1014</v>
      </c>
      <c r="AJ190" s="710">
        <v>147</v>
      </c>
      <c r="AK190" s="710">
        <v>6</v>
      </c>
      <c r="AL190" s="710">
        <v>10</v>
      </c>
      <c r="AM190" s="710">
        <v>0</v>
      </c>
      <c r="AN190" s="710">
        <v>0</v>
      </c>
      <c r="AO190" s="710">
        <v>7</v>
      </c>
      <c r="AP190" s="711">
        <v>0</v>
      </c>
      <c r="AQ190" s="709"/>
      <c r="AR190" s="709"/>
      <c r="AS190" s="720">
        <v>1661</v>
      </c>
      <c r="AT190" s="710">
        <v>2379</v>
      </c>
      <c r="AU190" s="710">
        <v>2270</v>
      </c>
      <c r="AV190" s="710">
        <v>109</v>
      </c>
      <c r="AW190" s="710">
        <v>1960</v>
      </c>
      <c r="AX190" s="712">
        <v>6044</v>
      </c>
      <c r="AY190" s="683">
        <v>-33396</v>
      </c>
      <c r="AZ190" s="713">
        <v>-492241</v>
      </c>
      <c r="BA190" s="714">
        <v>-1736657</v>
      </c>
      <c r="BB190" s="715">
        <v>17081625</v>
      </c>
      <c r="BC190" s="715">
        <v>49250</v>
      </c>
      <c r="BD190" s="716">
        <v>-1736657</v>
      </c>
      <c r="BE190" s="420"/>
      <c r="BF190" s="717" t="s">
        <v>251</v>
      </c>
      <c r="BG190" s="118" t="b">
        <v>1</v>
      </c>
      <c r="BH190" s="494"/>
      <c r="BI190" s="420"/>
      <c r="BJ190" s="420"/>
      <c r="BK190" s="420"/>
      <c r="BL190" s="420"/>
      <c r="BM190" s="420"/>
      <c r="BN190" s="420"/>
      <c r="BO190" s="420"/>
      <c r="BP190" s="420"/>
      <c r="BQ190" s="420"/>
      <c r="BR190" s="420"/>
      <c r="BS190" s="420"/>
      <c r="BT190" s="420"/>
      <c r="BU190" s="420"/>
      <c r="BV190" s="420"/>
      <c r="BW190" s="420"/>
      <c r="BX190" s="420"/>
      <c r="BY190" s="420"/>
      <c r="BZ190" s="420"/>
      <c r="CA190" s="420"/>
      <c r="CB190" s="420"/>
      <c r="CC190" s="420"/>
      <c r="CD190" s="420"/>
      <c r="CE190" s="420"/>
      <c r="CF190" s="420"/>
      <c r="CG190" s="420"/>
      <c r="CH190" s="420"/>
      <c r="CI190" s="420"/>
      <c r="CJ190" s="420"/>
      <c r="CK190" s="420"/>
      <c r="CL190" s="420"/>
      <c r="CM190" s="420"/>
      <c r="CN190" s="420"/>
      <c r="CO190" s="420"/>
      <c r="CP190" s="420"/>
      <c r="CQ190" s="420"/>
      <c r="CR190" s="420"/>
    </row>
    <row r="191" spans="1:97" s="118" customFormat="1" ht="12.75" x14ac:dyDescent="0.2">
      <c r="A191" s="705">
        <v>185</v>
      </c>
      <c r="B191" s="718" t="s">
        <v>252</v>
      </c>
      <c r="C191" s="719" t="s">
        <v>253</v>
      </c>
      <c r="D191" s="708">
        <v>110539</v>
      </c>
      <c r="E191" s="708">
        <v>118627000</v>
      </c>
      <c r="F191" s="133">
        <v>57813719</v>
      </c>
      <c r="G191" s="133">
        <v>-2435627</v>
      </c>
      <c r="H191" s="133">
        <v>1277444.82</v>
      </c>
      <c r="I191" s="133">
        <v>-1158182.18</v>
      </c>
      <c r="J191" s="133">
        <v>-1021544.28</v>
      </c>
      <c r="K191" s="133">
        <v>-32366.880000000001</v>
      </c>
      <c r="L191" s="133">
        <v>-10520</v>
      </c>
      <c r="M191" s="133">
        <v>0</v>
      </c>
      <c r="N191" s="133">
        <v>-1082287</v>
      </c>
      <c r="O191" s="133">
        <v>-7284</v>
      </c>
      <c r="P191" s="133">
        <v>-13311</v>
      </c>
      <c r="Q191" s="133">
        <v>-1828</v>
      </c>
      <c r="R191" s="133">
        <v>0</v>
      </c>
      <c r="S191" s="133">
        <v>0</v>
      </c>
      <c r="T191" s="133">
        <v>0</v>
      </c>
      <c r="U191" s="133">
        <v>0</v>
      </c>
      <c r="V191" s="133">
        <v>0</v>
      </c>
      <c r="W191" s="709"/>
      <c r="X191" s="709"/>
      <c r="Y191" s="709"/>
      <c r="Z191" s="133">
        <v>-10520</v>
      </c>
      <c r="AA191" s="133">
        <v>0</v>
      </c>
      <c r="AB191" s="133">
        <v>54166384.020000003</v>
      </c>
      <c r="AC191" s="133">
        <v>-4850000</v>
      </c>
      <c r="AD191" s="709"/>
      <c r="AE191" s="710">
        <v>94</v>
      </c>
      <c r="AF191" s="711">
        <v>12</v>
      </c>
      <c r="AG191" s="710">
        <v>6</v>
      </c>
      <c r="AH191" s="710">
        <v>0</v>
      </c>
      <c r="AI191" s="710">
        <v>204</v>
      </c>
      <c r="AJ191" s="710">
        <v>15</v>
      </c>
      <c r="AK191" s="710">
        <v>31</v>
      </c>
      <c r="AL191" s="710">
        <v>4</v>
      </c>
      <c r="AM191" s="710">
        <v>0</v>
      </c>
      <c r="AN191" s="710">
        <v>0</v>
      </c>
      <c r="AO191" s="710">
        <v>0</v>
      </c>
      <c r="AP191" s="711">
        <v>0</v>
      </c>
      <c r="AQ191" s="709"/>
      <c r="AR191" s="709"/>
      <c r="AS191" s="720">
        <v>611</v>
      </c>
      <c r="AT191" s="710">
        <v>911</v>
      </c>
      <c r="AU191" s="710">
        <v>882</v>
      </c>
      <c r="AV191" s="710">
        <v>29</v>
      </c>
      <c r="AW191" s="710">
        <v>802</v>
      </c>
      <c r="AX191" s="712">
        <v>2382</v>
      </c>
      <c r="AY191" s="683">
        <v>-13318</v>
      </c>
      <c r="AZ191" s="713">
        <v>3020502</v>
      </c>
      <c r="BA191" s="714">
        <v>7334766</v>
      </c>
      <c r="BB191" s="715">
        <v>8697725</v>
      </c>
      <c r="BC191" s="715">
        <v>0</v>
      </c>
      <c r="BD191" s="716">
        <v>7334766</v>
      </c>
      <c r="BE191" s="420"/>
      <c r="BF191" s="717" t="s">
        <v>253</v>
      </c>
      <c r="BG191" s="118" t="b">
        <v>1</v>
      </c>
      <c r="BH191" s="494"/>
      <c r="BI191" s="420"/>
      <c r="BJ191" s="420"/>
      <c r="BK191" s="420"/>
      <c r="BL191" s="420"/>
      <c r="BM191" s="420"/>
      <c r="BN191" s="420"/>
      <c r="BO191" s="420"/>
      <c r="BP191" s="420"/>
      <c r="BQ191" s="420"/>
      <c r="BR191" s="420"/>
      <c r="BS191" s="420"/>
      <c r="BT191" s="420"/>
      <c r="BU191" s="420"/>
      <c r="BV191" s="420"/>
      <c r="BW191" s="420"/>
      <c r="BX191" s="420"/>
      <c r="BY191" s="420"/>
      <c r="BZ191" s="420"/>
      <c r="CA191" s="420"/>
      <c r="CB191" s="420"/>
      <c r="CC191" s="420"/>
      <c r="CD191" s="420"/>
      <c r="CE191" s="420"/>
      <c r="CF191" s="420"/>
      <c r="CG191" s="420"/>
      <c r="CH191" s="420"/>
      <c r="CI191" s="420"/>
      <c r="CJ191" s="420"/>
      <c r="CK191" s="420"/>
      <c r="CL191" s="420"/>
      <c r="CM191" s="420"/>
      <c r="CN191" s="420"/>
      <c r="CO191" s="420"/>
      <c r="CP191" s="420"/>
      <c r="CQ191" s="420"/>
      <c r="CR191" s="420"/>
    </row>
    <row r="192" spans="1:97" s="118" customFormat="1" ht="12.75" x14ac:dyDescent="0.2">
      <c r="A192" s="705">
        <v>186</v>
      </c>
      <c r="B192" s="718" t="s">
        <v>258</v>
      </c>
      <c r="C192" s="719" t="s">
        <v>259</v>
      </c>
      <c r="D192" s="708">
        <v>149558</v>
      </c>
      <c r="E192" s="708">
        <v>142498000</v>
      </c>
      <c r="F192" s="133">
        <v>72154436</v>
      </c>
      <c r="G192" s="133">
        <v>-3262324</v>
      </c>
      <c r="H192" s="133">
        <v>1454209</v>
      </c>
      <c r="I192" s="133">
        <v>-1808115</v>
      </c>
      <c r="J192" s="133">
        <v>-1752874</v>
      </c>
      <c r="K192" s="133">
        <v>-24545</v>
      </c>
      <c r="L192" s="133">
        <v>-7760</v>
      </c>
      <c r="M192" s="133">
        <v>-600000</v>
      </c>
      <c r="N192" s="133">
        <v>-700979</v>
      </c>
      <c r="O192" s="133">
        <v>-67619</v>
      </c>
      <c r="P192" s="133">
        <v>-101587</v>
      </c>
      <c r="Q192" s="133">
        <v>-1697</v>
      </c>
      <c r="R192" s="133">
        <v>0</v>
      </c>
      <c r="S192" s="133">
        <v>0</v>
      </c>
      <c r="T192" s="133">
        <v>0</v>
      </c>
      <c r="U192" s="133">
        <v>0</v>
      </c>
      <c r="V192" s="133">
        <v>0</v>
      </c>
      <c r="W192" s="709"/>
      <c r="X192" s="709"/>
      <c r="Y192" s="709"/>
      <c r="Z192" s="133">
        <v>-7760</v>
      </c>
      <c r="AA192" s="133">
        <v>-1500</v>
      </c>
      <c r="AB192" s="133">
        <v>64697866</v>
      </c>
      <c r="AC192" s="133">
        <v>-1017412</v>
      </c>
      <c r="AD192" s="709"/>
      <c r="AE192" s="710">
        <v>133</v>
      </c>
      <c r="AF192" s="711">
        <v>9</v>
      </c>
      <c r="AG192" s="710">
        <v>7</v>
      </c>
      <c r="AH192" s="710">
        <v>0</v>
      </c>
      <c r="AI192" s="710">
        <v>189</v>
      </c>
      <c r="AJ192" s="710">
        <v>81</v>
      </c>
      <c r="AK192" s="710">
        <v>21</v>
      </c>
      <c r="AL192" s="710">
        <v>4</v>
      </c>
      <c r="AM192" s="710">
        <v>0</v>
      </c>
      <c r="AN192" s="710">
        <v>0</v>
      </c>
      <c r="AO192" s="710">
        <v>0</v>
      </c>
      <c r="AP192" s="711">
        <v>0</v>
      </c>
      <c r="AQ192" s="709"/>
      <c r="AR192" s="709"/>
      <c r="AS192" s="720">
        <v>862</v>
      </c>
      <c r="AT192" s="710">
        <v>1354</v>
      </c>
      <c r="AU192" s="710">
        <v>1292</v>
      </c>
      <c r="AV192" s="710">
        <v>62</v>
      </c>
      <c r="AW192" s="710">
        <v>1225</v>
      </c>
      <c r="AX192" s="712">
        <v>3486</v>
      </c>
      <c r="AY192" s="683">
        <v>-41080</v>
      </c>
      <c r="AZ192" s="713">
        <v>-365720</v>
      </c>
      <c r="BA192" s="714">
        <v>-771938</v>
      </c>
      <c r="BB192" s="715">
        <v>15721150</v>
      </c>
      <c r="BC192" s="715">
        <v>0</v>
      </c>
      <c r="BD192" s="716">
        <v>-771936.21000000276</v>
      </c>
      <c r="BE192" s="420"/>
      <c r="BF192" s="717" t="s">
        <v>259</v>
      </c>
      <c r="BG192" s="118" t="b">
        <v>1</v>
      </c>
      <c r="BH192" s="494"/>
      <c r="BI192" s="420"/>
      <c r="BJ192" s="420"/>
      <c r="BK192" s="420"/>
      <c r="BL192" s="420"/>
      <c r="BM192" s="420"/>
      <c r="BN192" s="420"/>
      <c r="BO192" s="420"/>
      <c r="BP192" s="420"/>
      <c r="BQ192" s="420"/>
      <c r="BR192" s="420"/>
      <c r="BS192" s="420"/>
      <c r="BT192" s="420"/>
      <c r="BU192" s="420"/>
      <c r="BV192" s="420"/>
      <c r="BW192" s="420"/>
      <c r="BX192" s="420"/>
      <c r="BY192" s="420"/>
      <c r="BZ192" s="420"/>
      <c r="CA192" s="420"/>
      <c r="CB192" s="420"/>
      <c r="CC192" s="420"/>
      <c r="CD192" s="420"/>
      <c r="CE192" s="420"/>
      <c r="CF192" s="420"/>
      <c r="CG192" s="420"/>
      <c r="CH192" s="420"/>
      <c r="CI192" s="420"/>
      <c r="CJ192" s="420"/>
      <c r="CK192" s="420"/>
      <c r="CL192" s="420"/>
      <c r="CM192" s="420"/>
      <c r="CN192" s="420"/>
      <c r="CO192" s="420"/>
      <c r="CP192" s="420"/>
      <c r="CQ192" s="420"/>
      <c r="CR192" s="420"/>
    </row>
    <row r="193" spans="1:97" s="118" customFormat="1" ht="12.75" x14ac:dyDescent="0.2">
      <c r="A193" s="705">
        <v>187</v>
      </c>
      <c r="B193" s="718" t="s">
        <v>260</v>
      </c>
      <c r="C193" s="719" t="s">
        <v>261</v>
      </c>
      <c r="D193" s="708">
        <v>277624</v>
      </c>
      <c r="E193" s="708">
        <v>248736000</v>
      </c>
      <c r="F193" s="133">
        <v>121804540</v>
      </c>
      <c r="G193" s="133">
        <v>-5909470</v>
      </c>
      <c r="H193" s="133">
        <v>2501209</v>
      </c>
      <c r="I193" s="133">
        <v>-3408261</v>
      </c>
      <c r="J193" s="133">
        <v>-7690435</v>
      </c>
      <c r="K193" s="133">
        <v>-17025</v>
      </c>
      <c r="L193" s="133">
        <v>0</v>
      </c>
      <c r="M193" s="133">
        <v>-150000</v>
      </c>
      <c r="N193" s="133">
        <v>-1275231</v>
      </c>
      <c r="O193" s="133">
        <v>-245230</v>
      </c>
      <c r="P193" s="133">
        <v>-197893</v>
      </c>
      <c r="Q193" s="133">
        <v>-3248</v>
      </c>
      <c r="R193" s="133">
        <v>0</v>
      </c>
      <c r="S193" s="133">
        <v>0</v>
      </c>
      <c r="T193" s="133">
        <v>-623308</v>
      </c>
      <c r="U193" s="133">
        <v>-623308</v>
      </c>
      <c r="V193" s="133">
        <v>0</v>
      </c>
      <c r="W193" s="709"/>
      <c r="X193" s="709"/>
      <c r="Y193" s="709"/>
      <c r="Z193" s="133">
        <v>0</v>
      </c>
      <c r="AA193" s="133">
        <v>0</v>
      </c>
      <c r="AB193" s="133">
        <v>105549571</v>
      </c>
      <c r="AC193" s="133">
        <v>-3849708</v>
      </c>
      <c r="AD193" s="709"/>
      <c r="AE193" s="710">
        <v>318</v>
      </c>
      <c r="AF193" s="711">
        <v>2</v>
      </c>
      <c r="AG193" s="710">
        <v>0</v>
      </c>
      <c r="AH193" s="710">
        <v>0</v>
      </c>
      <c r="AI193" s="710">
        <v>539</v>
      </c>
      <c r="AJ193" s="710">
        <v>144</v>
      </c>
      <c r="AK193" s="710">
        <v>34</v>
      </c>
      <c r="AL193" s="710">
        <v>3</v>
      </c>
      <c r="AM193" s="710">
        <v>0</v>
      </c>
      <c r="AN193" s="710">
        <v>0</v>
      </c>
      <c r="AO193" s="710">
        <v>50</v>
      </c>
      <c r="AP193" s="711">
        <v>0</v>
      </c>
      <c r="AQ193" s="709"/>
      <c r="AR193" s="709"/>
      <c r="AS193" s="720">
        <v>1526</v>
      </c>
      <c r="AT193" s="710">
        <v>2221</v>
      </c>
      <c r="AU193" s="710">
        <v>2097</v>
      </c>
      <c r="AV193" s="710">
        <v>124</v>
      </c>
      <c r="AW193" s="710">
        <v>2817</v>
      </c>
      <c r="AX193" s="712">
        <v>6507</v>
      </c>
      <c r="AY193" s="683">
        <v>-1495862</v>
      </c>
      <c r="AZ193" s="713">
        <v>284528</v>
      </c>
      <c r="BA193" s="714">
        <v>1642102</v>
      </c>
      <c r="BB193" s="715">
        <v>28000150</v>
      </c>
      <c r="BC193" s="715">
        <v>1621500</v>
      </c>
      <c r="BD193" s="716">
        <v>1641659</v>
      </c>
      <c r="BE193" s="420"/>
      <c r="BF193" s="717" t="s">
        <v>261</v>
      </c>
      <c r="BG193" s="118" t="b">
        <v>1</v>
      </c>
      <c r="BH193" s="494"/>
      <c r="BI193" s="420"/>
      <c r="BJ193" s="420"/>
      <c r="BK193" s="420"/>
      <c r="BL193" s="420"/>
      <c r="BM193" s="420"/>
      <c r="BN193" s="420"/>
      <c r="BO193" s="420"/>
      <c r="BP193" s="420"/>
      <c r="BQ193" s="420"/>
      <c r="BR193" s="420"/>
      <c r="BS193" s="420"/>
      <c r="BT193" s="420"/>
      <c r="BU193" s="420"/>
      <c r="BV193" s="420"/>
      <c r="BW193" s="420"/>
      <c r="BX193" s="420"/>
      <c r="BY193" s="420"/>
      <c r="BZ193" s="420"/>
      <c r="CA193" s="420"/>
      <c r="CB193" s="420"/>
      <c r="CC193" s="420"/>
      <c r="CD193" s="420"/>
      <c r="CE193" s="420"/>
      <c r="CF193" s="420"/>
      <c r="CG193" s="420"/>
      <c r="CH193" s="420"/>
      <c r="CI193" s="420"/>
      <c r="CJ193" s="420"/>
      <c r="CK193" s="420"/>
      <c r="CL193" s="420"/>
      <c r="CM193" s="420"/>
      <c r="CN193" s="420"/>
      <c r="CO193" s="420"/>
      <c r="CP193" s="420"/>
      <c r="CQ193" s="420"/>
      <c r="CR193" s="420"/>
    </row>
    <row r="194" spans="1:97" s="118" customFormat="1" ht="12.75" x14ac:dyDescent="0.2">
      <c r="A194" s="705">
        <v>188</v>
      </c>
      <c r="B194" s="718" t="s">
        <v>262</v>
      </c>
      <c r="C194" s="719" t="s">
        <v>263</v>
      </c>
      <c r="D194" s="708">
        <v>478902</v>
      </c>
      <c r="E194" s="708">
        <v>229158000</v>
      </c>
      <c r="F194" s="133">
        <v>112060675</v>
      </c>
      <c r="G194" s="133">
        <v>-13129422</v>
      </c>
      <c r="H194" s="133">
        <v>1789126</v>
      </c>
      <c r="I194" s="133">
        <v>-11340296</v>
      </c>
      <c r="J194" s="133">
        <v>-7078915</v>
      </c>
      <c r="K194" s="133">
        <v>-160290</v>
      </c>
      <c r="L194" s="133">
        <v>-83806</v>
      </c>
      <c r="M194" s="133">
        <v>-100000</v>
      </c>
      <c r="N194" s="133">
        <v>-2725907</v>
      </c>
      <c r="O194" s="133">
        <v>-650337</v>
      </c>
      <c r="P194" s="133">
        <v>-420523</v>
      </c>
      <c r="Q194" s="133">
        <v>-23254</v>
      </c>
      <c r="R194" s="133">
        <v>0</v>
      </c>
      <c r="S194" s="133">
        <v>-31843</v>
      </c>
      <c r="T194" s="133">
        <v>-246195</v>
      </c>
      <c r="U194" s="133">
        <v>-96195</v>
      </c>
      <c r="V194" s="133">
        <v>0</v>
      </c>
      <c r="W194" s="709"/>
      <c r="X194" s="709"/>
      <c r="Y194" s="709"/>
      <c r="Z194" s="133">
        <v>-83806</v>
      </c>
      <c r="AA194" s="133">
        <v>-1500</v>
      </c>
      <c r="AB194" s="133">
        <v>84503417</v>
      </c>
      <c r="AC194" s="133">
        <v>-5218066</v>
      </c>
      <c r="AD194" s="709"/>
      <c r="AE194" s="710">
        <v>743</v>
      </c>
      <c r="AF194" s="711">
        <v>54</v>
      </c>
      <c r="AG194" s="710">
        <v>74</v>
      </c>
      <c r="AH194" s="710">
        <v>0</v>
      </c>
      <c r="AI194" s="710">
        <v>1106</v>
      </c>
      <c r="AJ194" s="710">
        <v>446</v>
      </c>
      <c r="AK194" s="710">
        <v>78</v>
      </c>
      <c r="AL194" s="710">
        <v>34</v>
      </c>
      <c r="AM194" s="710">
        <v>0</v>
      </c>
      <c r="AN194" s="710">
        <v>11</v>
      </c>
      <c r="AO194" s="710">
        <v>33</v>
      </c>
      <c r="AP194" s="711">
        <v>0</v>
      </c>
      <c r="AQ194" s="709"/>
      <c r="AR194" s="709"/>
      <c r="AS194" s="720">
        <v>2649</v>
      </c>
      <c r="AT194" s="710">
        <v>5814</v>
      </c>
      <c r="AU194" s="710">
        <v>5604</v>
      </c>
      <c r="AV194" s="710">
        <v>210</v>
      </c>
      <c r="AW194" s="710">
        <v>4674</v>
      </c>
      <c r="AX194" s="712">
        <v>13310</v>
      </c>
      <c r="AY194" s="683">
        <v>-95251</v>
      </c>
      <c r="AZ194" s="713">
        <v>-2692727</v>
      </c>
      <c r="BA194" s="714">
        <v>-4281304</v>
      </c>
      <c r="BB194" s="715">
        <v>36146950</v>
      </c>
      <c r="BC194" s="715">
        <v>84500</v>
      </c>
      <c r="BD194" s="716">
        <v>-4281302.299999997</v>
      </c>
      <c r="BE194" s="420"/>
      <c r="BF194" s="717" t="s">
        <v>263</v>
      </c>
      <c r="BG194" s="118" t="b">
        <v>1</v>
      </c>
      <c r="BH194" s="494"/>
      <c r="BI194" s="420"/>
      <c r="BJ194" s="420"/>
      <c r="BK194" s="420"/>
      <c r="BL194" s="420"/>
      <c r="BM194" s="420"/>
      <c r="BN194" s="420"/>
      <c r="BO194" s="420"/>
      <c r="BP194" s="420"/>
      <c r="BQ194" s="420"/>
      <c r="BR194" s="420"/>
      <c r="BS194" s="420"/>
      <c r="BT194" s="420"/>
      <c r="BU194" s="420"/>
      <c r="BV194" s="420"/>
      <c r="BW194" s="420"/>
      <c r="BX194" s="420"/>
      <c r="BY194" s="420"/>
      <c r="BZ194" s="420"/>
      <c r="CA194" s="420"/>
      <c r="CB194" s="420"/>
      <c r="CC194" s="420"/>
      <c r="CD194" s="420"/>
      <c r="CE194" s="420"/>
      <c r="CF194" s="420"/>
      <c r="CG194" s="420"/>
      <c r="CH194" s="420"/>
      <c r="CI194" s="420"/>
      <c r="CJ194" s="420"/>
      <c r="CK194" s="420"/>
      <c r="CL194" s="420"/>
      <c r="CM194" s="420"/>
      <c r="CN194" s="420"/>
      <c r="CO194" s="420"/>
      <c r="CP194" s="420"/>
      <c r="CQ194" s="420"/>
      <c r="CR194" s="420"/>
    </row>
    <row r="195" spans="1:97" s="118" customFormat="1" ht="12.75" x14ac:dyDescent="0.2">
      <c r="A195" s="705">
        <v>189</v>
      </c>
      <c r="B195" s="718" t="s">
        <v>264</v>
      </c>
      <c r="C195" s="719" t="s">
        <v>265</v>
      </c>
      <c r="D195" s="708">
        <v>271166</v>
      </c>
      <c r="E195" s="708">
        <v>199605000</v>
      </c>
      <c r="F195" s="133">
        <v>96373181</v>
      </c>
      <c r="G195" s="133">
        <v>-6383144</v>
      </c>
      <c r="H195" s="133">
        <v>1917219</v>
      </c>
      <c r="I195" s="133">
        <v>-4465925</v>
      </c>
      <c r="J195" s="133">
        <v>-7639866</v>
      </c>
      <c r="K195" s="133">
        <v>-25296</v>
      </c>
      <c r="L195" s="133">
        <v>0</v>
      </c>
      <c r="M195" s="133">
        <v>-75000</v>
      </c>
      <c r="N195" s="133">
        <v>-5031723</v>
      </c>
      <c r="O195" s="133">
        <v>-122750</v>
      </c>
      <c r="P195" s="133">
        <v>-102292</v>
      </c>
      <c r="Q195" s="133">
        <v>0</v>
      </c>
      <c r="R195" s="133">
        <v>0</v>
      </c>
      <c r="S195" s="133">
        <v>0</v>
      </c>
      <c r="T195" s="133">
        <v>0</v>
      </c>
      <c r="U195" s="133">
        <v>0</v>
      </c>
      <c r="V195" s="133">
        <v>0</v>
      </c>
      <c r="W195" s="709"/>
      <c r="X195" s="709"/>
      <c r="Y195" s="709"/>
      <c r="Z195" s="133">
        <v>0</v>
      </c>
      <c r="AA195" s="133">
        <v>0</v>
      </c>
      <c r="AB195" s="133">
        <v>77340628</v>
      </c>
      <c r="AC195" s="133">
        <v>-1154548</v>
      </c>
      <c r="AD195" s="709"/>
      <c r="AE195" s="710">
        <v>342</v>
      </c>
      <c r="AF195" s="711">
        <v>3</v>
      </c>
      <c r="AG195" s="710">
        <v>0</v>
      </c>
      <c r="AH195" s="710">
        <v>1</v>
      </c>
      <c r="AI195" s="710">
        <v>988</v>
      </c>
      <c r="AJ195" s="710">
        <v>89</v>
      </c>
      <c r="AK195" s="710">
        <v>12</v>
      </c>
      <c r="AL195" s="710">
        <v>0</v>
      </c>
      <c r="AM195" s="710">
        <v>0</v>
      </c>
      <c r="AN195" s="710">
        <v>0</v>
      </c>
      <c r="AO195" s="710">
        <v>0</v>
      </c>
      <c r="AP195" s="711">
        <v>0</v>
      </c>
      <c r="AQ195" s="709"/>
      <c r="AR195" s="709"/>
      <c r="AS195" s="720">
        <v>2387</v>
      </c>
      <c r="AT195" s="710">
        <v>2187</v>
      </c>
      <c r="AU195" s="710">
        <v>2017</v>
      </c>
      <c r="AV195" s="710">
        <v>170</v>
      </c>
      <c r="AW195" s="710">
        <v>2229</v>
      </c>
      <c r="AX195" s="712">
        <v>6881</v>
      </c>
      <c r="AY195" s="683">
        <v>-25203</v>
      </c>
      <c r="AZ195" s="713">
        <v>620158</v>
      </c>
      <c r="BA195" s="714">
        <v>1917295</v>
      </c>
      <c r="BB195" s="715">
        <v>28332225</v>
      </c>
      <c r="BC195" s="715">
        <v>0</v>
      </c>
      <c r="BD195" s="716">
        <v>1917295</v>
      </c>
      <c r="BE195" s="420"/>
      <c r="BF195" s="717" t="s">
        <v>265</v>
      </c>
      <c r="BG195" s="118" t="b">
        <v>1</v>
      </c>
      <c r="BH195" s="494"/>
      <c r="BI195" s="420"/>
      <c r="BJ195" s="420"/>
      <c r="BK195" s="420"/>
      <c r="BL195" s="420"/>
      <c r="BM195" s="420"/>
      <c r="BN195" s="420"/>
      <c r="BO195" s="420"/>
      <c r="BP195" s="420"/>
      <c r="BQ195" s="420"/>
      <c r="BR195" s="420"/>
      <c r="BS195" s="420"/>
      <c r="BT195" s="420"/>
      <c r="BU195" s="420"/>
      <c r="BV195" s="420"/>
      <c r="BW195" s="420"/>
      <c r="BX195" s="420"/>
      <c r="BY195" s="420"/>
      <c r="BZ195" s="420"/>
      <c r="CA195" s="420"/>
      <c r="CB195" s="420"/>
      <c r="CC195" s="420"/>
      <c r="CD195" s="420"/>
      <c r="CE195" s="420"/>
      <c r="CF195" s="420"/>
      <c r="CG195" s="420"/>
      <c r="CH195" s="420"/>
      <c r="CI195" s="420"/>
      <c r="CJ195" s="420"/>
      <c r="CK195" s="420"/>
      <c r="CL195" s="420"/>
      <c r="CM195" s="420"/>
      <c r="CN195" s="420"/>
      <c r="CO195" s="420"/>
      <c r="CP195" s="420"/>
      <c r="CQ195" s="420"/>
      <c r="CR195" s="420"/>
    </row>
    <row r="196" spans="1:97" s="118" customFormat="1" ht="12.75" x14ac:dyDescent="0.2">
      <c r="A196" s="705">
        <v>190</v>
      </c>
      <c r="B196" s="718" t="s">
        <v>601</v>
      </c>
      <c r="C196" s="719" t="s">
        <v>267</v>
      </c>
      <c r="D196" s="708">
        <v>481943</v>
      </c>
      <c r="E196" s="708">
        <v>363460000</v>
      </c>
      <c r="F196" s="133">
        <v>178945274</v>
      </c>
      <c r="G196" s="133">
        <v>-9265616</v>
      </c>
      <c r="H196" s="133">
        <v>3712033</v>
      </c>
      <c r="I196" s="133">
        <v>-5553583</v>
      </c>
      <c r="J196" s="133">
        <v>-17001273</v>
      </c>
      <c r="K196" s="133">
        <v>-68700</v>
      </c>
      <c r="L196" s="133">
        <v>0</v>
      </c>
      <c r="M196" s="133">
        <v>-400000</v>
      </c>
      <c r="N196" s="133">
        <v>-7259847</v>
      </c>
      <c r="O196" s="133">
        <v>-183917</v>
      </c>
      <c r="P196" s="133">
        <v>-354955</v>
      </c>
      <c r="Q196" s="133">
        <v>-863</v>
      </c>
      <c r="R196" s="133">
        <v>0</v>
      </c>
      <c r="S196" s="133">
        <v>0</v>
      </c>
      <c r="T196" s="133">
        <v>0</v>
      </c>
      <c r="U196" s="133">
        <v>0</v>
      </c>
      <c r="V196" s="133">
        <v>0</v>
      </c>
      <c r="W196" s="709"/>
      <c r="X196" s="709"/>
      <c r="Y196" s="709"/>
      <c r="Z196" s="133">
        <v>0</v>
      </c>
      <c r="AA196" s="133">
        <v>-1500</v>
      </c>
      <c r="AB196" s="133">
        <v>142450253</v>
      </c>
      <c r="AC196" s="133">
        <v>-6353000</v>
      </c>
      <c r="AD196" s="709"/>
      <c r="AE196" s="710">
        <v>653</v>
      </c>
      <c r="AF196" s="711">
        <v>10</v>
      </c>
      <c r="AG196" s="710">
        <v>0</v>
      </c>
      <c r="AH196" s="710">
        <v>10</v>
      </c>
      <c r="AI196" s="710">
        <v>2714</v>
      </c>
      <c r="AJ196" s="710">
        <v>164</v>
      </c>
      <c r="AK196" s="710">
        <v>90</v>
      </c>
      <c r="AL196" s="710">
        <v>1</v>
      </c>
      <c r="AM196" s="710">
        <v>0</v>
      </c>
      <c r="AN196" s="710">
        <v>0</v>
      </c>
      <c r="AO196" s="710">
        <v>1</v>
      </c>
      <c r="AP196" s="711">
        <v>0</v>
      </c>
      <c r="AQ196" s="709"/>
      <c r="AR196" s="709"/>
      <c r="AS196" s="720">
        <v>3973</v>
      </c>
      <c r="AT196" s="710">
        <v>3834</v>
      </c>
      <c r="AU196" s="710">
        <v>3647</v>
      </c>
      <c r="AV196" s="710">
        <v>187</v>
      </c>
      <c r="AW196" s="710">
        <v>4163</v>
      </c>
      <c r="AX196" s="712">
        <v>11957</v>
      </c>
      <c r="AY196" s="683">
        <v>-80103</v>
      </c>
      <c r="AZ196" s="713">
        <v>3923608</v>
      </c>
      <c r="BA196" s="714">
        <v>5900353</v>
      </c>
      <c r="BB196" s="715">
        <v>37715900</v>
      </c>
      <c r="BC196" s="715">
        <v>3135750</v>
      </c>
      <c r="BD196" s="716">
        <v>5900353</v>
      </c>
      <c r="BE196" s="420"/>
      <c r="BF196" s="717" t="s">
        <v>267</v>
      </c>
      <c r="BG196" s="118" t="b">
        <v>1</v>
      </c>
      <c r="BH196" s="494"/>
      <c r="BI196" s="420"/>
      <c r="BJ196" s="420"/>
      <c r="BK196" s="420"/>
      <c r="BL196" s="420"/>
      <c r="BM196" s="420"/>
      <c r="BN196" s="420"/>
      <c r="BO196" s="420"/>
      <c r="BP196" s="420"/>
      <c r="BQ196" s="420"/>
      <c r="BR196" s="420"/>
      <c r="BS196" s="420"/>
      <c r="BT196" s="420"/>
      <c r="BU196" s="420"/>
      <c r="BV196" s="420"/>
      <c r="BW196" s="420"/>
      <c r="BX196" s="420"/>
      <c r="BY196" s="420"/>
      <c r="BZ196" s="420"/>
      <c r="CA196" s="420"/>
      <c r="CB196" s="420"/>
      <c r="CC196" s="420"/>
      <c r="CD196" s="420"/>
      <c r="CE196" s="420"/>
      <c r="CF196" s="420"/>
      <c r="CG196" s="420"/>
      <c r="CH196" s="420"/>
      <c r="CI196" s="420"/>
      <c r="CJ196" s="420"/>
      <c r="CK196" s="420"/>
      <c r="CL196" s="420"/>
      <c r="CM196" s="420"/>
      <c r="CN196" s="420"/>
      <c r="CO196" s="420"/>
      <c r="CP196" s="420"/>
      <c r="CQ196" s="420"/>
      <c r="CR196" s="420"/>
    </row>
    <row r="197" spans="1:97" s="118" customFormat="1" ht="12.75" x14ac:dyDescent="0.2">
      <c r="A197" s="705">
        <v>191</v>
      </c>
      <c r="B197" s="718" t="s">
        <v>268</v>
      </c>
      <c r="C197" s="719" t="s">
        <v>269</v>
      </c>
      <c r="D197" s="708">
        <v>129348</v>
      </c>
      <c r="E197" s="708">
        <v>88264000</v>
      </c>
      <c r="F197" s="133">
        <v>43063191</v>
      </c>
      <c r="G197" s="133">
        <v>-3668713</v>
      </c>
      <c r="H197" s="133">
        <v>766231</v>
      </c>
      <c r="I197" s="133">
        <v>-2902482</v>
      </c>
      <c r="J197" s="133">
        <v>-2178560</v>
      </c>
      <c r="K197" s="133">
        <v>-14818</v>
      </c>
      <c r="L197" s="133">
        <v>0</v>
      </c>
      <c r="M197" s="133">
        <v>0</v>
      </c>
      <c r="N197" s="133">
        <v>-1100000</v>
      </c>
      <c r="O197" s="133">
        <v>-9440</v>
      </c>
      <c r="P197" s="133">
        <v>-11170</v>
      </c>
      <c r="Q197" s="133">
        <v>0</v>
      </c>
      <c r="R197" s="133">
        <v>0</v>
      </c>
      <c r="S197" s="133">
        <v>0</v>
      </c>
      <c r="T197" s="133">
        <v>0</v>
      </c>
      <c r="U197" s="133">
        <v>0</v>
      </c>
      <c r="V197" s="133">
        <v>0</v>
      </c>
      <c r="W197" s="709"/>
      <c r="X197" s="709"/>
      <c r="Y197" s="709"/>
      <c r="Z197" s="133">
        <v>0</v>
      </c>
      <c r="AA197" s="133">
        <v>0</v>
      </c>
      <c r="AB197" s="133">
        <v>35878132</v>
      </c>
      <c r="AC197" s="133">
        <v>-1000000</v>
      </c>
      <c r="AD197" s="709"/>
      <c r="AE197" s="710">
        <v>129</v>
      </c>
      <c r="AF197" s="711">
        <v>2</v>
      </c>
      <c r="AG197" s="710">
        <v>0</v>
      </c>
      <c r="AH197" s="710">
        <v>0</v>
      </c>
      <c r="AI197" s="710">
        <v>147</v>
      </c>
      <c r="AJ197" s="710">
        <v>10</v>
      </c>
      <c r="AK197" s="710">
        <v>2</v>
      </c>
      <c r="AL197" s="710">
        <v>0</v>
      </c>
      <c r="AM197" s="710">
        <v>0</v>
      </c>
      <c r="AN197" s="710">
        <v>0</v>
      </c>
      <c r="AO197" s="710">
        <v>0</v>
      </c>
      <c r="AP197" s="711">
        <v>0</v>
      </c>
      <c r="AQ197" s="709"/>
      <c r="AR197" s="709"/>
      <c r="AS197" s="720">
        <v>654</v>
      </c>
      <c r="AT197" s="710">
        <v>1318</v>
      </c>
      <c r="AU197" s="710">
        <v>1222</v>
      </c>
      <c r="AV197" s="710">
        <v>96</v>
      </c>
      <c r="AW197" s="710">
        <v>1276</v>
      </c>
      <c r="AX197" s="712">
        <v>3255</v>
      </c>
      <c r="AY197" s="683">
        <v>-12292</v>
      </c>
      <c r="AZ197" s="713">
        <v>440839</v>
      </c>
      <c r="BA197" s="714">
        <v>1323845</v>
      </c>
      <c r="BB197" s="715">
        <v>15801576</v>
      </c>
      <c r="BC197" s="715">
        <v>0</v>
      </c>
      <c r="BD197" s="716">
        <v>1415426</v>
      </c>
      <c r="BE197" s="420"/>
      <c r="BF197" s="717" t="s">
        <v>269</v>
      </c>
      <c r="BG197" s="118" t="b">
        <v>1</v>
      </c>
      <c r="BH197" s="494"/>
      <c r="BI197" s="420"/>
      <c r="BJ197" s="420"/>
      <c r="BK197" s="420"/>
      <c r="BL197" s="420"/>
      <c r="BM197" s="420"/>
      <c r="BN197" s="420"/>
      <c r="BO197" s="420"/>
      <c r="BP197" s="420"/>
      <c r="BQ197" s="420"/>
      <c r="BR197" s="420"/>
      <c r="BS197" s="420"/>
      <c r="BT197" s="420"/>
      <c r="BU197" s="420"/>
      <c r="BV197" s="420"/>
      <c r="BW197" s="420"/>
      <c r="BX197" s="420"/>
      <c r="BY197" s="420"/>
      <c r="BZ197" s="420"/>
      <c r="CA197" s="420"/>
      <c r="CB197" s="420"/>
      <c r="CC197" s="420"/>
      <c r="CD197" s="420"/>
      <c r="CE197" s="420"/>
      <c r="CF197" s="420"/>
      <c r="CG197" s="420"/>
      <c r="CH197" s="420"/>
      <c r="CI197" s="420"/>
      <c r="CJ197" s="420"/>
      <c r="CK197" s="420"/>
      <c r="CL197" s="420"/>
      <c r="CM197" s="420"/>
      <c r="CN197" s="420"/>
      <c r="CO197" s="420"/>
      <c r="CP197" s="420"/>
      <c r="CQ197" s="420"/>
      <c r="CR197" s="420"/>
    </row>
    <row r="198" spans="1:97" s="118" customFormat="1" ht="12.75" x14ac:dyDescent="0.2">
      <c r="A198" s="705">
        <v>192</v>
      </c>
      <c r="B198" s="718" t="s">
        <v>270</v>
      </c>
      <c r="C198" s="719" t="s">
        <v>271</v>
      </c>
      <c r="D198" s="708">
        <v>55388</v>
      </c>
      <c r="E198" s="708">
        <v>34951000</v>
      </c>
      <c r="F198" s="133">
        <v>17041119</v>
      </c>
      <c r="G198" s="133">
        <v>-1858181</v>
      </c>
      <c r="H198" s="133">
        <v>277017</v>
      </c>
      <c r="I198" s="133">
        <v>-1581164</v>
      </c>
      <c r="J198" s="133">
        <v>-1910889</v>
      </c>
      <c r="K198" s="133">
        <v>0</v>
      </c>
      <c r="L198" s="133">
        <v>0</v>
      </c>
      <c r="M198" s="133">
        <v>0</v>
      </c>
      <c r="N198" s="133">
        <v>-208434</v>
      </c>
      <c r="O198" s="133">
        <v>-82099</v>
      </c>
      <c r="P198" s="133">
        <v>-13812</v>
      </c>
      <c r="Q198" s="133">
        <v>0</v>
      </c>
      <c r="R198" s="133">
        <v>0</v>
      </c>
      <c r="S198" s="133">
        <v>0</v>
      </c>
      <c r="T198" s="133">
        <v>0</v>
      </c>
      <c r="U198" s="133">
        <v>0</v>
      </c>
      <c r="V198" s="133">
        <v>0</v>
      </c>
      <c r="W198" s="709"/>
      <c r="X198" s="709"/>
      <c r="Y198" s="709"/>
      <c r="Z198" s="133">
        <v>0</v>
      </c>
      <c r="AA198" s="133">
        <v>0</v>
      </c>
      <c r="AB198" s="133">
        <v>12702503</v>
      </c>
      <c r="AC198" s="133">
        <v>-508100</v>
      </c>
      <c r="AD198" s="709"/>
      <c r="AE198" s="710">
        <v>72</v>
      </c>
      <c r="AF198" s="711">
        <v>0</v>
      </c>
      <c r="AG198" s="710">
        <v>0</v>
      </c>
      <c r="AH198" s="710">
        <v>0</v>
      </c>
      <c r="AI198" s="710">
        <v>47</v>
      </c>
      <c r="AJ198" s="710">
        <v>32</v>
      </c>
      <c r="AK198" s="710">
        <v>4</v>
      </c>
      <c r="AL198" s="710">
        <v>0</v>
      </c>
      <c r="AM198" s="710">
        <v>0</v>
      </c>
      <c r="AN198" s="710">
        <v>0</v>
      </c>
      <c r="AO198" s="710">
        <v>0</v>
      </c>
      <c r="AP198" s="711">
        <v>0</v>
      </c>
      <c r="AQ198" s="709"/>
      <c r="AR198" s="709"/>
      <c r="AS198" s="720">
        <v>265</v>
      </c>
      <c r="AT198" s="710">
        <v>650</v>
      </c>
      <c r="AU198" s="710">
        <v>618</v>
      </c>
      <c r="AV198" s="710">
        <v>32</v>
      </c>
      <c r="AW198" s="710">
        <v>534</v>
      </c>
      <c r="AX198" s="712">
        <v>1463</v>
      </c>
      <c r="AY198" s="683">
        <v>-2500</v>
      </c>
      <c r="AZ198" s="713">
        <v>-249779</v>
      </c>
      <c r="BA198" s="714">
        <v>-546677</v>
      </c>
      <c r="BB198" s="715">
        <v>5543950</v>
      </c>
      <c r="BC198" s="715">
        <v>0</v>
      </c>
      <c r="BD198" s="716">
        <v>-546676</v>
      </c>
      <c r="BE198" s="420"/>
      <c r="BF198" s="717" t="s">
        <v>271</v>
      </c>
      <c r="BG198" s="118" t="b">
        <v>1</v>
      </c>
      <c r="BH198" s="494"/>
      <c r="BI198" s="420"/>
      <c r="BJ198" s="420"/>
      <c r="BK198" s="420"/>
      <c r="BL198" s="420"/>
      <c r="BM198" s="420"/>
      <c r="BN198" s="420"/>
      <c r="BO198" s="420"/>
      <c r="BP198" s="420"/>
      <c r="BQ198" s="420"/>
      <c r="BR198" s="420"/>
      <c r="BS198" s="420"/>
      <c r="BT198" s="420"/>
      <c r="BU198" s="420"/>
      <c r="BV198" s="420"/>
      <c r="BW198" s="420"/>
      <c r="BX198" s="420"/>
      <c r="BY198" s="420"/>
      <c r="BZ198" s="420"/>
      <c r="CA198" s="420"/>
      <c r="CB198" s="420"/>
      <c r="CC198" s="420"/>
      <c r="CD198" s="420"/>
      <c r="CE198" s="420"/>
      <c r="CF198" s="420"/>
      <c r="CG198" s="420"/>
      <c r="CH198" s="420"/>
      <c r="CI198" s="420"/>
      <c r="CJ198" s="420"/>
      <c r="CK198" s="420"/>
      <c r="CL198" s="420"/>
      <c r="CM198" s="420"/>
      <c r="CN198" s="420"/>
      <c r="CO198" s="420"/>
      <c r="CP198" s="420"/>
      <c r="CQ198" s="420"/>
      <c r="CR198" s="420"/>
    </row>
    <row r="199" spans="1:97" s="118" customFormat="1" ht="12.75" x14ac:dyDescent="0.2">
      <c r="A199" s="705">
        <v>193</v>
      </c>
      <c r="B199" s="718" t="s">
        <v>272</v>
      </c>
      <c r="C199" s="719" t="s">
        <v>273</v>
      </c>
      <c r="D199" s="708">
        <v>295441</v>
      </c>
      <c r="E199" s="708">
        <v>157604000</v>
      </c>
      <c r="F199" s="133">
        <v>77430356</v>
      </c>
      <c r="G199" s="133">
        <v>-9895372</v>
      </c>
      <c r="H199" s="133">
        <v>1343087</v>
      </c>
      <c r="I199" s="133">
        <v>-8552285</v>
      </c>
      <c r="J199" s="133">
        <v>-6400298</v>
      </c>
      <c r="K199" s="133">
        <v>-92867</v>
      </c>
      <c r="L199" s="133">
        <v>-4410</v>
      </c>
      <c r="M199" s="133">
        <v>0</v>
      </c>
      <c r="N199" s="133">
        <v>-2052569</v>
      </c>
      <c r="O199" s="133">
        <v>-272243</v>
      </c>
      <c r="P199" s="133">
        <v>-166868</v>
      </c>
      <c r="Q199" s="133">
        <v>-1237</v>
      </c>
      <c r="R199" s="133">
        <v>-907</v>
      </c>
      <c r="S199" s="133">
        <v>0</v>
      </c>
      <c r="T199" s="133">
        <v>0</v>
      </c>
      <c r="U199" s="133">
        <v>0</v>
      </c>
      <c r="V199" s="133">
        <v>0</v>
      </c>
      <c r="W199" s="709"/>
      <c r="X199" s="709"/>
      <c r="Y199" s="709"/>
      <c r="Z199" s="133">
        <v>0</v>
      </c>
      <c r="AA199" s="133">
        <v>0</v>
      </c>
      <c r="AB199" s="133">
        <v>59156404</v>
      </c>
      <c r="AC199" s="133">
        <v>-2236112</v>
      </c>
      <c r="AD199" s="709"/>
      <c r="AE199" s="710">
        <v>324</v>
      </c>
      <c r="AF199" s="711">
        <v>19</v>
      </c>
      <c r="AG199" s="710">
        <v>3</v>
      </c>
      <c r="AH199" s="710">
        <v>0</v>
      </c>
      <c r="AI199" s="710">
        <v>647</v>
      </c>
      <c r="AJ199" s="710">
        <v>70</v>
      </c>
      <c r="AK199" s="710">
        <v>19</v>
      </c>
      <c r="AL199" s="710">
        <v>4</v>
      </c>
      <c r="AM199" s="710">
        <v>6</v>
      </c>
      <c r="AN199" s="710">
        <v>0</v>
      </c>
      <c r="AO199" s="710">
        <v>0</v>
      </c>
      <c r="AP199" s="711">
        <v>0</v>
      </c>
      <c r="AQ199" s="709"/>
      <c r="AR199" s="709"/>
      <c r="AS199" s="720">
        <v>1756</v>
      </c>
      <c r="AT199" s="710">
        <v>3822</v>
      </c>
      <c r="AU199" s="710">
        <v>3679</v>
      </c>
      <c r="AV199" s="710">
        <v>143</v>
      </c>
      <c r="AW199" s="710">
        <v>2309</v>
      </c>
      <c r="AX199" s="712">
        <v>7898</v>
      </c>
      <c r="AY199" s="683">
        <v>-12135</v>
      </c>
      <c r="AZ199" s="713">
        <v>60693</v>
      </c>
      <c r="BA199" s="714">
        <v>1264509</v>
      </c>
      <c r="BB199" s="715">
        <v>22184250</v>
      </c>
      <c r="BC199" s="715">
        <v>0</v>
      </c>
      <c r="BD199" s="716">
        <v>1167263</v>
      </c>
      <c r="BE199" s="420"/>
      <c r="BF199" s="717" t="s">
        <v>273</v>
      </c>
      <c r="BG199" s="118" t="b">
        <v>1</v>
      </c>
      <c r="BH199" s="494"/>
      <c r="BI199" s="420"/>
      <c r="BJ199" s="420"/>
      <c r="BK199" s="420"/>
      <c r="BL199" s="420"/>
      <c r="BM199" s="420"/>
      <c r="BN199" s="420"/>
      <c r="BO199" s="420"/>
      <c r="BP199" s="420"/>
      <c r="BQ199" s="420"/>
      <c r="BR199" s="420"/>
      <c r="BS199" s="420"/>
      <c r="BT199" s="420"/>
      <c r="BU199" s="420"/>
      <c r="BV199" s="420"/>
      <c r="BW199" s="420"/>
      <c r="BX199" s="420"/>
      <c r="BY199" s="420"/>
      <c r="BZ199" s="420"/>
      <c r="CA199" s="420"/>
      <c r="CB199" s="420"/>
      <c r="CC199" s="420"/>
      <c r="CD199" s="420"/>
      <c r="CE199" s="420"/>
      <c r="CF199" s="420"/>
      <c r="CG199" s="420"/>
      <c r="CH199" s="420"/>
      <c r="CI199" s="420"/>
      <c r="CJ199" s="420"/>
      <c r="CK199" s="420"/>
      <c r="CL199" s="420"/>
      <c r="CM199" s="420"/>
      <c r="CN199" s="420"/>
      <c r="CO199" s="420"/>
      <c r="CP199" s="420"/>
      <c r="CQ199" s="420"/>
      <c r="CR199" s="420"/>
    </row>
    <row r="200" spans="1:97" s="118" customFormat="1" ht="12.75" x14ac:dyDescent="0.2">
      <c r="A200" s="705">
        <v>194</v>
      </c>
      <c r="B200" s="718" t="s">
        <v>274</v>
      </c>
      <c r="C200" s="719" t="s">
        <v>275</v>
      </c>
      <c r="D200" s="708">
        <v>234024</v>
      </c>
      <c r="E200" s="708">
        <v>283416000</v>
      </c>
      <c r="F200" s="133">
        <v>141555324</v>
      </c>
      <c r="G200" s="133">
        <v>-2306804</v>
      </c>
      <c r="H200" s="133">
        <v>3127752</v>
      </c>
      <c r="I200" s="133">
        <v>820948</v>
      </c>
      <c r="J200" s="133">
        <v>-27440561</v>
      </c>
      <c r="K200" s="133">
        <v>-35502</v>
      </c>
      <c r="L200" s="133">
        <v>0</v>
      </c>
      <c r="M200" s="133">
        <v>0</v>
      </c>
      <c r="N200" s="133">
        <v>-1560125</v>
      </c>
      <c r="O200" s="133">
        <v>0</v>
      </c>
      <c r="P200" s="133">
        <v>-37549</v>
      </c>
      <c r="Q200" s="133">
        <v>0</v>
      </c>
      <c r="R200" s="133">
        <v>0</v>
      </c>
      <c r="S200" s="133">
        <v>0</v>
      </c>
      <c r="T200" s="133">
        <v>0</v>
      </c>
      <c r="U200" s="133">
        <v>0</v>
      </c>
      <c r="V200" s="133">
        <v>0</v>
      </c>
      <c r="W200" s="709"/>
      <c r="X200" s="709"/>
      <c r="Y200" s="709"/>
      <c r="Z200" s="133">
        <v>0</v>
      </c>
      <c r="AA200" s="133">
        <v>-1500</v>
      </c>
      <c r="AB200" s="133">
        <v>110301614</v>
      </c>
      <c r="AC200" s="133">
        <v>-5184176</v>
      </c>
      <c r="AD200" s="709"/>
      <c r="AE200" s="710">
        <v>544</v>
      </c>
      <c r="AF200" s="711">
        <v>6</v>
      </c>
      <c r="AG200" s="710">
        <v>0</v>
      </c>
      <c r="AH200" s="710">
        <v>0</v>
      </c>
      <c r="AI200" s="710">
        <v>290</v>
      </c>
      <c r="AJ200" s="710">
        <v>0</v>
      </c>
      <c r="AK200" s="710">
        <v>6</v>
      </c>
      <c r="AL200" s="710">
        <v>0</v>
      </c>
      <c r="AM200" s="710">
        <v>0</v>
      </c>
      <c r="AN200" s="710">
        <v>0</v>
      </c>
      <c r="AO200" s="710">
        <v>0</v>
      </c>
      <c r="AP200" s="711">
        <v>0</v>
      </c>
      <c r="AQ200" s="709"/>
      <c r="AR200" s="709"/>
      <c r="AS200" s="720">
        <v>1625</v>
      </c>
      <c r="AT200" s="710">
        <v>740</v>
      </c>
      <c r="AU200" s="710">
        <v>377</v>
      </c>
      <c r="AV200" s="710">
        <v>363</v>
      </c>
      <c r="AW200" s="710">
        <v>2034</v>
      </c>
      <c r="AX200" s="712">
        <v>4513</v>
      </c>
      <c r="AY200" s="683">
        <v>-8189</v>
      </c>
      <c r="AZ200" s="713">
        <v>1569709</v>
      </c>
      <c r="BA200" s="714">
        <v>2434361</v>
      </c>
      <c r="BB200" s="715">
        <v>27639475</v>
      </c>
      <c r="BC200" s="715">
        <v>0</v>
      </c>
      <c r="BD200" s="716">
        <v>2434360</v>
      </c>
      <c r="BE200" s="420"/>
      <c r="BF200" s="717" t="s">
        <v>275</v>
      </c>
      <c r="BG200" s="118" t="b">
        <v>1</v>
      </c>
      <c r="BH200" s="494"/>
      <c r="BI200" s="420"/>
      <c r="BJ200" s="420"/>
      <c r="BK200" s="420"/>
      <c r="BL200" s="420"/>
      <c r="BM200" s="420"/>
      <c r="BN200" s="420"/>
      <c r="BO200" s="420"/>
      <c r="BP200" s="420"/>
      <c r="BQ200" s="420"/>
      <c r="BR200" s="420"/>
      <c r="BS200" s="420"/>
      <c r="BT200" s="420"/>
      <c r="BU200" s="420"/>
      <c r="BV200" s="420"/>
      <c r="BW200" s="420"/>
      <c r="BX200" s="420"/>
      <c r="BY200" s="420"/>
      <c r="BZ200" s="420"/>
      <c r="CA200" s="420"/>
      <c r="CB200" s="420"/>
      <c r="CC200" s="420"/>
      <c r="CD200" s="420"/>
      <c r="CE200" s="420"/>
      <c r="CF200" s="420"/>
      <c r="CG200" s="420"/>
      <c r="CH200" s="420"/>
      <c r="CI200" s="420"/>
      <c r="CJ200" s="420"/>
      <c r="CK200" s="420"/>
      <c r="CL200" s="420"/>
      <c r="CM200" s="420"/>
      <c r="CN200" s="420"/>
      <c r="CO200" s="420"/>
      <c r="CP200" s="420"/>
      <c r="CQ200" s="420"/>
      <c r="CR200" s="420"/>
    </row>
    <row r="201" spans="1:97" s="737" customFormat="1" ht="12.75" x14ac:dyDescent="0.2">
      <c r="A201" s="705">
        <v>195</v>
      </c>
      <c r="B201" s="718" t="s">
        <v>276</v>
      </c>
      <c r="C201" s="719" t="s">
        <v>277</v>
      </c>
      <c r="D201" s="708">
        <v>130837</v>
      </c>
      <c r="E201" s="708">
        <v>52639000</v>
      </c>
      <c r="F201" s="133">
        <v>24949096</v>
      </c>
      <c r="G201" s="133">
        <v>-3813817</v>
      </c>
      <c r="H201" s="133">
        <v>327326</v>
      </c>
      <c r="I201" s="133">
        <v>-3486491</v>
      </c>
      <c r="J201" s="133">
        <v>-1296484</v>
      </c>
      <c r="K201" s="133">
        <v>-782</v>
      </c>
      <c r="L201" s="133">
        <v>0</v>
      </c>
      <c r="M201" s="133">
        <v>0</v>
      </c>
      <c r="N201" s="133">
        <v>-628665</v>
      </c>
      <c r="O201" s="133">
        <v>-154832</v>
      </c>
      <c r="P201" s="133">
        <v>-76447</v>
      </c>
      <c r="Q201" s="133">
        <v>0</v>
      </c>
      <c r="R201" s="133">
        <v>0</v>
      </c>
      <c r="S201" s="133">
        <v>0</v>
      </c>
      <c r="T201" s="133">
        <v>0</v>
      </c>
      <c r="U201" s="133">
        <v>0</v>
      </c>
      <c r="V201" s="133">
        <v>0</v>
      </c>
      <c r="W201" s="709"/>
      <c r="X201" s="709"/>
      <c r="Y201" s="709"/>
      <c r="Z201" s="133">
        <v>0</v>
      </c>
      <c r="AA201" s="133">
        <v>0</v>
      </c>
      <c r="AB201" s="133">
        <v>18576720</v>
      </c>
      <c r="AC201" s="133">
        <v>-956701</v>
      </c>
      <c r="AD201" s="709"/>
      <c r="AE201" s="710">
        <v>156</v>
      </c>
      <c r="AF201" s="711">
        <v>1</v>
      </c>
      <c r="AG201" s="710">
        <v>0</v>
      </c>
      <c r="AH201" s="710">
        <v>0</v>
      </c>
      <c r="AI201" s="710">
        <v>414</v>
      </c>
      <c r="AJ201" s="710">
        <v>103</v>
      </c>
      <c r="AK201" s="710">
        <v>14</v>
      </c>
      <c r="AL201" s="710">
        <v>0</v>
      </c>
      <c r="AM201" s="710">
        <v>0</v>
      </c>
      <c r="AN201" s="710">
        <v>0</v>
      </c>
      <c r="AO201" s="710">
        <v>0</v>
      </c>
      <c r="AP201" s="711">
        <v>0</v>
      </c>
      <c r="AQ201" s="709"/>
      <c r="AR201" s="709"/>
      <c r="AS201" s="720">
        <v>862</v>
      </c>
      <c r="AT201" s="710">
        <v>1922</v>
      </c>
      <c r="AU201" s="710">
        <v>1875</v>
      </c>
      <c r="AV201" s="710">
        <v>47</v>
      </c>
      <c r="AW201" s="710">
        <v>926</v>
      </c>
      <c r="AX201" s="712">
        <v>3730</v>
      </c>
      <c r="AY201" s="683">
        <v>-10112</v>
      </c>
      <c r="AZ201" s="713">
        <v>1000000</v>
      </c>
      <c r="BA201" s="714">
        <v>1006979</v>
      </c>
      <c r="BB201" s="715">
        <v>7212400</v>
      </c>
      <c r="BC201" s="715">
        <v>0</v>
      </c>
      <c r="BD201" s="716">
        <v>1006978</v>
      </c>
      <c r="BE201" s="420"/>
      <c r="BF201" s="717" t="s">
        <v>277</v>
      </c>
      <c r="BG201" s="118" t="b">
        <v>1</v>
      </c>
      <c r="BH201" s="494"/>
      <c r="BI201" s="420"/>
      <c r="BJ201" s="420"/>
      <c r="BK201" s="420"/>
      <c r="BL201" s="420"/>
      <c r="BM201" s="420"/>
      <c r="BN201" s="420"/>
      <c r="BO201" s="420"/>
      <c r="BP201" s="420"/>
      <c r="BQ201" s="420"/>
      <c r="BR201" s="420"/>
      <c r="BS201" s="420"/>
      <c r="BT201" s="420"/>
      <c r="BU201" s="420"/>
      <c r="BV201" s="420"/>
      <c r="BW201" s="420"/>
      <c r="BX201" s="420"/>
      <c r="BY201" s="420"/>
      <c r="BZ201" s="420"/>
      <c r="CA201" s="420"/>
      <c r="CB201" s="420"/>
      <c r="CC201" s="420"/>
      <c r="CD201" s="420"/>
      <c r="CE201" s="420"/>
      <c r="CF201" s="420"/>
      <c r="CG201" s="420"/>
      <c r="CH201" s="420"/>
      <c r="CI201" s="420"/>
      <c r="CJ201" s="420"/>
      <c r="CK201" s="420"/>
      <c r="CL201" s="420"/>
      <c r="CM201" s="420"/>
      <c r="CN201" s="420"/>
      <c r="CO201" s="420"/>
      <c r="CP201" s="420"/>
      <c r="CQ201" s="420"/>
      <c r="CR201" s="420"/>
      <c r="CS201" s="118"/>
    </row>
    <row r="202" spans="1:97" s="118" customFormat="1" ht="12.75" x14ac:dyDescent="0.2">
      <c r="A202" s="705">
        <v>196</v>
      </c>
      <c r="B202" s="718" t="s">
        <v>540</v>
      </c>
      <c r="C202" s="719" t="s">
        <v>279</v>
      </c>
      <c r="D202" s="708">
        <v>268778</v>
      </c>
      <c r="E202" s="708">
        <v>236669000</v>
      </c>
      <c r="F202" s="133">
        <v>117279691</v>
      </c>
      <c r="G202" s="133">
        <v>-6033018</v>
      </c>
      <c r="H202" s="133">
        <v>2344223</v>
      </c>
      <c r="I202" s="133">
        <v>-3688795</v>
      </c>
      <c r="J202" s="133">
        <v>-7223242</v>
      </c>
      <c r="K202" s="133">
        <v>-65531</v>
      </c>
      <c r="L202" s="133">
        <v>-14141</v>
      </c>
      <c r="M202" s="133">
        <v>0</v>
      </c>
      <c r="N202" s="133">
        <v>-1336246</v>
      </c>
      <c r="O202" s="133">
        <v>-290490</v>
      </c>
      <c r="P202" s="133">
        <v>-21309</v>
      </c>
      <c r="Q202" s="133">
        <v>-1021</v>
      </c>
      <c r="R202" s="133">
        <v>0</v>
      </c>
      <c r="S202" s="133">
        <v>0</v>
      </c>
      <c r="T202" s="133">
        <v>0</v>
      </c>
      <c r="U202" s="133">
        <v>0</v>
      </c>
      <c r="V202" s="133">
        <v>0</v>
      </c>
      <c r="W202" s="709"/>
      <c r="X202" s="709"/>
      <c r="Y202" s="709"/>
      <c r="Z202" s="133">
        <v>-14141</v>
      </c>
      <c r="AA202" s="133">
        <v>0</v>
      </c>
      <c r="AB202" s="133">
        <v>100829284</v>
      </c>
      <c r="AC202" s="133">
        <v>-4691000</v>
      </c>
      <c r="AD202" s="709"/>
      <c r="AE202" s="710">
        <v>340</v>
      </c>
      <c r="AF202" s="711">
        <v>9</v>
      </c>
      <c r="AG202" s="710">
        <v>3</v>
      </c>
      <c r="AH202" s="710">
        <v>0</v>
      </c>
      <c r="AI202" s="710">
        <v>245</v>
      </c>
      <c r="AJ202" s="710">
        <v>86</v>
      </c>
      <c r="AK202" s="710">
        <v>4</v>
      </c>
      <c r="AL202" s="710">
        <v>3</v>
      </c>
      <c r="AM202" s="710">
        <v>7</v>
      </c>
      <c r="AN202" s="710">
        <v>0</v>
      </c>
      <c r="AO202" s="710">
        <v>0</v>
      </c>
      <c r="AP202" s="711">
        <v>0</v>
      </c>
      <c r="AQ202" s="709"/>
      <c r="AR202" s="709"/>
      <c r="AS202" s="720">
        <v>1518</v>
      </c>
      <c r="AT202" s="710">
        <v>2072</v>
      </c>
      <c r="AU202" s="710">
        <v>1924</v>
      </c>
      <c r="AV202" s="710">
        <v>148</v>
      </c>
      <c r="AW202" s="710">
        <v>2527</v>
      </c>
      <c r="AX202" s="712">
        <v>6171</v>
      </c>
      <c r="AY202" s="683">
        <v>-15000</v>
      </c>
      <c r="AZ202" s="713">
        <v>1032000</v>
      </c>
      <c r="BA202" s="714">
        <v>366817</v>
      </c>
      <c r="BB202" s="715">
        <v>28476050</v>
      </c>
      <c r="BC202" s="715">
        <v>0</v>
      </c>
      <c r="BD202" s="716">
        <v>367735</v>
      </c>
      <c r="BE202" s="420"/>
      <c r="BF202" s="717" t="s">
        <v>279</v>
      </c>
      <c r="BG202" s="118" t="b">
        <v>1</v>
      </c>
      <c r="BH202" s="494"/>
      <c r="BI202" s="420"/>
      <c r="BJ202" s="420"/>
      <c r="BK202" s="420"/>
      <c r="BL202" s="420"/>
      <c r="BM202" s="420"/>
      <c r="BN202" s="420"/>
      <c r="BO202" s="420"/>
      <c r="BP202" s="420"/>
      <c r="BQ202" s="420"/>
      <c r="BR202" s="420"/>
      <c r="BS202" s="420"/>
      <c r="BT202" s="420"/>
      <c r="BU202" s="420"/>
      <c r="BV202" s="420"/>
      <c r="BW202" s="420"/>
      <c r="BX202" s="420"/>
      <c r="BY202" s="420"/>
      <c r="BZ202" s="420"/>
      <c r="CA202" s="420"/>
      <c r="CB202" s="420"/>
      <c r="CC202" s="420"/>
      <c r="CD202" s="420"/>
      <c r="CE202" s="420"/>
      <c r="CF202" s="420"/>
      <c r="CG202" s="420"/>
      <c r="CH202" s="420"/>
      <c r="CI202" s="420"/>
      <c r="CJ202" s="420"/>
      <c r="CK202" s="420"/>
      <c r="CL202" s="420"/>
      <c r="CM202" s="420"/>
      <c r="CN202" s="420"/>
      <c r="CO202" s="420"/>
      <c r="CP202" s="420"/>
      <c r="CQ202" s="420"/>
      <c r="CR202" s="420"/>
    </row>
    <row r="203" spans="1:97" s="118" customFormat="1" ht="12.75" x14ac:dyDescent="0.2">
      <c r="A203" s="705">
        <v>197</v>
      </c>
      <c r="B203" s="718" t="s">
        <v>557</v>
      </c>
      <c r="C203" s="719" t="s">
        <v>281</v>
      </c>
      <c r="D203" s="708">
        <v>311229</v>
      </c>
      <c r="E203" s="708">
        <v>230849000</v>
      </c>
      <c r="F203" s="133">
        <v>114839601</v>
      </c>
      <c r="G203" s="133">
        <v>-8081738</v>
      </c>
      <c r="H203" s="133">
        <v>2168706</v>
      </c>
      <c r="I203" s="133">
        <v>-5913032</v>
      </c>
      <c r="J203" s="133">
        <v>-11677199</v>
      </c>
      <c r="K203" s="133">
        <v>-12088</v>
      </c>
      <c r="L203" s="133">
        <v>0</v>
      </c>
      <c r="M203" s="133">
        <v>0</v>
      </c>
      <c r="N203" s="133">
        <v>-2345036</v>
      </c>
      <c r="O203" s="133">
        <v>0</v>
      </c>
      <c r="P203" s="133">
        <v>-1890</v>
      </c>
      <c r="Q203" s="133">
        <v>0</v>
      </c>
      <c r="R203" s="133">
        <v>0</v>
      </c>
      <c r="S203" s="133">
        <v>0</v>
      </c>
      <c r="T203" s="133">
        <v>-206029</v>
      </c>
      <c r="U203" s="133">
        <v>-56029</v>
      </c>
      <c r="V203" s="133">
        <v>0</v>
      </c>
      <c r="W203" s="709"/>
      <c r="X203" s="709"/>
      <c r="Y203" s="709"/>
      <c r="Z203" s="133">
        <v>0</v>
      </c>
      <c r="AA203" s="133">
        <v>-1600</v>
      </c>
      <c r="AB203" s="133">
        <v>93461331</v>
      </c>
      <c r="AC203" s="133">
        <v>-1000000</v>
      </c>
      <c r="AD203" s="709"/>
      <c r="AE203" s="710">
        <v>549</v>
      </c>
      <c r="AF203" s="711">
        <v>6</v>
      </c>
      <c r="AG203" s="710">
        <v>0</v>
      </c>
      <c r="AH203" s="710">
        <v>0</v>
      </c>
      <c r="AI203" s="710">
        <v>750</v>
      </c>
      <c r="AJ203" s="710">
        <v>0</v>
      </c>
      <c r="AK203" s="710">
        <v>0</v>
      </c>
      <c r="AL203" s="710">
        <v>6</v>
      </c>
      <c r="AM203" s="710">
        <v>0</v>
      </c>
      <c r="AN203" s="710">
        <v>0</v>
      </c>
      <c r="AO203" s="710">
        <v>0</v>
      </c>
      <c r="AP203" s="711">
        <v>0</v>
      </c>
      <c r="AQ203" s="709"/>
      <c r="AR203" s="709"/>
      <c r="AS203" s="720">
        <v>1858</v>
      </c>
      <c r="AT203" s="710">
        <v>2821</v>
      </c>
      <c r="AU203" s="710">
        <v>2649</v>
      </c>
      <c r="AV203" s="710">
        <v>172</v>
      </c>
      <c r="AW203" s="710">
        <v>3133</v>
      </c>
      <c r="AX203" s="712">
        <v>7878</v>
      </c>
      <c r="AY203" s="683">
        <v>-20000</v>
      </c>
      <c r="AZ203" s="713">
        <v>-15212489</v>
      </c>
      <c r="BA203" s="714">
        <v>-14143109</v>
      </c>
      <c r="BB203" s="715">
        <v>29135400</v>
      </c>
      <c r="BC203" s="715">
        <v>0</v>
      </c>
      <c r="BD203" s="716">
        <v>-14143108.799999997</v>
      </c>
      <c r="BE203" s="420"/>
      <c r="BF203" s="717" t="s">
        <v>281</v>
      </c>
      <c r="BG203" s="118" t="b">
        <v>1</v>
      </c>
      <c r="BH203" s="494"/>
      <c r="BI203" s="420"/>
      <c r="BJ203" s="420"/>
      <c r="BK203" s="420"/>
      <c r="BL203" s="420"/>
      <c r="BM203" s="420"/>
      <c r="BN203" s="420"/>
      <c r="BO203" s="420"/>
      <c r="BP203" s="420"/>
      <c r="BQ203" s="420"/>
      <c r="BR203" s="420"/>
      <c r="BS203" s="420"/>
      <c r="BT203" s="420"/>
      <c r="BU203" s="420"/>
      <c r="BV203" s="420"/>
      <c r="BW203" s="420"/>
      <c r="BX203" s="420"/>
      <c r="BY203" s="420"/>
      <c r="BZ203" s="420"/>
      <c r="CA203" s="420"/>
      <c r="CB203" s="420"/>
      <c r="CC203" s="420"/>
      <c r="CD203" s="420"/>
      <c r="CE203" s="420"/>
      <c r="CF203" s="420"/>
      <c r="CG203" s="420"/>
      <c r="CH203" s="420"/>
      <c r="CI203" s="420"/>
      <c r="CJ203" s="420"/>
      <c r="CK203" s="420"/>
      <c r="CL203" s="420"/>
      <c r="CM203" s="420"/>
      <c r="CN203" s="420"/>
      <c r="CO203" s="420"/>
      <c r="CP203" s="420"/>
      <c r="CQ203" s="420"/>
      <c r="CR203" s="420"/>
    </row>
    <row r="204" spans="1:97" s="118" customFormat="1" ht="12.75" x14ac:dyDescent="0.2">
      <c r="A204" s="705">
        <v>198</v>
      </c>
      <c r="B204" s="718" t="s">
        <v>572</v>
      </c>
      <c r="C204" s="719" t="s">
        <v>283</v>
      </c>
      <c r="D204" s="708">
        <v>272658</v>
      </c>
      <c r="E204" s="708">
        <v>216868000</v>
      </c>
      <c r="F204" s="133">
        <v>107467592</v>
      </c>
      <c r="G204" s="133">
        <v>-6295900</v>
      </c>
      <c r="H204" s="133">
        <v>2212800</v>
      </c>
      <c r="I204" s="133">
        <v>-4083100</v>
      </c>
      <c r="J204" s="133">
        <v>-8513800</v>
      </c>
      <c r="K204" s="133">
        <v>-36800</v>
      </c>
      <c r="L204" s="133">
        <v>0</v>
      </c>
      <c r="M204" s="133">
        <v>-31600</v>
      </c>
      <c r="N204" s="133">
        <v>-2659600</v>
      </c>
      <c r="O204" s="133">
        <v>-213800</v>
      </c>
      <c r="P204" s="133">
        <v>0</v>
      </c>
      <c r="Q204" s="133">
        <v>-1000</v>
      </c>
      <c r="R204" s="133">
        <v>0</v>
      </c>
      <c r="S204" s="133">
        <v>0</v>
      </c>
      <c r="T204" s="133">
        <v>0</v>
      </c>
      <c r="U204" s="133">
        <v>0</v>
      </c>
      <c r="V204" s="133">
        <v>0</v>
      </c>
      <c r="W204" s="709"/>
      <c r="X204" s="709"/>
      <c r="Y204" s="709"/>
      <c r="Z204" s="133">
        <v>0</v>
      </c>
      <c r="AA204" s="133">
        <v>0</v>
      </c>
      <c r="AB204" s="133">
        <v>89812792</v>
      </c>
      <c r="AC204" s="133">
        <v>-4221201</v>
      </c>
      <c r="AD204" s="709"/>
      <c r="AE204" s="710">
        <v>330</v>
      </c>
      <c r="AF204" s="711">
        <v>11</v>
      </c>
      <c r="AG204" s="710">
        <v>0</v>
      </c>
      <c r="AH204" s="710">
        <v>0</v>
      </c>
      <c r="AI204" s="710">
        <v>385</v>
      </c>
      <c r="AJ204" s="710">
        <v>52</v>
      </c>
      <c r="AK204" s="710">
        <v>0</v>
      </c>
      <c r="AL204" s="710">
        <v>2</v>
      </c>
      <c r="AM204" s="710">
        <v>0</v>
      </c>
      <c r="AN204" s="710">
        <v>0</v>
      </c>
      <c r="AO204" s="710">
        <v>0</v>
      </c>
      <c r="AP204" s="711">
        <v>0</v>
      </c>
      <c r="AQ204" s="709"/>
      <c r="AR204" s="709"/>
      <c r="AS204" s="720">
        <v>778</v>
      </c>
      <c r="AT204" s="710">
        <v>2183</v>
      </c>
      <c r="AU204" s="710">
        <v>2045</v>
      </c>
      <c r="AV204" s="710">
        <v>138</v>
      </c>
      <c r="AW204" s="710">
        <v>3436</v>
      </c>
      <c r="AX204" s="712">
        <v>6460</v>
      </c>
      <c r="AY204" s="683">
        <v>-15100</v>
      </c>
      <c r="AZ204" s="713">
        <v>207886</v>
      </c>
      <c r="BA204" s="714">
        <v>1686424</v>
      </c>
      <c r="BB204" s="715">
        <v>28109700</v>
      </c>
      <c r="BC204" s="715">
        <v>0</v>
      </c>
      <c r="BD204" s="716">
        <v>1686482</v>
      </c>
      <c r="BE204" s="420"/>
      <c r="BF204" s="717" t="s">
        <v>283</v>
      </c>
      <c r="BG204" s="118" t="b">
        <v>1</v>
      </c>
      <c r="BH204" s="494"/>
      <c r="BI204" s="420"/>
      <c r="BJ204" s="420"/>
      <c r="BK204" s="420"/>
      <c r="BL204" s="420"/>
      <c r="BM204" s="420"/>
      <c r="BN204" s="420"/>
      <c r="BO204" s="420"/>
      <c r="BP204" s="420"/>
      <c r="BQ204" s="420"/>
      <c r="BR204" s="420"/>
      <c r="BS204" s="420"/>
      <c r="BT204" s="420"/>
      <c r="BU204" s="420"/>
      <c r="BV204" s="420"/>
      <c r="BW204" s="420"/>
      <c r="BX204" s="420"/>
      <c r="BY204" s="420"/>
      <c r="BZ204" s="420"/>
      <c r="CA204" s="420"/>
      <c r="CB204" s="420"/>
      <c r="CC204" s="420"/>
      <c r="CD204" s="420"/>
      <c r="CE204" s="420"/>
      <c r="CF204" s="420"/>
      <c r="CG204" s="420"/>
      <c r="CH204" s="420"/>
      <c r="CI204" s="420"/>
      <c r="CJ204" s="420"/>
      <c r="CK204" s="420"/>
      <c r="CL204" s="420"/>
      <c r="CM204" s="420"/>
      <c r="CN204" s="420"/>
      <c r="CO204" s="420"/>
      <c r="CP204" s="420"/>
      <c r="CQ204" s="420"/>
      <c r="CR204" s="420"/>
    </row>
    <row r="205" spans="1:97" s="118" customFormat="1" ht="12.75" x14ac:dyDescent="0.2">
      <c r="A205" s="705">
        <v>199</v>
      </c>
      <c r="B205" s="718" t="s">
        <v>284</v>
      </c>
      <c r="C205" s="719" t="s">
        <v>285</v>
      </c>
      <c r="D205" s="708">
        <v>241520</v>
      </c>
      <c r="E205" s="708">
        <v>150950000</v>
      </c>
      <c r="F205" s="133">
        <v>74647275</v>
      </c>
      <c r="G205" s="133">
        <v>-5427273</v>
      </c>
      <c r="H205" s="133">
        <v>1458240</v>
      </c>
      <c r="I205" s="133">
        <v>-3969033</v>
      </c>
      <c r="J205" s="133">
        <v>-5681416</v>
      </c>
      <c r="K205" s="133">
        <v>-56803</v>
      </c>
      <c r="L205" s="133">
        <v>-5103</v>
      </c>
      <c r="M205" s="133">
        <v>0</v>
      </c>
      <c r="N205" s="133">
        <v>-1899829</v>
      </c>
      <c r="O205" s="133">
        <v>-61404</v>
      </c>
      <c r="P205" s="133">
        <v>-24231</v>
      </c>
      <c r="Q205" s="133">
        <v>-312</v>
      </c>
      <c r="R205" s="133">
        <v>0</v>
      </c>
      <c r="S205" s="133">
        <v>0</v>
      </c>
      <c r="T205" s="133">
        <v>0</v>
      </c>
      <c r="U205" s="133">
        <v>0</v>
      </c>
      <c r="V205" s="133">
        <v>0</v>
      </c>
      <c r="W205" s="709"/>
      <c r="X205" s="709"/>
      <c r="Y205" s="709"/>
      <c r="Z205" s="133">
        <v>-4965</v>
      </c>
      <c r="AA205" s="133">
        <v>0</v>
      </c>
      <c r="AB205" s="133">
        <v>62892212</v>
      </c>
      <c r="AC205" s="133">
        <v>-3304190</v>
      </c>
      <c r="AD205" s="709"/>
      <c r="AE205" s="710">
        <v>274</v>
      </c>
      <c r="AF205" s="711">
        <v>10</v>
      </c>
      <c r="AG205" s="710">
        <v>3</v>
      </c>
      <c r="AH205" s="710">
        <v>0</v>
      </c>
      <c r="AI205" s="710">
        <v>572</v>
      </c>
      <c r="AJ205" s="710">
        <v>47</v>
      </c>
      <c r="AK205" s="710">
        <v>3</v>
      </c>
      <c r="AL205" s="710">
        <v>1</v>
      </c>
      <c r="AM205" s="710">
        <v>0</v>
      </c>
      <c r="AN205" s="710">
        <v>0</v>
      </c>
      <c r="AO205" s="710">
        <v>0</v>
      </c>
      <c r="AP205" s="711">
        <v>0</v>
      </c>
      <c r="AQ205" s="709"/>
      <c r="AR205" s="709"/>
      <c r="AS205" s="720">
        <v>1729</v>
      </c>
      <c r="AT205" s="710">
        <v>2104</v>
      </c>
      <c r="AU205" s="710">
        <v>2011</v>
      </c>
      <c r="AV205" s="710">
        <v>93</v>
      </c>
      <c r="AW205" s="710">
        <v>1927</v>
      </c>
      <c r="AX205" s="712">
        <v>6382</v>
      </c>
      <c r="AY205" s="683">
        <v>-3435</v>
      </c>
      <c r="AZ205" s="713">
        <v>-1085433</v>
      </c>
      <c r="BA205" s="714">
        <v>-1435056</v>
      </c>
      <c r="BB205" s="715">
        <v>19634925</v>
      </c>
      <c r="BC205" s="715">
        <v>0</v>
      </c>
      <c r="BD205" s="716">
        <v>-1435056.6000000015</v>
      </c>
      <c r="BE205" s="420"/>
      <c r="BF205" s="717" t="s">
        <v>285</v>
      </c>
      <c r="BG205" s="118" t="b">
        <v>1</v>
      </c>
      <c r="BH205" s="494"/>
      <c r="BI205" s="420"/>
      <c r="BJ205" s="420"/>
      <c r="BK205" s="420"/>
      <c r="BL205" s="420"/>
      <c r="BM205" s="420"/>
      <c r="BN205" s="420"/>
      <c r="BO205" s="420"/>
      <c r="BP205" s="420"/>
      <c r="BQ205" s="420"/>
      <c r="BR205" s="420"/>
      <c r="BS205" s="420"/>
      <c r="BT205" s="420"/>
      <c r="BU205" s="420"/>
      <c r="BV205" s="420"/>
      <c r="BW205" s="420"/>
      <c r="BX205" s="420"/>
      <c r="BY205" s="420"/>
      <c r="BZ205" s="420"/>
      <c r="CA205" s="420"/>
      <c r="CB205" s="420"/>
      <c r="CC205" s="420"/>
      <c r="CD205" s="420"/>
      <c r="CE205" s="420"/>
      <c r="CF205" s="420"/>
      <c r="CG205" s="420"/>
      <c r="CH205" s="420"/>
      <c r="CI205" s="420"/>
      <c r="CJ205" s="420"/>
      <c r="CK205" s="420"/>
      <c r="CL205" s="420"/>
      <c r="CM205" s="420"/>
      <c r="CN205" s="420"/>
      <c r="CO205" s="420"/>
      <c r="CP205" s="420"/>
      <c r="CQ205" s="420"/>
      <c r="CR205" s="420"/>
    </row>
    <row r="206" spans="1:97" s="118" customFormat="1" ht="12.75" x14ac:dyDescent="0.2">
      <c r="A206" s="705">
        <v>200</v>
      </c>
      <c r="B206" s="718" t="s">
        <v>534</v>
      </c>
      <c r="C206" s="719" t="s">
        <v>287</v>
      </c>
      <c r="D206" s="708">
        <v>288133</v>
      </c>
      <c r="E206" s="708">
        <v>317070000</v>
      </c>
      <c r="F206" s="133">
        <v>154538895</v>
      </c>
      <c r="G206" s="133">
        <v>-3558276</v>
      </c>
      <c r="H206" s="133">
        <v>3497479</v>
      </c>
      <c r="I206" s="133">
        <v>-60797</v>
      </c>
      <c r="J206" s="133">
        <v>-5257566</v>
      </c>
      <c r="K206" s="133">
        <v>-6794</v>
      </c>
      <c r="L206" s="133">
        <v>0</v>
      </c>
      <c r="M206" s="133">
        <v>0</v>
      </c>
      <c r="N206" s="133">
        <v>-5750400</v>
      </c>
      <c r="O206" s="133">
        <v>0</v>
      </c>
      <c r="P206" s="133">
        <v>0</v>
      </c>
      <c r="Q206" s="133">
        <v>0</v>
      </c>
      <c r="R206" s="133">
        <v>0</v>
      </c>
      <c r="S206" s="133">
        <v>0</v>
      </c>
      <c r="T206" s="133">
        <v>0</v>
      </c>
      <c r="U206" s="133">
        <v>0</v>
      </c>
      <c r="V206" s="133">
        <v>0</v>
      </c>
      <c r="W206" s="709"/>
      <c r="X206" s="709"/>
      <c r="Y206" s="709"/>
      <c r="Z206" s="133">
        <v>0</v>
      </c>
      <c r="AA206" s="133">
        <v>0</v>
      </c>
      <c r="AB206" s="133">
        <v>140775821</v>
      </c>
      <c r="AC206" s="133">
        <v>-5621000</v>
      </c>
      <c r="AD206" s="709"/>
      <c r="AE206" s="710">
        <v>233</v>
      </c>
      <c r="AF206" s="711">
        <v>6</v>
      </c>
      <c r="AG206" s="710">
        <v>0</v>
      </c>
      <c r="AH206" s="710">
        <v>0</v>
      </c>
      <c r="AI206" s="710">
        <v>686</v>
      </c>
      <c r="AJ206" s="710">
        <v>0</v>
      </c>
      <c r="AK206" s="710">
        <v>0</v>
      </c>
      <c r="AL206" s="710">
        <v>0</v>
      </c>
      <c r="AM206" s="710">
        <v>0</v>
      </c>
      <c r="AN206" s="710">
        <v>0</v>
      </c>
      <c r="AO206" s="710">
        <v>0</v>
      </c>
      <c r="AP206" s="711">
        <v>0</v>
      </c>
      <c r="AQ206" s="709"/>
      <c r="AR206" s="709"/>
      <c r="AS206" s="720">
        <v>1895</v>
      </c>
      <c r="AT206" s="710">
        <v>1055</v>
      </c>
      <c r="AU206" s="710">
        <v>963</v>
      </c>
      <c r="AV206" s="710">
        <v>92</v>
      </c>
      <c r="AW206" s="710">
        <v>2499</v>
      </c>
      <c r="AX206" s="712">
        <v>5631</v>
      </c>
      <c r="AY206" s="683">
        <v>-61166</v>
      </c>
      <c r="AZ206" s="713">
        <v>-1798174</v>
      </c>
      <c r="BA206" s="714">
        <v>6759340</v>
      </c>
      <c r="BB206" s="715">
        <v>26812300</v>
      </c>
      <c r="BC206" s="715">
        <v>0</v>
      </c>
      <c r="BD206" s="716">
        <v>6759339.7200000081</v>
      </c>
      <c r="BE206" s="420"/>
      <c r="BF206" s="717" t="s">
        <v>287</v>
      </c>
      <c r="BG206" s="118" t="b">
        <v>1</v>
      </c>
      <c r="BH206" s="494"/>
      <c r="BI206" s="420"/>
      <c r="BJ206" s="420"/>
      <c r="BK206" s="420"/>
      <c r="BL206" s="420"/>
      <c r="BM206" s="420"/>
      <c r="BN206" s="420"/>
      <c r="BO206" s="420"/>
      <c r="BP206" s="420"/>
      <c r="BQ206" s="420"/>
      <c r="BR206" s="420"/>
      <c r="BS206" s="420"/>
      <c r="BT206" s="420"/>
      <c r="BU206" s="420"/>
      <c r="BV206" s="420"/>
      <c r="BW206" s="420"/>
      <c r="BX206" s="420"/>
      <c r="BY206" s="420"/>
      <c r="BZ206" s="420"/>
      <c r="CA206" s="420"/>
      <c r="CB206" s="420"/>
      <c r="CC206" s="420"/>
      <c r="CD206" s="420"/>
      <c r="CE206" s="420"/>
      <c r="CF206" s="420"/>
      <c r="CG206" s="420"/>
      <c r="CH206" s="420"/>
      <c r="CI206" s="420"/>
      <c r="CJ206" s="420"/>
      <c r="CK206" s="420"/>
      <c r="CL206" s="420"/>
      <c r="CM206" s="420"/>
      <c r="CN206" s="420"/>
      <c r="CO206" s="420"/>
      <c r="CP206" s="420"/>
      <c r="CQ206" s="420"/>
      <c r="CR206" s="420"/>
    </row>
    <row r="207" spans="1:97" s="118" customFormat="1" ht="12.75" x14ac:dyDescent="0.2">
      <c r="A207" s="705">
        <v>201</v>
      </c>
      <c r="B207" s="718" t="s">
        <v>288</v>
      </c>
      <c r="C207" s="719" t="s">
        <v>289</v>
      </c>
      <c r="D207" s="708">
        <v>276494</v>
      </c>
      <c r="E207" s="708">
        <v>155068000</v>
      </c>
      <c r="F207" s="133">
        <v>75273763</v>
      </c>
      <c r="G207" s="133">
        <v>-7008554</v>
      </c>
      <c r="H207" s="133">
        <v>1160671</v>
      </c>
      <c r="I207" s="133">
        <v>-5847883</v>
      </c>
      <c r="J207" s="133">
        <v>-5570821</v>
      </c>
      <c r="K207" s="133">
        <v>-134836</v>
      </c>
      <c r="L207" s="133">
        <v>0</v>
      </c>
      <c r="M207" s="133">
        <v>0</v>
      </c>
      <c r="N207" s="133">
        <v>-770619</v>
      </c>
      <c r="O207" s="133">
        <v>-148928</v>
      </c>
      <c r="P207" s="133">
        <v>-14476</v>
      </c>
      <c r="Q207" s="133">
        <v>0</v>
      </c>
      <c r="R207" s="133">
        <v>0</v>
      </c>
      <c r="S207" s="133">
        <v>0</v>
      </c>
      <c r="T207" s="133">
        <v>0</v>
      </c>
      <c r="U207" s="133">
        <v>0</v>
      </c>
      <c r="V207" s="133">
        <v>0</v>
      </c>
      <c r="W207" s="709"/>
      <c r="X207" s="709"/>
      <c r="Y207" s="709"/>
      <c r="Z207" s="133">
        <v>0</v>
      </c>
      <c r="AA207" s="133">
        <v>0</v>
      </c>
      <c r="AB207" s="133">
        <v>57060225</v>
      </c>
      <c r="AC207" s="133">
        <v>-3792000</v>
      </c>
      <c r="AD207" s="709"/>
      <c r="AE207" s="710">
        <v>285</v>
      </c>
      <c r="AF207" s="711">
        <v>19</v>
      </c>
      <c r="AG207" s="710">
        <v>0</v>
      </c>
      <c r="AH207" s="710">
        <v>0</v>
      </c>
      <c r="AI207" s="710">
        <v>510</v>
      </c>
      <c r="AJ207" s="710">
        <v>51</v>
      </c>
      <c r="AK207" s="710">
        <v>6</v>
      </c>
      <c r="AL207" s="710">
        <v>0</v>
      </c>
      <c r="AM207" s="710">
        <v>0</v>
      </c>
      <c r="AN207" s="710">
        <v>0</v>
      </c>
      <c r="AO207" s="710">
        <v>0</v>
      </c>
      <c r="AP207" s="711">
        <v>0</v>
      </c>
      <c r="AQ207" s="709"/>
      <c r="AR207" s="709"/>
      <c r="AS207" s="720">
        <v>1415</v>
      </c>
      <c r="AT207" s="710">
        <v>2220</v>
      </c>
      <c r="AU207" s="710">
        <v>1940</v>
      </c>
      <c r="AV207" s="710">
        <v>280</v>
      </c>
      <c r="AW207" s="710">
        <v>2976</v>
      </c>
      <c r="AX207" s="712">
        <v>6839</v>
      </c>
      <c r="AY207" s="683">
        <v>-153776</v>
      </c>
      <c r="AZ207" s="713">
        <v>-11405867</v>
      </c>
      <c r="BA207" s="714">
        <v>-10893449</v>
      </c>
      <c r="BB207" s="715">
        <v>21964850</v>
      </c>
      <c r="BC207" s="715">
        <v>0</v>
      </c>
      <c r="BD207" s="716">
        <v>-10893449.48</v>
      </c>
      <c r="BE207" s="420"/>
      <c r="BF207" s="717" t="s">
        <v>289</v>
      </c>
      <c r="BG207" s="118" t="b">
        <v>1</v>
      </c>
      <c r="BH207" s="494"/>
      <c r="BI207" s="420"/>
      <c r="BJ207" s="420"/>
      <c r="BK207" s="420"/>
      <c r="BL207" s="420"/>
      <c r="BM207" s="420"/>
      <c r="BN207" s="420"/>
      <c r="BO207" s="420"/>
      <c r="BP207" s="420"/>
      <c r="BQ207" s="420"/>
      <c r="BR207" s="420"/>
      <c r="BS207" s="420"/>
      <c r="BT207" s="420"/>
      <c r="BU207" s="420"/>
      <c r="BV207" s="420"/>
      <c r="BW207" s="420"/>
      <c r="BX207" s="420"/>
      <c r="BY207" s="420"/>
      <c r="BZ207" s="420"/>
      <c r="CA207" s="420"/>
      <c r="CB207" s="420"/>
      <c r="CC207" s="420"/>
      <c r="CD207" s="420"/>
      <c r="CE207" s="420"/>
      <c r="CF207" s="420"/>
      <c r="CG207" s="420"/>
      <c r="CH207" s="420"/>
      <c r="CI207" s="420"/>
      <c r="CJ207" s="420"/>
      <c r="CK207" s="420"/>
      <c r="CL207" s="420"/>
      <c r="CM207" s="420"/>
      <c r="CN207" s="420"/>
      <c r="CO207" s="420"/>
      <c r="CP207" s="420"/>
      <c r="CQ207" s="420"/>
      <c r="CR207" s="420"/>
    </row>
    <row r="208" spans="1:97" s="118" customFormat="1" ht="12.75" x14ac:dyDescent="0.2">
      <c r="A208" s="705">
        <v>202</v>
      </c>
      <c r="B208" s="718" t="s">
        <v>910</v>
      </c>
      <c r="C208" s="719" t="s">
        <v>291</v>
      </c>
      <c r="D208" s="708">
        <v>159425</v>
      </c>
      <c r="E208" s="708">
        <v>97660000</v>
      </c>
      <c r="F208" s="133">
        <v>47743094</v>
      </c>
      <c r="G208" s="133">
        <v>-3943269</v>
      </c>
      <c r="H208" s="133">
        <v>931970</v>
      </c>
      <c r="I208" s="133">
        <v>-3011299</v>
      </c>
      <c r="J208" s="133">
        <v>-3601885</v>
      </c>
      <c r="K208" s="133">
        <v>-59259</v>
      </c>
      <c r="L208" s="133">
        <v>-2762</v>
      </c>
      <c r="M208" s="133">
        <v>0</v>
      </c>
      <c r="N208" s="133">
        <v>-754421</v>
      </c>
      <c r="O208" s="133">
        <v>-117184</v>
      </c>
      <c r="P208" s="133">
        <v>-37520</v>
      </c>
      <c r="Q208" s="133">
        <v>0</v>
      </c>
      <c r="R208" s="133">
        <v>0</v>
      </c>
      <c r="S208" s="133">
        <v>0</v>
      </c>
      <c r="T208" s="133">
        <v>0</v>
      </c>
      <c r="U208" s="133">
        <v>0</v>
      </c>
      <c r="V208" s="133">
        <v>0</v>
      </c>
      <c r="W208" s="709"/>
      <c r="X208" s="709"/>
      <c r="Y208" s="709"/>
      <c r="Z208" s="133">
        <v>-2378</v>
      </c>
      <c r="AA208" s="133">
        <v>0</v>
      </c>
      <c r="AB208" s="133">
        <v>40153310</v>
      </c>
      <c r="AC208" s="133">
        <v>-1013800</v>
      </c>
      <c r="AD208" s="709"/>
      <c r="AE208" s="710">
        <v>201</v>
      </c>
      <c r="AF208" s="711">
        <v>13</v>
      </c>
      <c r="AG208" s="710">
        <v>6</v>
      </c>
      <c r="AH208" s="710">
        <v>0</v>
      </c>
      <c r="AI208" s="710">
        <v>421</v>
      </c>
      <c r="AJ208" s="710">
        <v>39</v>
      </c>
      <c r="AK208" s="710">
        <v>11</v>
      </c>
      <c r="AL208" s="710">
        <v>0</v>
      </c>
      <c r="AM208" s="710">
        <v>5</v>
      </c>
      <c r="AN208" s="710">
        <v>0</v>
      </c>
      <c r="AO208" s="710">
        <v>0</v>
      </c>
      <c r="AP208" s="711">
        <v>0</v>
      </c>
      <c r="AQ208" s="709"/>
      <c r="AR208" s="709"/>
      <c r="AS208" s="720">
        <v>997</v>
      </c>
      <c r="AT208" s="710">
        <v>1914</v>
      </c>
      <c r="AU208" s="710">
        <v>1857</v>
      </c>
      <c r="AV208" s="710">
        <v>57</v>
      </c>
      <c r="AW208" s="710">
        <v>1187</v>
      </c>
      <c r="AX208" s="712">
        <v>4226</v>
      </c>
      <c r="AY208" s="683">
        <v>-3225</v>
      </c>
      <c r="AZ208" s="713">
        <v>-9029276</v>
      </c>
      <c r="BA208" s="714">
        <v>-9538377</v>
      </c>
      <c r="BB208" s="715">
        <v>9776750</v>
      </c>
      <c r="BC208" s="715">
        <v>0</v>
      </c>
      <c r="BD208" s="716">
        <v>-9538377.3999999985</v>
      </c>
      <c r="BE208" s="420"/>
      <c r="BF208" s="717" t="s">
        <v>291</v>
      </c>
      <c r="BG208" s="118" t="b">
        <v>1</v>
      </c>
      <c r="BH208" s="494"/>
      <c r="BI208" s="420"/>
      <c r="BJ208" s="420"/>
      <c r="BK208" s="420"/>
      <c r="BL208" s="420"/>
      <c r="BM208" s="420"/>
      <c r="BN208" s="420"/>
      <c r="BO208" s="420"/>
      <c r="BP208" s="420"/>
      <c r="BQ208" s="420"/>
      <c r="BR208" s="420"/>
      <c r="BS208" s="420"/>
      <c r="BT208" s="420"/>
      <c r="BU208" s="420"/>
      <c r="BV208" s="420"/>
      <c r="BW208" s="420"/>
      <c r="BX208" s="420"/>
      <c r="BY208" s="420"/>
      <c r="BZ208" s="420"/>
      <c r="CA208" s="420"/>
      <c r="CB208" s="420"/>
      <c r="CC208" s="420"/>
      <c r="CD208" s="420"/>
      <c r="CE208" s="420"/>
      <c r="CF208" s="420"/>
      <c r="CG208" s="420"/>
      <c r="CH208" s="420"/>
      <c r="CI208" s="420"/>
      <c r="CJ208" s="420"/>
      <c r="CK208" s="420"/>
      <c r="CL208" s="420"/>
      <c r="CM208" s="420"/>
      <c r="CN208" s="420"/>
      <c r="CO208" s="420"/>
      <c r="CP208" s="420"/>
      <c r="CQ208" s="420"/>
      <c r="CR208" s="420"/>
    </row>
    <row r="209" spans="1:96" s="118" customFormat="1" ht="12.75" x14ac:dyDescent="0.2">
      <c r="A209" s="705">
        <v>203</v>
      </c>
      <c r="B209" s="718" t="s">
        <v>292</v>
      </c>
      <c r="C209" s="719" t="s">
        <v>293</v>
      </c>
      <c r="D209" s="708">
        <v>105514</v>
      </c>
      <c r="E209" s="708">
        <v>81616000</v>
      </c>
      <c r="F209" s="133">
        <v>39875602</v>
      </c>
      <c r="G209" s="133">
        <v>-2694464</v>
      </c>
      <c r="H209" s="133">
        <v>751387</v>
      </c>
      <c r="I209" s="133">
        <v>-1943077</v>
      </c>
      <c r="J209" s="133">
        <v>-1300392</v>
      </c>
      <c r="K209" s="133">
        <v>-14485</v>
      </c>
      <c r="L209" s="133">
        <v>-1663</v>
      </c>
      <c r="M209" s="133">
        <v>0</v>
      </c>
      <c r="N209" s="133">
        <v>-1116517</v>
      </c>
      <c r="O209" s="133">
        <v>-26017</v>
      </c>
      <c r="P209" s="133">
        <v>-294444</v>
      </c>
      <c r="Q209" s="133">
        <v>0</v>
      </c>
      <c r="R209" s="133">
        <v>0</v>
      </c>
      <c r="S209" s="133">
        <v>0</v>
      </c>
      <c r="T209" s="133">
        <v>0</v>
      </c>
      <c r="U209" s="133">
        <v>0</v>
      </c>
      <c r="V209" s="133">
        <v>0</v>
      </c>
      <c r="W209" s="709"/>
      <c r="X209" s="709"/>
      <c r="Y209" s="709"/>
      <c r="Z209" s="133">
        <v>-1663</v>
      </c>
      <c r="AA209" s="133">
        <v>-1500</v>
      </c>
      <c r="AB209" s="133">
        <v>35123676</v>
      </c>
      <c r="AC209" s="133">
        <v>-1650813</v>
      </c>
      <c r="AD209" s="709"/>
      <c r="AE209" s="710">
        <v>92</v>
      </c>
      <c r="AF209" s="711">
        <v>2</v>
      </c>
      <c r="AG209" s="710">
        <v>1</v>
      </c>
      <c r="AH209" s="710">
        <v>0</v>
      </c>
      <c r="AI209" s="710">
        <v>202</v>
      </c>
      <c r="AJ209" s="710">
        <v>33</v>
      </c>
      <c r="AK209" s="710">
        <v>21</v>
      </c>
      <c r="AL209" s="710">
        <v>1</v>
      </c>
      <c r="AM209" s="710">
        <v>0</v>
      </c>
      <c r="AN209" s="710">
        <v>0</v>
      </c>
      <c r="AO209" s="710">
        <v>0</v>
      </c>
      <c r="AP209" s="711">
        <v>0</v>
      </c>
      <c r="AQ209" s="709"/>
      <c r="AR209" s="709"/>
      <c r="AS209" s="720">
        <v>685</v>
      </c>
      <c r="AT209" s="710">
        <v>956</v>
      </c>
      <c r="AU209" s="710">
        <v>904</v>
      </c>
      <c r="AV209" s="710">
        <v>52</v>
      </c>
      <c r="AW209" s="710">
        <v>1000</v>
      </c>
      <c r="AX209" s="712">
        <v>2642</v>
      </c>
      <c r="AY209" s="683">
        <v>-7656</v>
      </c>
      <c r="AZ209" s="713">
        <v>-7737689.8999999985</v>
      </c>
      <c r="BA209" s="714">
        <v>-6477741.9000000004</v>
      </c>
      <c r="BB209" s="715">
        <v>13187666</v>
      </c>
      <c r="BC209" s="715">
        <v>0</v>
      </c>
      <c r="BD209" s="716">
        <v>-6477742.1999999974</v>
      </c>
      <c r="BE209" s="420"/>
      <c r="BF209" s="717" t="s">
        <v>293</v>
      </c>
      <c r="BG209" s="118" t="b">
        <v>1</v>
      </c>
      <c r="BH209" s="494"/>
      <c r="BI209" s="420"/>
      <c r="BJ209" s="420"/>
      <c r="BK209" s="420"/>
      <c r="BL209" s="420"/>
      <c r="BM209" s="420"/>
      <c r="BN209" s="420"/>
      <c r="BO209" s="420"/>
      <c r="BP209" s="420"/>
      <c r="BQ209" s="420"/>
      <c r="BR209" s="420"/>
      <c r="BS209" s="420"/>
      <c r="BT209" s="420"/>
      <c r="BU209" s="420"/>
      <c r="BV209" s="420"/>
      <c r="BW209" s="420"/>
      <c r="BX209" s="420"/>
      <c r="BY209" s="420"/>
      <c r="BZ209" s="420"/>
      <c r="CA209" s="420"/>
      <c r="CB209" s="420"/>
      <c r="CC209" s="420"/>
      <c r="CD209" s="420"/>
      <c r="CE209" s="420"/>
      <c r="CF209" s="420"/>
      <c r="CG209" s="420"/>
      <c r="CH209" s="420"/>
      <c r="CI209" s="420"/>
      <c r="CJ209" s="420"/>
      <c r="CK209" s="420"/>
      <c r="CL209" s="420"/>
      <c r="CM209" s="420"/>
      <c r="CN209" s="420"/>
      <c r="CO209" s="420"/>
      <c r="CP209" s="420"/>
      <c r="CQ209" s="420"/>
      <c r="CR209" s="420"/>
    </row>
    <row r="210" spans="1:96" s="118" customFormat="1" ht="12.75" x14ac:dyDescent="0.2">
      <c r="A210" s="705">
        <v>204</v>
      </c>
      <c r="B210" s="718" t="s">
        <v>294</v>
      </c>
      <c r="C210" s="719" t="s">
        <v>295</v>
      </c>
      <c r="D210" s="708">
        <v>171451</v>
      </c>
      <c r="E210" s="708">
        <v>132481000</v>
      </c>
      <c r="F210" s="133">
        <v>66133521</v>
      </c>
      <c r="G210" s="133">
        <v>-3460567</v>
      </c>
      <c r="H210" s="133">
        <v>1298603</v>
      </c>
      <c r="I210" s="133">
        <v>-2161964</v>
      </c>
      <c r="J210" s="133">
        <v>-4215966</v>
      </c>
      <c r="K210" s="133">
        <v>-68695</v>
      </c>
      <c r="L210" s="133">
        <v>0</v>
      </c>
      <c r="M210" s="133">
        <v>-250000</v>
      </c>
      <c r="N210" s="133">
        <v>-2638765</v>
      </c>
      <c r="O210" s="133">
        <v>-58000</v>
      </c>
      <c r="P210" s="133">
        <v>-8000</v>
      </c>
      <c r="Q210" s="133">
        <v>-2000</v>
      </c>
      <c r="R210" s="133">
        <v>0</v>
      </c>
      <c r="S210" s="133">
        <v>0</v>
      </c>
      <c r="T210" s="133">
        <v>0</v>
      </c>
      <c r="U210" s="133">
        <v>0</v>
      </c>
      <c r="V210" s="133">
        <v>0</v>
      </c>
      <c r="W210" s="709"/>
      <c r="X210" s="709"/>
      <c r="Y210" s="709"/>
      <c r="Z210" s="133">
        <v>0</v>
      </c>
      <c r="AA210" s="133">
        <v>0</v>
      </c>
      <c r="AB210" s="133">
        <v>54615296</v>
      </c>
      <c r="AC210" s="133">
        <v>-2075611</v>
      </c>
      <c r="AD210" s="709"/>
      <c r="AE210" s="710">
        <v>202</v>
      </c>
      <c r="AF210" s="711">
        <v>25</v>
      </c>
      <c r="AG210" s="710">
        <v>0</v>
      </c>
      <c r="AH210" s="710">
        <v>0</v>
      </c>
      <c r="AI210" s="710">
        <v>366</v>
      </c>
      <c r="AJ210" s="710">
        <v>40</v>
      </c>
      <c r="AK210" s="710">
        <v>2</v>
      </c>
      <c r="AL210" s="710">
        <v>4</v>
      </c>
      <c r="AM210" s="710">
        <v>0</v>
      </c>
      <c r="AN210" s="710">
        <v>0</v>
      </c>
      <c r="AO210" s="710">
        <v>0</v>
      </c>
      <c r="AP210" s="711">
        <v>0</v>
      </c>
      <c r="AQ210" s="709"/>
      <c r="AR210" s="709"/>
      <c r="AS210" s="720">
        <v>1055</v>
      </c>
      <c r="AT210" s="710">
        <v>1202</v>
      </c>
      <c r="AU210" s="710">
        <v>1099</v>
      </c>
      <c r="AV210" s="710">
        <v>103</v>
      </c>
      <c r="AW210" s="710">
        <v>1637</v>
      </c>
      <c r="AX210" s="712">
        <v>3773</v>
      </c>
      <c r="AY210" s="683">
        <v>-24000</v>
      </c>
      <c r="AZ210" s="713">
        <v>796544</v>
      </c>
      <c r="BA210" s="714">
        <v>-63716</v>
      </c>
      <c r="BB210" s="715">
        <v>18761300</v>
      </c>
      <c r="BC210" s="715">
        <v>0</v>
      </c>
      <c r="BD210" s="716">
        <v>-58803.969999999739</v>
      </c>
      <c r="BE210" s="420"/>
      <c r="BF210" s="717" t="s">
        <v>295</v>
      </c>
      <c r="BG210" s="118" t="b">
        <v>1</v>
      </c>
      <c r="BH210" s="494"/>
      <c r="BI210" s="420"/>
      <c r="BJ210" s="420"/>
      <c r="BK210" s="420"/>
      <c r="BL210" s="420"/>
      <c r="BM210" s="420"/>
      <c r="BN210" s="420"/>
      <c r="BO210" s="420"/>
      <c r="BP210" s="420"/>
      <c r="BQ210" s="420"/>
      <c r="BR210" s="420"/>
      <c r="BS210" s="420"/>
      <c r="BT210" s="420"/>
      <c r="BU210" s="420"/>
      <c r="BV210" s="420"/>
      <c r="BW210" s="420"/>
      <c r="BX210" s="420"/>
      <c r="BY210" s="420"/>
      <c r="BZ210" s="420"/>
      <c r="CA210" s="420"/>
      <c r="CB210" s="420"/>
      <c r="CC210" s="420"/>
      <c r="CD210" s="420"/>
      <c r="CE210" s="420"/>
      <c r="CF210" s="420"/>
      <c r="CG210" s="420"/>
      <c r="CH210" s="420"/>
      <c r="CI210" s="420"/>
      <c r="CJ210" s="420"/>
      <c r="CK210" s="420"/>
      <c r="CL210" s="420"/>
      <c r="CM210" s="420"/>
      <c r="CN210" s="420"/>
      <c r="CO210" s="420"/>
      <c r="CP210" s="420"/>
      <c r="CQ210" s="420"/>
      <c r="CR210" s="420"/>
    </row>
    <row r="211" spans="1:96" s="118" customFormat="1" ht="12.75" x14ac:dyDescent="0.2">
      <c r="A211" s="705">
        <v>205</v>
      </c>
      <c r="B211" s="718" t="s">
        <v>296</v>
      </c>
      <c r="C211" s="719" t="s">
        <v>297</v>
      </c>
      <c r="D211" s="708">
        <v>90775</v>
      </c>
      <c r="E211" s="708">
        <v>42680000</v>
      </c>
      <c r="F211" s="133">
        <v>20787651</v>
      </c>
      <c r="G211" s="133">
        <v>-3117714</v>
      </c>
      <c r="H211" s="133">
        <v>340647</v>
      </c>
      <c r="I211" s="133">
        <v>-2777067</v>
      </c>
      <c r="J211" s="133">
        <v>-1103709</v>
      </c>
      <c r="K211" s="133">
        <v>-44170</v>
      </c>
      <c r="L211" s="133">
        <v>-20101</v>
      </c>
      <c r="M211" s="133">
        <v>0</v>
      </c>
      <c r="N211" s="133">
        <v>-308307</v>
      </c>
      <c r="O211" s="133">
        <v>-33368</v>
      </c>
      <c r="P211" s="133">
        <v>0</v>
      </c>
      <c r="Q211" s="133">
        <v>0</v>
      </c>
      <c r="R211" s="133">
        <v>0</v>
      </c>
      <c r="S211" s="133">
        <v>-1964</v>
      </c>
      <c r="T211" s="133">
        <v>0</v>
      </c>
      <c r="U211" s="133">
        <v>0</v>
      </c>
      <c r="V211" s="133">
        <v>0</v>
      </c>
      <c r="W211" s="709"/>
      <c r="X211" s="709"/>
      <c r="Y211" s="709"/>
      <c r="Z211" s="133">
        <v>-20101</v>
      </c>
      <c r="AA211" s="133">
        <v>0</v>
      </c>
      <c r="AB211" s="133">
        <v>15776121</v>
      </c>
      <c r="AC211" s="133">
        <v>-488224</v>
      </c>
      <c r="AD211" s="709"/>
      <c r="AE211" s="710">
        <v>121</v>
      </c>
      <c r="AF211" s="711">
        <v>4</v>
      </c>
      <c r="AG211" s="710">
        <v>14</v>
      </c>
      <c r="AH211" s="710">
        <v>0</v>
      </c>
      <c r="AI211" s="710">
        <v>155</v>
      </c>
      <c r="AJ211" s="710">
        <v>49</v>
      </c>
      <c r="AK211" s="710">
        <v>1</v>
      </c>
      <c r="AL211" s="710">
        <v>0</v>
      </c>
      <c r="AM211" s="710">
        <v>0</v>
      </c>
      <c r="AN211" s="710">
        <v>1</v>
      </c>
      <c r="AO211" s="710">
        <v>0</v>
      </c>
      <c r="AP211" s="711">
        <v>0</v>
      </c>
      <c r="AQ211" s="709"/>
      <c r="AR211" s="709"/>
      <c r="AS211" s="720">
        <v>461</v>
      </c>
      <c r="AT211" s="710">
        <v>1297</v>
      </c>
      <c r="AU211" s="710">
        <v>1231</v>
      </c>
      <c r="AV211" s="710">
        <v>66</v>
      </c>
      <c r="AW211" s="710">
        <v>751</v>
      </c>
      <c r="AX211" s="712">
        <v>2531</v>
      </c>
      <c r="AY211" s="683">
        <v>-13319</v>
      </c>
      <c r="AZ211" s="713">
        <v>560528</v>
      </c>
      <c r="BA211" s="714">
        <v>575895</v>
      </c>
      <c r="BB211" s="715">
        <v>5613900</v>
      </c>
      <c r="BC211" s="715">
        <v>0</v>
      </c>
      <c r="BD211" s="716">
        <v>575896</v>
      </c>
      <c r="BE211" s="420"/>
      <c r="BF211" s="717" t="s">
        <v>297</v>
      </c>
      <c r="BG211" s="118" t="b">
        <v>1</v>
      </c>
      <c r="BH211" s="494"/>
      <c r="BI211" s="420"/>
      <c r="BJ211" s="420"/>
      <c r="BK211" s="420"/>
      <c r="BL211" s="420"/>
      <c r="BM211" s="420"/>
      <c r="BN211" s="420"/>
      <c r="BO211" s="420"/>
      <c r="BP211" s="420"/>
      <c r="BQ211" s="420"/>
      <c r="BR211" s="420"/>
      <c r="BS211" s="420"/>
      <c r="BT211" s="420"/>
      <c r="BU211" s="420"/>
      <c r="BV211" s="420"/>
      <c r="BW211" s="420"/>
      <c r="BX211" s="420"/>
      <c r="BY211" s="420"/>
      <c r="BZ211" s="420"/>
      <c r="CA211" s="420"/>
      <c r="CB211" s="420"/>
      <c r="CC211" s="420"/>
      <c r="CD211" s="420"/>
      <c r="CE211" s="420"/>
      <c r="CF211" s="420"/>
      <c r="CG211" s="420"/>
      <c r="CH211" s="420"/>
      <c r="CI211" s="420"/>
      <c r="CJ211" s="420"/>
      <c r="CK211" s="420"/>
      <c r="CL211" s="420"/>
      <c r="CM211" s="420"/>
      <c r="CN211" s="420"/>
      <c r="CO211" s="420"/>
      <c r="CP211" s="420"/>
      <c r="CQ211" s="420"/>
      <c r="CR211" s="420"/>
    </row>
    <row r="212" spans="1:96" s="118" customFormat="1" ht="12.75" x14ac:dyDescent="0.2">
      <c r="A212" s="705">
        <v>206</v>
      </c>
      <c r="B212" s="718" t="s">
        <v>298</v>
      </c>
      <c r="C212" s="719" t="s">
        <v>299</v>
      </c>
      <c r="D212" s="708">
        <v>277381</v>
      </c>
      <c r="E212" s="708">
        <v>223404000</v>
      </c>
      <c r="F212" s="133">
        <v>111379351</v>
      </c>
      <c r="G212" s="133">
        <v>-4577891</v>
      </c>
      <c r="H212" s="133">
        <v>1858873</v>
      </c>
      <c r="I212" s="133">
        <v>-2719018</v>
      </c>
      <c r="J212" s="133">
        <v>-11337084</v>
      </c>
      <c r="K212" s="133">
        <v>-73390</v>
      </c>
      <c r="L212" s="133">
        <v>0</v>
      </c>
      <c r="M212" s="133">
        <v>0</v>
      </c>
      <c r="N212" s="133">
        <v>-1605735</v>
      </c>
      <c r="O212" s="133">
        <v>-99056</v>
      </c>
      <c r="P212" s="133">
        <v>-73017</v>
      </c>
      <c r="Q212" s="133">
        <v>-7282</v>
      </c>
      <c r="R212" s="133">
        <v>0</v>
      </c>
      <c r="S212" s="133">
        <v>0</v>
      </c>
      <c r="T212" s="133">
        <v>0</v>
      </c>
      <c r="U212" s="133">
        <v>0</v>
      </c>
      <c r="V212" s="133">
        <v>0</v>
      </c>
      <c r="W212" s="709"/>
      <c r="X212" s="709"/>
      <c r="Y212" s="709"/>
      <c r="Z212" s="133">
        <v>0</v>
      </c>
      <c r="AA212" s="133">
        <v>0</v>
      </c>
      <c r="AB212" s="133">
        <v>90165151</v>
      </c>
      <c r="AC212" s="133">
        <v>0</v>
      </c>
      <c r="AD212" s="709"/>
      <c r="AE212" s="710">
        <v>307</v>
      </c>
      <c r="AF212" s="711">
        <v>13</v>
      </c>
      <c r="AG212" s="710">
        <v>0</v>
      </c>
      <c r="AH212" s="710">
        <v>0</v>
      </c>
      <c r="AI212" s="710">
        <v>393</v>
      </c>
      <c r="AJ212" s="710">
        <v>68</v>
      </c>
      <c r="AK212" s="710">
        <v>29</v>
      </c>
      <c r="AL212" s="710">
        <v>4</v>
      </c>
      <c r="AM212" s="710">
        <v>0</v>
      </c>
      <c r="AN212" s="710">
        <v>0</v>
      </c>
      <c r="AO212" s="710">
        <v>0</v>
      </c>
      <c r="AP212" s="711">
        <v>0</v>
      </c>
      <c r="AQ212" s="709"/>
      <c r="AR212" s="709"/>
      <c r="AS212" s="720">
        <v>1603</v>
      </c>
      <c r="AT212" s="710">
        <v>1395</v>
      </c>
      <c r="AU212" s="710">
        <v>1184</v>
      </c>
      <c r="AV212" s="710">
        <v>211</v>
      </c>
      <c r="AW212" s="710">
        <v>2861</v>
      </c>
      <c r="AX212" s="712">
        <v>5962</v>
      </c>
      <c r="AY212" s="683">
        <v>-33099</v>
      </c>
      <c r="AZ212" s="713">
        <v>7175956</v>
      </c>
      <c r="BA212" s="714">
        <v>8106258</v>
      </c>
      <c r="BB212" s="715">
        <v>24289700</v>
      </c>
      <c r="BC212" s="715">
        <v>0</v>
      </c>
      <c r="BD212" s="716">
        <v>8105348</v>
      </c>
      <c r="BE212" s="420"/>
      <c r="BF212" s="717" t="s">
        <v>299</v>
      </c>
      <c r="BG212" s="118" t="b">
        <v>1</v>
      </c>
      <c r="BH212" s="494"/>
      <c r="BI212" s="420"/>
      <c r="BJ212" s="420"/>
      <c r="BK212" s="420"/>
      <c r="BL212" s="420"/>
      <c r="BM212" s="420"/>
      <c r="BN212" s="420"/>
      <c r="BO212" s="420"/>
      <c r="BP212" s="420"/>
      <c r="BQ212" s="420"/>
      <c r="BR212" s="420"/>
      <c r="BS212" s="420"/>
      <c r="BT212" s="420"/>
      <c r="BU212" s="420"/>
      <c r="BV212" s="420"/>
      <c r="BW212" s="420"/>
      <c r="BX212" s="420"/>
      <c r="BY212" s="420"/>
      <c r="BZ212" s="420"/>
      <c r="CA212" s="420"/>
      <c r="CB212" s="420"/>
      <c r="CC212" s="420"/>
      <c r="CD212" s="420"/>
      <c r="CE212" s="420"/>
      <c r="CF212" s="420"/>
      <c r="CG212" s="420"/>
      <c r="CH212" s="420"/>
      <c r="CI212" s="420"/>
      <c r="CJ212" s="420"/>
      <c r="CK212" s="420"/>
      <c r="CL212" s="420"/>
      <c r="CM212" s="420"/>
      <c r="CN212" s="420"/>
      <c r="CO212" s="420"/>
      <c r="CP212" s="420"/>
      <c r="CQ212" s="420"/>
      <c r="CR212" s="420"/>
    </row>
    <row r="213" spans="1:96" s="118" customFormat="1" ht="12.75" x14ac:dyDescent="0.2">
      <c r="A213" s="705">
        <v>207</v>
      </c>
      <c r="B213" s="718" t="s">
        <v>300</v>
      </c>
      <c r="C213" s="719" t="s">
        <v>301</v>
      </c>
      <c r="D213" s="708">
        <v>99032</v>
      </c>
      <c r="E213" s="708">
        <v>38063000</v>
      </c>
      <c r="F213" s="133">
        <v>18637663</v>
      </c>
      <c r="G213" s="133">
        <v>-3136184</v>
      </c>
      <c r="H213" s="133">
        <v>258991</v>
      </c>
      <c r="I213" s="133">
        <v>-2877193</v>
      </c>
      <c r="J213" s="133">
        <v>-898526</v>
      </c>
      <c r="K213" s="133">
        <v>-46549</v>
      </c>
      <c r="L213" s="133">
        <v>-44056</v>
      </c>
      <c r="M213" s="133">
        <v>0</v>
      </c>
      <c r="N213" s="133">
        <v>-176361</v>
      </c>
      <c r="O213" s="133">
        <v>-65113</v>
      </c>
      <c r="P213" s="133">
        <v>-54251</v>
      </c>
      <c r="Q213" s="133">
        <v>-1386</v>
      </c>
      <c r="R213" s="133">
        <v>-44056</v>
      </c>
      <c r="S213" s="133">
        <v>0</v>
      </c>
      <c r="T213" s="133">
        <v>0</v>
      </c>
      <c r="U213" s="133">
        <v>0</v>
      </c>
      <c r="V213" s="133">
        <v>0</v>
      </c>
      <c r="W213" s="709"/>
      <c r="X213" s="709"/>
      <c r="Y213" s="709"/>
      <c r="Z213" s="133">
        <v>-44056</v>
      </c>
      <c r="AA213" s="133">
        <v>0</v>
      </c>
      <c r="AB213" s="133">
        <v>13388556</v>
      </c>
      <c r="AC213" s="133">
        <v>-200000</v>
      </c>
      <c r="AD213" s="709"/>
      <c r="AE213" s="710">
        <v>138</v>
      </c>
      <c r="AF213" s="711">
        <v>6</v>
      </c>
      <c r="AG213" s="710">
        <v>40</v>
      </c>
      <c r="AH213" s="710">
        <v>0</v>
      </c>
      <c r="AI213" s="710">
        <v>73</v>
      </c>
      <c r="AJ213" s="710">
        <v>87</v>
      </c>
      <c r="AK213" s="710">
        <v>2</v>
      </c>
      <c r="AL213" s="710">
        <v>1</v>
      </c>
      <c r="AM213" s="710">
        <v>40</v>
      </c>
      <c r="AN213" s="710">
        <v>0</v>
      </c>
      <c r="AO213" s="710">
        <v>0</v>
      </c>
      <c r="AP213" s="711">
        <v>6</v>
      </c>
      <c r="AQ213" s="709"/>
      <c r="AR213" s="709"/>
      <c r="AS213" s="720">
        <v>392</v>
      </c>
      <c r="AT213" s="710">
        <v>1476</v>
      </c>
      <c r="AU213" s="710">
        <v>1427</v>
      </c>
      <c r="AV213" s="710">
        <v>49</v>
      </c>
      <c r="AW213" s="710">
        <v>927</v>
      </c>
      <c r="AX213" s="712">
        <v>2835</v>
      </c>
      <c r="AY213" s="683">
        <v>-28881</v>
      </c>
      <c r="AZ213" s="713">
        <v>-1059984</v>
      </c>
      <c r="BA213" s="714">
        <v>-597069</v>
      </c>
      <c r="BB213" s="715">
        <v>1756250</v>
      </c>
      <c r="BC213" s="715">
        <v>0</v>
      </c>
      <c r="BD213" s="716">
        <v>-597069</v>
      </c>
      <c r="BE213" s="420"/>
      <c r="BF213" s="717" t="s">
        <v>301</v>
      </c>
      <c r="BG213" s="118" t="b">
        <v>1</v>
      </c>
      <c r="BH213" s="494"/>
      <c r="BI213" s="420"/>
      <c r="BJ213" s="420"/>
      <c r="BK213" s="420"/>
      <c r="BL213" s="420"/>
      <c r="BM213" s="420"/>
      <c r="BN213" s="420"/>
      <c r="BO213" s="420"/>
      <c r="BP213" s="420"/>
      <c r="BQ213" s="420"/>
      <c r="BR213" s="420"/>
      <c r="BS213" s="420"/>
      <c r="BT213" s="420"/>
      <c r="BU213" s="420"/>
      <c r="BV213" s="420"/>
      <c r="BW213" s="420"/>
      <c r="BX213" s="420"/>
      <c r="BY213" s="420"/>
      <c r="BZ213" s="420"/>
      <c r="CA213" s="420"/>
      <c r="CB213" s="420"/>
      <c r="CC213" s="420"/>
      <c r="CD213" s="420"/>
      <c r="CE213" s="420"/>
      <c r="CF213" s="420"/>
      <c r="CG213" s="420"/>
      <c r="CH213" s="420"/>
      <c r="CI213" s="420"/>
      <c r="CJ213" s="420"/>
      <c r="CK213" s="420"/>
      <c r="CL213" s="420"/>
      <c r="CM213" s="420"/>
      <c r="CN213" s="420"/>
      <c r="CO213" s="420"/>
      <c r="CP213" s="420"/>
      <c r="CQ213" s="420"/>
      <c r="CR213" s="420"/>
    </row>
    <row r="214" spans="1:96" s="118" customFormat="1" ht="12.75" x14ac:dyDescent="0.2">
      <c r="A214" s="705">
        <v>208</v>
      </c>
      <c r="B214" s="718" t="s">
        <v>302</v>
      </c>
      <c r="C214" s="719" t="s">
        <v>303</v>
      </c>
      <c r="D214" s="708">
        <v>308166</v>
      </c>
      <c r="E214" s="708">
        <v>169741000</v>
      </c>
      <c r="F214" s="133">
        <v>84369442</v>
      </c>
      <c r="G214" s="133">
        <v>-8468963</v>
      </c>
      <c r="H214" s="133">
        <v>1533390</v>
      </c>
      <c r="I214" s="133">
        <v>-6935573</v>
      </c>
      <c r="J214" s="133">
        <v>-3997818</v>
      </c>
      <c r="K214" s="133">
        <v>-53374</v>
      </c>
      <c r="L214" s="133">
        <v>0</v>
      </c>
      <c r="M214" s="133">
        <v>-200000</v>
      </c>
      <c r="N214" s="133">
        <v>-3500000</v>
      </c>
      <c r="O214" s="133">
        <v>-96000</v>
      </c>
      <c r="P214" s="133">
        <v>-44200</v>
      </c>
      <c r="Q214" s="133">
        <v>-9364</v>
      </c>
      <c r="R214" s="133">
        <v>0</v>
      </c>
      <c r="S214" s="133">
        <v>0</v>
      </c>
      <c r="T214" s="133">
        <v>-1000000</v>
      </c>
      <c r="U214" s="133">
        <v>0</v>
      </c>
      <c r="V214" s="133">
        <v>0</v>
      </c>
      <c r="W214" s="709"/>
      <c r="X214" s="709"/>
      <c r="Y214" s="709"/>
      <c r="Z214" s="133">
        <v>0</v>
      </c>
      <c r="AA214" s="133">
        <v>0</v>
      </c>
      <c r="AB214" s="133">
        <v>67239000</v>
      </c>
      <c r="AC214" s="133">
        <v>-3802000</v>
      </c>
      <c r="AD214" s="709"/>
      <c r="AE214" s="710">
        <v>287</v>
      </c>
      <c r="AF214" s="711">
        <v>12</v>
      </c>
      <c r="AG214" s="710">
        <v>0</v>
      </c>
      <c r="AH214" s="710">
        <v>1</v>
      </c>
      <c r="AI214" s="710">
        <v>937</v>
      </c>
      <c r="AJ214" s="710">
        <v>90</v>
      </c>
      <c r="AK214" s="710">
        <v>15</v>
      </c>
      <c r="AL214" s="710">
        <v>9</v>
      </c>
      <c r="AM214" s="710">
        <v>0</v>
      </c>
      <c r="AN214" s="710">
        <v>0</v>
      </c>
      <c r="AO214" s="710">
        <v>0</v>
      </c>
      <c r="AP214" s="711">
        <v>21</v>
      </c>
      <c r="AQ214" s="709"/>
      <c r="AR214" s="709"/>
      <c r="AS214" s="720">
        <v>1676</v>
      </c>
      <c r="AT214" s="710">
        <v>3162</v>
      </c>
      <c r="AU214" s="710">
        <v>3011</v>
      </c>
      <c r="AV214" s="710">
        <v>151</v>
      </c>
      <c r="AW214" s="710">
        <v>2318</v>
      </c>
      <c r="AX214" s="712">
        <v>8193</v>
      </c>
      <c r="AY214" s="683">
        <v>-84180</v>
      </c>
      <c r="AZ214" s="713">
        <v>4113000</v>
      </c>
      <c r="BA214" s="714">
        <v>4044545</v>
      </c>
      <c r="BB214" s="715">
        <v>22530325</v>
      </c>
      <c r="BC214" s="715">
        <v>0</v>
      </c>
      <c r="BD214" s="716">
        <v>4044543</v>
      </c>
      <c r="BE214" s="420"/>
      <c r="BF214" s="717" t="s">
        <v>303</v>
      </c>
      <c r="BG214" s="118" t="b">
        <v>1</v>
      </c>
      <c r="BH214" s="494"/>
      <c r="BI214" s="420"/>
      <c r="BJ214" s="420"/>
      <c r="BK214" s="420"/>
      <c r="BL214" s="420"/>
      <c r="BM214" s="420"/>
      <c r="BN214" s="420"/>
      <c r="BO214" s="420"/>
      <c r="BP214" s="420"/>
      <c r="BQ214" s="420"/>
      <c r="BR214" s="420"/>
      <c r="BS214" s="420"/>
      <c r="BT214" s="420"/>
      <c r="BU214" s="420"/>
      <c r="BV214" s="420"/>
      <c r="BW214" s="420"/>
      <c r="BX214" s="420"/>
      <c r="BY214" s="420"/>
      <c r="BZ214" s="420"/>
      <c r="CA214" s="420"/>
      <c r="CB214" s="420"/>
      <c r="CC214" s="420"/>
      <c r="CD214" s="420"/>
      <c r="CE214" s="420"/>
      <c r="CF214" s="420"/>
      <c r="CG214" s="420"/>
      <c r="CH214" s="420"/>
      <c r="CI214" s="420"/>
      <c r="CJ214" s="420"/>
      <c r="CK214" s="420"/>
      <c r="CL214" s="420"/>
      <c r="CM214" s="420"/>
      <c r="CN214" s="420"/>
      <c r="CO214" s="420"/>
      <c r="CP214" s="420"/>
      <c r="CQ214" s="420"/>
      <c r="CR214" s="420"/>
    </row>
    <row r="215" spans="1:96" s="118" customFormat="1" ht="12.75" x14ac:dyDescent="0.2">
      <c r="A215" s="705">
        <v>209</v>
      </c>
      <c r="B215" s="718" t="s">
        <v>304</v>
      </c>
      <c r="C215" s="719" t="s">
        <v>305</v>
      </c>
      <c r="D215" s="708">
        <v>95088</v>
      </c>
      <c r="E215" s="708">
        <v>45857000</v>
      </c>
      <c r="F215" s="133">
        <v>22393926</v>
      </c>
      <c r="G215" s="133">
        <v>-3551063</v>
      </c>
      <c r="H215" s="133">
        <v>314121</v>
      </c>
      <c r="I215" s="133">
        <v>-3236942</v>
      </c>
      <c r="J215" s="133">
        <v>-1487350</v>
      </c>
      <c r="K215" s="133">
        <v>-13102</v>
      </c>
      <c r="L215" s="133">
        <v>0</v>
      </c>
      <c r="M215" s="133">
        <v>0</v>
      </c>
      <c r="N215" s="133">
        <v>-305894</v>
      </c>
      <c r="O215" s="133">
        <v>-6899</v>
      </c>
      <c r="P215" s="133">
        <v>0</v>
      </c>
      <c r="Q215" s="133">
        <v>0</v>
      </c>
      <c r="R215" s="133">
        <v>0</v>
      </c>
      <c r="S215" s="133">
        <v>0</v>
      </c>
      <c r="T215" s="133">
        <v>0</v>
      </c>
      <c r="U215" s="133">
        <v>0</v>
      </c>
      <c r="V215" s="133">
        <v>0</v>
      </c>
      <c r="W215" s="709"/>
      <c r="X215" s="709"/>
      <c r="Y215" s="709"/>
      <c r="Z215" s="133">
        <v>0</v>
      </c>
      <c r="AA215" s="133">
        <v>0</v>
      </c>
      <c r="AB215" s="133">
        <v>16306273</v>
      </c>
      <c r="AC215" s="133">
        <v>0</v>
      </c>
      <c r="AD215" s="709"/>
      <c r="AE215" s="710">
        <v>101</v>
      </c>
      <c r="AF215" s="711">
        <v>4</v>
      </c>
      <c r="AG215" s="710">
        <v>0</v>
      </c>
      <c r="AH215" s="710">
        <v>0</v>
      </c>
      <c r="AI215" s="710">
        <v>78</v>
      </c>
      <c r="AJ215" s="710">
        <v>22</v>
      </c>
      <c r="AK215" s="710">
        <v>0</v>
      </c>
      <c r="AL215" s="710">
        <v>0</v>
      </c>
      <c r="AM215" s="710">
        <v>0</v>
      </c>
      <c r="AN215" s="710">
        <v>0</v>
      </c>
      <c r="AO215" s="710">
        <v>0</v>
      </c>
      <c r="AP215" s="711">
        <v>170</v>
      </c>
      <c r="AQ215" s="709"/>
      <c r="AR215" s="709"/>
      <c r="AS215" s="720">
        <v>380</v>
      </c>
      <c r="AT215" s="710">
        <v>1291</v>
      </c>
      <c r="AU215" s="710">
        <v>1224</v>
      </c>
      <c r="AV215" s="710">
        <v>67</v>
      </c>
      <c r="AW215" s="710">
        <v>857</v>
      </c>
      <c r="AX215" s="712">
        <v>2603</v>
      </c>
      <c r="AY215" s="683">
        <v>-4348</v>
      </c>
      <c r="AZ215" s="713">
        <v>-1018523</v>
      </c>
      <c r="BA215" s="714">
        <v>-1195150.8599999994</v>
      </c>
      <c r="BB215" s="715">
        <v>9204250</v>
      </c>
      <c r="BC215" s="715">
        <v>0</v>
      </c>
      <c r="BD215" s="716">
        <v>-1195150.8599999994</v>
      </c>
      <c r="BE215" s="420"/>
      <c r="BF215" s="717" t="s">
        <v>305</v>
      </c>
      <c r="BG215" s="118" t="b">
        <v>1</v>
      </c>
      <c r="BH215" s="494"/>
      <c r="BI215" s="420"/>
      <c r="BJ215" s="420"/>
      <c r="BK215" s="420"/>
      <c r="BL215" s="420"/>
      <c r="BM215" s="420"/>
      <c r="BN215" s="420"/>
      <c r="BO215" s="420"/>
      <c r="BP215" s="420"/>
      <c r="BQ215" s="420"/>
      <c r="BR215" s="420"/>
      <c r="BS215" s="420"/>
      <c r="BT215" s="420"/>
      <c r="BU215" s="420"/>
      <c r="BV215" s="420"/>
      <c r="BW215" s="420"/>
      <c r="BX215" s="420"/>
      <c r="BY215" s="420"/>
      <c r="BZ215" s="420"/>
      <c r="CA215" s="420"/>
      <c r="CB215" s="420"/>
      <c r="CC215" s="420"/>
      <c r="CD215" s="420"/>
      <c r="CE215" s="420"/>
      <c r="CF215" s="420"/>
      <c r="CG215" s="420"/>
      <c r="CH215" s="420"/>
      <c r="CI215" s="420"/>
      <c r="CJ215" s="420"/>
      <c r="CK215" s="420"/>
      <c r="CL215" s="420"/>
      <c r="CM215" s="420"/>
      <c r="CN215" s="420"/>
      <c r="CO215" s="420"/>
      <c r="CP215" s="420"/>
      <c r="CQ215" s="420"/>
      <c r="CR215" s="420"/>
    </row>
    <row r="216" spans="1:96" s="118" customFormat="1" ht="12.75" x14ac:dyDescent="0.2">
      <c r="A216" s="705">
        <v>210</v>
      </c>
      <c r="B216" s="718" t="s">
        <v>306</v>
      </c>
      <c r="C216" s="719" t="s">
        <v>307</v>
      </c>
      <c r="D216" s="708">
        <v>96697</v>
      </c>
      <c r="E216" s="708">
        <v>36426000</v>
      </c>
      <c r="F216" s="133">
        <v>17795167</v>
      </c>
      <c r="G216" s="133">
        <v>-3164892</v>
      </c>
      <c r="H216" s="133">
        <v>269780</v>
      </c>
      <c r="I216" s="133">
        <v>-2895112</v>
      </c>
      <c r="J216" s="133">
        <v>-564505</v>
      </c>
      <c r="K216" s="133">
        <v>-53067</v>
      </c>
      <c r="L216" s="133">
        <v>-1033</v>
      </c>
      <c r="M216" s="133">
        <v>0</v>
      </c>
      <c r="N216" s="133">
        <v>-601856</v>
      </c>
      <c r="O216" s="133">
        <v>-63757</v>
      </c>
      <c r="P216" s="133">
        <v>-26044</v>
      </c>
      <c r="Q216" s="133">
        <v>-3399</v>
      </c>
      <c r="R216" s="133">
        <v>0</v>
      </c>
      <c r="S216" s="133">
        <v>0</v>
      </c>
      <c r="T216" s="133">
        <v>0</v>
      </c>
      <c r="U216" s="133">
        <v>0</v>
      </c>
      <c r="V216" s="133">
        <v>0</v>
      </c>
      <c r="W216" s="709"/>
      <c r="X216" s="709"/>
      <c r="Y216" s="709"/>
      <c r="Z216" s="133">
        <v>-1033</v>
      </c>
      <c r="AA216" s="133">
        <v>0</v>
      </c>
      <c r="AB216" s="133">
        <v>13230699</v>
      </c>
      <c r="AC216" s="133">
        <v>-500000</v>
      </c>
      <c r="AD216" s="709"/>
      <c r="AE216" s="710">
        <v>89</v>
      </c>
      <c r="AF216" s="711">
        <v>12</v>
      </c>
      <c r="AG216" s="710">
        <v>1</v>
      </c>
      <c r="AH216" s="710">
        <v>0</v>
      </c>
      <c r="AI216" s="710">
        <v>340</v>
      </c>
      <c r="AJ216" s="710">
        <v>59</v>
      </c>
      <c r="AK216" s="710">
        <v>3</v>
      </c>
      <c r="AL216" s="710">
        <v>3</v>
      </c>
      <c r="AM216" s="710">
        <v>0</v>
      </c>
      <c r="AN216" s="710">
        <v>1</v>
      </c>
      <c r="AO216" s="710">
        <v>0</v>
      </c>
      <c r="AP216" s="711">
        <v>0</v>
      </c>
      <c r="AQ216" s="709"/>
      <c r="AR216" s="709"/>
      <c r="AS216" s="720">
        <v>624</v>
      </c>
      <c r="AT216" s="710">
        <v>1409</v>
      </c>
      <c r="AU216" s="710">
        <v>1377</v>
      </c>
      <c r="AV216" s="710">
        <v>32</v>
      </c>
      <c r="AW216" s="710">
        <v>697</v>
      </c>
      <c r="AX216" s="712">
        <v>2777</v>
      </c>
      <c r="AY216" s="683">
        <v>-4715</v>
      </c>
      <c r="AZ216" s="713">
        <v>1626909</v>
      </c>
      <c r="BA216" s="714">
        <v>1859060</v>
      </c>
      <c r="BB216" s="715">
        <v>4918050</v>
      </c>
      <c r="BC216" s="715">
        <v>0</v>
      </c>
      <c r="BD216" s="716">
        <v>1859060</v>
      </c>
      <c r="BE216" s="420"/>
      <c r="BF216" s="717" t="s">
        <v>307</v>
      </c>
      <c r="BG216" s="118" t="b">
        <v>1</v>
      </c>
      <c r="BH216" s="494"/>
      <c r="BI216" s="420"/>
      <c r="BJ216" s="420"/>
      <c r="BK216" s="420"/>
      <c r="BL216" s="420"/>
      <c r="BM216" s="420"/>
      <c r="BN216" s="420"/>
      <c r="BO216" s="420"/>
      <c r="BP216" s="420"/>
      <c r="BQ216" s="420"/>
      <c r="BR216" s="420"/>
      <c r="BS216" s="420"/>
      <c r="BT216" s="420"/>
      <c r="BU216" s="420"/>
      <c r="BV216" s="420"/>
      <c r="BW216" s="420"/>
      <c r="BX216" s="420"/>
      <c r="BY216" s="420"/>
      <c r="BZ216" s="420"/>
      <c r="CA216" s="420"/>
      <c r="CB216" s="420"/>
      <c r="CC216" s="420"/>
      <c r="CD216" s="420"/>
      <c r="CE216" s="420"/>
      <c r="CF216" s="420"/>
      <c r="CG216" s="420"/>
      <c r="CH216" s="420"/>
      <c r="CI216" s="420"/>
      <c r="CJ216" s="420"/>
      <c r="CK216" s="420"/>
      <c r="CL216" s="420"/>
      <c r="CM216" s="420"/>
      <c r="CN216" s="420"/>
      <c r="CO216" s="420"/>
      <c r="CP216" s="420"/>
      <c r="CQ216" s="420"/>
      <c r="CR216" s="420"/>
    </row>
    <row r="217" spans="1:96" s="118" customFormat="1" ht="12.75" x14ac:dyDescent="0.2">
      <c r="A217" s="705">
        <v>211</v>
      </c>
      <c r="B217" s="718" t="s">
        <v>308</v>
      </c>
      <c r="C217" s="719" t="s">
        <v>309</v>
      </c>
      <c r="D217" s="708">
        <v>152709</v>
      </c>
      <c r="E217" s="708">
        <v>56072000</v>
      </c>
      <c r="F217" s="133">
        <v>27230343</v>
      </c>
      <c r="G217" s="133">
        <v>-4753069</v>
      </c>
      <c r="H217" s="133">
        <v>388265</v>
      </c>
      <c r="I217" s="133">
        <v>-4364804</v>
      </c>
      <c r="J217" s="133">
        <v>-2501426</v>
      </c>
      <c r="K217" s="133">
        <v>-77061</v>
      </c>
      <c r="L217" s="133">
        <v>-38684</v>
      </c>
      <c r="M217" s="133">
        <v>0</v>
      </c>
      <c r="N217" s="133">
        <v>-360918</v>
      </c>
      <c r="O217" s="133">
        <v>-29699</v>
      </c>
      <c r="P217" s="133">
        <v>0</v>
      </c>
      <c r="Q217" s="133">
        <v>-4541</v>
      </c>
      <c r="R217" s="133">
        <v>0</v>
      </c>
      <c r="S217" s="133">
        <v>0</v>
      </c>
      <c r="T217" s="133">
        <v>0</v>
      </c>
      <c r="U217" s="133">
        <v>0</v>
      </c>
      <c r="V217" s="133">
        <v>0</v>
      </c>
      <c r="W217" s="709"/>
      <c r="X217" s="709"/>
      <c r="Y217" s="709"/>
      <c r="Z217" s="133">
        <v>-38684</v>
      </c>
      <c r="AA217" s="133">
        <v>0</v>
      </c>
      <c r="AB217" s="133">
        <v>18404540</v>
      </c>
      <c r="AC217" s="133">
        <v>-1250100</v>
      </c>
      <c r="AD217" s="709"/>
      <c r="AE217" s="710">
        <v>188</v>
      </c>
      <c r="AF217" s="711">
        <v>27</v>
      </c>
      <c r="AG217" s="710">
        <v>22</v>
      </c>
      <c r="AH217" s="710">
        <v>0</v>
      </c>
      <c r="AI217" s="710">
        <v>413</v>
      </c>
      <c r="AJ217" s="710">
        <v>30</v>
      </c>
      <c r="AK217" s="710">
        <v>0</v>
      </c>
      <c r="AL217" s="710">
        <v>10</v>
      </c>
      <c r="AM217" s="710">
        <v>0</v>
      </c>
      <c r="AN217" s="710">
        <v>0</v>
      </c>
      <c r="AO217" s="710">
        <v>0</v>
      </c>
      <c r="AP217" s="711">
        <v>0</v>
      </c>
      <c r="AQ217" s="709"/>
      <c r="AR217" s="709"/>
      <c r="AS217" s="720">
        <v>876</v>
      </c>
      <c r="AT217" s="710">
        <v>2125</v>
      </c>
      <c r="AU217" s="710">
        <v>2047</v>
      </c>
      <c r="AV217" s="710">
        <v>78</v>
      </c>
      <c r="AW217" s="710">
        <v>1271</v>
      </c>
      <c r="AX217" s="712">
        <v>4362</v>
      </c>
      <c r="AY217" s="683">
        <v>-45852</v>
      </c>
      <c r="AZ217" s="713">
        <v>-1226371</v>
      </c>
      <c r="BA217" s="714">
        <v>34359.239999998361</v>
      </c>
      <c r="BB217" s="715">
        <v>9141651</v>
      </c>
      <c r="BC217" s="715">
        <v>0</v>
      </c>
      <c r="BD217" s="716">
        <v>34357.039999999106</v>
      </c>
      <c r="BE217" s="420"/>
      <c r="BF217" s="717" t="s">
        <v>309</v>
      </c>
      <c r="BG217" s="118" t="b">
        <v>1</v>
      </c>
      <c r="BH217" s="494"/>
      <c r="BI217" s="420"/>
      <c r="BJ217" s="420"/>
      <c r="BK217" s="420"/>
      <c r="BL217" s="420"/>
      <c r="BM217" s="420"/>
      <c r="BN217" s="420"/>
      <c r="BO217" s="420"/>
      <c r="BP217" s="420"/>
      <c r="BQ217" s="420"/>
      <c r="BR217" s="420"/>
      <c r="BS217" s="420"/>
      <c r="BT217" s="420"/>
      <c r="BU217" s="420"/>
      <c r="BV217" s="420"/>
      <c r="BW217" s="420"/>
      <c r="BX217" s="420"/>
      <c r="BY217" s="420"/>
      <c r="BZ217" s="420"/>
      <c r="CA217" s="420"/>
      <c r="CB217" s="420"/>
      <c r="CC217" s="420"/>
      <c r="CD217" s="420"/>
      <c r="CE217" s="420"/>
      <c r="CF217" s="420"/>
      <c r="CG217" s="420"/>
      <c r="CH217" s="420"/>
      <c r="CI217" s="420"/>
      <c r="CJ217" s="420"/>
      <c r="CK217" s="420"/>
      <c r="CL217" s="420"/>
      <c r="CM217" s="420"/>
      <c r="CN217" s="420"/>
      <c r="CO217" s="420"/>
      <c r="CP217" s="420"/>
      <c r="CQ217" s="420"/>
      <c r="CR217" s="420"/>
    </row>
    <row r="218" spans="1:96" s="118" customFormat="1" ht="12.75" x14ac:dyDescent="0.2">
      <c r="A218" s="705">
        <v>212</v>
      </c>
      <c r="B218" s="718" t="s">
        <v>310</v>
      </c>
      <c r="C218" s="719" t="s">
        <v>311</v>
      </c>
      <c r="D218" s="708">
        <v>293453</v>
      </c>
      <c r="E218" s="708">
        <v>189990000</v>
      </c>
      <c r="F218" s="133">
        <v>94112237</v>
      </c>
      <c r="G218" s="133">
        <v>-8682221</v>
      </c>
      <c r="H218" s="133">
        <v>1796926</v>
      </c>
      <c r="I218" s="133">
        <v>-6885295</v>
      </c>
      <c r="J218" s="133">
        <v>-5705789</v>
      </c>
      <c r="K218" s="133">
        <v>-16329</v>
      </c>
      <c r="L218" s="133">
        <v>-14343</v>
      </c>
      <c r="M218" s="133">
        <v>0</v>
      </c>
      <c r="N218" s="133">
        <v>-2260058</v>
      </c>
      <c r="O218" s="133">
        <v>-105183</v>
      </c>
      <c r="P218" s="133">
        <v>-656907</v>
      </c>
      <c r="Q218" s="133">
        <v>-4082</v>
      </c>
      <c r="R218" s="133">
        <v>0</v>
      </c>
      <c r="S218" s="133">
        <v>0</v>
      </c>
      <c r="T218" s="133">
        <v>-206859</v>
      </c>
      <c r="U218" s="133">
        <v>-206859</v>
      </c>
      <c r="V218" s="133">
        <v>0</v>
      </c>
      <c r="W218" s="709"/>
      <c r="X218" s="709"/>
      <c r="Y218" s="709"/>
      <c r="Z218" s="133">
        <v>-14343</v>
      </c>
      <c r="AA218" s="133">
        <v>0</v>
      </c>
      <c r="AB218" s="133">
        <v>78670594</v>
      </c>
      <c r="AC218" s="133">
        <v>-3079597</v>
      </c>
      <c r="AD218" s="709"/>
      <c r="AE218" s="710">
        <v>343</v>
      </c>
      <c r="AF218" s="711">
        <v>9</v>
      </c>
      <c r="AG218" s="710">
        <v>10</v>
      </c>
      <c r="AH218" s="710">
        <v>0</v>
      </c>
      <c r="AI218" s="710">
        <v>330</v>
      </c>
      <c r="AJ218" s="710">
        <v>58</v>
      </c>
      <c r="AK218" s="710">
        <v>11</v>
      </c>
      <c r="AL218" s="710">
        <v>9</v>
      </c>
      <c r="AM218" s="710">
        <v>0</v>
      </c>
      <c r="AN218" s="710">
        <v>0</v>
      </c>
      <c r="AO218" s="710">
        <v>25</v>
      </c>
      <c r="AP218" s="711">
        <v>0</v>
      </c>
      <c r="AQ218" s="709"/>
      <c r="AR218" s="709"/>
      <c r="AS218" s="720">
        <v>629</v>
      </c>
      <c r="AT218" s="710">
        <v>3558</v>
      </c>
      <c r="AU218" s="710">
        <v>3412</v>
      </c>
      <c r="AV218" s="710">
        <v>146</v>
      </c>
      <c r="AW218" s="710">
        <v>3449</v>
      </c>
      <c r="AX218" s="712">
        <v>7685</v>
      </c>
      <c r="AY218" s="683">
        <v>-28282</v>
      </c>
      <c r="AZ218" s="713">
        <v>2130123</v>
      </c>
      <c r="BA218" s="714">
        <v>2092611</v>
      </c>
      <c r="BB218" s="715">
        <v>19462200</v>
      </c>
      <c r="BC218" s="715">
        <v>609750</v>
      </c>
      <c r="BD218" s="716">
        <v>2092610.900000006</v>
      </c>
      <c r="BE218" s="420"/>
      <c r="BF218" s="717" t="s">
        <v>311</v>
      </c>
      <c r="BG218" s="118" t="b">
        <v>1</v>
      </c>
      <c r="BH218" s="494"/>
      <c r="BI218" s="420"/>
      <c r="BJ218" s="420"/>
      <c r="BK218" s="420"/>
      <c r="BL218" s="420"/>
      <c r="BM218" s="420"/>
      <c r="BN218" s="420"/>
      <c r="BO218" s="420"/>
      <c r="BP218" s="420"/>
      <c r="BQ218" s="420"/>
      <c r="BR218" s="420"/>
      <c r="BS218" s="420"/>
      <c r="BT218" s="420"/>
      <c r="BU218" s="420"/>
      <c r="BV218" s="420"/>
      <c r="BW218" s="420"/>
      <c r="BX218" s="420"/>
      <c r="BY218" s="420"/>
      <c r="BZ218" s="420"/>
      <c r="CA218" s="420"/>
      <c r="CB218" s="420"/>
      <c r="CC218" s="420"/>
      <c r="CD218" s="420"/>
      <c r="CE218" s="420"/>
      <c r="CF218" s="420"/>
      <c r="CG218" s="420"/>
      <c r="CH218" s="420"/>
      <c r="CI218" s="420"/>
      <c r="CJ218" s="420"/>
      <c r="CK218" s="420"/>
      <c r="CL218" s="420"/>
      <c r="CM218" s="420"/>
      <c r="CN218" s="420"/>
      <c r="CO218" s="420"/>
      <c r="CP218" s="420"/>
      <c r="CQ218" s="420"/>
      <c r="CR218" s="420"/>
    </row>
    <row r="219" spans="1:96" s="118" customFormat="1" ht="12.75" x14ac:dyDescent="0.2">
      <c r="A219" s="705">
        <v>213</v>
      </c>
      <c r="B219" s="718" t="s">
        <v>312</v>
      </c>
      <c r="C219" s="719" t="s">
        <v>313</v>
      </c>
      <c r="D219" s="708">
        <v>134284</v>
      </c>
      <c r="E219" s="708">
        <v>127216000</v>
      </c>
      <c r="F219" s="133">
        <v>63140900</v>
      </c>
      <c r="G219" s="133">
        <v>-3269661</v>
      </c>
      <c r="H219" s="133">
        <v>1314984</v>
      </c>
      <c r="I219" s="133">
        <v>-1954677</v>
      </c>
      <c r="J219" s="133">
        <v>-3234980</v>
      </c>
      <c r="K219" s="133">
        <v>-74453</v>
      </c>
      <c r="L219" s="133">
        <v>-7516</v>
      </c>
      <c r="M219" s="133">
        <v>-200000</v>
      </c>
      <c r="N219" s="133">
        <v>-1159572</v>
      </c>
      <c r="O219" s="133">
        <v>-106404</v>
      </c>
      <c r="P219" s="133">
        <v>-7365</v>
      </c>
      <c r="Q219" s="133">
        <v>0</v>
      </c>
      <c r="R219" s="133">
        <v>0</v>
      </c>
      <c r="S219" s="133">
        <v>0</v>
      </c>
      <c r="T219" s="133">
        <v>0</v>
      </c>
      <c r="U219" s="133">
        <v>0</v>
      </c>
      <c r="V219" s="133">
        <v>0</v>
      </c>
      <c r="W219" s="709"/>
      <c r="X219" s="709"/>
      <c r="Y219" s="709"/>
      <c r="Z219" s="133">
        <v>-7516</v>
      </c>
      <c r="AA219" s="133">
        <v>0</v>
      </c>
      <c r="AB219" s="133">
        <v>56337706</v>
      </c>
      <c r="AC219" s="133">
        <v>-2967620</v>
      </c>
      <c r="AD219" s="709"/>
      <c r="AE219" s="710">
        <v>179</v>
      </c>
      <c r="AF219" s="711">
        <v>11</v>
      </c>
      <c r="AG219" s="710">
        <v>5</v>
      </c>
      <c r="AH219" s="710">
        <v>2</v>
      </c>
      <c r="AI219" s="710">
        <v>204</v>
      </c>
      <c r="AJ219" s="710">
        <v>56</v>
      </c>
      <c r="AK219" s="710">
        <v>1</v>
      </c>
      <c r="AL219" s="710">
        <v>0</v>
      </c>
      <c r="AM219" s="710">
        <v>0</v>
      </c>
      <c r="AN219" s="710">
        <v>0</v>
      </c>
      <c r="AO219" s="710">
        <v>0</v>
      </c>
      <c r="AP219" s="711">
        <v>0</v>
      </c>
      <c r="AQ219" s="709"/>
      <c r="AR219" s="709"/>
      <c r="AS219" s="720">
        <v>764</v>
      </c>
      <c r="AT219" s="710">
        <v>1205</v>
      </c>
      <c r="AU219" s="710">
        <v>1129</v>
      </c>
      <c r="AV219" s="710">
        <v>76</v>
      </c>
      <c r="AW219" s="710">
        <v>1101</v>
      </c>
      <c r="AX219" s="712">
        <v>3047</v>
      </c>
      <c r="AY219" s="683">
        <v>-21644</v>
      </c>
      <c r="AZ219" s="713">
        <v>-314835</v>
      </c>
      <c r="BA219" s="714">
        <v>-1020326</v>
      </c>
      <c r="BB219" s="715">
        <v>15045600</v>
      </c>
      <c r="BC219" s="715">
        <v>0</v>
      </c>
      <c r="BD219" s="716">
        <v>-1020326</v>
      </c>
      <c r="BE219" s="420"/>
      <c r="BF219" s="717" t="s">
        <v>313</v>
      </c>
      <c r="BG219" s="118" t="b">
        <v>1</v>
      </c>
      <c r="BH219" s="494"/>
      <c r="BI219" s="420"/>
      <c r="BJ219" s="420"/>
      <c r="BK219" s="420"/>
      <c r="BL219" s="420"/>
      <c r="BM219" s="420"/>
      <c r="BN219" s="420"/>
      <c r="BO219" s="420"/>
      <c r="BP219" s="420"/>
      <c r="BQ219" s="420"/>
      <c r="BR219" s="420"/>
      <c r="BS219" s="420"/>
      <c r="BT219" s="420"/>
      <c r="BU219" s="420"/>
      <c r="BV219" s="420"/>
      <c r="BW219" s="420"/>
      <c r="BX219" s="420"/>
      <c r="BY219" s="420"/>
      <c r="BZ219" s="420"/>
      <c r="CA219" s="420"/>
      <c r="CB219" s="420"/>
      <c r="CC219" s="420"/>
      <c r="CD219" s="420"/>
      <c r="CE219" s="420"/>
      <c r="CF219" s="420"/>
      <c r="CG219" s="420"/>
      <c r="CH219" s="420"/>
      <c r="CI219" s="420"/>
      <c r="CJ219" s="420"/>
      <c r="CK219" s="420"/>
      <c r="CL219" s="420"/>
      <c r="CM219" s="420"/>
      <c r="CN219" s="420"/>
      <c r="CO219" s="420"/>
      <c r="CP219" s="420"/>
      <c r="CQ219" s="420"/>
      <c r="CR219" s="420"/>
    </row>
    <row r="220" spans="1:96" s="118" customFormat="1" ht="12.75" x14ac:dyDescent="0.2">
      <c r="A220" s="705">
        <v>214</v>
      </c>
      <c r="B220" s="718" t="s">
        <v>314</v>
      </c>
      <c r="C220" s="719" t="s">
        <v>315</v>
      </c>
      <c r="D220" s="708">
        <v>136412</v>
      </c>
      <c r="E220" s="708">
        <v>139406000</v>
      </c>
      <c r="F220" s="133">
        <v>68102992</v>
      </c>
      <c r="G220" s="133">
        <v>-2246474</v>
      </c>
      <c r="H220" s="133">
        <v>1551838</v>
      </c>
      <c r="I220" s="133">
        <v>-694636</v>
      </c>
      <c r="J220" s="133">
        <v>-4023043</v>
      </c>
      <c r="K220" s="133">
        <v>-37840</v>
      </c>
      <c r="L220" s="133">
        <v>0</v>
      </c>
      <c r="M220" s="133">
        <v>0</v>
      </c>
      <c r="N220" s="133">
        <v>-2194045</v>
      </c>
      <c r="O220" s="133">
        <v>-20477</v>
      </c>
      <c r="P220" s="133">
        <v>0</v>
      </c>
      <c r="Q220" s="133">
        <v>0</v>
      </c>
      <c r="R220" s="133">
        <v>0</v>
      </c>
      <c r="S220" s="133">
        <v>0</v>
      </c>
      <c r="T220" s="133">
        <v>0</v>
      </c>
      <c r="U220" s="133">
        <v>0</v>
      </c>
      <c r="V220" s="133">
        <v>0</v>
      </c>
      <c r="W220" s="709"/>
      <c r="X220" s="709"/>
      <c r="Y220" s="709"/>
      <c r="Z220" s="133">
        <v>-18891</v>
      </c>
      <c r="AA220" s="133">
        <v>0</v>
      </c>
      <c r="AB220" s="133">
        <v>59986375</v>
      </c>
      <c r="AC220" s="133">
        <v>-1000000</v>
      </c>
      <c r="AD220" s="709"/>
      <c r="AE220" s="710">
        <v>114</v>
      </c>
      <c r="AF220" s="711">
        <v>11</v>
      </c>
      <c r="AG220" s="710">
        <v>0</v>
      </c>
      <c r="AH220" s="710">
        <v>0</v>
      </c>
      <c r="AI220" s="710">
        <v>264</v>
      </c>
      <c r="AJ220" s="710">
        <v>29</v>
      </c>
      <c r="AK220" s="710">
        <v>0</v>
      </c>
      <c r="AL220" s="710">
        <v>0</v>
      </c>
      <c r="AM220" s="710">
        <v>0</v>
      </c>
      <c r="AN220" s="710">
        <v>0</v>
      </c>
      <c r="AO220" s="710">
        <v>0</v>
      </c>
      <c r="AP220" s="711">
        <v>0</v>
      </c>
      <c r="AQ220" s="709"/>
      <c r="AR220" s="709"/>
      <c r="AS220" s="720">
        <v>757</v>
      </c>
      <c r="AT220" s="710">
        <v>738</v>
      </c>
      <c r="AU220" s="710">
        <v>654</v>
      </c>
      <c r="AV220" s="710">
        <v>84</v>
      </c>
      <c r="AW220" s="710">
        <v>949</v>
      </c>
      <c r="AX220" s="712">
        <v>2675</v>
      </c>
      <c r="AY220" s="683">
        <v>-23975</v>
      </c>
      <c r="AZ220" s="713">
        <v>6100802</v>
      </c>
      <c r="BA220" s="714">
        <v>10673774</v>
      </c>
      <c r="BB220" s="715">
        <v>12524550</v>
      </c>
      <c r="BC220" s="715">
        <v>176000</v>
      </c>
      <c r="BD220" s="716">
        <v>10673774.419999996</v>
      </c>
      <c r="BE220" s="420"/>
      <c r="BF220" s="717" t="s">
        <v>315</v>
      </c>
      <c r="BG220" s="118" t="b">
        <v>1</v>
      </c>
      <c r="BH220" s="494"/>
      <c r="BI220" s="420"/>
      <c r="BJ220" s="420"/>
      <c r="BK220" s="420"/>
      <c r="BL220" s="420"/>
      <c r="BM220" s="420"/>
      <c r="BN220" s="420"/>
      <c r="BO220" s="420"/>
      <c r="BP220" s="420"/>
      <c r="BQ220" s="420"/>
      <c r="BR220" s="420"/>
      <c r="BS220" s="420"/>
      <c r="BT220" s="420"/>
      <c r="BU220" s="420"/>
      <c r="BV220" s="420"/>
      <c r="BW220" s="420"/>
      <c r="BX220" s="420"/>
      <c r="BY220" s="420"/>
      <c r="BZ220" s="420"/>
      <c r="CA220" s="420"/>
      <c r="CB220" s="420"/>
      <c r="CC220" s="420"/>
      <c r="CD220" s="420"/>
      <c r="CE220" s="420"/>
      <c r="CF220" s="420"/>
      <c r="CG220" s="420"/>
      <c r="CH220" s="420"/>
      <c r="CI220" s="420"/>
      <c r="CJ220" s="420"/>
      <c r="CK220" s="420"/>
      <c r="CL220" s="420"/>
      <c r="CM220" s="420"/>
      <c r="CN220" s="420"/>
      <c r="CO220" s="420"/>
      <c r="CP220" s="420"/>
      <c r="CQ220" s="420"/>
      <c r="CR220" s="420"/>
    </row>
    <row r="221" spans="1:96" s="118" customFormat="1" ht="12.75" x14ac:dyDescent="0.2">
      <c r="A221" s="705">
        <v>215</v>
      </c>
      <c r="B221" s="718" t="s">
        <v>316</v>
      </c>
      <c r="C221" s="719" t="s">
        <v>317</v>
      </c>
      <c r="D221" s="708">
        <v>112000</v>
      </c>
      <c r="E221" s="708">
        <v>71633000</v>
      </c>
      <c r="F221" s="133">
        <v>34721605</v>
      </c>
      <c r="G221" s="133">
        <v>-3100019</v>
      </c>
      <c r="H221" s="133">
        <v>625230</v>
      </c>
      <c r="I221" s="133">
        <v>-2474789</v>
      </c>
      <c r="J221" s="133">
        <v>-3017182</v>
      </c>
      <c r="K221" s="133">
        <v>-76284</v>
      </c>
      <c r="L221" s="133">
        <v>-6233</v>
      </c>
      <c r="M221" s="133">
        <v>0</v>
      </c>
      <c r="N221" s="133">
        <v>-114044</v>
      </c>
      <c r="O221" s="133">
        <v>-14633</v>
      </c>
      <c r="P221" s="133">
        <v>-26445</v>
      </c>
      <c r="Q221" s="133">
        <v>-144</v>
      </c>
      <c r="R221" s="133">
        <v>0</v>
      </c>
      <c r="S221" s="133">
        <v>-1765</v>
      </c>
      <c r="T221" s="133">
        <v>0</v>
      </c>
      <c r="U221" s="133">
        <v>0</v>
      </c>
      <c r="V221" s="133">
        <v>0</v>
      </c>
      <c r="W221" s="709"/>
      <c r="X221" s="709"/>
      <c r="Y221" s="709"/>
      <c r="Z221" s="133">
        <v>-6030</v>
      </c>
      <c r="AA221" s="133">
        <v>0</v>
      </c>
      <c r="AB221" s="133">
        <v>30289742</v>
      </c>
      <c r="AC221" s="133">
        <v>-1423618</v>
      </c>
      <c r="AD221" s="709"/>
      <c r="AE221" s="710">
        <v>130</v>
      </c>
      <c r="AF221" s="711">
        <v>22</v>
      </c>
      <c r="AG221" s="710">
        <v>9</v>
      </c>
      <c r="AH221" s="710">
        <v>0</v>
      </c>
      <c r="AI221" s="710">
        <v>132</v>
      </c>
      <c r="AJ221" s="710">
        <v>41</v>
      </c>
      <c r="AK221" s="710">
        <v>4</v>
      </c>
      <c r="AL221" s="710">
        <v>0</v>
      </c>
      <c r="AM221" s="710">
        <v>1</v>
      </c>
      <c r="AN221" s="710">
        <v>0</v>
      </c>
      <c r="AO221" s="710">
        <v>0</v>
      </c>
      <c r="AP221" s="711">
        <v>0</v>
      </c>
      <c r="AQ221" s="709"/>
      <c r="AR221" s="709"/>
      <c r="AS221" s="720">
        <v>438</v>
      </c>
      <c r="AT221" s="710">
        <v>1248</v>
      </c>
      <c r="AU221" s="710">
        <v>1181</v>
      </c>
      <c r="AV221" s="710">
        <v>67</v>
      </c>
      <c r="AW221" s="710">
        <v>1139</v>
      </c>
      <c r="AX221" s="712">
        <v>2901</v>
      </c>
      <c r="AY221" s="683">
        <v>-35443</v>
      </c>
      <c r="AZ221" s="713">
        <v>-498663</v>
      </c>
      <c r="BA221" s="714">
        <v>-714294</v>
      </c>
      <c r="BB221" s="715">
        <v>10486500</v>
      </c>
      <c r="BC221" s="715">
        <v>0</v>
      </c>
      <c r="BD221" s="716">
        <v>-1295055.6000000015</v>
      </c>
      <c r="BE221" s="420"/>
      <c r="BF221" s="717" t="s">
        <v>317</v>
      </c>
      <c r="BG221" s="118" t="b">
        <v>1</v>
      </c>
      <c r="BH221" s="494"/>
      <c r="BI221" s="420"/>
      <c r="BJ221" s="420"/>
      <c r="BK221" s="420"/>
      <c r="BL221" s="420"/>
      <c r="BM221" s="420"/>
      <c r="BN221" s="420"/>
      <c r="BO221" s="420"/>
      <c r="BP221" s="420"/>
      <c r="BQ221" s="420"/>
      <c r="BR221" s="420"/>
      <c r="BS221" s="420"/>
      <c r="BT221" s="420"/>
      <c r="BU221" s="420"/>
      <c r="BV221" s="420"/>
      <c r="BW221" s="420"/>
      <c r="BX221" s="420"/>
      <c r="BY221" s="420"/>
      <c r="BZ221" s="420"/>
      <c r="CA221" s="420"/>
      <c r="CB221" s="420"/>
      <c r="CC221" s="420"/>
      <c r="CD221" s="420"/>
      <c r="CE221" s="420"/>
      <c r="CF221" s="420"/>
      <c r="CG221" s="420"/>
      <c r="CH221" s="420"/>
      <c r="CI221" s="420"/>
      <c r="CJ221" s="420"/>
      <c r="CK221" s="420"/>
      <c r="CL221" s="420"/>
      <c r="CM221" s="420"/>
      <c r="CN221" s="420"/>
      <c r="CO221" s="420"/>
      <c r="CP221" s="420"/>
      <c r="CQ221" s="420"/>
      <c r="CR221" s="420"/>
    </row>
    <row r="222" spans="1:96" s="118" customFormat="1" ht="12.75" x14ac:dyDescent="0.2">
      <c r="A222" s="705">
        <v>216</v>
      </c>
      <c r="B222" s="718" t="s">
        <v>318</v>
      </c>
      <c r="C222" s="719" t="s">
        <v>319</v>
      </c>
      <c r="D222" s="708">
        <v>121930</v>
      </c>
      <c r="E222" s="708">
        <v>121334000</v>
      </c>
      <c r="F222" s="133">
        <v>60403787</v>
      </c>
      <c r="G222" s="133">
        <v>-2224730</v>
      </c>
      <c r="H222" s="133">
        <v>1263191</v>
      </c>
      <c r="I222" s="133">
        <v>-961539</v>
      </c>
      <c r="J222" s="133">
        <v>-2023389</v>
      </c>
      <c r="K222" s="133">
        <v>-21047</v>
      </c>
      <c r="L222" s="133">
        <v>0</v>
      </c>
      <c r="M222" s="133">
        <v>-199522</v>
      </c>
      <c r="N222" s="133">
        <v>-1062186</v>
      </c>
      <c r="O222" s="133">
        <v>-60380</v>
      </c>
      <c r="P222" s="133">
        <v>-313695</v>
      </c>
      <c r="Q222" s="133">
        <v>-5262</v>
      </c>
      <c r="R222" s="133">
        <v>0</v>
      </c>
      <c r="S222" s="133">
        <v>0</v>
      </c>
      <c r="T222" s="133">
        <v>0</v>
      </c>
      <c r="U222" s="133">
        <v>0</v>
      </c>
      <c r="V222" s="133">
        <v>0</v>
      </c>
      <c r="W222" s="709"/>
      <c r="X222" s="709"/>
      <c r="Y222" s="709"/>
      <c r="Z222" s="133">
        <v>0</v>
      </c>
      <c r="AA222" s="133">
        <v>0</v>
      </c>
      <c r="AB222" s="133">
        <v>54035844</v>
      </c>
      <c r="AC222" s="133">
        <v>-3906730</v>
      </c>
      <c r="AD222" s="709"/>
      <c r="AE222" s="710">
        <v>108</v>
      </c>
      <c r="AF222" s="711">
        <v>6</v>
      </c>
      <c r="AG222" s="710">
        <v>0</v>
      </c>
      <c r="AH222" s="710">
        <v>0</v>
      </c>
      <c r="AI222" s="710">
        <v>343</v>
      </c>
      <c r="AJ222" s="710">
        <v>50</v>
      </c>
      <c r="AK222" s="710">
        <v>5</v>
      </c>
      <c r="AL222" s="710">
        <v>6</v>
      </c>
      <c r="AM222" s="710">
        <v>0</v>
      </c>
      <c r="AN222" s="710">
        <v>0</v>
      </c>
      <c r="AO222" s="710">
        <v>0</v>
      </c>
      <c r="AP222" s="711">
        <v>0</v>
      </c>
      <c r="AQ222" s="709"/>
      <c r="AR222" s="709"/>
      <c r="AS222" s="720">
        <v>833</v>
      </c>
      <c r="AT222" s="710">
        <v>749</v>
      </c>
      <c r="AU222" s="710">
        <v>670</v>
      </c>
      <c r="AV222" s="710">
        <v>79</v>
      </c>
      <c r="AW222" s="710">
        <v>1084</v>
      </c>
      <c r="AX222" s="712">
        <v>2655</v>
      </c>
      <c r="AY222" s="683">
        <v>-35707</v>
      </c>
      <c r="AZ222" s="713">
        <v>747005</v>
      </c>
      <c r="BA222" s="714">
        <v>-1918302</v>
      </c>
      <c r="BB222" s="715">
        <v>12858300</v>
      </c>
      <c r="BC222" s="715">
        <v>0</v>
      </c>
      <c r="BD222" s="716">
        <v>-1918301.3999999985</v>
      </c>
      <c r="BE222" s="420"/>
      <c r="BF222" s="717" t="s">
        <v>319</v>
      </c>
      <c r="BG222" s="118" t="b">
        <v>1</v>
      </c>
      <c r="BH222" s="494"/>
      <c r="BI222" s="420"/>
      <c r="BJ222" s="420"/>
      <c r="BK222" s="420"/>
      <c r="BL222" s="420"/>
      <c r="BM222" s="420"/>
      <c r="BN222" s="420"/>
      <c r="BO222" s="420"/>
      <c r="BP222" s="420"/>
      <c r="BQ222" s="420"/>
      <c r="BR222" s="420"/>
      <c r="BS222" s="420"/>
      <c r="BT222" s="420"/>
      <c r="BU222" s="420"/>
      <c r="BV222" s="420"/>
      <c r="BW222" s="420"/>
      <c r="BX222" s="420"/>
      <c r="BY222" s="420"/>
      <c r="BZ222" s="420"/>
      <c r="CA222" s="420"/>
      <c r="CB222" s="420"/>
      <c r="CC222" s="420"/>
      <c r="CD222" s="420"/>
      <c r="CE222" s="420"/>
      <c r="CF222" s="420"/>
      <c r="CG222" s="420"/>
      <c r="CH222" s="420"/>
      <c r="CI222" s="420"/>
      <c r="CJ222" s="420"/>
      <c r="CK222" s="420"/>
      <c r="CL222" s="420"/>
      <c r="CM222" s="420"/>
      <c r="CN222" s="420"/>
      <c r="CO222" s="420"/>
      <c r="CP222" s="420"/>
      <c r="CQ222" s="420"/>
      <c r="CR222" s="420"/>
    </row>
    <row r="223" spans="1:96" s="118" customFormat="1" ht="12.75" x14ac:dyDescent="0.2">
      <c r="A223" s="705">
        <v>217</v>
      </c>
      <c r="B223" s="718" t="s">
        <v>593</v>
      </c>
      <c r="C223" s="719" t="s">
        <v>321</v>
      </c>
      <c r="D223" s="708">
        <v>60925</v>
      </c>
      <c r="E223" s="708">
        <v>32694000</v>
      </c>
      <c r="F223" s="133">
        <v>15966271</v>
      </c>
      <c r="G223" s="133">
        <v>-1849522</v>
      </c>
      <c r="H223" s="133">
        <v>272079</v>
      </c>
      <c r="I223" s="133">
        <v>-1577443</v>
      </c>
      <c r="J223" s="133">
        <v>-1690391</v>
      </c>
      <c r="K223" s="133">
        <v>-22960</v>
      </c>
      <c r="L223" s="133">
        <v>-10348</v>
      </c>
      <c r="M223" s="133">
        <v>0</v>
      </c>
      <c r="N223" s="133">
        <v>-148913</v>
      </c>
      <c r="O223" s="133">
        <v>-56401</v>
      </c>
      <c r="P223" s="133">
        <v>-23470</v>
      </c>
      <c r="Q223" s="133">
        <v>-2309</v>
      </c>
      <c r="R223" s="133">
        <v>0</v>
      </c>
      <c r="S223" s="133">
        <v>0</v>
      </c>
      <c r="T223" s="133">
        <v>0</v>
      </c>
      <c r="U223" s="133">
        <v>0</v>
      </c>
      <c r="V223" s="133">
        <v>0</v>
      </c>
      <c r="W223" s="709"/>
      <c r="X223" s="709"/>
      <c r="Y223" s="709"/>
      <c r="Z223" s="133">
        <v>-10348</v>
      </c>
      <c r="AA223" s="133">
        <v>0</v>
      </c>
      <c r="AB223" s="133">
        <v>11772878</v>
      </c>
      <c r="AC223" s="133">
        <v>-734448</v>
      </c>
      <c r="AD223" s="709"/>
      <c r="AE223" s="710">
        <v>95</v>
      </c>
      <c r="AF223" s="711">
        <v>7</v>
      </c>
      <c r="AG223" s="710">
        <v>10</v>
      </c>
      <c r="AH223" s="710">
        <v>0</v>
      </c>
      <c r="AI223" s="710">
        <v>76</v>
      </c>
      <c r="AJ223" s="710">
        <v>51</v>
      </c>
      <c r="AK223" s="710">
        <v>2</v>
      </c>
      <c r="AL223" s="710">
        <v>0</v>
      </c>
      <c r="AM223" s="710">
        <v>10</v>
      </c>
      <c r="AN223" s="710">
        <v>0</v>
      </c>
      <c r="AO223" s="710">
        <v>0</v>
      </c>
      <c r="AP223" s="711">
        <v>65</v>
      </c>
      <c r="AQ223" s="709"/>
      <c r="AR223" s="709"/>
      <c r="AS223" s="720">
        <v>308</v>
      </c>
      <c r="AT223" s="710">
        <v>780</v>
      </c>
      <c r="AU223" s="710">
        <v>741</v>
      </c>
      <c r="AV223" s="710">
        <v>39</v>
      </c>
      <c r="AW223" s="710">
        <v>556</v>
      </c>
      <c r="AX223" s="712">
        <v>1661</v>
      </c>
      <c r="AY223" s="683">
        <v>-18247</v>
      </c>
      <c r="AZ223" s="713">
        <v>4360</v>
      </c>
      <c r="BA223" s="714">
        <v>-125193</v>
      </c>
      <c r="BB223" s="715">
        <v>4192500</v>
      </c>
      <c r="BC223" s="715">
        <v>0</v>
      </c>
      <c r="BD223" s="716">
        <v>-125193.32999999996</v>
      </c>
      <c r="BE223" s="420"/>
      <c r="BF223" s="717" t="s">
        <v>321</v>
      </c>
      <c r="BG223" s="118" t="b">
        <v>1</v>
      </c>
      <c r="BH223" s="494"/>
      <c r="BI223" s="420"/>
      <c r="BJ223" s="420"/>
      <c r="BK223" s="420"/>
      <c r="BL223" s="420"/>
      <c r="BM223" s="420"/>
      <c r="BN223" s="420"/>
      <c r="BO223" s="420"/>
      <c r="BP223" s="420"/>
      <c r="BQ223" s="420"/>
      <c r="BR223" s="420"/>
      <c r="BS223" s="420"/>
      <c r="BT223" s="420"/>
      <c r="BU223" s="420"/>
      <c r="BV223" s="420"/>
      <c r="BW223" s="420"/>
      <c r="BX223" s="420"/>
      <c r="BY223" s="420"/>
      <c r="BZ223" s="420"/>
      <c r="CA223" s="420"/>
      <c r="CB223" s="420"/>
      <c r="CC223" s="420"/>
      <c r="CD223" s="420"/>
      <c r="CE223" s="420"/>
      <c r="CF223" s="420"/>
      <c r="CG223" s="420"/>
      <c r="CH223" s="420"/>
      <c r="CI223" s="420"/>
      <c r="CJ223" s="420"/>
      <c r="CK223" s="420"/>
      <c r="CL223" s="420"/>
      <c r="CM223" s="420"/>
      <c r="CN223" s="420"/>
      <c r="CO223" s="420"/>
      <c r="CP223" s="420"/>
      <c r="CQ223" s="420"/>
      <c r="CR223" s="420"/>
    </row>
    <row r="224" spans="1:96" s="118" customFormat="1" ht="12.75" x14ac:dyDescent="0.2">
      <c r="A224" s="705">
        <v>218</v>
      </c>
      <c r="B224" s="718" t="s">
        <v>322</v>
      </c>
      <c r="C224" s="719" t="s">
        <v>323</v>
      </c>
      <c r="D224" s="708">
        <v>108996</v>
      </c>
      <c r="E224" s="708">
        <v>48890000</v>
      </c>
      <c r="F224" s="133">
        <v>23814350</v>
      </c>
      <c r="G224" s="133">
        <v>-3600000</v>
      </c>
      <c r="H224" s="133">
        <v>326000</v>
      </c>
      <c r="I224" s="133">
        <v>-3274000</v>
      </c>
      <c r="J224" s="133">
        <v>-1070000</v>
      </c>
      <c r="K224" s="133">
        <v>-13200</v>
      </c>
      <c r="L224" s="133">
        <v>-32500</v>
      </c>
      <c r="M224" s="133">
        <v>0</v>
      </c>
      <c r="N224" s="133">
        <v>-330000</v>
      </c>
      <c r="O224" s="133">
        <v>-102000</v>
      </c>
      <c r="P224" s="133">
        <v>-55000</v>
      </c>
      <c r="Q224" s="133">
        <v>-3300</v>
      </c>
      <c r="R224" s="133">
        <v>0</v>
      </c>
      <c r="S224" s="133">
        <v>0</v>
      </c>
      <c r="T224" s="133">
        <v>0</v>
      </c>
      <c r="U224" s="133">
        <v>0</v>
      </c>
      <c r="V224" s="133">
        <v>0</v>
      </c>
      <c r="W224" s="709"/>
      <c r="X224" s="709"/>
      <c r="Y224" s="709"/>
      <c r="Z224" s="133">
        <v>-32500</v>
      </c>
      <c r="AA224" s="133">
        <v>-1500</v>
      </c>
      <c r="AB224" s="133">
        <v>17811870</v>
      </c>
      <c r="AC224" s="133">
        <v>-1080000</v>
      </c>
      <c r="AD224" s="709"/>
      <c r="AE224" s="710">
        <v>183</v>
      </c>
      <c r="AF224" s="711">
        <v>3</v>
      </c>
      <c r="AG224" s="710">
        <v>24</v>
      </c>
      <c r="AH224" s="710">
        <v>0</v>
      </c>
      <c r="AI224" s="710">
        <v>101</v>
      </c>
      <c r="AJ224" s="710">
        <v>125</v>
      </c>
      <c r="AK224" s="710">
        <v>47</v>
      </c>
      <c r="AL224" s="710">
        <v>3</v>
      </c>
      <c r="AM224" s="710">
        <v>0</v>
      </c>
      <c r="AN224" s="710">
        <v>0</v>
      </c>
      <c r="AO224" s="710">
        <v>0</v>
      </c>
      <c r="AP224" s="711">
        <v>0</v>
      </c>
      <c r="AQ224" s="709"/>
      <c r="AR224" s="709"/>
      <c r="AS224" s="720">
        <v>575</v>
      </c>
      <c r="AT224" s="710">
        <v>1485</v>
      </c>
      <c r="AU224" s="710">
        <v>1403</v>
      </c>
      <c r="AV224" s="710">
        <v>82</v>
      </c>
      <c r="AW224" s="710">
        <v>960</v>
      </c>
      <c r="AX224" s="712">
        <v>3058</v>
      </c>
      <c r="AY224" s="683">
        <v>-35000</v>
      </c>
      <c r="AZ224" s="713">
        <v>-938646</v>
      </c>
      <c r="BA224" s="714">
        <v>-508825</v>
      </c>
      <c r="BB224" s="715">
        <v>8704000</v>
      </c>
      <c r="BC224" s="715">
        <v>0</v>
      </c>
      <c r="BD224" s="716">
        <v>-508826</v>
      </c>
      <c r="BE224" s="420"/>
      <c r="BF224" s="717" t="s">
        <v>323</v>
      </c>
      <c r="BG224" s="118" t="b">
        <v>1</v>
      </c>
      <c r="BH224" s="494"/>
      <c r="BI224" s="420"/>
      <c r="BJ224" s="420"/>
      <c r="BK224" s="420"/>
      <c r="BL224" s="420"/>
      <c r="BM224" s="420"/>
      <c r="BN224" s="420"/>
      <c r="BO224" s="420"/>
      <c r="BP224" s="420"/>
      <c r="BQ224" s="420"/>
      <c r="BR224" s="420"/>
      <c r="BS224" s="420"/>
      <c r="BT224" s="420"/>
      <c r="BU224" s="420"/>
      <c r="BV224" s="420"/>
      <c r="BW224" s="420"/>
      <c r="BX224" s="420"/>
      <c r="BY224" s="420"/>
      <c r="BZ224" s="420"/>
      <c r="CA224" s="420"/>
      <c r="CB224" s="420"/>
      <c r="CC224" s="420"/>
      <c r="CD224" s="420"/>
      <c r="CE224" s="420"/>
      <c r="CF224" s="420"/>
      <c r="CG224" s="420"/>
      <c r="CH224" s="420"/>
      <c r="CI224" s="420"/>
      <c r="CJ224" s="420"/>
      <c r="CK224" s="420"/>
      <c r="CL224" s="420"/>
      <c r="CM224" s="420"/>
      <c r="CN224" s="420"/>
      <c r="CO224" s="420"/>
      <c r="CP224" s="420"/>
      <c r="CQ224" s="420"/>
      <c r="CR224" s="420"/>
    </row>
    <row r="225" spans="1:97" s="118" customFormat="1" ht="12.75" x14ac:dyDescent="0.2">
      <c r="A225" s="705">
        <v>219</v>
      </c>
      <c r="B225" s="718" t="s">
        <v>324</v>
      </c>
      <c r="C225" s="719" t="s">
        <v>325</v>
      </c>
      <c r="D225" s="708">
        <v>441676</v>
      </c>
      <c r="E225" s="708">
        <v>245222000</v>
      </c>
      <c r="F225" s="133">
        <v>122270461</v>
      </c>
      <c r="G225" s="133">
        <v>-8348918</v>
      </c>
      <c r="H225" s="133">
        <v>2297551</v>
      </c>
      <c r="I225" s="133">
        <v>-6051367</v>
      </c>
      <c r="J225" s="133">
        <v>-8708282</v>
      </c>
      <c r="K225" s="133">
        <v>-120871</v>
      </c>
      <c r="L225" s="133">
        <v>0</v>
      </c>
      <c r="M225" s="133">
        <v>-14419</v>
      </c>
      <c r="N225" s="133">
        <v>-5867433</v>
      </c>
      <c r="O225" s="133">
        <v>-256725</v>
      </c>
      <c r="P225" s="133">
        <v>-94875</v>
      </c>
      <c r="Q225" s="133">
        <v>-813</v>
      </c>
      <c r="R225" s="133">
        <v>0</v>
      </c>
      <c r="S225" s="133">
        <v>0</v>
      </c>
      <c r="T225" s="133">
        <v>0</v>
      </c>
      <c r="U225" s="133">
        <v>0</v>
      </c>
      <c r="V225" s="133">
        <v>0</v>
      </c>
      <c r="W225" s="709"/>
      <c r="X225" s="709"/>
      <c r="Y225" s="709"/>
      <c r="Z225" s="133">
        <v>0</v>
      </c>
      <c r="AA225" s="133">
        <v>0</v>
      </c>
      <c r="AB225" s="133">
        <v>100341879</v>
      </c>
      <c r="AC225" s="133">
        <v>-5510042</v>
      </c>
      <c r="AD225" s="709"/>
      <c r="AE225" s="710">
        <v>366</v>
      </c>
      <c r="AF225" s="711">
        <v>13</v>
      </c>
      <c r="AG225" s="710">
        <v>0</v>
      </c>
      <c r="AH225" s="710">
        <v>1</v>
      </c>
      <c r="AI225" s="710">
        <v>2895</v>
      </c>
      <c r="AJ225" s="710">
        <v>109</v>
      </c>
      <c r="AK225" s="710">
        <v>18</v>
      </c>
      <c r="AL225" s="710">
        <v>2</v>
      </c>
      <c r="AM225" s="710">
        <v>0</v>
      </c>
      <c r="AN225" s="710">
        <v>0</v>
      </c>
      <c r="AO225" s="710">
        <v>0</v>
      </c>
      <c r="AP225" s="711">
        <v>0</v>
      </c>
      <c r="AQ225" s="709"/>
      <c r="AR225" s="709"/>
      <c r="AS225" s="720">
        <v>4074</v>
      </c>
      <c r="AT225" s="710">
        <v>3050</v>
      </c>
      <c r="AU225" s="710">
        <v>2930</v>
      </c>
      <c r="AV225" s="710">
        <v>120</v>
      </c>
      <c r="AW225" s="710">
        <v>4495</v>
      </c>
      <c r="AX225" s="712">
        <v>11717</v>
      </c>
      <c r="AY225" s="683">
        <v>-6486</v>
      </c>
      <c r="AZ225" s="713">
        <v>-1282412</v>
      </c>
      <c r="BA225" s="714">
        <v>-13000</v>
      </c>
      <c r="BB225" s="715">
        <v>30310400</v>
      </c>
      <c r="BC225" s="715">
        <v>0</v>
      </c>
      <c r="BD225" s="716">
        <v>-853000</v>
      </c>
      <c r="BE225" s="420"/>
      <c r="BF225" s="717" t="s">
        <v>325</v>
      </c>
      <c r="BG225" s="118" t="b">
        <v>1</v>
      </c>
      <c r="BH225" s="494"/>
      <c r="BI225" s="420"/>
      <c r="BJ225" s="420"/>
      <c r="BK225" s="420"/>
      <c r="BL225" s="420"/>
      <c r="BM225" s="420"/>
      <c r="BN225" s="420"/>
      <c r="BO225" s="420"/>
      <c r="BP225" s="420"/>
      <c r="BQ225" s="420"/>
      <c r="BR225" s="420"/>
      <c r="BS225" s="420"/>
      <c r="BT225" s="420"/>
      <c r="BU225" s="420"/>
      <c r="BV225" s="420"/>
      <c r="BW225" s="420"/>
      <c r="BX225" s="420"/>
      <c r="BY225" s="420"/>
      <c r="BZ225" s="420"/>
      <c r="CA225" s="420"/>
      <c r="CB225" s="420"/>
      <c r="CC225" s="420"/>
      <c r="CD225" s="420"/>
      <c r="CE225" s="420"/>
      <c r="CF225" s="420"/>
      <c r="CG225" s="420"/>
      <c r="CH225" s="420"/>
      <c r="CI225" s="420"/>
      <c r="CJ225" s="420"/>
      <c r="CK225" s="420"/>
      <c r="CL225" s="420"/>
      <c r="CM225" s="420"/>
      <c r="CN225" s="420"/>
      <c r="CO225" s="420"/>
      <c r="CP225" s="420"/>
      <c r="CQ225" s="420"/>
      <c r="CR225" s="420"/>
    </row>
    <row r="226" spans="1:97" s="118" customFormat="1" ht="12.75" x14ac:dyDescent="0.2">
      <c r="A226" s="705">
        <v>220</v>
      </c>
      <c r="B226" s="718" t="s">
        <v>326</v>
      </c>
      <c r="C226" s="719" t="s">
        <v>327</v>
      </c>
      <c r="D226" s="708">
        <v>429531</v>
      </c>
      <c r="E226" s="708">
        <v>259211000</v>
      </c>
      <c r="F226" s="133">
        <v>126829329</v>
      </c>
      <c r="G226" s="133">
        <v>-13550000</v>
      </c>
      <c r="H226" s="133">
        <v>2295611</v>
      </c>
      <c r="I226" s="133">
        <v>-11254389</v>
      </c>
      <c r="J226" s="133">
        <v>-6365718</v>
      </c>
      <c r="K226" s="133">
        <v>-80477</v>
      </c>
      <c r="L226" s="133">
        <v>0</v>
      </c>
      <c r="M226" s="133">
        <v>-127000</v>
      </c>
      <c r="N226" s="133">
        <v>-3510000</v>
      </c>
      <c r="O226" s="133">
        <v>-430278</v>
      </c>
      <c r="P226" s="133">
        <v>-332601</v>
      </c>
      <c r="Q226" s="133">
        <v>-13084</v>
      </c>
      <c r="R226" s="133">
        <v>0</v>
      </c>
      <c r="S226" s="133">
        <v>0</v>
      </c>
      <c r="T226" s="133">
        <v>0</v>
      </c>
      <c r="U226" s="133">
        <v>0</v>
      </c>
      <c r="V226" s="133">
        <v>0</v>
      </c>
      <c r="W226" s="709"/>
      <c r="X226" s="709"/>
      <c r="Y226" s="709"/>
      <c r="Z226" s="133">
        <v>0</v>
      </c>
      <c r="AA226" s="133">
        <v>-1500</v>
      </c>
      <c r="AB226" s="133">
        <v>104143392</v>
      </c>
      <c r="AC226" s="133">
        <v>-3500000</v>
      </c>
      <c r="AD226" s="709"/>
      <c r="AE226" s="710">
        <v>323</v>
      </c>
      <c r="AF226" s="711">
        <v>8</v>
      </c>
      <c r="AG226" s="710">
        <v>0</v>
      </c>
      <c r="AH226" s="710">
        <v>12</v>
      </c>
      <c r="AI226" s="710">
        <v>1310</v>
      </c>
      <c r="AJ226" s="710">
        <v>147</v>
      </c>
      <c r="AK226" s="710">
        <v>15</v>
      </c>
      <c r="AL226" s="710">
        <v>5</v>
      </c>
      <c r="AM226" s="710">
        <v>0</v>
      </c>
      <c r="AN226" s="710">
        <v>0</v>
      </c>
      <c r="AO226" s="710">
        <v>0</v>
      </c>
      <c r="AP226" s="711">
        <v>0</v>
      </c>
      <c r="AQ226" s="709"/>
      <c r="AR226" s="709"/>
      <c r="AS226" s="720">
        <v>962</v>
      </c>
      <c r="AT226" s="710">
        <v>5228</v>
      </c>
      <c r="AU226" s="710">
        <v>4956</v>
      </c>
      <c r="AV226" s="710">
        <v>272</v>
      </c>
      <c r="AW226" s="710">
        <v>5524</v>
      </c>
      <c r="AX226" s="712">
        <v>11249</v>
      </c>
      <c r="AY226" s="683">
        <v>-35000</v>
      </c>
      <c r="AZ226" s="713">
        <v>1200222</v>
      </c>
      <c r="BA226" s="714">
        <v>54651</v>
      </c>
      <c r="BB226" s="715">
        <v>37380324</v>
      </c>
      <c r="BC226" s="715">
        <v>0</v>
      </c>
      <c r="BD226" s="716">
        <v>2571386</v>
      </c>
      <c r="BE226" s="420"/>
      <c r="BF226" s="717" t="s">
        <v>327</v>
      </c>
      <c r="BG226" s="118" t="b">
        <v>1</v>
      </c>
      <c r="BH226" s="494"/>
      <c r="BI226" s="420"/>
      <c r="BJ226" s="420"/>
      <c r="BK226" s="420"/>
      <c r="BL226" s="420"/>
      <c r="BM226" s="420"/>
      <c r="BN226" s="420"/>
      <c r="BO226" s="420"/>
      <c r="BP226" s="420"/>
      <c r="BQ226" s="420"/>
      <c r="BR226" s="420"/>
      <c r="BS226" s="420"/>
      <c r="BT226" s="420"/>
      <c r="BU226" s="420"/>
      <c r="BV226" s="420"/>
      <c r="BW226" s="420"/>
      <c r="BX226" s="420"/>
      <c r="BY226" s="420"/>
      <c r="BZ226" s="420"/>
      <c r="CA226" s="420"/>
      <c r="CB226" s="420"/>
      <c r="CC226" s="420"/>
      <c r="CD226" s="420"/>
      <c r="CE226" s="420"/>
      <c r="CF226" s="420"/>
      <c r="CG226" s="420"/>
      <c r="CH226" s="420"/>
      <c r="CI226" s="420"/>
      <c r="CJ226" s="420"/>
      <c r="CK226" s="420"/>
      <c r="CL226" s="420"/>
      <c r="CM226" s="420"/>
      <c r="CN226" s="420"/>
      <c r="CO226" s="420"/>
      <c r="CP226" s="420"/>
      <c r="CQ226" s="420"/>
      <c r="CR226" s="420"/>
    </row>
    <row r="227" spans="1:97" s="118" customFormat="1" ht="12.75" x14ac:dyDescent="0.2">
      <c r="A227" s="705">
        <v>221</v>
      </c>
      <c r="B227" s="718" t="s">
        <v>328</v>
      </c>
      <c r="C227" s="719" t="s">
        <v>329</v>
      </c>
      <c r="D227" s="708">
        <v>266936</v>
      </c>
      <c r="E227" s="708">
        <v>105265000</v>
      </c>
      <c r="F227" s="133">
        <v>51302576</v>
      </c>
      <c r="G227" s="133">
        <v>-9446500</v>
      </c>
      <c r="H227" s="133">
        <v>732896</v>
      </c>
      <c r="I227" s="133">
        <v>-8713604</v>
      </c>
      <c r="J227" s="133">
        <v>-2593282</v>
      </c>
      <c r="K227" s="133">
        <v>-113848</v>
      </c>
      <c r="L227" s="133">
        <v>-29554</v>
      </c>
      <c r="M227" s="133">
        <v>-5000</v>
      </c>
      <c r="N227" s="133">
        <v>-810203</v>
      </c>
      <c r="O227" s="133">
        <v>-224604</v>
      </c>
      <c r="P227" s="133">
        <v>-94194</v>
      </c>
      <c r="Q227" s="133">
        <v>0</v>
      </c>
      <c r="R227" s="133">
        <v>0</v>
      </c>
      <c r="S227" s="133">
        <v>0</v>
      </c>
      <c r="T227" s="133">
        <v>0</v>
      </c>
      <c r="U227" s="133">
        <v>0</v>
      </c>
      <c r="V227" s="133">
        <v>0</v>
      </c>
      <c r="W227" s="709"/>
      <c r="X227" s="709"/>
      <c r="Y227" s="709"/>
      <c r="Z227" s="133">
        <v>-29554</v>
      </c>
      <c r="AA227" s="133">
        <v>-1500</v>
      </c>
      <c r="AB227" s="133">
        <v>35206964</v>
      </c>
      <c r="AC227" s="133">
        <v>-1855000</v>
      </c>
      <c r="AD227" s="709"/>
      <c r="AE227" s="710">
        <v>298</v>
      </c>
      <c r="AF227" s="711">
        <v>28</v>
      </c>
      <c r="AG227" s="710">
        <v>20</v>
      </c>
      <c r="AH227" s="710">
        <v>0</v>
      </c>
      <c r="AI227" s="710">
        <v>284</v>
      </c>
      <c r="AJ227" s="710">
        <v>169</v>
      </c>
      <c r="AK227" s="710">
        <v>61</v>
      </c>
      <c r="AL227" s="710">
        <v>0</v>
      </c>
      <c r="AM227" s="710">
        <v>0</v>
      </c>
      <c r="AN227" s="710">
        <v>0</v>
      </c>
      <c r="AO227" s="710">
        <v>0</v>
      </c>
      <c r="AP227" s="711">
        <v>0</v>
      </c>
      <c r="AQ227" s="709"/>
      <c r="AR227" s="709"/>
      <c r="AS227" s="720">
        <v>1063</v>
      </c>
      <c r="AT227" s="710">
        <v>3999</v>
      </c>
      <c r="AU227" s="710">
        <v>3863</v>
      </c>
      <c r="AV227" s="710">
        <v>136</v>
      </c>
      <c r="AW227" s="710">
        <v>2380</v>
      </c>
      <c r="AX227" s="712">
        <v>7628</v>
      </c>
      <c r="AY227" s="683">
        <v>-66803</v>
      </c>
      <c r="AZ227" s="713">
        <v>-828243.28999999911</v>
      </c>
      <c r="BA227" s="714">
        <v>-424836.28999999911</v>
      </c>
      <c r="BB227" s="715">
        <v>17534950</v>
      </c>
      <c r="BC227" s="715">
        <v>0</v>
      </c>
      <c r="BD227" s="716">
        <v>-424833.28999999911</v>
      </c>
      <c r="BE227" s="420"/>
      <c r="BF227" s="717" t="s">
        <v>329</v>
      </c>
      <c r="BG227" s="118" t="b">
        <v>1</v>
      </c>
      <c r="BH227" s="494"/>
      <c r="BI227" s="420"/>
      <c r="BJ227" s="420"/>
      <c r="BK227" s="420"/>
      <c r="BL227" s="420"/>
      <c r="BM227" s="420"/>
      <c r="BN227" s="420"/>
      <c r="BO227" s="420"/>
      <c r="BP227" s="420"/>
      <c r="BQ227" s="420"/>
      <c r="BR227" s="420"/>
      <c r="BS227" s="420"/>
      <c r="BT227" s="420"/>
      <c r="BU227" s="420"/>
      <c r="BV227" s="420"/>
      <c r="BW227" s="420"/>
      <c r="BX227" s="420"/>
      <c r="BY227" s="420"/>
      <c r="BZ227" s="420"/>
      <c r="CA227" s="420"/>
      <c r="CB227" s="420"/>
      <c r="CC227" s="420"/>
      <c r="CD227" s="420"/>
      <c r="CE227" s="420"/>
      <c r="CF227" s="420"/>
      <c r="CG227" s="420"/>
      <c r="CH227" s="420"/>
      <c r="CI227" s="420"/>
      <c r="CJ227" s="420"/>
      <c r="CK227" s="420"/>
      <c r="CL227" s="420"/>
      <c r="CM227" s="420"/>
      <c r="CN227" s="420"/>
      <c r="CO227" s="420"/>
      <c r="CP227" s="420"/>
      <c r="CQ227" s="420"/>
      <c r="CR227" s="420"/>
    </row>
    <row r="228" spans="1:97" s="118" customFormat="1" ht="12.75" x14ac:dyDescent="0.2">
      <c r="A228" s="705">
        <v>222</v>
      </c>
      <c r="B228" s="718" t="s">
        <v>330</v>
      </c>
      <c r="C228" s="719" t="s">
        <v>331</v>
      </c>
      <c r="D228" s="708">
        <v>168151</v>
      </c>
      <c r="E228" s="708">
        <v>108488000</v>
      </c>
      <c r="F228" s="133">
        <v>52620801</v>
      </c>
      <c r="G228" s="133">
        <v>-4803753</v>
      </c>
      <c r="H228" s="133">
        <v>968763</v>
      </c>
      <c r="I228" s="133">
        <v>-3834990</v>
      </c>
      <c r="J228" s="133">
        <v>-3065633</v>
      </c>
      <c r="K228" s="133">
        <v>-35142</v>
      </c>
      <c r="L228" s="133">
        <v>-58394</v>
      </c>
      <c r="M228" s="133">
        <v>0</v>
      </c>
      <c r="N228" s="133">
        <v>-1637223</v>
      </c>
      <c r="O228" s="133">
        <v>-88664</v>
      </c>
      <c r="P228" s="133">
        <v>-15539</v>
      </c>
      <c r="Q228" s="133">
        <v>0</v>
      </c>
      <c r="R228" s="133">
        <v>0</v>
      </c>
      <c r="S228" s="133">
        <v>0</v>
      </c>
      <c r="T228" s="133">
        <v>0</v>
      </c>
      <c r="U228" s="133">
        <v>0</v>
      </c>
      <c r="V228" s="133">
        <v>0</v>
      </c>
      <c r="W228" s="709"/>
      <c r="X228" s="709"/>
      <c r="Y228" s="709"/>
      <c r="Z228" s="133">
        <v>-58394</v>
      </c>
      <c r="AA228" s="133">
        <v>0</v>
      </c>
      <c r="AB228" s="133">
        <v>42982762</v>
      </c>
      <c r="AC228" s="133">
        <v>-1130554</v>
      </c>
      <c r="AD228" s="709"/>
      <c r="AE228" s="710">
        <v>236</v>
      </c>
      <c r="AF228" s="711">
        <v>13</v>
      </c>
      <c r="AG228" s="710">
        <v>46</v>
      </c>
      <c r="AH228" s="710">
        <v>2</v>
      </c>
      <c r="AI228" s="710">
        <v>500</v>
      </c>
      <c r="AJ228" s="710">
        <v>107</v>
      </c>
      <c r="AK228" s="710">
        <v>4</v>
      </c>
      <c r="AL228" s="710">
        <v>0</v>
      </c>
      <c r="AM228" s="710">
        <v>0</v>
      </c>
      <c r="AN228" s="710">
        <v>0</v>
      </c>
      <c r="AO228" s="710">
        <v>0</v>
      </c>
      <c r="AP228" s="711">
        <v>0</v>
      </c>
      <c r="AQ228" s="709"/>
      <c r="AR228" s="709"/>
      <c r="AS228" s="720">
        <v>381</v>
      </c>
      <c r="AT228" s="710">
        <v>1927</v>
      </c>
      <c r="AU228" s="710">
        <v>1844</v>
      </c>
      <c r="AV228" s="710">
        <v>83</v>
      </c>
      <c r="AW228" s="710">
        <v>2090</v>
      </c>
      <c r="AX228" s="712">
        <v>4405</v>
      </c>
      <c r="AY228" s="683">
        <v>-50646</v>
      </c>
      <c r="AZ228" s="713">
        <v>150041</v>
      </c>
      <c r="BA228" s="714">
        <v>1126209</v>
      </c>
      <c r="BB228" s="715">
        <v>15421890</v>
      </c>
      <c r="BC228" s="715">
        <v>0</v>
      </c>
      <c r="BD228" s="716">
        <v>1126210</v>
      </c>
      <c r="BE228" s="420"/>
      <c r="BF228" s="717" t="s">
        <v>331</v>
      </c>
      <c r="BG228" s="118" t="b">
        <v>1</v>
      </c>
      <c r="BH228" s="494"/>
      <c r="BI228" s="420"/>
      <c r="BJ228" s="420"/>
      <c r="BK228" s="420"/>
      <c r="BL228" s="420"/>
      <c r="BM228" s="420"/>
      <c r="BN228" s="420"/>
      <c r="BO228" s="420"/>
      <c r="BP228" s="420"/>
      <c r="BQ228" s="420"/>
      <c r="BR228" s="420"/>
      <c r="BS228" s="420"/>
      <c r="BT228" s="420"/>
      <c r="BU228" s="420"/>
      <c r="BV228" s="420"/>
      <c r="BW228" s="420"/>
      <c r="BX228" s="420"/>
      <c r="BY228" s="420"/>
      <c r="BZ228" s="420"/>
      <c r="CA228" s="420"/>
      <c r="CB228" s="420"/>
      <c r="CC228" s="420"/>
      <c r="CD228" s="420"/>
      <c r="CE228" s="420"/>
      <c r="CF228" s="420"/>
      <c r="CG228" s="420"/>
      <c r="CH228" s="420"/>
      <c r="CI228" s="420"/>
      <c r="CJ228" s="420"/>
      <c r="CK228" s="420"/>
      <c r="CL228" s="420"/>
      <c r="CM228" s="420"/>
      <c r="CN228" s="420"/>
      <c r="CO228" s="420"/>
      <c r="CP228" s="420"/>
      <c r="CQ228" s="420"/>
      <c r="CR228" s="420"/>
    </row>
    <row r="229" spans="1:97" s="118" customFormat="1" ht="12.75" x14ac:dyDescent="0.2">
      <c r="A229" s="705">
        <v>223</v>
      </c>
      <c r="B229" s="718" t="s">
        <v>332</v>
      </c>
      <c r="C229" s="719" t="s">
        <v>333</v>
      </c>
      <c r="D229" s="708">
        <v>305270</v>
      </c>
      <c r="E229" s="708">
        <v>183412000</v>
      </c>
      <c r="F229" s="133">
        <v>89606723</v>
      </c>
      <c r="G229" s="133">
        <v>-9186740</v>
      </c>
      <c r="H229" s="133">
        <v>1606083</v>
      </c>
      <c r="I229" s="133">
        <v>-7580657</v>
      </c>
      <c r="J229" s="133">
        <v>-4699427</v>
      </c>
      <c r="K229" s="133">
        <v>-26453</v>
      </c>
      <c r="L229" s="133">
        <v>-1228</v>
      </c>
      <c r="M229" s="133">
        <v>0</v>
      </c>
      <c r="N229" s="133">
        <v>-1771612</v>
      </c>
      <c r="O229" s="133">
        <v>-251096</v>
      </c>
      <c r="P229" s="133">
        <v>-65000</v>
      </c>
      <c r="Q229" s="133">
        <v>0</v>
      </c>
      <c r="R229" s="133">
        <v>0</v>
      </c>
      <c r="S229" s="133">
        <v>0</v>
      </c>
      <c r="T229" s="133">
        <v>-20000</v>
      </c>
      <c r="U229" s="133">
        <v>0</v>
      </c>
      <c r="V229" s="133">
        <v>0</v>
      </c>
      <c r="W229" s="709"/>
      <c r="X229" s="709"/>
      <c r="Y229" s="709"/>
      <c r="Z229" s="133">
        <v>0</v>
      </c>
      <c r="AA229" s="133">
        <v>-1500</v>
      </c>
      <c r="AB229" s="133">
        <v>70858683</v>
      </c>
      <c r="AC229" s="133">
        <v>-3840000</v>
      </c>
      <c r="AD229" s="709"/>
      <c r="AE229" s="710">
        <v>299</v>
      </c>
      <c r="AF229" s="711">
        <v>14</v>
      </c>
      <c r="AG229" s="710">
        <v>1</v>
      </c>
      <c r="AH229" s="710">
        <v>0</v>
      </c>
      <c r="AI229" s="710">
        <v>795</v>
      </c>
      <c r="AJ229" s="710">
        <v>44</v>
      </c>
      <c r="AK229" s="710">
        <v>12</v>
      </c>
      <c r="AL229" s="710">
        <v>0</v>
      </c>
      <c r="AM229" s="710">
        <v>0</v>
      </c>
      <c r="AN229" s="710">
        <v>0</v>
      </c>
      <c r="AO229" s="710">
        <v>0</v>
      </c>
      <c r="AP229" s="711">
        <v>0</v>
      </c>
      <c r="AQ229" s="709"/>
      <c r="AR229" s="709"/>
      <c r="AS229" s="720">
        <v>1633</v>
      </c>
      <c r="AT229" s="710">
        <v>3680</v>
      </c>
      <c r="AU229" s="710">
        <v>3480</v>
      </c>
      <c r="AV229" s="710">
        <v>200</v>
      </c>
      <c r="AW229" s="710">
        <v>2776</v>
      </c>
      <c r="AX229" s="712">
        <v>8061</v>
      </c>
      <c r="AY229" s="683">
        <v>-23691</v>
      </c>
      <c r="AZ229" s="713">
        <v>1767878</v>
      </c>
      <c r="BA229" s="714">
        <v>1860950</v>
      </c>
      <c r="BB229" s="715">
        <v>24682920</v>
      </c>
      <c r="BC229" s="715">
        <v>0</v>
      </c>
      <c r="BD229" s="716">
        <v>1860950</v>
      </c>
      <c r="BE229" s="420"/>
      <c r="BF229" s="717" t="s">
        <v>333</v>
      </c>
      <c r="BG229" s="118" t="b">
        <v>1</v>
      </c>
      <c r="BH229" s="494"/>
      <c r="BI229" s="420"/>
      <c r="BJ229" s="420"/>
      <c r="BK229" s="420"/>
      <c r="BL229" s="420"/>
      <c r="BM229" s="420"/>
      <c r="BN229" s="420"/>
      <c r="BO229" s="420"/>
      <c r="BP229" s="420"/>
      <c r="BQ229" s="420"/>
      <c r="BR229" s="420"/>
      <c r="BS229" s="420"/>
      <c r="BT229" s="420"/>
      <c r="BU229" s="420"/>
      <c r="BV229" s="420"/>
      <c r="BW229" s="420"/>
      <c r="BX229" s="420"/>
      <c r="BY229" s="420"/>
      <c r="BZ229" s="420"/>
      <c r="CA229" s="420"/>
      <c r="CB229" s="420"/>
      <c r="CC229" s="420"/>
      <c r="CD229" s="420"/>
      <c r="CE229" s="420"/>
      <c r="CF229" s="420"/>
      <c r="CG229" s="420"/>
      <c r="CH229" s="420"/>
      <c r="CI229" s="420"/>
      <c r="CJ229" s="420"/>
      <c r="CK229" s="420"/>
      <c r="CL229" s="420"/>
      <c r="CM229" s="420"/>
      <c r="CN229" s="420"/>
      <c r="CO229" s="420"/>
      <c r="CP229" s="420"/>
      <c r="CQ229" s="420"/>
      <c r="CR229" s="420"/>
    </row>
    <row r="230" spans="1:97" s="737" customFormat="1" ht="12.75" x14ac:dyDescent="0.2">
      <c r="A230" s="705">
        <v>224</v>
      </c>
      <c r="B230" s="718" t="s">
        <v>334</v>
      </c>
      <c r="C230" s="719" t="s">
        <v>335</v>
      </c>
      <c r="D230" s="708">
        <v>110500</v>
      </c>
      <c r="E230" s="708">
        <v>90236000</v>
      </c>
      <c r="F230" s="133">
        <v>43686016</v>
      </c>
      <c r="G230" s="133">
        <v>-2915213</v>
      </c>
      <c r="H230" s="133">
        <v>876947</v>
      </c>
      <c r="I230" s="133">
        <v>-2038266</v>
      </c>
      <c r="J230" s="133">
        <v>-1629069</v>
      </c>
      <c r="K230" s="133">
        <v>-52867</v>
      </c>
      <c r="L230" s="133">
        <v>-13165</v>
      </c>
      <c r="M230" s="133">
        <v>0</v>
      </c>
      <c r="N230" s="133">
        <v>-301455</v>
      </c>
      <c r="O230" s="133">
        <v>-134596</v>
      </c>
      <c r="P230" s="133">
        <v>-13424</v>
      </c>
      <c r="Q230" s="133">
        <v>-2311</v>
      </c>
      <c r="R230" s="133">
        <v>0</v>
      </c>
      <c r="S230" s="133">
        <v>-1935</v>
      </c>
      <c r="T230" s="133">
        <v>0</v>
      </c>
      <c r="U230" s="133">
        <v>0</v>
      </c>
      <c r="V230" s="133">
        <v>0</v>
      </c>
      <c r="W230" s="709"/>
      <c r="X230" s="709"/>
      <c r="Y230" s="709"/>
      <c r="Z230" s="133">
        <v>-13165</v>
      </c>
      <c r="AA230" s="133">
        <v>-1500</v>
      </c>
      <c r="AB230" s="133">
        <v>40520666</v>
      </c>
      <c r="AC230" s="133">
        <v>-1904471</v>
      </c>
      <c r="AD230" s="709"/>
      <c r="AE230" s="710">
        <v>126</v>
      </c>
      <c r="AF230" s="711">
        <v>14</v>
      </c>
      <c r="AG230" s="710">
        <v>13</v>
      </c>
      <c r="AH230" s="710">
        <v>1</v>
      </c>
      <c r="AI230" s="710">
        <v>202</v>
      </c>
      <c r="AJ230" s="710">
        <v>72</v>
      </c>
      <c r="AK230" s="710">
        <v>10</v>
      </c>
      <c r="AL230" s="710">
        <v>3</v>
      </c>
      <c r="AM230" s="710">
        <v>13</v>
      </c>
      <c r="AN230" s="710">
        <v>1</v>
      </c>
      <c r="AO230" s="710">
        <v>0</v>
      </c>
      <c r="AP230" s="711">
        <v>2</v>
      </c>
      <c r="AQ230" s="709"/>
      <c r="AR230" s="709"/>
      <c r="AS230" s="720">
        <v>559</v>
      </c>
      <c r="AT230" s="710">
        <v>1140</v>
      </c>
      <c r="AU230" s="710">
        <v>1078</v>
      </c>
      <c r="AV230" s="710">
        <v>62</v>
      </c>
      <c r="AW230" s="710">
        <v>465</v>
      </c>
      <c r="AX230" s="712">
        <v>2716</v>
      </c>
      <c r="AY230" s="683">
        <v>-30139</v>
      </c>
      <c r="AZ230" s="713">
        <v>138798</v>
      </c>
      <c r="BA230" s="714">
        <v>-60385</v>
      </c>
      <c r="BB230" s="715">
        <v>9605250</v>
      </c>
      <c r="BC230" s="715">
        <v>0</v>
      </c>
      <c r="BD230" s="716">
        <v>-60386.60000000149</v>
      </c>
      <c r="BE230" s="420"/>
      <c r="BF230" s="717" t="s">
        <v>335</v>
      </c>
      <c r="BG230" s="118" t="b">
        <v>1</v>
      </c>
      <c r="BH230" s="494"/>
      <c r="BI230" s="420"/>
      <c r="BJ230" s="420"/>
      <c r="BK230" s="420"/>
      <c r="BL230" s="420"/>
      <c r="BM230" s="420"/>
      <c r="BN230" s="420"/>
      <c r="BO230" s="420"/>
      <c r="BP230" s="420"/>
      <c r="BQ230" s="420"/>
      <c r="BR230" s="420"/>
      <c r="BS230" s="420"/>
      <c r="BT230" s="420"/>
      <c r="BU230" s="420"/>
      <c r="BV230" s="420"/>
      <c r="BW230" s="420"/>
      <c r="BX230" s="420"/>
      <c r="BY230" s="420"/>
      <c r="BZ230" s="420"/>
      <c r="CA230" s="420"/>
      <c r="CB230" s="420"/>
      <c r="CC230" s="420"/>
      <c r="CD230" s="420"/>
      <c r="CE230" s="420"/>
      <c r="CF230" s="420"/>
      <c r="CG230" s="420"/>
      <c r="CH230" s="420"/>
      <c r="CI230" s="420"/>
      <c r="CJ230" s="420"/>
      <c r="CK230" s="420"/>
      <c r="CL230" s="420"/>
      <c r="CM230" s="420"/>
      <c r="CN230" s="420"/>
      <c r="CO230" s="420"/>
      <c r="CP230" s="420"/>
      <c r="CQ230" s="420"/>
      <c r="CR230" s="420"/>
      <c r="CS230" s="118"/>
    </row>
    <row r="231" spans="1:97" s="118" customFormat="1" ht="12.75" x14ac:dyDescent="0.2">
      <c r="A231" s="705">
        <v>225</v>
      </c>
      <c r="B231" s="718" t="s">
        <v>336</v>
      </c>
      <c r="C231" s="719" t="s">
        <v>337</v>
      </c>
      <c r="D231" s="708">
        <v>162528</v>
      </c>
      <c r="E231" s="708">
        <v>94973000</v>
      </c>
      <c r="F231" s="133">
        <v>45993187</v>
      </c>
      <c r="G231" s="133">
        <v>-3947407</v>
      </c>
      <c r="H231" s="133">
        <v>767420</v>
      </c>
      <c r="I231" s="133">
        <v>-3179987</v>
      </c>
      <c r="J231" s="133">
        <v>-3191425</v>
      </c>
      <c r="K231" s="133">
        <v>-101694</v>
      </c>
      <c r="L231" s="133">
        <v>-13167</v>
      </c>
      <c r="M231" s="133">
        <v>0</v>
      </c>
      <c r="N231" s="133">
        <v>-1300524</v>
      </c>
      <c r="O231" s="133">
        <v>-121447</v>
      </c>
      <c r="P231" s="133">
        <v>-59431</v>
      </c>
      <c r="Q231" s="133">
        <v>0</v>
      </c>
      <c r="R231" s="133">
        <v>0</v>
      </c>
      <c r="S231" s="133">
        <v>-16538</v>
      </c>
      <c r="T231" s="133">
        <v>0</v>
      </c>
      <c r="U231" s="133">
        <v>0</v>
      </c>
      <c r="V231" s="133">
        <v>0</v>
      </c>
      <c r="W231" s="709"/>
      <c r="X231" s="709"/>
      <c r="Y231" s="709"/>
      <c r="Z231" s="133">
        <v>-13167</v>
      </c>
      <c r="AA231" s="133">
        <v>-1500</v>
      </c>
      <c r="AB231" s="133">
        <v>36694159</v>
      </c>
      <c r="AC231" s="133">
        <v>-1967122</v>
      </c>
      <c r="AD231" s="709"/>
      <c r="AE231" s="710">
        <v>177</v>
      </c>
      <c r="AF231" s="711">
        <v>34</v>
      </c>
      <c r="AG231" s="710">
        <v>8</v>
      </c>
      <c r="AH231" s="710">
        <v>0</v>
      </c>
      <c r="AI231" s="710">
        <v>352</v>
      </c>
      <c r="AJ231" s="710">
        <v>47</v>
      </c>
      <c r="AK231" s="710">
        <v>11</v>
      </c>
      <c r="AL231" s="710">
        <v>0</v>
      </c>
      <c r="AM231" s="710">
        <v>0</v>
      </c>
      <c r="AN231" s="710">
        <v>3</v>
      </c>
      <c r="AO231" s="710">
        <v>0</v>
      </c>
      <c r="AP231" s="711">
        <v>0</v>
      </c>
      <c r="AQ231" s="709"/>
      <c r="AR231" s="709"/>
      <c r="AS231" s="720">
        <v>874</v>
      </c>
      <c r="AT231" s="710">
        <v>1311</v>
      </c>
      <c r="AU231" s="710">
        <v>1193</v>
      </c>
      <c r="AV231" s="710">
        <v>118</v>
      </c>
      <c r="AW231" s="710">
        <v>1712</v>
      </c>
      <c r="AX231" s="712">
        <v>4048</v>
      </c>
      <c r="AY231" s="683">
        <v>-32398</v>
      </c>
      <c r="AZ231" s="713">
        <v>553533</v>
      </c>
      <c r="BA231" s="714">
        <v>938009</v>
      </c>
      <c r="BB231" s="715">
        <v>16812500</v>
      </c>
      <c r="BC231" s="715">
        <v>0</v>
      </c>
      <c r="BD231" s="716">
        <v>938010.30000000075</v>
      </c>
      <c r="BE231" s="420"/>
      <c r="BF231" s="717" t="s">
        <v>337</v>
      </c>
      <c r="BG231" s="118" t="b">
        <v>1</v>
      </c>
      <c r="BH231" s="494"/>
      <c r="BI231" s="420"/>
      <c r="BJ231" s="420"/>
      <c r="BK231" s="420"/>
      <c r="BL231" s="420"/>
      <c r="BM231" s="420"/>
      <c r="BN231" s="420"/>
      <c r="BO231" s="420"/>
      <c r="BP231" s="420"/>
      <c r="BQ231" s="420"/>
      <c r="BR231" s="420"/>
      <c r="BS231" s="420"/>
      <c r="BT231" s="420"/>
      <c r="BU231" s="420"/>
      <c r="BV231" s="420"/>
      <c r="BW231" s="420"/>
      <c r="BX231" s="420"/>
      <c r="BY231" s="420"/>
      <c r="BZ231" s="420"/>
      <c r="CA231" s="420"/>
      <c r="CB231" s="420"/>
      <c r="CC231" s="420"/>
      <c r="CD231" s="420"/>
      <c r="CE231" s="420"/>
      <c r="CF231" s="420"/>
      <c r="CG231" s="420"/>
      <c r="CH231" s="420"/>
      <c r="CI231" s="420"/>
      <c r="CJ231" s="420"/>
      <c r="CK231" s="420"/>
      <c r="CL231" s="420"/>
      <c r="CM231" s="420"/>
      <c r="CN231" s="420"/>
      <c r="CO231" s="420"/>
      <c r="CP231" s="420"/>
      <c r="CQ231" s="420"/>
      <c r="CR231" s="420"/>
    </row>
    <row r="232" spans="1:97" s="118" customFormat="1" ht="12.75" x14ac:dyDescent="0.2">
      <c r="A232" s="705">
        <v>226</v>
      </c>
      <c r="B232" s="718" t="s">
        <v>338</v>
      </c>
      <c r="C232" s="719" t="s">
        <v>339</v>
      </c>
      <c r="D232" s="708">
        <v>751939</v>
      </c>
      <c r="E232" s="708">
        <v>554369000</v>
      </c>
      <c r="F232" s="133">
        <v>262699187</v>
      </c>
      <c r="G232" s="133">
        <v>-18812218</v>
      </c>
      <c r="H232" s="133">
        <v>5545428</v>
      </c>
      <c r="I232" s="133">
        <v>-13266790</v>
      </c>
      <c r="J232" s="133">
        <v>-23562365</v>
      </c>
      <c r="K232" s="133">
        <v>-25000</v>
      </c>
      <c r="L232" s="133">
        <v>0</v>
      </c>
      <c r="M232" s="133">
        <v>-607484</v>
      </c>
      <c r="N232" s="133">
        <v>-7153084</v>
      </c>
      <c r="O232" s="133">
        <v>-3568</v>
      </c>
      <c r="P232" s="133">
        <v>-351809</v>
      </c>
      <c r="Q232" s="133">
        <v>0</v>
      </c>
      <c r="R232" s="133">
        <v>0</v>
      </c>
      <c r="S232" s="133">
        <v>0</v>
      </c>
      <c r="T232" s="133">
        <v>-1134474</v>
      </c>
      <c r="U232" s="133">
        <v>0</v>
      </c>
      <c r="V232" s="133">
        <v>0</v>
      </c>
      <c r="W232" s="709"/>
      <c r="X232" s="709"/>
      <c r="Y232" s="709"/>
      <c r="Z232" s="133">
        <v>0</v>
      </c>
      <c r="AA232" s="133">
        <v>0</v>
      </c>
      <c r="AB232" s="133">
        <v>216030925</v>
      </c>
      <c r="AC232" s="133">
        <v>-7524557</v>
      </c>
      <c r="AD232" s="709"/>
      <c r="AE232" s="710">
        <v>953</v>
      </c>
      <c r="AF232" s="711">
        <v>14</v>
      </c>
      <c r="AG232" s="710">
        <v>0</v>
      </c>
      <c r="AH232" s="710">
        <v>0</v>
      </c>
      <c r="AI232" s="710">
        <v>2736</v>
      </c>
      <c r="AJ232" s="710">
        <v>1</v>
      </c>
      <c r="AK232" s="710">
        <v>34</v>
      </c>
      <c r="AL232" s="710">
        <v>0</v>
      </c>
      <c r="AM232" s="710">
        <v>0</v>
      </c>
      <c r="AN232" s="710">
        <v>0</v>
      </c>
      <c r="AO232" s="710">
        <v>0</v>
      </c>
      <c r="AP232" s="711">
        <v>0</v>
      </c>
      <c r="AQ232" s="709"/>
      <c r="AR232" s="709"/>
      <c r="AS232" s="720">
        <v>5272</v>
      </c>
      <c r="AT232" s="710">
        <v>7148</v>
      </c>
      <c r="AU232" s="710">
        <v>6818</v>
      </c>
      <c r="AV232" s="710">
        <v>330</v>
      </c>
      <c r="AW232" s="710">
        <v>6580</v>
      </c>
      <c r="AX232" s="712">
        <v>19071</v>
      </c>
      <c r="AY232" s="683">
        <v>-57529</v>
      </c>
      <c r="AZ232" s="713">
        <v>7822687</v>
      </c>
      <c r="BA232" s="714">
        <v>16886107</v>
      </c>
      <c r="BB232" s="715">
        <v>59741350</v>
      </c>
      <c r="BC232" s="715">
        <v>118500</v>
      </c>
      <c r="BD232" s="716">
        <v>16880945</v>
      </c>
      <c r="BE232" s="420"/>
      <c r="BF232" s="717" t="s">
        <v>339</v>
      </c>
      <c r="BG232" s="118" t="b">
        <v>1</v>
      </c>
      <c r="BH232" s="494"/>
      <c r="BI232" s="420"/>
      <c r="BJ232" s="420"/>
      <c r="BK232" s="420"/>
      <c r="BL232" s="420"/>
      <c r="BM232" s="420"/>
      <c r="BN232" s="420"/>
      <c r="BO232" s="420"/>
      <c r="BP232" s="420"/>
      <c r="BQ232" s="420"/>
      <c r="BR232" s="420"/>
      <c r="BS232" s="420"/>
      <c r="BT232" s="420"/>
      <c r="BU232" s="420"/>
      <c r="BV232" s="420"/>
      <c r="BW232" s="420"/>
      <c r="BX232" s="420"/>
      <c r="BY232" s="420"/>
      <c r="BZ232" s="420"/>
      <c r="CA232" s="420"/>
      <c r="CB232" s="420"/>
      <c r="CC232" s="420"/>
      <c r="CD232" s="420"/>
      <c r="CE232" s="420"/>
      <c r="CF232" s="420"/>
      <c r="CG232" s="420"/>
      <c r="CH232" s="420"/>
      <c r="CI232" s="420"/>
      <c r="CJ232" s="420"/>
      <c r="CK232" s="420"/>
      <c r="CL232" s="420"/>
      <c r="CM232" s="420"/>
      <c r="CN232" s="420"/>
      <c r="CO232" s="420"/>
      <c r="CP232" s="420"/>
      <c r="CQ232" s="420"/>
      <c r="CR232" s="420"/>
    </row>
    <row r="233" spans="1:97" s="118" customFormat="1" ht="12.75" x14ac:dyDescent="0.2">
      <c r="A233" s="705">
        <v>227</v>
      </c>
      <c r="B233" s="718" t="s">
        <v>342</v>
      </c>
      <c r="C233" s="719" t="s">
        <v>343</v>
      </c>
      <c r="D233" s="708">
        <v>449357</v>
      </c>
      <c r="E233" s="708">
        <v>234053000</v>
      </c>
      <c r="F233" s="133">
        <v>115167360</v>
      </c>
      <c r="G233" s="133">
        <v>-13818317</v>
      </c>
      <c r="H233" s="133">
        <v>1814077</v>
      </c>
      <c r="I233" s="133">
        <v>-12004240</v>
      </c>
      <c r="J233" s="133">
        <v>-8678751</v>
      </c>
      <c r="K233" s="133">
        <v>-139390</v>
      </c>
      <c r="L233" s="133">
        <v>-34070</v>
      </c>
      <c r="M233" s="133">
        <v>0</v>
      </c>
      <c r="N233" s="133">
        <v>-1638579</v>
      </c>
      <c r="O233" s="133">
        <v>-507879</v>
      </c>
      <c r="P233" s="133">
        <v>-146195</v>
      </c>
      <c r="Q233" s="133">
        <v>-19500</v>
      </c>
      <c r="R233" s="133">
        <v>0</v>
      </c>
      <c r="S233" s="133">
        <v>0</v>
      </c>
      <c r="T233" s="133">
        <v>0</v>
      </c>
      <c r="U233" s="133">
        <v>0</v>
      </c>
      <c r="V233" s="133">
        <v>0</v>
      </c>
      <c r="W233" s="709"/>
      <c r="X233" s="709"/>
      <c r="Y233" s="709"/>
      <c r="Z233" s="133">
        <v>-34070</v>
      </c>
      <c r="AA233" s="133">
        <v>0</v>
      </c>
      <c r="AB233" s="133">
        <v>86539987</v>
      </c>
      <c r="AC233" s="133">
        <v>-5225141</v>
      </c>
      <c r="AD233" s="709"/>
      <c r="AE233" s="710">
        <v>734</v>
      </c>
      <c r="AF233" s="711">
        <v>58</v>
      </c>
      <c r="AG233" s="710">
        <v>34</v>
      </c>
      <c r="AH233" s="710">
        <v>0</v>
      </c>
      <c r="AI233" s="710">
        <v>626</v>
      </c>
      <c r="AJ233" s="710">
        <v>455</v>
      </c>
      <c r="AK233" s="710">
        <v>88</v>
      </c>
      <c r="AL233" s="710">
        <v>24</v>
      </c>
      <c r="AM233" s="710">
        <v>0</v>
      </c>
      <c r="AN233" s="710">
        <v>0</v>
      </c>
      <c r="AO233" s="710">
        <v>0</v>
      </c>
      <c r="AP233" s="711">
        <v>0</v>
      </c>
      <c r="AQ233" s="709"/>
      <c r="AR233" s="709"/>
      <c r="AS233" s="720">
        <v>2438</v>
      </c>
      <c r="AT233" s="710">
        <v>5735</v>
      </c>
      <c r="AU233" s="710">
        <v>5345</v>
      </c>
      <c r="AV233" s="710">
        <v>390</v>
      </c>
      <c r="AW233" s="710">
        <v>4106</v>
      </c>
      <c r="AX233" s="712">
        <v>12314</v>
      </c>
      <c r="AY233" s="683">
        <v>-202420</v>
      </c>
      <c r="AZ233" s="713">
        <v>-1756682</v>
      </c>
      <c r="BA233" s="714">
        <v>-2211148</v>
      </c>
      <c r="BB233" s="715">
        <v>37956850</v>
      </c>
      <c r="BC233" s="715">
        <v>0</v>
      </c>
      <c r="BD233" s="716">
        <v>-2203058.400000006</v>
      </c>
      <c r="BE233" s="420"/>
      <c r="BF233" s="717" t="s">
        <v>343</v>
      </c>
      <c r="BG233" s="118" t="b">
        <v>1</v>
      </c>
      <c r="BH233" s="494"/>
      <c r="BI233" s="420"/>
      <c r="BJ233" s="420"/>
      <c r="BK233" s="420"/>
      <c r="BL233" s="420"/>
      <c r="BM233" s="420"/>
      <c r="BN233" s="420"/>
      <c r="BO233" s="420"/>
      <c r="BP233" s="420"/>
      <c r="BQ233" s="420"/>
      <c r="BR233" s="420"/>
      <c r="BS233" s="420"/>
      <c r="BT233" s="420"/>
      <c r="BU233" s="420"/>
      <c r="BV233" s="420"/>
      <c r="BW233" s="420"/>
      <c r="BX233" s="420"/>
      <c r="BY233" s="420"/>
      <c r="BZ233" s="420"/>
      <c r="CA233" s="420"/>
      <c r="CB233" s="420"/>
      <c r="CC233" s="420"/>
      <c r="CD233" s="420"/>
      <c r="CE233" s="420"/>
      <c r="CF233" s="420"/>
      <c r="CG233" s="420"/>
      <c r="CH233" s="420"/>
      <c r="CI233" s="420"/>
      <c r="CJ233" s="420"/>
      <c r="CK233" s="420"/>
      <c r="CL233" s="420"/>
      <c r="CM233" s="420"/>
      <c r="CN233" s="420"/>
      <c r="CO233" s="420"/>
      <c r="CP233" s="420"/>
      <c r="CQ233" s="420"/>
      <c r="CR233" s="420"/>
    </row>
    <row r="234" spans="1:97" s="118" customFormat="1" ht="12.75" x14ac:dyDescent="0.2">
      <c r="A234" s="705">
        <v>228</v>
      </c>
      <c r="B234" s="718" t="s">
        <v>535</v>
      </c>
      <c r="C234" s="719" t="s">
        <v>345</v>
      </c>
      <c r="D234" s="708">
        <v>212735</v>
      </c>
      <c r="E234" s="708">
        <v>243952000</v>
      </c>
      <c r="F234" s="133">
        <v>119623857</v>
      </c>
      <c r="G234" s="133">
        <v>-2884768</v>
      </c>
      <c r="H234" s="133">
        <v>2716656</v>
      </c>
      <c r="I234" s="133">
        <v>-168112</v>
      </c>
      <c r="J234" s="133">
        <v>-5100671</v>
      </c>
      <c r="K234" s="133">
        <v>0</v>
      </c>
      <c r="L234" s="133">
        <v>0</v>
      </c>
      <c r="M234" s="133">
        <v>0</v>
      </c>
      <c r="N234" s="133">
        <v>-3767696</v>
      </c>
      <c r="O234" s="133">
        <v>-122990</v>
      </c>
      <c r="P234" s="133">
        <v>-101699</v>
      </c>
      <c r="Q234" s="133">
        <v>0</v>
      </c>
      <c r="R234" s="133">
        <v>0</v>
      </c>
      <c r="S234" s="133">
        <v>0</v>
      </c>
      <c r="T234" s="133">
        <v>0</v>
      </c>
      <c r="U234" s="133">
        <v>0</v>
      </c>
      <c r="V234" s="133">
        <v>0</v>
      </c>
      <c r="W234" s="709"/>
      <c r="X234" s="709"/>
      <c r="Y234" s="709"/>
      <c r="Z234" s="133">
        <v>0</v>
      </c>
      <c r="AA234" s="133">
        <v>0</v>
      </c>
      <c r="AB234" s="133">
        <v>109120439</v>
      </c>
      <c r="AC234" s="133">
        <v>-278783</v>
      </c>
      <c r="AD234" s="709"/>
      <c r="AE234" s="710">
        <v>130</v>
      </c>
      <c r="AF234" s="711">
        <v>0</v>
      </c>
      <c r="AG234" s="710">
        <v>0</v>
      </c>
      <c r="AH234" s="710">
        <v>0</v>
      </c>
      <c r="AI234" s="710">
        <v>190</v>
      </c>
      <c r="AJ234" s="710">
        <v>16</v>
      </c>
      <c r="AK234" s="710">
        <v>5</v>
      </c>
      <c r="AL234" s="710">
        <v>0</v>
      </c>
      <c r="AM234" s="710">
        <v>0</v>
      </c>
      <c r="AN234" s="710">
        <v>0</v>
      </c>
      <c r="AO234" s="710">
        <v>0</v>
      </c>
      <c r="AP234" s="711">
        <v>0</v>
      </c>
      <c r="AQ234" s="709"/>
      <c r="AR234" s="709"/>
      <c r="AS234" s="720">
        <v>1240</v>
      </c>
      <c r="AT234" s="710">
        <v>810</v>
      </c>
      <c r="AU234" s="710">
        <v>727</v>
      </c>
      <c r="AV234" s="710">
        <v>83</v>
      </c>
      <c r="AW234" s="710">
        <v>1733</v>
      </c>
      <c r="AX234" s="712">
        <v>3934</v>
      </c>
      <c r="AY234" s="683">
        <v>-21735</v>
      </c>
      <c r="AZ234" s="713">
        <v>339072</v>
      </c>
      <c r="BA234" s="714">
        <v>2505793</v>
      </c>
      <c r="BB234" s="715">
        <v>20617650</v>
      </c>
      <c r="BC234" s="715">
        <v>0</v>
      </c>
      <c r="BD234" s="716">
        <v>2505793</v>
      </c>
      <c r="BE234" s="420"/>
      <c r="BF234" s="717" t="s">
        <v>345</v>
      </c>
      <c r="BG234" s="118" t="b">
        <v>1</v>
      </c>
      <c r="BH234" s="494"/>
      <c r="BI234" s="420"/>
      <c r="BJ234" s="420"/>
      <c r="BK234" s="420"/>
      <c r="BL234" s="420"/>
      <c r="BM234" s="420"/>
      <c r="BN234" s="420"/>
      <c r="BO234" s="420"/>
      <c r="BP234" s="420"/>
      <c r="BQ234" s="420"/>
      <c r="BR234" s="420"/>
      <c r="BS234" s="420"/>
      <c r="BT234" s="420"/>
      <c r="BU234" s="420"/>
      <c r="BV234" s="420"/>
      <c r="BW234" s="420"/>
      <c r="BX234" s="420"/>
      <c r="BY234" s="420"/>
      <c r="BZ234" s="420"/>
      <c r="CA234" s="420"/>
      <c r="CB234" s="420"/>
      <c r="CC234" s="420"/>
      <c r="CD234" s="420"/>
      <c r="CE234" s="420"/>
      <c r="CF234" s="420"/>
      <c r="CG234" s="420"/>
      <c r="CH234" s="420"/>
      <c r="CI234" s="420"/>
      <c r="CJ234" s="420"/>
      <c r="CK234" s="420"/>
      <c r="CL234" s="420"/>
      <c r="CM234" s="420"/>
      <c r="CN234" s="420"/>
      <c r="CO234" s="420"/>
      <c r="CP234" s="420"/>
      <c r="CQ234" s="420"/>
      <c r="CR234" s="420"/>
    </row>
    <row r="235" spans="1:97" s="118" customFormat="1" ht="12.75" x14ac:dyDescent="0.2">
      <c r="A235" s="705">
        <v>229</v>
      </c>
      <c r="B235" s="718" t="s">
        <v>346</v>
      </c>
      <c r="C235" s="719" t="s">
        <v>347</v>
      </c>
      <c r="D235" s="708">
        <v>251048</v>
      </c>
      <c r="E235" s="708">
        <v>268046000</v>
      </c>
      <c r="F235" s="133">
        <v>132422757</v>
      </c>
      <c r="G235" s="133">
        <v>-3817482</v>
      </c>
      <c r="H235" s="133">
        <v>2861363</v>
      </c>
      <c r="I235" s="133">
        <v>-956119</v>
      </c>
      <c r="J235" s="133">
        <v>-5500586</v>
      </c>
      <c r="K235" s="133">
        <v>-93890</v>
      </c>
      <c r="L235" s="133">
        <v>-1329</v>
      </c>
      <c r="M235" s="133">
        <v>-87543</v>
      </c>
      <c r="N235" s="133">
        <v>-3397966</v>
      </c>
      <c r="O235" s="133">
        <v>-42419</v>
      </c>
      <c r="P235" s="133">
        <v>-20622</v>
      </c>
      <c r="Q235" s="133">
        <v>0</v>
      </c>
      <c r="R235" s="133">
        <v>0</v>
      </c>
      <c r="S235" s="133">
        <v>0</v>
      </c>
      <c r="T235" s="133">
        <v>0</v>
      </c>
      <c r="U235" s="133">
        <v>0</v>
      </c>
      <c r="V235" s="133">
        <v>0</v>
      </c>
      <c r="W235" s="709"/>
      <c r="X235" s="709"/>
      <c r="Y235" s="709"/>
      <c r="Z235" s="133">
        <v>-1329</v>
      </c>
      <c r="AA235" s="133">
        <v>0</v>
      </c>
      <c r="AB235" s="133">
        <v>121718431</v>
      </c>
      <c r="AC235" s="133">
        <v>-4880000</v>
      </c>
      <c r="AD235" s="709"/>
      <c r="AE235" s="710">
        <v>230</v>
      </c>
      <c r="AF235" s="711">
        <v>18</v>
      </c>
      <c r="AG235" s="710">
        <v>1</v>
      </c>
      <c r="AH235" s="710">
        <v>0</v>
      </c>
      <c r="AI235" s="710">
        <v>216</v>
      </c>
      <c r="AJ235" s="710">
        <v>38</v>
      </c>
      <c r="AK235" s="710">
        <v>5</v>
      </c>
      <c r="AL235" s="710">
        <v>0</v>
      </c>
      <c r="AM235" s="710">
        <v>0</v>
      </c>
      <c r="AN235" s="710">
        <v>0</v>
      </c>
      <c r="AO235" s="710">
        <v>0</v>
      </c>
      <c r="AP235" s="711">
        <v>0</v>
      </c>
      <c r="AQ235" s="709"/>
      <c r="AR235" s="709"/>
      <c r="AS235" s="720">
        <v>1514</v>
      </c>
      <c r="AT235" s="710">
        <v>1321</v>
      </c>
      <c r="AU235" s="710">
        <v>1201</v>
      </c>
      <c r="AV235" s="710">
        <v>120</v>
      </c>
      <c r="AW235" s="710">
        <v>2564</v>
      </c>
      <c r="AX235" s="712">
        <v>5477</v>
      </c>
      <c r="AY235" s="683">
        <v>-21726</v>
      </c>
      <c r="AZ235" s="713">
        <v>1028073.5</v>
      </c>
      <c r="BA235" s="714">
        <v>2096077.5</v>
      </c>
      <c r="BB235" s="715">
        <v>25892250</v>
      </c>
      <c r="BC235" s="715">
        <v>0</v>
      </c>
      <c r="BD235" s="716">
        <v>2096076.5</v>
      </c>
      <c r="BE235" s="420"/>
      <c r="BF235" s="717" t="s">
        <v>347</v>
      </c>
      <c r="BG235" s="118" t="b">
        <v>1</v>
      </c>
      <c r="BH235" s="494"/>
      <c r="BI235" s="420"/>
      <c r="BJ235" s="420"/>
      <c r="BK235" s="420"/>
      <c r="BL235" s="420"/>
      <c r="BM235" s="420"/>
      <c r="BN235" s="420"/>
      <c r="BO235" s="420"/>
      <c r="BP235" s="420"/>
      <c r="BQ235" s="420"/>
      <c r="BR235" s="420"/>
      <c r="BS235" s="420"/>
      <c r="BT235" s="420"/>
      <c r="BU235" s="420"/>
      <c r="BV235" s="420"/>
      <c r="BW235" s="420"/>
      <c r="BX235" s="420"/>
      <c r="BY235" s="420"/>
      <c r="BZ235" s="420"/>
      <c r="CA235" s="420"/>
      <c r="CB235" s="420"/>
      <c r="CC235" s="420"/>
      <c r="CD235" s="420"/>
      <c r="CE235" s="420"/>
      <c r="CF235" s="420"/>
      <c r="CG235" s="420"/>
      <c r="CH235" s="420"/>
      <c r="CI235" s="420"/>
      <c r="CJ235" s="420"/>
      <c r="CK235" s="420"/>
      <c r="CL235" s="420"/>
      <c r="CM235" s="420"/>
      <c r="CN235" s="420"/>
      <c r="CO235" s="420"/>
      <c r="CP235" s="420"/>
      <c r="CQ235" s="420"/>
      <c r="CR235" s="420"/>
    </row>
    <row r="236" spans="1:97" s="118" customFormat="1" ht="12.75" x14ac:dyDescent="0.2">
      <c r="A236" s="705">
        <v>230</v>
      </c>
      <c r="B236" s="721" t="s">
        <v>1129</v>
      </c>
      <c r="C236" s="722" t="s">
        <v>1130</v>
      </c>
      <c r="D236" s="723">
        <v>248792</v>
      </c>
      <c r="E236" s="723">
        <v>150399000</v>
      </c>
      <c r="F236" s="133">
        <v>73547082</v>
      </c>
      <c r="G236" s="133">
        <v>-6975800</v>
      </c>
      <c r="H236" s="133">
        <v>1329572</v>
      </c>
      <c r="I236" s="133">
        <v>-5646228</v>
      </c>
      <c r="J236" s="133">
        <v>-4779974</v>
      </c>
      <c r="K236" s="133">
        <v>-61789</v>
      </c>
      <c r="L236" s="133">
        <v>-58665</v>
      </c>
      <c r="M236" s="133">
        <v>0</v>
      </c>
      <c r="N236" s="133">
        <v>-1076572</v>
      </c>
      <c r="O236" s="133">
        <v>-434610</v>
      </c>
      <c r="P236" s="133">
        <v>-154778</v>
      </c>
      <c r="Q236" s="133">
        <v>-7612</v>
      </c>
      <c r="R236" s="133">
        <v>0</v>
      </c>
      <c r="S236" s="133">
        <v>-12733</v>
      </c>
      <c r="T236" s="133">
        <v>0</v>
      </c>
      <c r="U236" s="133">
        <v>0</v>
      </c>
      <c r="V236" s="133">
        <v>0</v>
      </c>
      <c r="W236" s="709">
        <v>0</v>
      </c>
      <c r="X236" s="709">
        <v>0</v>
      </c>
      <c r="Y236" s="709">
        <v>0</v>
      </c>
      <c r="Z236" s="133">
        <v>-67803</v>
      </c>
      <c r="AA236" s="133">
        <v>-4500</v>
      </c>
      <c r="AB236" s="133">
        <v>59894972</v>
      </c>
      <c r="AC236" s="133">
        <v>-1487822</v>
      </c>
      <c r="AD236" s="709">
        <v>0</v>
      </c>
      <c r="AE236" s="710">
        <v>434</v>
      </c>
      <c r="AF236" s="711">
        <v>15</v>
      </c>
      <c r="AG236" s="710">
        <v>44</v>
      </c>
      <c r="AH236" s="710">
        <v>0</v>
      </c>
      <c r="AI236" s="710">
        <v>364</v>
      </c>
      <c r="AJ236" s="710">
        <v>166</v>
      </c>
      <c r="AK236" s="710">
        <v>15</v>
      </c>
      <c r="AL236" s="710">
        <v>6</v>
      </c>
      <c r="AM236" s="710">
        <v>29</v>
      </c>
      <c r="AN236" s="710">
        <v>5</v>
      </c>
      <c r="AO236" s="710">
        <v>0</v>
      </c>
      <c r="AP236" s="711">
        <v>0</v>
      </c>
      <c r="AQ236" s="709">
        <v>0</v>
      </c>
      <c r="AR236" s="709">
        <v>0</v>
      </c>
      <c r="AS236" s="720">
        <v>1366</v>
      </c>
      <c r="AT236" s="710">
        <v>2943</v>
      </c>
      <c r="AU236" s="710">
        <v>2816</v>
      </c>
      <c r="AV236" s="710">
        <v>127</v>
      </c>
      <c r="AW236" s="710">
        <v>2358</v>
      </c>
      <c r="AX236" s="712">
        <v>6623</v>
      </c>
      <c r="AY236" s="683">
        <v>-57899</v>
      </c>
      <c r="AZ236" s="713">
        <v>3329763</v>
      </c>
      <c r="BA236" s="714">
        <v>1951883</v>
      </c>
      <c r="BB236" s="715">
        <v>21101149.469999999</v>
      </c>
      <c r="BC236" s="715">
        <v>0</v>
      </c>
      <c r="BD236" s="716">
        <v>2036329.5199999996</v>
      </c>
      <c r="BE236" s="420"/>
      <c r="BF236" s="717" t="s">
        <v>1130</v>
      </c>
      <c r="BG236" s="118" t="b">
        <v>1</v>
      </c>
      <c r="BH236" s="494"/>
      <c r="BI236" s="420"/>
      <c r="BJ236" s="420"/>
      <c r="BK236" s="420"/>
      <c r="BL236" s="420"/>
      <c r="BM236" s="420"/>
      <c r="BN236" s="420"/>
      <c r="BO236" s="420"/>
      <c r="BP236" s="420"/>
      <c r="BQ236" s="420"/>
      <c r="BR236" s="420"/>
      <c r="BS236" s="420"/>
      <c r="BT236" s="420"/>
      <c r="BU236" s="420"/>
      <c r="BV236" s="420"/>
      <c r="BW236" s="420"/>
      <c r="BX236" s="420"/>
      <c r="BY236" s="420"/>
      <c r="BZ236" s="420"/>
      <c r="CA236" s="420"/>
      <c r="CB236" s="420"/>
      <c r="CC236" s="420"/>
      <c r="CD236" s="420"/>
      <c r="CE236" s="420"/>
      <c r="CF236" s="420"/>
      <c r="CG236" s="420"/>
      <c r="CH236" s="420"/>
      <c r="CI236" s="420"/>
      <c r="CJ236" s="420"/>
      <c r="CK236" s="420"/>
      <c r="CL236" s="420"/>
      <c r="CM236" s="420"/>
      <c r="CN236" s="420"/>
      <c r="CO236" s="420"/>
      <c r="CP236" s="420"/>
      <c r="CQ236" s="420"/>
      <c r="CR236" s="420"/>
      <c r="CS236" s="420"/>
    </row>
    <row r="237" spans="1:97" s="118" customFormat="1" ht="12.75" x14ac:dyDescent="0.2">
      <c r="A237" s="705">
        <v>231</v>
      </c>
      <c r="B237" s="718" t="s">
        <v>350</v>
      </c>
      <c r="C237" s="719" t="s">
        <v>351</v>
      </c>
      <c r="D237" s="708">
        <v>241886</v>
      </c>
      <c r="E237" s="708">
        <v>220724000</v>
      </c>
      <c r="F237" s="133">
        <v>106111037</v>
      </c>
      <c r="G237" s="133">
        <v>-4806787</v>
      </c>
      <c r="H237" s="133">
        <v>2212809</v>
      </c>
      <c r="I237" s="133">
        <v>-2593978</v>
      </c>
      <c r="J237" s="133">
        <v>-10789461</v>
      </c>
      <c r="K237" s="133">
        <v>-25982</v>
      </c>
      <c r="L237" s="133">
        <v>-46538</v>
      </c>
      <c r="M237" s="133">
        <v>0</v>
      </c>
      <c r="N237" s="133">
        <v>-763050</v>
      </c>
      <c r="O237" s="133">
        <v>-135413</v>
      </c>
      <c r="P237" s="133">
        <v>-65539</v>
      </c>
      <c r="Q237" s="133">
        <v>0</v>
      </c>
      <c r="R237" s="133">
        <v>0</v>
      </c>
      <c r="S237" s="133">
        <v>-41867</v>
      </c>
      <c r="T237" s="133">
        <v>-122010</v>
      </c>
      <c r="U237" s="133">
        <v>-122010</v>
      </c>
      <c r="V237" s="133">
        <v>0</v>
      </c>
      <c r="W237" s="709"/>
      <c r="X237" s="709"/>
      <c r="Y237" s="709"/>
      <c r="Z237" s="133">
        <v>-46538</v>
      </c>
      <c r="AA237" s="133">
        <v>-1500</v>
      </c>
      <c r="AB237" s="133">
        <v>91247885</v>
      </c>
      <c r="AC237" s="133">
        <v>-3827811</v>
      </c>
      <c r="AD237" s="709"/>
      <c r="AE237" s="710">
        <v>283</v>
      </c>
      <c r="AF237" s="711">
        <v>4</v>
      </c>
      <c r="AG237" s="710">
        <v>28</v>
      </c>
      <c r="AH237" s="710">
        <v>0</v>
      </c>
      <c r="AI237" s="710">
        <v>304</v>
      </c>
      <c r="AJ237" s="710">
        <v>147</v>
      </c>
      <c r="AK237" s="710">
        <v>6</v>
      </c>
      <c r="AL237" s="710">
        <v>0</v>
      </c>
      <c r="AM237" s="710">
        <v>0</v>
      </c>
      <c r="AN237" s="710">
        <v>6</v>
      </c>
      <c r="AO237" s="710">
        <v>3</v>
      </c>
      <c r="AP237" s="711">
        <v>6</v>
      </c>
      <c r="AQ237" s="709"/>
      <c r="AR237" s="709"/>
      <c r="AS237" s="720">
        <v>1390</v>
      </c>
      <c r="AT237" s="710">
        <v>1695</v>
      </c>
      <c r="AU237" s="710">
        <v>1590</v>
      </c>
      <c r="AV237" s="710">
        <v>105</v>
      </c>
      <c r="AW237" s="710">
        <v>2240</v>
      </c>
      <c r="AX237" s="712">
        <v>5480</v>
      </c>
      <c r="AY237" s="683">
        <v>-39838</v>
      </c>
      <c r="AZ237" s="713">
        <v>8666557</v>
      </c>
      <c r="BA237" s="714">
        <v>5010024</v>
      </c>
      <c r="BB237" s="715">
        <v>25904333</v>
      </c>
      <c r="BC237" s="715">
        <v>121250</v>
      </c>
      <c r="BD237" s="716">
        <v>5010023</v>
      </c>
      <c r="BE237" s="420"/>
      <c r="BF237" s="717" t="s">
        <v>351</v>
      </c>
      <c r="BG237" s="118" t="b">
        <v>1</v>
      </c>
      <c r="BH237" s="494"/>
      <c r="BI237" s="420"/>
      <c r="BJ237" s="420"/>
      <c r="BK237" s="420"/>
      <c r="BL237" s="420"/>
      <c r="BM237" s="420"/>
      <c r="BN237" s="420"/>
      <c r="BO237" s="420"/>
      <c r="BP237" s="420"/>
      <c r="BQ237" s="420"/>
      <c r="BR237" s="420"/>
      <c r="BS237" s="420"/>
      <c r="BT237" s="420"/>
      <c r="BU237" s="420"/>
      <c r="BV237" s="420"/>
      <c r="BW237" s="420"/>
      <c r="BX237" s="420"/>
      <c r="BY237" s="420"/>
      <c r="BZ237" s="420"/>
      <c r="CA237" s="420"/>
      <c r="CB237" s="420"/>
      <c r="CC237" s="420"/>
      <c r="CD237" s="420"/>
      <c r="CE237" s="420"/>
      <c r="CF237" s="420"/>
      <c r="CG237" s="420"/>
      <c r="CH237" s="420"/>
      <c r="CI237" s="420"/>
      <c r="CJ237" s="420"/>
      <c r="CK237" s="420"/>
      <c r="CL237" s="420"/>
      <c r="CM237" s="420"/>
      <c r="CN237" s="420"/>
      <c r="CO237" s="420"/>
      <c r="CP237" s="420"/>
      <c r="CQ237" s="420"/>
      <c r="CR237" s="420"/>
    </row>
    <row r="238" spans="1:97" s="118" customFormat="1" ht="12.75" x14ac:dyDescent="0.2">
      <c r="A238" s="705">
        <v>232</v>
      </c>
      <c r="B238" s="718" t="s">
        <v>352</v>
      </c>
      <c r="C238" s="719" t="s">
        <v>353</v>
      </c>
      <c r="D238" s="708">
        <v>92542</v>
      </c>
      <c r="E238" s="708">
        <v>66841000</v>
      </c>
      <c r="F238" s="133">
        <v>32484858</v>
      </c>
      <c r="G238" s="133">
        <v>-2455053</v>
      </c>
      <c r="H238" s="133">
        <v>617374</v>
      </c>
      <c r="I238" s="133">
        <v>-1837679</v>
      </c>
      <c r="J238" s="133">
        <v>-1468115</v>
      </c>
      <c r="K238" s="133">
        <v>-35492</v>
      </c>
      <c r="L238" s="133">
        <v>-23659</v>
      </c>
      <c r="M238" s="133">
        <v>-250000</v>
      </c>
      <c r="N238" s="133">
        <v>-357810</v>
      </c>
      <c r="O238" s="133">
        <v>-47076</v>
      </c>
      <c r="P238" s="133">
        <v>-25777</v>
      </c>
      <c r="Q238" s="133">
        <v>0</v>
      </c>
      <c r="R238" s="133">
        <v>0</v>
      </c>
      <c r="S238" s="133">
        <v>0</v>
      </c>
      <c r="T238" s="133">
        <v>0</v>
      </c>
      <c r="U238" s="133">
        <v>0</v>
      </c>
      <c r="V238" s="133">
        <v>0</v>
      </c>
      <c r="W238" s="709"/>
      <c r="X238" s="709"/>
      <c r="Y238" s="709"/>
      <c r="Z238" s="133">
        <v>-26566</v>
      </c>
      <c r="AA238" s="133">
        <v>0</v>
      </c>
      <c r="AB238" s="133">
        <v>27069860</v>
      </c>
      <c r="AC238" s="133">
        <v>-646161</v>
      </c>
      <c r="AD238" s="709"/>
      <c r="AE238" s="710">
        <v>121</v>
      </c>
      <c r="AF238" s="711">
        <v>7</v>
      </c>
      <c r="AG238" s="710">
        <v>13</v>
      </c>
      <c r="AH238" s="710">
        <v>1</v>
      </c>
      <c r="AI238" s="710">
        <v>148</v>
      </c>
      <c r="AJ238" s="710">
        <v>12</v>
      </c>
      <c r="AK238" s="710">
        <v>2</v>
      </c>
      <c r="AL238" s="710">
        <v>0</v>
      </c>
      <c r="AM238" s="710">
        <v>0</v>
      </c>
      <c r="AN238" s="710">
        <v>0</v>
      </c>
      <c r="AO238" s="710">
        <v>0</v>
      </c>
      <c r="AP238" s="711">
        <v>0</v>
      </c>
      <c r="AQ238" s="709"/>
      <c r="AR238" s="709"/>
      <c r="AS238" s="720">
        <v>525</v>
      </c>
      <c r="AT238" s="710">
        <v>977</v>
      </c>
      <c r="AU238" s="710">
        <v>915</v>
      </c>
      <c r="AV238" s="710">
        <v>62</v>
      </c>
      <c r="AW238" s="710">
        <v>804</v>
      </c>
      <c r="AX238" s="712">
        <v>2358</v>
      </c>
      <c r="AY238" s="683">
        <v>-47524</v>
      </c>
      <c r="AZ238" s="713">
        <v>-472785</v>
      </c>
      <c r="BA238" s="714">
        <v>-377320</v>
      </c>
      <c r="BB238" s="715">
        <v>7453250</v>
      </c>
      <c r="BC238" s="715">
        <v>0</v>
      </c>
      <c r="BD238" s="716">
        <v>-377320</v>
      </c>
      <c r="BE238" s="420"/>
      <c r="BF238" s="717" t="s">
        <v>353</v>
      </c>
      <c r="BG238" s="118" t="b">
        <v>1</v>
      </c>
      <c r="BH238" s="494"/>
      <c r="BI238" s="420"/>
      <c r="BJ238" s="420"/>
      <c r="BK238" s="420"/>
      <c r="BL238" s="420"/>
      <c r="BM238" s="420"/>
      <c r="BN238" s="420"/>
      <c r="BO238" s="420"/>
      <c r="BP238" s="420"/>
      <c r="BQ238" s="420"/>
      <c r="BR238" s="420"/>
      <c r="BS238" s="420"/>
      <c r="BT238" s="420"/>
      <c r="BU238" s="420"/>
      <c r="BV238" s="420"/>
      <c r="BW238" s="420"/>
      <c r="BX238" s="420"/>
      <c r="BY238" s="420"/>
      <c r="BZ238" s="420"/>
      <c r="CA238" s="420"/>
      <c r="CB238" s="420"/>
      <c r="CC238" s="420"/>
      <c r="CD238" s="420"/>
      <c r="CE238" s="420"/>
      <c r="CF238" s="420"/>
      <c r="CG238" s="420"/>
      <c r="CH238" s="420"/>
      <c r="CI238" s="420"/>
      <c r="CJ238" s="420"/>
      <c r="CK238" s="420"/>
      <c r="CL238" s="420"/>
      <c r="CM238" s="420"/>
      <c r="CN238" s="420"/>
      <c r="CO238" s="420"/>
      <c r="CP238" s="420"/>
      <c r="CQ238" s="420"/>
      <c r="CR238" s="420"/>
    </row>
    <row r="239" spans="1:97" s="118" customFormat="1" ht="12.75" x14ac:dyDescent="0.2">
      <c r="A239" s="705">
        <v>233</v>
      </c>
      <c r="B239" s="718" t="s">
        <v>527</v>
      </c>
      <c r="C239" s="719" t="s">
        <v>355</v>
      </c>
      <c r="D239" s="708">
        <v>349870</v>
      </c>
      <c r="E239" s="708">
        <v>350687000</v>
      </c>
      <c r="F239" s="133">
        <v>173297654</v>
      </c>
      <c r="G239" s="133">
        <v>-6432617</v>
      </c>
      <c r="H239" s="133">
        <v>3819810</v>
      </c>
      <c r="I239" s="133">
        <v>-2612807</v>
      </c>
      <c r="J239" s="133">
        <v>-9979677</v>
      </c>
      <c r="K239" s="133">
        <v>-83624</v>
      </c>
      <c r="L239" s="133">
        <v>-21118</v>
      </c>
      <c r="M239" s="133">
        <v>0</v>
      </c>
      <c r="N239" s="133">
        <v>-3763128</v>
      </c>
      <c r="O239" s="133">
        <v>-83056</v>
      </c>
      <c r="P239" s="133">
        <v>-16377</v>
      </c>
      <c r="Q239" s="133">
        <v>0</v>
      </c>
      <c r="R239" s="133">
        <v>-18775</v>
      </c>
      <c r="S239" s="133">
        <v>-19480</v>
      </c>
      <c r="T239" s="133">
        <v>0</v>
      </c>
      <c r="U239" s="133">
        <v>0</v>
      </c>
      <c r="V239" s="133">
        <v>0</v>
      </c>
      <c r="W239" s="709"/>
      <c r="X239" s="709"/>
      <c r="Y239" s="709"/>
      <c r="Z239" s="133">
        <v>0</v>
      </c>
      <c r="AA239" s="133">
        <v>0</v>
      </c>
      <c r="AB239" s="133">
        <v>153867518</v>
      </c>
      <c r="AC239" s="133">
        <v>-7231773</v>
      </c>
      <c r="AD239" s="709"/>
      <c r="AE239" s="710">
        <v>512</v>
      </c>
      <c r="AF239" s="711">
        <v>30</v>
      </c>
      <c r="AG239" s="710">
        <v>25</v>
      </c>
      <c r="AH239" s="710">
        <v>14</v>
      </c>
      <c r="AI239" s="710">
        <v>2949</v>
      </c>
      <c r="AJ239" s="710">
        <v>183</v>
      </c>
      <c r="AK239" s="710">
        <v>15</v>
      </c>
      <c r="AL239" s="710">
        <v>0</v>
      </c>
      <c r="AM239" s="710">
        <v>22</v>
      </c>
      <c r="AN239" s="710">
        <v>12</v>
      </c>
      <c r="AO239" s="710">
        <v>0</v>
      </c>
      <c r="AP239" s="711">
        <v>0</v>
      </c>
      <c r="AQ239" s="709"/>
      <c r="AR239" s="709"/>
      <c r="AS239" s="720">
        <v>2014</v>
      </c>
      <c r="AT239" s="710">
        <v>2424</v>
      </c>
      <c r="AU239" s="710">
        <v>2323</v>
      </c>
      <c r="AV239" s="710">
        <v>101</v>
      </c>
      <c r="AW239" s="710">
        <v>1359</v>
      </c>
      <c r="AX239" s="712">
        <v>7591</v>
      </c>
      <c r="AY239" s="683">
        <v>-1003</v>
      </c>
      <c r="AZ239" s="713">
        <v>1024170</v>
      </c>
      <c r="BA239" s="714">
        <v>1124591</v>
      </c>
      <c r="BB239" s="715">
        <v>7515250</v>
      </c>
      <c r="BC239" s="715">
        <v>126000</v>
      </c>
      <c r="BD239" s="716">
        <v>1124591</v>
      </c>
      <c r="BE239" s="420"/>
      <c r="BF239" s="717" t="s">
        <v>355</v>
      </c>
      <c r="BG239" s="118" t="b">
        <v>1</v>
      </c>
      <c r="BH239" s="494"/>
      <c r="BI239" s="420"/>
      <c r="BJ239" s="420"/>
      <c r="BK239" s="420"/>
      <c r="BL239" s="420"/>
      <c r="BM239" s="420"/>
      <c r="BN239" s="420"/>
      <c r="BO239" s="420"/>
      <c r="BP239" s="420"/>
      <c r="BQ239" s="420"/>
      <c r="BR239" s="420"/>
      <c r="BS239" s="420"/>
      <c r="BT239" s="420"/>
      <c r="BU239" s="420"/>
      <c r="BV239" s="420"/>
      <c r="BW239" s="420"/>
      <c r="BX239" s="420"/>
      <c r="BY239" s="420"/>
      <c r="BZ239" s="420"/>
      <c r="CA239" s="420"/>
      <c r="CB239" s="420"/>
      <c r="CC239" s="420"/>
      <c r="CD239" s="420"/>
      <c r="CE239" s="420"/>
      <c r="CF239" s="420"/>
      <c r="CG239" s="420"/>
      <c r="CH239" s="420"/>
      <c r="CI239" s="420"/>
      <c r="CJ239" s="420"/>
      <c r="CK239" s="420"/>
      <c r="CL239" s="420"/>
      <c r="CM239" s="420"/>
      <c r="CN239" s="420"/>
      <c r="CO239" s="420"/>
      <c r="CP239" s="420"/>
      <c r="CQ239" s="420"/>
      <c r="CR239" s="420"/>
    </row>
    <row r="240" spans="1:97" s="118" customFormat="1" ht="12.75" x14ac:dyDescent="0.2">
      <c r="A240" s="705">
        <v>234</v>
      </c>
      <c r="B240" s="718" t="s">
        <v>356</v>
      </c>
      <c r="C240" s="719" t="s">
        <v>357</v>
      </c>
      <c r="D240" s="708">
        <v>206320</v>
      </c>
      <c r="E240" s="708">
        <v>87466000</v>
      </c>
      <c r="F240" s="133">
        <v>42651178</v>
      </c>
      <c r="G240" s="133">
        <v>-7704137</v>
      </c>
      <c r="H240" s="133">
        <v>590293</v>
      </c>
      <c r="I240" s="133">
        <v>-7113844</v>
      </c>
      <c r="J240" s="133">
        <v>-2809058</v>
      </c>
      <c r="K240" s="133">
        <v>-108619</v>
      </c>
      <c r="L240" s="133">
        <v>-40526</v>
      </c>
      <c r="M240" s="133">
        <v>-250000</v>
      </c>
      <c r="N240" s="133">
        <v>-1463021</v>
      </c>
      <c r="O240" s="133">
        <v>-97183</v>
      </c>
      <c r="P240" s="133">
        <v>-20000</v>
      </c>
      <c r="Q240" s="133">
        <v>-15441</v>
      </c>
      <c r="R240" s="133">
        <v>0</v>
      </c>
      <c r="S240" s="133">
        <v>0</v>
      </c>
      <c r="T240" s="133">
        <v>0</v>
      </c>
      <c r="U240" s="133">
        <v>0</v>
      </c>
      <c r="V240" s="133">
        <v>0</v>
      </c>
      <c r="W240" s="709"/>
      <c r="X240" s="709"/>
      <c r="Y240" s="709"/>
      <c r="Z240" s="133">
        <v>-40526</v>
      </c>
      <c r="AA240" s="133">
        <v>-6000</v>
      </c>
      <c r="AB240" s="133">
        <v>29260735</v>
      </c>
      <c r="AC240" s="133">
        <v>-1186652</v>
      </c>
      <c r="AD240" s="709"/>
      <c r="AE240" s="710">
        <v>337</v>
      </c>
      <c r="AF240" s="711">
        <v>20</v>
      </c>
      <c r="AG240" s="710">
        <v>28</v>
      </c>
      <c r="AH240" s="710">
        <v>0</v>
      </c>
      <c r="AI240" s="710">
        <v>278</v>
      </c>
      <c r="AJ240" s="710">
        <v>138</v>
      </c>
      <c r="AK240" s="710">
        <v>1</v>
      </c>
      <c r="AL240" s="710">
        <v>5</v>
      </c>
      <c r="AM240" s="710">
        <v>0</v>
      </c>
      <c r="AN240" s="710">
        <v>0</v>
      </c>
      <c r="AO240" s="710">
        <v>0</v>
      </c>
      <c r="AP240" s="711">
        <v>0</v>
      </c>
      <c r="AQ240" s="709"/>
      <c r="AR240" s="709"/>
      <c r="AS240" s="720">
        <v>842</v>
      </c>
      <c r="AT240" s="710">
        <v>2955</v>
      </c>
      <c r="AU240" s="710">
        <v>2844</v>
      </c>
      <c r="AV240" s="710">
        <v>111</v>
      </c>
      <c r="AW240" s="710">
        <v>1922</v>
      </c>
      <c r="AX240" s="712">
        <v>5836</v>
      </c>
      <c r="AY240" s="683">
        <v>-32935</v>
      </c>
      <c r="AZ240" s="713">
        <v>1488545</v>
      </c>
      <c r="BA240" s="714">
        <v>2035419</v>
      </c>
      <c r="BB240" s="715">
        <v>16485425</v>
      </c>
      <c r="BC240" s="715">
        <v>0</v>
      </c>
      <c r="BD240" s="716">
        <v>2035419</v>
      </c>
      <c r="BE240" s="420"/>
      <c r="BF240" s="717" t="s">
        <v>357</v>
      </c>
      <c r="BG240" s="118" t="b">
        <v>1</v>
      </c>
      <c r="BH240" s="494"/>
      <c r="BI240" s="420"/>
      <c r="BJ240" s="420"/>
      <c r="BK240" s="420"/>
      <c r="BL240" s="420"/>
      <c r="BM240" s="420"/>
      <c r="BN240" s="420"/>
      <c r="BO240" s="420"/>
      <c r="BP240" s="420"/>
      <c r="BQ240" s="420"/>
      <c r="BR240" s="420"/>
      <c r="BS240" s="420"/>
      <c r="BT240" s="420"/>
      <c r="BU240" s="420"/>
      <c r="BV240" s="420"/>
      <c r="BW240" s="420"/>
      <c r="BX240" s="420"/>
      <c r="BY240" s="420"/>
      <c r="BZ240" s="420"/>
      <c r="CA240" s="420"/>
      <c r="CB240" s="420"/>
      <c r="CC240" s="420"/>
      <c r="CD240" s="420"/>
      <c r="CE240" s="420"/>
      <c r="CF240" s="420"/>
      <c r="CG240" s="420"/>
      <c r="CH240" s="420"/>
      <c r="CI240" s="420"/>
      <c r="CJ240" s="420"/>
      <c r="CK240" s="420"/>
      <c r="CL240" s="420"/>
      <c r="CM240" s="420"/>
      <c r="CN240" s="420"/>
      <c r="CO240" s="420"/>
      <c r="CP240" s="420"/>
      <c r="CQ240" s="420"/>
      <c r="CR240" s="420"/>
    </row>
    <row r="241" spans="1:97" s="118" customFormat="1" ht="12.75" x14ac:dyDescent="0.2">
      <c r="A241" s="705">
        <v>235</v>
      </c>
      <c r="B241" s="718" t="s">
        <v>358</v>
      </c>
      <c r="C241" s="719" t="s">
        <v>359</v>
      </c>
      <c r="D241" s="708">
        <v>104386</v>
      </c>
      <c r="E241" s="708">
        <v>60716000</v>
      </c>
      <c r="F241" s="133">
        <v>29779596</v>
      </c>
      <c r="G241" s="133">
        <v>-2672444</v>
      </c>
      <c r="H241" s="133">
        <v>520182</v>
      </c>
      <c r="I241" s="133">
        <v>-2152262</v>
      </c>
      <c r="J241" s="133">
        <v>-1356465</v>
      </c>
      <c r="K241" s="133">
        <v>-57321</v>
      </c>
      <c r="L241" s="133">
        <v>-30071</v>
      </c>
      <c r="M241" s="133">
        <v>0</v>
      </c>
      <c r="N241" s="133">
        <v>-130872</v>
      </c>
      <c r="O241" s="133">
        <v>-87572</v>
      </c>
      <c r="P241" s="133">
        <v>-43908</v>
      </c>
      <c r="Q241" s="133">
        <v>-6909</v>
      </c>
      <c r="R241" s="133">
        <v>0</v>
      </c>
      <c r="S241" s="133">
        <v>0</v>
      </c>
      <c r="T241" s="133">
        <v>0</v>
      </c>
      <c r="U241" s="133">
        <v>0</v>
      </c>
      <c r="V241" s="133">
        <v>0</v>
      </c>
      <c r="W241" s="709"/>
      <c r="X241" s="709"/>
      <c r="Y241" s="709"/>
      <c r="Z241" s="133">
        <v>-29381</v>
      </c>
      <c r="AA241" s="133">
        <v>0</v>
      </c>
      <c r="AB241" s="133">
        <v>27466182</v>
      </c>
      <c r="AC241" s="133">
        <v>-715498</v>
      </c>
      <c r="AD241" s="709"/>
      <c r="AE241" s="710">
        <v>136</v>
      </c>
      <c r="AF241" s="711">
        <v>18</v>
      </c>
      <c r="AG241" s="710">
        <v>30</v>
      </c>
      <c r="AH241" s="710">
        <v>0</v>
      </c>
      <c r="AI241" s="710">
        <v>139</v>
      </c>
      <c r="AJ241" s="710">
        <v>99</v>
      </c>
      <c r="AK241" s="710">
        <v>6</v>
      </c>
      <c r="AL241" s="710">
        <v>13</v>
      </c>
      <c r="AM241" s="710">
        <v>0</v>
      </c>
      <c r="AN241" s="710">
        <v>0</v>
      </c>
      <c r="AO241" s="710">
        <v>0</v>
      </c>
      <c r="AP241" s="711">
        <v>0</v>
      </c>
      <c r="AQ241" s="709"/>
      <c r="AR241" s="709"/>
      <c r="AS241" s="720">
        <v>578</v>
      </c>
      <c r="AT241" s="710">
        <v>1208</v>
      </c>
      <c r="AU241" s="710">
        <v>1159</v>
      </c>
      <c r="AV241" s="710">
        <v>49</v>
      </c>
      <c r="AW241" s="710">
        <v>997</v>
      </c>
      <c r="AX241" s="712">
        <v>2798</v>
      </c>
      <c r="AY241" s="683">
        <v>-32259</v>
      </c>
      <c r="AZ241" s="713">
        <v>2111999</v>
      </c>
      <c r="BA241" s="714">
        <v>853318</v>
      </c>
      <c r="BB241" s="715">
        <v>9372850</v>
      </c>
      <c r="BC241" s="715">
        <v>0</v>
      </c>
      <c r="BD241" s="716">
        <v>853319.60000000009</v>
      </c>
      <c r="BE241" s="420"/>
      <c r="BF241" s="717" t="s">
        <v>359</v>
      </c>
      <c r="BG241" s="118" t="b">
        <v>1</v>
      </c>
      <c r="BH241" s="494"/>
      <c r="BI241" s="420"/>
      <c r="BJ241" s="420"/>
      <c r="BK241" s="420"/>
      <c r="BL241" s="420"/>
      <c r="BM241" s="420"/>
      <c r="BN241" s="420"/>
      <c r="BO241" s="420"/>
      <c r="BP241" s="420"/>
      <c r="BQ241" s="420"/>
      <c r="BR241" s="420"/>
      <c r="BS241" s="420"/>
      <c r="BT241" s="420"/>
      <c r="BU241" s="420"/>
      <c r="BV241" s="420"/>
      <c r="BW241" s="420"/>
      <c r="BX241" s="420"/>
      <c r="BY241" s="420"/>
      <c r="BZ241" s="420"/>
      <c r="CA241" s="420"/>
      <c r="CB241" s="420"/>
      <c r="CC241" s="420"/>
      <c r="CD241" s="420"/>
      <c r="CE241" s="420"/>
      <c r="CF241" s="420"/>
      <c r="CG241" s="420"/>
      <c r="CH241" s="420"/>
      <c r="CI241" s="420"/>
      <c r="CJ241" s="420"/>
      <c r="CK241" s="420"/>
      <c r="CL241" s="420"/>
      <c r="CM241" s="420"/>
      <c r="CN241" s="420"/>
      <c r="CO241" s="420"/>
      <c r="CP241" s="420"/>
      <c r="CQ241" s="420"/>
      <c r="CR241" s="420"/>
    </row>
    <row r="242" spans="1:97" s="118" customFormat="1" ht="12.75" x14ac:dyDescent="0.2">
      <c r="A242" s="705">
        <v>236</v>
      </c>
      <c r="B242" s="718" t="s">
        <v>360</v>
      </c>
      <c r="C242" s="719" t="s">
        <v>361</v>
      </c>
      <c r="D242" s="708">
        <v>174362</v>
      </c>
      <c r="E242" s="708">
        <v>110672000</v>
      </c>
      <c r="F242" s="133">
        <v>53785995</v>
      </c>
      <c r="G242" s="133">
        <v>-4832001</v>
      </c>
      <c r="H242" s="133">
        <v>904703</v>
      </c>
      <c r="I242" s="133">
        <v>-3927298</v>
      </c>
      <c r="J242" s="133">
        <v>-4015647</v>
      </c>
      <c r="K242" s="133">
        <v>-117799</v>
      </c>
      <c r="L242" s="133">
        <v>-46834</v>
      </c>
      <c r="M242" s="133">
        <v>-100000</v>
      </c>
      <c r="N242" s="133">
        <v>-967761</v>
      </c>
      <c r="O242" s="133">
        <v>-22608</v>
      </c>
      <c r="P242" s="133">
        <v>-2286</v>
      </c>
      <c r="Q242" s="133">
        <v>-1380</v>
      </c>
      <c r="R242" s="133">
        <v>0</v>
      </c>
      <c r="S242" s="133">
        <v>0</v>
      </c>
      <c r="T242" s="133">
        <v>0</v>
      </c>
      <c r="U242" s="133">
        <v>0</v>
      </c>
      <c r="V242" s="133">
        <v>0</v>
      </c>
      <c r="W242" s="709"/>
      <c r="X242" s="709"/>
      <c r="Y242" s="709"/>
      <c r="Z242" s="133">
        <v>-39469</v>
      </c>
      <c r="AA242" s="133">
        <v>-3000</v>
      </c>
      <c r="AB242" s="133">
        <v>42559573</v>
      </c>
      <c r="AC242" s="133">
        <v>-851192</v>
      </c>
      <c r="AD242" s="709"/>
      <c r="AE242" s="710">
        <v>236</v>
      </c>
      <c r="AF242" s="711">
        <v>24</v>
      </c>
      <c r="AG242" s="710">
        <v>31</v>
      </c>
      <c r="AH242" s="710">
        <v>0</v>
      </c>
      <c r="AI242" s="710">
        <v>366</v>
      </c>
      <c r="AJ242" s="710">
        <v>60</v>
      </c>
      <c r="AK242" s="710">
        <v>1</v>
      </c>
      <c r="AL242" s="710">
        <v>1</v>
      </c>
      <c r="AM242" s="710">
        <v>28</v>
      </c>
      <c r="AN242" s="710">
        <v>11</v>
      </c>
      <c r="AO242" s="710">
        <v>0</v>
      </c>
      <c r="AP242" s="711">
        <v>0</v>
      </c>
      <c r="AQ242" s="709"/>
      <c r="AR242" s="709"/>
      <c r="AS242" s="720">
        <v>992</v>
      </c>
      <c r="AT242" s="710">
        <v>1806</v>
      </c>
      <c r="AU242" s="710">
        <v>1699</v>
      </c>
      <c r="AV242" s="710">
        <v>107</v>
      </c>
      <c r="AW242" s="710">
        <v>1764</v>
      </c>
      <c r="AX242" s="712">
        <v>4590</v>
      </c>
      <c r="AY242" s="683">
        <v>-25000</v>
      </c>
      <c r="AZ242" s="713">
        <v>2306721</v>
      </c>
      <c r="BA242" s="714">
        <v>2589931</v>
      </c>
      <c r="BB242" s="715">
        <v>19705400</v>
      </c>
      <c r="BC242" s="715">
        <v>0</v>
      </c>
      <c r="BD242" s="716">
        <v>2589932.0000000014</v>
      </c>
      <c r="BE242" s="420"/>
      <c r="BF242" s="717" t="s">
        <v>361</v>
      </c>
      <c r="BG242" s="118" t="b">
        <v>1</v>
      </c>
      <c r="BH242" s="494"/>
      <c r="BI242" s="420"/>
      <c r="BJ242" s="420"/>
      <c r="BK242" s="420"/>
      <c r="BL242" s="420"/>
      <c r="BM242" s="420"/>
      <c r="BN242" s="420"/>
      <c r="BO242" s="420"/>
      <c r="BP242" s="420"/>
      <c r="BQ242" s="420"/>
      <c r="BR242" s="420"/>
      <c r="BS242" s="420"/>
      <c r="BT242" s="420"/>
      <c r="BU242" s="420"/>
      <c r="BV242" s="420"/>
      <c r="BW242" s="420"/>
      <c r="BX242" s="420"/>
      <c r="BY242" s="420"/>
      <c r="BZ242" s="420"/>
      <c r="CA242" s="420"/>
      <c r="CB242" s="420"/>
      <c r="CC242" s="420"/>
      <c r="CD242" s="420"/>
      <c r="CE242" s="420"/>
      <c r="CF242" s="420"/>
      <c r="CG242" s="420"/>
      <c r="CH242" s="420"/>
      <c r="CI242" s="420"/>
      <c r="CJ242" s="420"/>
      <c r="CK242" s="420"/>
      <c r="CL242" s="420"/>
      <c r="CM242" s="420"/>
      <c r="CN242" s="420"/>
      <c r="CO242" s="420"/>
      <c r="CP242" s="420"/>
      <c r="CQ242" s="420"/>
      <c r="CR242" s="420"/>
    </row>
    <row r="243" spans="1:97" s="118" customFormat="1" ht="12.75" x14ac:dyDescent="0.2">
      <c r="A243" s="705">
        <v>237</v>
      </c>
      <c r="B243" s="718" t="s">
        <v>362</v>
      </c>
      <c r="C243" s="719" t="s">
        <v>363</v>
      </c>
      <c r="D243" s="708">
        <v>300924</v>
      </c>
      <c r="E243" s="708">
        <v>123086000</v>
      </c>
      <c r="F243" s="133">
        <v>59558651</v>
      </c>
      <c r="G243" s="133">
        <v>-10188143</v>
      </c>
      <c r="H243" s="133">
        <v>792419</v>
      </c>
      <c r="I243" s="133">
        <v>-9395724</v>
      </c>
      <c r="J243" s="133">
        <v>-3208078</v>
      </c>
      <c r="K243" s="133">
        <v>-115026</v>
      </c>
      <c r="L243" s="133">
        <v>-21500</v>
      </c>
      <c r="M243" s="133">
        <v>0</v>
      </c>
      <c r="N243" s="133">
        <v>-464514</v>
      </c>
      <c r="O243" s="133">
        <v>-75794</v>
      </c>
      <c r="P243" s="133">
        <v>-23507</v>
      </c>
      <c r="Q243" s="133">
        <v>-10705</v>
      </c>
      <c r="R243" s="133">
        <v>0</v>
      </c>
      <c r="S243" s="133">
        <v>-10193</v>
      </c>
      <c r="T243" s="133">
        <v>0</v>
      </c>
      <c r="U243" s="133">
        <v>0</v>
      </c>
      <c r="V243" s="133">
        <v>0</v>
      </c>
      <c r="W243" s="709"/>
      <c r="X243" s="709"/>
      <c r="Y243" s="709"/>
      <c r="Z243" s="133">
        <v>-21500</v>
      </c>
      <c r="AA243" s="133">
        <v>-1500</v>
      </c>
      <c r="AB243" s="133">
        <v>43907569</v>
      </c>
      <c r="AC243" s="133">
        <v>-1312350</v>
      </c>
      <c r="AD243" s="709"/>
      <c r="AE243" s="710">
        <v>468</v>
      </c>
      <c r="AF243" s="711">
        <v>21</v>
      </c>
      <c r="AG243" s="710">
        <v>21</v>
      </c>
      <c r="AH243" s="710">
        <v>0</v>
      </c>
      <c r="AI243" s="710">
        <v>241</v>
      </c>
      <c r="AJ243" s="710">
        <v>119</v>
      </c>
      <c r="AK243" s="710">
        <v>7</v>
      </c>
      <c r="AL243" s="710">
        <v>14</v>
      </c>
      <c r="AM243" s="710">
        <v>8</v>
      </c>
      <c r="AN243" s="710">
        <v>1</v>
      </c>
      <c r="AO243" s="710">
        <v>0</v>
      </c>
      <c r="AP243" s="711">
        <v>0</v>
      </c>
      <c r="AQ243" s="709"/>
      <c r="AR243" s="709"/>
      <c r="AS243" s="720">
        <v>1237</v>
      </c>
      <c r="AT243" s="710">
        <v>4343</v>
      </c>
      <c r="AU243" s="710">
        <v>4194</v>
      </c>
      <c r="AV243" s="710">
        <v>149</v>
      </c>
      <c r="AW243" s="710">
        <v>2859</v>
      </c>
      <c r="AX243" s="712">
        <v>8558</v>
      </c>
      <c r="AY243" s="683">
        <v>-42208</v>
      </c>
      <c r="AZ243" s="713">
        <v>895293</v>
      </c>
      <c r="BA243" s="714">
        <v>1840118</v>
      </c>
      <c r="BB243" s="715">
        <v>24143475</v>
      </c>
      <c r="BC243" s="715">
        <v>0</v>
      </c>
      <c r="BD243" s="716">
        <v>1840119</v>
      </c>
      <c r="BE243" s="420"/>
      <c r="BF243" s="717" t="s">
        <v>363</v>
      </c>
      <c r="BG243" s="118" t="b">
        <v>1</v>
      </c>
      <c r="BH243" s="494"/>
      <c r="BI243" s="420"/>
      <c r="BJ243" s="420"/>
      <c r="BK243" s="420"/>
      <c r="BL243" s="420"/>
      <c r="BM243" s="420"/>
      <c r="BN243" s="420"/>
      <c r="BO243" s="420"/>
      <c r="BP243" s="420"/>
      <c r="BQ243" s="420"/>
      <c r="BR243" s="420"/>
      <c r="BS243" s="420"/>
      <c r="BT243" s="420"/>
      <c r="BU243" s="420"/>
      <c r="BV243" s="420"/>
      <c r="BW243" s="420"/>
      <c r="BX243" s="420"/>
      <c r="BY243" s="420"/>
      <c r="BZ243" s="420"/>
      <c r="CA243" s="420"/>
      <c r="CB243" s="420"/>
      <c r="CC243" s="420"/>
      <c r="CD243" s="420"/>
      <c r="CE243" s="420"/>
      <c r="CF243" s="420"/>
      <c r="CG243" s="420"/>
      <c r="CH243" s="420"/>
      <c r="CI243" s="420"/>
      <c r="CJ243" s="420"/>
      <c r="CK243" s="420"/>
      <c r="CL243" s="420"/>
      <c r="CM243" s="420"/>
      <c r="CN243" s="420"/>
      <c r="CO243" s="420"/>
      <c r="CP243" s="420"/>
      <c r="CQ243" s="420"/>
      <c r="CR243" s="420"/>
    </row>
    <row r="244" spans="1:97" s="118" customFormat="1" ht="12.75" x14ac:dyDescent="0.2">
      <c r="A244" s="705">
        <v>238</v>
      </c>
      <c r="B244" s="718" t="s">
        <v>364</v>
      </c>
      <c r="C244" s="719" t="s">
        <v>365</v>
      </c>
      <c r="D244" s="708">
        <v>174890</v>
      </c>
      <c r="E244" s="708">
        <v>89078000</v>
      </c>
      <c r="F244" s="133">
        <v>43232150</v>
      </c>
      <c r="G244" s="133">
        <v>-4606193</v>
      </c>
      <c r="H244" s="133">
        <v>714986</v>
      </c>
      <c r="I244" s="133">
        <v>-3891207</v>
      </c>
      <c r="J244" s="133">
        <v>-4627773</v>
      </c>
      <c r="K244" s="133">
        <v>-75646</v>
      </c>
      <c r="L244" s="133">
        <v>-77499</v>
      </c>
      <c r="M244" s="133">
        <v>0</v>
      </c>
      <c r="N244" s="133">
        <v>-572236</v>
      </c>
      <c r="O244" s="133">
        <v>-135685</v>
      </c>
      <c r="P244" s="133">
        <v>-130809</v>
      </c>
      <c r="Q244" s="133">
        <v>-4265</v>
      </c>
      <c r="R244" s="133">
        <v>0</v>
      </c>
      <c r="S244" s="133">
        <v>-12942</v>
      </c>
      <c r="T244" s="133">
        <v>-352443</v>
      </c>
      <c r="U244" s="133">
        <v>-307443</v>
      </c>
      <c r="V244" s="133">
        <v>0</v>
      </c>
      <c r="W244" s="709"/>
      <c r="X244" s="709"/>
      <c r="Y244" s="709"/>
      <c r="Z244" s="133">
        <v>-77499</v>
      </c>
      <c r="AA244" s="133">
        <v>-1500</v>
      </c>
      <c r="AB244" s="133">
        <v>32053759.530000001</v>
      </c>
      <c r="AC244" s="133">
        <v>-1508979</v>
      </c>
      <c r="AD244" s="709"/>
      <c r="AE244" s="710">
        <v>303</v>
      </c>
      <c r="AF244" s="711">
        <v>11</v>
      </c>
      <c r="AG244" s="710">
        <v>53</v>
      </c>
      <c r="AH244" s="710">
        <v>0</v>
      </c>
      <c r="AI244" s="710">
        <v>226</v>
      </c>
      <c r="AJ244" s="710">
        <v>170</v>
      </c>
      <c r="AK244" s="710">
        <v>47</v>
      </c>
      <c r="AL244" s="710">
        <v>7</v>
      </c>
      <c r="AM244" s="710">
        <v>57</v>
      </c>
      <c r="AN244" s="710">
        <v>1</v>
      </c>
      <c r="AO244" s="710">
        <v>7</v>
      </c>
      <c r="AP244" s="711">
        <v>9</v>
      </c>
      <c r="AQ244" s="709"/>
      <c r="AR244" s="709"/>
      <c r="AS244" s="720">
        <v>857</v>
      </c>
      <c r="AT244" s="710">
        <v>2100</v>
      </c>
      <c r="AU244" s="710">
        <v>2018</v>
      </c>
      <c r="AV244" s="710">
        <v>82</v>
      </c>
      <c r="AW244" s="710">
        <v>1677</v>
      </c>
      <c r="AX244" s="712">
        <v>4807</v>
      </c>
      <c r="AY244" s="683">
        <v>-40219</v>
      </c>
      <c r="AZ244" s="713">
        <v>1719678</v>
      </c>
      <c r="BA244" s="714">
        <v>-285762</v>
      </c>
      <c r="BB244" s="715">
        <v>13091850</v>
      </c>
      <c r="BC244" s="715">
        <v>70000</v>
      </c>
      <c r="BD244" s="716">
        <v>-285763</v>
      </c>
      <c r="BE244" s="420"/>
      <c r="BF244" s="717" t="s">
        <v>365</v>
      </c>
      <c r="BG244" s="118" t="b">
        <v>1</v>
      </c>
      <c r="BH244" s="494"/>
      <c r="BI244" s="420"/>
      <c r="BJ244" s="420"/>
      <c r="BK244" s="420"/>
      <c r="BL244" s="420"/>
      <c r="BM244" s="420"/>
      <c r="BN244" s="420"/>
      <c r="BO244" s="420"/>
      <c r="BP244" s="420"/>
      <c r="BQ244" s="420"/>
      <c r="BR244" s="420"/>
      <c r="BS244" s="420"/>
      <c r="BT244" s="420"/>
      <c r="BU244" s="420"/>
      <c r="BV244" s="420"/>
      <c r="BW244" s="420"/>
      <c r="BX244" s="420"/>
      <c r="BY244" s="420"/>
      <c r="BZ244" s="420"/>
      <c r="CA244" s="420"/>
      <c r="CB244" s="420"/>
      <c r="CC244" s="420"/>
      <c r="CD244" s="420"/>
      <c r="CE244" s="420"/>
      <c r="CF244" s="420"/>
      <c r="CG244" s="420"/>
      <c r="CH244" s="420"/>
      <c r="CI244" s="420"/>
      <c r="CJ244" s="420"/>
      <c r="CK244" s="420"/>
      <c r="CL244" s="420"/>
      <c r="CM244" s="420"/>
      <c r="CN244" s="420"/>
      <c r="CO244" s="420"/>
      <c r="CP244" s="420"/>
      <c r="CQ244" s="420"/>
      <c r="CR244" s="420"/>
    </row>
    <row r="245" spans="1:97" s="118" customFormat="1" ht="12.75" x14ac:dyDescent="0.2">
      <c r="A245" s="705">
        <v>239</v>
      </c>
      <c r="B245" s="718" t="s">
        <v>366</v>
      </c>
      <c r="C245" s="719" t="s">
        <v>367</v>
      </c>
      <c r="D245" s="708">
        <v>106590</v>
      </c>
      <c r="E245" s="708">
        <v>63517000</v>
      </c>
      <c r="F245" s="133">
        <v>31048036</v>
      </c>
      <c r="G245" s="133">
        <v>-3277088</v>
      </c>
      <c r="H245" s="133">
        <v>530373</v>
      </c>
      <c r="I245" s="133">
        <v>-2746715</v>
      </c>
      <c r="J245" s="133">
        <v>-2013097</v>
      </c>
      <c r="K245" s="133">
        <v>-29233</v>
      </c>
      <c r="L245" s="133">
        <v>0</v>
      </c>
      <c r="M245" s="133">
        <v>0</v>
      </c>
      <c r="N245" s="133">
        <v>-329355</v>
      </c>
      <c r="O245" s="133">
        <v>-38318</v>
      </c>
      <c r="P245" s="133">
        <v>0</v>
      </c>
      <c r="Q245" s="133">
        <v>-2903</v>
      </c>
      <c r="R245" s="133">
        <v>0</v>
      </c>
      <c r="S245" s="133">
        <v>0</v>
      </c>
      <c r="T245" s="133">
        <v>0</v>
      </c>
      <c r="U245" s="133">
        <v>0</v>
      </c>
      <c r="V245" s="133">
        <v>0</v>
      </c>
      <c r="W245" s="709"/>
      <c r="X245" s="709"/>
      <c r="Y245" s="709"/>
      <c r="Z245" s="133">
        <v>-90750</v>
      </c>
      <c r="AA245" s="133">
        <v>0</v>
      </c>
      <c r="AB245" s="133">
        <v>24771473</v>
      </c>
      <c r="AC245" s="133">
        <v>-644058</v>
      </c>
      <c r="AD245" s="709"/>
      <c r="AE245" s="710">
        <v>155</v>
      </c>
      <c r="AF245" s="711">
        <v>5</v>
      </c>
      <c r="AG245" s="710">
        <v>0</v>
      </c>
      <c r="AH245" s="710">
        <v>0</v>
      </c>
      <c r="AI245" s="710">
        <v>165</v>
      </c>
      <c r="AJ245" s="710">
        <v>62</v>
      </c>
      <c r="AK245" s="710">
        <v>0</v>
      </c>
      <c r="AL245" s="710">
        <v>2</v>
      </c>
      <c r="AM245" s="710">
        <v>0</v>
      </c>
      <c r="AN245" s="710">
        <v>0</v>
      </c>
      <c r="AO245" s="710">
        <v>0</v>
      </c>
      <c r="AP245" s="711">
        <v>0</v>
      </c>
      <c r="AQ245" s="709"/>
      <c r="AR245" s="709"/>
      <c r="AS245" s="720">
        <v>475</v>
      </c>
      <c r="AT245" s="710">
        <v>1261</v>
      </c>
      <c r="AU245" s="710">
        <v>1218</v>
      </c>
      <c r="AV245" s="710">
        <v>43</v>
      </c>
      <c r="AW245" s="710">
        <v>1090</v>
      </c>
      <c r="AX245" s="712">
        <v>2801</v>
      </c>
      <c r="AY245" s="683">
        <v>-54888</v>
      </c>
      <c r="AZ245" s="713">
        <v>519971</v>
      </c>
      <c r="BA245" s="714">
        <v>802672</v>
      </c>
      <c r="BB245" s="715">
        <v>9611450</v>
      </c>
      <c r="BC245" s="715">
        <v>0</v>
      </c>
      <c r="BD245" s="716">
        <v>802673.10000000149</v>
      </c>
      <c r="BE245" s="420"/>
      <c r="BF245" s="717" t="s">
        <v>367</v>
      </c>
      <c r="BG245" s="118" t="b">
        <v>1</v>
      </c>
      <c r="BH245" s="494"/>
      <c r="BI245" s="420"/>
      <c r="BJ245" s="420"/>
      <c r="BK245" s="420"/>
      <c r="BL245" s="420"/>
      <c r="BM245" s="420"/>
      <c r="BN245" s="420"/>
      <c r="BO245" s="420"/>
      <c r="BP245" s="420"/>
      <c r="BQ245" s="420"/>
      <c r="BR245" s="420"/>
      <c r="BS245" s="420"/>
      <c r="BT245" s="420"/>
      <c r="BU245" s="420"/>
      <c r="BV245" s="420"/>
      <c r="BW245" s="420"/>
      <c r="BX245" s="420"/>
      <c r="BY245" s="420"/>
      <c r="BZ245" s="420"/>
      <c r="CA245" s="420"/>
      <c r="CB245" s="420"/>
      <c r="CC245" s="420"/>
      <c r="CD245" s="420"/>
      <c r="CE245" s="420"/>
      <c r="CF245" s="420"/>
      <c r="CG245" s="420"/>
      <c r="CH245" s="420"/>
      <c r="CI245" s="420"/>
      <c r="CJ245" s="420"/>
      <c r="CK245" s="420"/>
      <c r="CL245" s="420"/>
      <c r="CM245" s="420"/>
      <c r="CN245" s="420"/>
      <c r="CO245" s="420"/>
      <c r="CP245" s="420"/>
      <c r="CQ245" s="420"/>
      <c r="CR245" s="420"/>
    </row>
    <row r="246" spans="1:97" s="118" customFormat="1" ht="12.75" x14ac:dyDescent="0.2">
      <c r="A246" s="705">
        <v>240</v>
      </c>
      <c r="B246" s="718" t="s">
        <v>368</v>
      </c>
      <c r="C246" s="719" t="s">
        <v>369</v>
      </c>
      <c r="D246" s="708">
        <v>175294</v>
      </c>
      <c r="E246" s="708">
        <v>117393000</v>
      </c>
      <c r="F246" s="133">
        <v>58507507</v>
      </c>
      <c r="G246" s="133">
        <v>-4289279</v>
      </c>
      <c r="H246" s="133">
        <v>1056966</v>
      </c>
      <c r="I246" s="133">
        <v>-3232313</v>
      </c>
      <c r="J246" s="133">
        <v>-5528391</v>
      </c>
      <c r="K246" s="133">
        <v>-70142</v>
      </c>
      <c r="L246" s="133">
        <v>-41621</v>
      </c>
      <c r="M246" s="133">
        <v>0</v>
      </c>
      <c r="N246" s="133">
        <v>-1393717</v>
      </c>
      <c r="O246" s="133">
        <v>-223673</v>
      </c>
      <c r="P246" s="133">
        <v>-14669</v>
      </c>
      <c r="Q246" s="133">
        <v>-8847</v>
      </c>
      <c r="R246" s="133">
        <v>0</v>
      </c>
      <c r="S246" s="133">
        <v>0</v>
      </c>
      <c r="T246" s="133">
        <v>0</v>
      </c>
      <c r="U246" s="133">
        <v>0</v>
      </c>
      <c r="V246" s="133">
        <v>0</v>
      </c>
      <c r="W246" s="709"/>
      <c r="X246" s="709"/>
      <c r="Y246" s="709"/>
      <c r="Z246" s="133">
        <v>-41621</v>
      </c>
      <c r="AA246" s="133">
        <v>0</v>
      </c>
      <c r="AB246" s="133">
        <v>46115196</v>
      </c>
      <c r="AC246" s="133">
        <v>-2305759</v>
      </c>
      <c r="AD246" s="709"/>
      <c r="AE246" s="710">
        <v>338</v>
      </c>
      <c r="AF246" s="711">
        <v>23</v>
      </c>
      <c r="AG246" s="710">
        <v>27</v>
      </c>
      <c r="AH246" s="710">
        <v>0</v>
      </c>
      <c r="AI246" s="710">
        <v>358</v>
      </c>
      <c r="AJ246" s="710">
        <v>184</v>
      </c>
      <c r="AK246" s="710">
        <v>2</v>
      </c>
      <c r="AL246" s="710">
        <v>23</v>
      </c>
      <c r="AM246" s="710">
        <v>0</v>
      </c>
      <c r="AN246" s="710">
        <v>0</v>
      </c>
      <c r="AO246" s="710">
        <v>0</v>
      </c>
      <c r="AP246" s="711">
        <v>0</v>
      </c>
      <c r="AQ246" s="709"/>
      <c r="AR246" s="709"/>
      <c r="AS246" s="720">
        <v>1073</v>
      </c>
      <c r="AT246" s="710">
        <v>1514</v>
      </c>
      <c r="AU246" s="710">
        <v>1395</v>
      </c>
      <c r="AV246" s="710">
        <v>119</v>
      </c>
      <c r="AW246" s="710">
        <v>1641</v>
      </c>
      <c r="AX246" s="712">
        <v>4271</v>
      </c>
      <c r="AY246" s="683">
        <v>-47358</v>
      </c>
      <c r="AZ246" s="713">
        <v>-29805</v>
      </c>
      <c r="BA246" s="714">
        <v>-461020</v>
      </c>
      <c r="BB246" s="715">
        <v>20031900</v>
      </c>
      <c r="BC246" s="715">
        <v>0</v>
      </c>
      <c r="BD246" s="716">
        <v>-468638.64999999851</v>
      </c>
      <c r="BE246" s="420"/>
      <c r="BF246" s="717" t="s">
        <v>369</v>
      </c>
      <c r="BG246" s="118" t="b">
        <v>1</v>
      </c>
      <c r="BH246" s="494"/>
      <c r="BI246" s="420"/>
      <c r="BJ246" s="420"/>
      <c r="BK246" s="420"/>
      <c r="BL246" s="420"/>
      <c r="BM246" s="420"/>
      <c r="BN246" s="420"/>
      <c r="BO246" s="420"/>
      <c r="BP246" s="420"/>
      <c r="BQ246" s="420"/>
      <c r="BR246" s="420"/>
      <c r="BS246" s="420"/>
      <c r="BT246" s="420"/>
      <c r="BU246" s="420"/>
      <c r="BV246" s="420"/>
      <c r="BW246" s="420"/>
      <c r="BX246" s="420"/>
      <c r="BY246" s="420"/>
      <c r="BZ246" s="420"/>
      <c r="CA246" s="420"/>
      <c r="CB246" s="420"/>
      <c r="CC246" s="420"/>
      <c r="CD246" s="420"/>
      <c r="CE246" s="420"/>
      <c r="CF246" s="420"/>
      <c r="CG246" s="420"/>
      <c r="CH246" s="420"/>
      <c r="CI246" s="420"/>
      <c r="CJ246" s="420"/>
      <c r="CK246" s="420"/>
      <c r="CL246" s="420"/>
      <c r="CM246" s="420"/>
      <c r="CN246" s="420"/>
      <c r="CO246" s="420"/>
      <c r="CP246" s="420"/>
      <c r="CQ246" s="420"/>
      <c r="CR246" s="420"/>
    </row>
    <row r="247" spans="1:97" s="118" customFormat="1" ht="12.75" x14ac:dyDescent="0.2">
      <c r="A247" s="705">
        <v>241</v>
      </c>
      <c r="B247" s="718" t="s">
        <v>370</v>
      </c>
      <c r="C247" s="719" t="s">
        <v>371</v>
      </c>
      <c r="D247" s="708">
        <v>127068</v>
      </c>
      <c r="E247" s="708">
        <v>88635000</v>
      </c>
      <c r="F247" s="133">
        <v>43399514</v>
      </c>
      <c r="G247" s="133">
        <v>-3794360</v>
      </c>
      <c r="H247" s="133">
        <v>801106</v>
      </c>
      <c r="I247" s="133">
        <v>-2993254</v>
      </c>
      <c r="J247" s="133">
        <v>-2139378</v>
      </c>
      <c r="K247" s="133">
        <v>-16733</v>
      </c>
      <c r="L247" s="133">
        <v>-4360</v>
      </c>
      <c r="M247" s="133">
        <v>0</v>
      </c>
      <c r="N247" s="133">
        <v>-953217</v>
      </c>
      <c r="O247" s="133">
        <v>-117041</v>
      </c>
      <c r="P247" s="133">
        <v>-17932</v>
      </c>
      <c r="Q247" s="133">
        <v>-1058</v>
      </c>
      <c r="R247" s="133">
        <v>0</v>
      </c>
      <c r="S247" s="133">
        <v>0</v>
      </c>
      <c r="T247" s="133">
        <v>0</v>
      </c>
      <c r="U247" s="133">
        <v>0</v>
      </c>
      <c r="V247" s="133">
        <v>0</v>
      </c>
      <c r="W247" s="709"/>
      <c r="X247" s="709"/>
      <c r="Y247" s="709"/>
      <c r="Z247" s="133">
        <v>-4360</v>
      </c>
      <c r="AA247" s="133">
        <v>0</v>
      </c>
      <c r="AB247" s="133">
        <v>36911889</v>
      </c>
      <c r="AC247" s="133">
        <v>-1771771</v>
      </c>
      <c r="AD247" s="709"/>
      <c r="AE247" s="710">
        <v>129</v>
      </c>
      <c r="AF247" s="711">
        <v>5</v>
      </c>
      <c r="AG247" s="710">
        <v>3</v>
      </c>
      <c r="AH247" s="710">
        <v>0</v>
      </c>
      <c r="AI247" s="710">
        <v>130</v>
      </c>
      <c r="AJ247" s="710">
        <v>59</v>
      </c>
      <c r="AK247" s="710">
        <v>10</v>
      </c>
      <c r="AL247" s="710">
        <v>1</v>
      </c>
      <c r="AM247" s="710">
        <v>3</v>
      </c>
      <c r="AN247" s="710">
        <v>0</v>
      </c>
      <c r="AO247" s="710">
        <v>0</v>
      </c>
      <c r="AP247" s="711">
        <v>0</v>
      </c>
      <c r="AQ247" s="709"/>
      <c r="AR247" s="709"/>
      <c r="AS247" s="720">
        <v>611</v>
      </c>
      <c r="AT247" s="710">
        <v>1413</v>
      </c>
      <c r="AU247" s="710">
        <v>1350</v>
      </c>
      <c r="AV247" s="710">
        <v>63</v>
      </c>
      <c r="AW247" s="710">
        <v>1174</v>
      </c>
      <c r="AX247" s="712">
        <v>3269</v>
      </c>
      <c r="AY247" s="683">
        <v>-41162</v>
      </c>
      <c r="AZ247" s="713">
        <v>461767</v>
      </c>
      <c r="BA247" s="714">
        <v>337533</v>
      </c>
      <c r="BB247" s="715">
        <v>12826100</v>
      </c>
      <c r="BC247" s="715">
        <v>0</v>
      </c>
      <c r="BD247" s="716">
        <v>337528</v>
      </c>
      <c r="BE247" s="420"/>
      <c r="BF247" s="717" t="s">
        <v>371</v>
      </c>
      <c r="BG247" s="118" t="b">
        <v>1</v>
      </c>
      <c r="BH247" s="494"/>
      <c r="BI247" s="420"/>
      <c r="BJ247" s="420"/>
      <c r="BK247" s="420"/>
      <c r="BL247" s="420"/>
      <c r="BM247" s="420"/>
      <c r="BN247" s="420"/>
      <c r="BO247" s="420"/>
      <c r="BP247" s="420"/>
      <c r="BQ247" s="420"/>
      <c r="BR247" s="420"/>
      <c r="BS247" s="420"/>
      <c r="BT247" s="420"/>
      <c r="BU247" s="420"/>
      <c r="BV247" s="420"/>
      <c r="BW247" s="420"/>
      <c r="BX247" s="420"/>
      <c r="BY247" s="420"/>
      <c r="BZ247" s="420"/>
      <c r="CA247" s="420"/>
      <c r="CB247" s="420"/>
      <c r="CC247" s="420"/>
      <c r="CD247" s="420"/>
      <c r="CE247" s="420"/>
      <c r="CF247" s="420"/>
      <c r="CG247" s="420"/>
      <c r="CH247" s="420"/>
      <c r="CI247" s="420"/>
      <c r="CJ247" s="420"/>
      <c r="CK247" s="420"/>
      <c r="CL247" s="420"/>
      <c r="CM247" s="420"/>
      <c r="CN247" s="420"/>
      <c r="CO247" s="420"/>
      <c r="CP247" s="420"/>
      <c r="CQ247" s="420"/>
      <c r="CR247" s="420"/>
    </row>
    <row r="248" spans="1:97" s="118" customFormat="1" ht="12.75" x14ac:dyDescent="0.2">
      <c r="A248" s="705">
        <v>242</v>
      </c>
      <c r="B248" s="718" t="s">
        <v>372</v>
      </c>
      <c r="C248" s="719" t="s">
        <v>373</v>
      </c>
      <c r="D248" s="708">
        <v>224191</v>
      </c>
      <c r="E248" s="708">
        <v>119076000</v>
      </c>
      <c r="F248" s="133">
        <v>58039246</v>
      </c>
      <c r="G248" s="133">
        <v>-6466987</v>
      </c>
      <c r="H248" s="133">
        <v>943763</v>
      </c>
      <c r="I248" s="133">
        <v>-5523224</v>
      </c>
      <c r="J248" s="133">
        <v>-3751597</v>
      </c>
      <c r="K248" s="133">
        <v>-38808</v>
      </c>
      <c r="L248" s="133">
        <v>-73787</v>
      </c>
      <c r="M248" s="133">
        <v>0</v>
      </c>
      <c r="N248" s="133">
        <v>-1798388</v>
      </c>
      <c r="O248" s="133">
        <v>-164044</v>
      </c>
      <c r="P248" s="133">
        <v>-40016</v>
      </c>
      <c r="Q248" s="133">
        <v>-4125</v>
      </c>
      <c r="R248" s="133">
        <v>0</v>
      </c>
      <c r="S248" s="133">
        <v>-6039</v>
      </c>
      <c r="T248" s="133">
        <v>-16317</v>
      </c>
      <c r="U248" s="133">
        <v>0</v>
      </c>
      <c r="V248" s="133">
        <v>0</v>
      </c>
      <c r="W248" s="709"/>
      <c r="X248" s="709"/>
      <c r="Y248" s="709"/>
      <c r="Z248" s="133">
        <v>-73787</v>
      </c>
      <c r="AA248" s="133">
        <v>-1500</v>
      </c>
      <c r="AB248" s="133">
        <v>45850990</v>
      </c>
      <c r="AC248" s="133">
        <v>-1209362</v>
      </c>
      <c r="AD248" s="709"/>
      <c r="AE248" s="710">
        <v>399</v>
      </c>
      <c r="AF248" s="711">
        <v>8</v>
      </c>
      <c r="AG248" s="710">
        <v>52</v>
      </c>
      <c r="AH248" s="710">
        <v>6</v>
      </c>
      <c r="AI248" s="710">
        <v>510</v>
      </c>
      <c r="AJ248" s="710">
        <v>184</v>
      </c>
      <c r="AK248" s="710">
        <v>9</v>
      </c>
      <c r="AL248" s="710">
        <v>6</v>
      </c>
      <c r="AM248" s="710">
        <v>0</v>
      </c>
      <c r="AN248" s="710">
        <v>2</v>
      </c>
      <c r="AO248" s="710">
        <v>0</v>
      </c>
      <c r="AP248" s="711">
        <v>40</v>
      </c>
      <c r="AQ248" s="709"/>
      <c r="AR248" s="709"/>
      <c r="AS248" s="720">
        <v>1423</v>
      </c>
      <c r="AT248" s="710">
        <v>2666</v>
      </c>
      <c r="AU248" s="710">
        <v>2535</v>
      </c>
      <c r="AV248" s="710">
        <v>131</v>
      </c>
      <c r="AW248" s="710">
        <v>1939</v>
      </c>
      <c r="AX248" s="712">
        <v>6122</v>
      </c>
      <c r="AY248" s="683">
        <v>-35313</v>
      </c>
      <c r="AZ248" s="713">
        <v>1484207</v>
      </c>
      <c r="BA248" s="714">
        <v>2234799</v>
      </c>
      <c r="BB248" s="715">
        <v>20141200</v>
      </c>
      <c r="BC248" s="715">
        <v>0</v>
      </c>
      <c r="BD248" s="716">
        <v>2234798.299999997</v>
      </c>
      <c r="BE248" s="420"/>
      <c r="BF248" s="717" t="s">
        <v>373</v>
      </c>
      <c r="BG248" s="118" t="b">
        <v>1</v>
      </c>
      <c r="BH248" s="494"/>
      <c r="BI248" s="420"/>
      <c r="BJ248" s="420"/>
      <c r="BK248" s="420"/>
      <c r="BL248" s="420"/>
      <c r="BM248" s="420"/>
      <c r="BN248" s="420"/>
      <c r="BO248" s="420"/>
      <c r="BP248" s="420"/>
      <c r="BQ248" s="420"/>
      <c r="BR248" s="420"/>
      <c r="BS248" s="420"/>
      <c r="BT248" s="420"/>
      <c r="BU248" s="420"/>
      <c r="BV248" s="420"/>
      <c r="BW248" s="420"/>
      <c r="BX248" s="420"/>
      <c r="BY248" s="420"/>
      <c r="BZ248" s="420"/>
      <c r="CA248" s="420"/>
      <c r="CB248" s="420"/>
      <c r="CC248" s="420"/>
      <c r="CD248" s="420"/>
      <c r="CE248" s="420"/>
      <c r="CF248" s="420"/>
      <c r="CG248" s="420"/>
      <c r="CH248" s="420"/>
      <c r="CI248" s="420"/>
      <c r="CJ248" s="420"/>
      <c r="CK248" s="420"/>
      <c r="CL248" s="420"/>
      <c r="CM248" s="420"/>
      <c r="CN248" s="420"/>
      <c r="CO248" s="420"/>
      <c r="CP248" s="420"/>
      <c r="CQ248" s="420"/>
      <c r="CR248" s="420"/>
    </row>
    <row r="249" spans="1:97" s="118" customFormat="1" ht="12.75" x14ac:dyDescent="0.2">
      <c r="A249" s="705">
        <v>243</v>
      </c>
      <c r="B249" s="718" t="s">
        <v>374</v>
      </c>
      <c r="C249" s="719" t="s">
        <v>375</v>
      </c>
      <c r="D249" s="708">
        <v>104948</v>
      </c>
      <c r="E249" s="708">
        <v>69031000</v>
      </c>
      <c r="F249" s="133">
        <v>32134201</v>
      </c>
      <c r="G249" s="133">
        <v>-3354716</v>
      </c>
      <c r="H249" s="133">
        <v>569929</v>
      </c>
      <c r="I249" s="133">
        <v>-2784787</v>
      </c>
      <c r="J249" s="133">
        <v>-1290349</v>
      </c>
      <c r="K249" s="133">
        <v>-21985</v>
      </c>
      <c r="L249" s="133">
        <v>-7313</v>
      </c>
      <c r="M249" s="133">
        <v>0</v>
      </c>
      <c r="N249" s="133">
        <v>-391245</v>
      </c>
      <c r="O249" s="133">
        <v>-50721</v>
      </c>
      <c r="P249" s="133">
        <v>-239206</v>
      </c>
      <c r="Q249" s="133">
        <v>-4388</v>
      </c>
      <c r="R249" s="133">
        <v>0</v>
      </c>
      <c r="S249" s="133">
        <v>0</v>
      </c>
      <c r="T249" s="133">
        <v>-162387</v>
      </c>
      <c r="U249" s="133">
        <v>-162387</v>
      </c>
      <c r="V249" s="133">
        <v>0</v>
      </c>
      <c r="W249" s="709"/>
      <c r="X249" s="709"/>
      <c r="Y249" s="709"/>
      <c r="Z249" s="133">
        <v>-7313</v>
      </c>
      <c r="AA249" s="133">
        <v>0</v>
      </c>
      <c r="AB249" s="133">
        <v>26329580</v>
      </c>
      <c r="AC249" s="133">
        <v>-702543</v>
      </c>
      <c r="AD249" s="709"/>
      <c r="AE249" s="710">
        <v>122</v>
      </c>
      <c r="AF249" s="711">
        <v>16</v>
      </c>
      <c r="AG249" s="710">
        <v>8</v>
      </c>
      <c r="AH249" s="710">
        <v>0</v>
      </c>
      <c r="AI249" s="710">
        <v>164</v>
      </c>
      <c r="AJ249" s="710">
        <v>60</v>
      </c>
      <c r="AK249" s="710">
        <v>25</v>
      </c>
      <c r="AL249" s="710">
        <v>9</v>
      </c>
      <c r="AM249" s="710">
        <v>0</v>
      </c>
      <c r="AN249" s="710">
        <v>0</v>
      </c>
      <c r="AO249" s="710">
        <v>3</v>
      </c>
      <c r="AP249" s="711">
        <v>0</v>
      </c>
      <c r="AQ249" s="709"/>
      <c r="AR249" s="709"/>
      <c r="AS249" s="720">
        <v>542</v>
      </c>
      <c r="AT249" s="710">
        <v>1269</v>
      </c>
      <c r="AU249" s="710">
        <v>1223</v>
      </c>
      <c r="AV249" s="710">
        <v>46</v>
      </c>
      <c r="AW249" s="710">
        <v>904</v>
      </c>
      <c r="AX249" s="712">
        <v>2740</v>
      </c>
      <c r="AY249" s="683">
        <v>-16283</v>
      </c>
      <c r="AZ249" s="713">
        <v>689365</v>
      </c>
      <c r="BA249" s="714">
        <v>418718</v>
      </c>
      <c r="BB249" s="715">
        <v>8057525</v>
      </c>
      <c r="BC249" s="715">
        <v>0</v>
      </c>
      <c r="BD249" s="716">
        <v>418720</v>
      </c>
      <c r="BE249" s="420"/>
      <c r="BF249" s="717" t="s">
        <v>375</v>
      </c>
      <c r="BG249" s="118" t="b">
        <v>1</v>
      </c>
      <c r="BH249" s="494"/>
      <c r="BI249" s="420"/>
      <c r="BJ249" s="420"/>
      <c r="BK249" s="420"/>
      <c r="BL249" s="420"/>
      <c r="BM249" s="420"/>
      <c r="BN249" s="420"/>
      <c r="BO249" s="420"/>
      <c r="BP249" s="420"/>
      <c r="BQ249" s="420"/>
      <c r="BR249" s="420"/>
      <c r="BS249" s="420"/>
      <c r="BT249" s="420"/>
      <c r="BU249" s="420"/>
      <c r="BV249" s="420"/>
      <c r="BW249" s="420"/>
      <c r="BX249" s="420"/>
      <c r="BY249" s="420"/>
      <c r="BZ249" s="420"/>
      <c r="CA249" s="420"/>
      <c r="CB249" s="420"/>
      <c r="CC249" s="420"/>
      <c r="CD249" s="420"/>
      <c r="CE249" s="420"/>
      <c r="CF249" s="420"/>
      <c r="CG249" s="420"/>
      <c r="CH249" s="420"/>
      <c r="CI249" s="420"/>
      <c r="CJ249" s="420"/>
      <c r="CK249" s="420"/>
      <c r="CL249" s="420"/>
      <c r="CM249" s="420"/>
      <c r="CN249" s="420"/>
      <c r="CO249" s="420"/>
      <c r="CP249" s="420"/>
      <c r="CQ249" s="420"/>
      <c r="CR249" s="420"/>
    </row>
    <row r="250" spans="1:97" s="118" customFormat="1" ht="12.75" x14ac:dyDescent="0.2">
      <c r="A250" s="705">
        <v>244</v>
      </c>
      <c r="B250" s="718" t="s">
        <v>376</v>
      </c>
      <c r="C250" s="719" t="s">
        <v>377</v>
      </c>
      <c r="D250" s="708">
        <v>142510</v>
      </c>
      <c r="E250" s="708">
        <v>78913000</v>
      </c>
      <c r="F250" s="133">
        <v>38270545</v>
      </c>
      <c r="G250" s="133">
        <v>-4000000</v>
      </c>
      <c r="H250" s="133">
        <v>650000</v>
      </c>
      <c r="I250" s="133">
        <v>-3350000</v>
      </c>
      <c r="J250" s="133">
        <v>-2200000</v>
      </c>
      <c r="K250" s="133">
        <v>-65000</v>
      </c>
      <c r="L250" s="133">
        <v>0</v>
      </c>
      <c r="M250" s="133">
        <v>0</v>
      </c>
      <c r="N250" s="133">
        <v>-1000000</v>
      </c>
      <c r="O250" s="133">
        <v>-3800</v>
      </c>
      <c r="P250" s="133">
        <v>-50000</v>
      </c>
      <c r="Q250" s="133">
        <v>0</v>
      </c>
      <c r="R250" s="133">
        <v>0</v>
      </c>
      <c r="S250" s="133">
        <v>0</v>
      </c>
      <c r="T250" s="133">
        <v>0</v>
      </c>
      <c r="U250" s="133">
        <v>0</v>
      </c>
      <c r="V250" s="133">
        <v>0</v>
      </c>
      <c r="W250" s="709"/>
      <c r="X250" s="709"/>
      <c r="Y250" s="709"/>
      <c r="Z250" s="133">
        <v>0</v>
      </c>
      <c r="AA250" s="133">
        <v>0</v>
      </c>
      <c r="AB250" s="133">
        <v>31431795</v>
      </c>
      <c r="AC250" s="133">
        <v>-1000000</v>
      </c>
      <c r="AD250" s="709"/>
      <c r="AE250" s="710">
        <v>151</v>
      </c>
      <c r="AF250" s="711">
        <v>6</v>
      </c>
      <c r="AG250" s="710">
        <v>0</v>
      </c>
      <c r="AH250" s="710">
        <v>0</v>
      </c>
      <c r="AI250" s="710">
        <v>386</v>
      </c>
      <c r="AJ250" s="710">
        <v>4</v>
      </c>
      <c r="AK250" s="710">
        <v>12</v>
      </c>
      <c r="AL250" s="710">
        <v>0</v>
      </c>
      <c r="AM250" s="710">
        <v>0</v>
      </c>
      <c r="AN250" s="710">
        <v>0</v>
      </c>
      <c r="AO250" s="710">
        <v>0</v>
      </c>
      <c r="AP250" s="711">
        <v>0</v>
      </c>
      <c r="AQ250" s="709"/>
      <c r="AR250" s="709"/>
      <c r="AS250" s="720">
        <v>770</v>
      </c>
      <c r="AT250" s="710">
        <v>1764</v>
      </c>
      <c r="AU250" s="710">
        <v>1706</v>
      </c>
      <c r="AV250" s="710">
        <v>58</v>
      </c>
      <c r="AW250" s="710">
        <v>1307</v>
      </c>
      <c r="AX250" s="712">
        <v>3860</v>
      </c>
      <c r="AY250" s="683">
        <v>-18500</v>
      </c>
      <c r="AZ250" s="713">
        <v>-1111366</v>
      </c>
      <c r="BA250" s="714">
        <v>-1833726</v>
      </c>
      <c r="BB250" s="715">
        <v>12208800</v>
      </c>
      <c r="BC250" s="715">
        <v>0</v>
      </c>
      <c r="BD250" s="716">
        <v>-1833727.42</v>
      </c>
      <c r="BE250" s="420"/>
      <c r="BF250" s="717" t="s">
        <v>377</v>
      </c>
      <c r="BG250" s="118" t="b">
        <v>1</v>
      </c>
      <c r="BH250" s="494"/>
      <c r="BI250" s="420"/>
      <c r="BJ250" s="420"/>
      <c r="BK250" s="420"/>
      <c r="BL250" s="420"/>
      <c r="BM250" s="420"/>
      <c r="BN250" s="420"/>
      <c r="BO250" s="420"/>
      <c r="BP250" s="420"/>
      <c r="BQ250" s="420"/>
      <c r="BR250" s="420"/>
      <c r="BS250" s="420"/>
      <c r="BT250" s="420"/>
      <c r="BU250" s="420"/>
      <c r="BV250" s="420"/>
      <c r="BW250" s="420"/>
      <c r="BX250" s="420"/>
      <c r="BY250" s="420"/>
      <c r="BZ250" s="420"/>
      <c r="CA250" s="420"/>
      <c r="CB250" s="420"/>
      <c r="CC250" s="420"/>
      <c r="CD250" s="420"/>
      <c r="CE250" s="420"/>
      <c r="CF250" s="420"/>
      <c r="CG250" s="420"/>
      <c r="CH250" s="420"/>
      <c r="CI250" s="420"/>
      <c r="CJ250" s="420"/>
      <c r="CK250" s="420"/>
      <c r="CL250" s="420"/>
      <c r="CM250" s="420"/>
      <c r="CN250" s="420"/>
      <c r="CO250" s="420"/>
      <c r="CP250" s="420"/>
      <c r="CQ250" s="420"/>
      <c r="CR250" s="420"/>
    </row>
    <row r="251" spans="1:97" s="118" customFormat="1" ht="12.75" x14ac:dyDescent="0.2">
      <c r="A251" s="705">
        <v>245</v>
      </c>
      <c r="B251" s="718" t="s">
        <v>574</v>
      </c>
      <c r="C251" s="719" t="s">
        <v>379</v>
      </c>
      <c r="D251" s="708">
        <v>308058</v>
      </c>
      <c r="E251" s="708">
        <v>270429000</v>
      </c>
      <c r="F251" s="133">
        <v>136917854</v>
      </c>
      <c r="G251" s="133">
        <v>-6152416</v>
      </c>
      <c r="H251" s="133">
        <v>2730751</v>
      </c>
      <c r="I251" s="133">
        <v>-3421665</v>
      </c>
      <c r="J251" s="133">
        <v>-11830648</v>
      </c>
      <c r="K251" s="133">
        <v>-50747</v>
      </c>
      <c r="L251" s="133">
        <v>0</v>
      </c>
      <c r="M251" s="133">
        <v>-50000</v>
      </c>
      <c r="N251" s="133">
        <v>-1794096</v>
      </c>
      <c r="O251" s="133">
        <v>0</v>
      </c>
      <c r="P251" s="133">
        <v>-115350</v>
      </c>
      <c r="Q251" s="133">
        <v>0</v>
      </c>
      <c r="R251" s="133">
        <v>0</v>
      </c>
      <c r="S251" s="133">
        <v>0</v>
      </c>
      <c r="T251" s="133">
        <v>-50000</v>
      </c>
      <c r="U251" s="133">
        <v>0</v>
      </c>
      <c r="V251" s="133">
        <v>0</v>
      </c>
      <c r="W251" s="709"/>
      <c r="X251" s="709"/>
      <c r="Y251" s="709"/>
      <c r="Z251" s="133">
        <v>0</v>
      </c>
      <c r="AA251" s="133">
        <v>0</v>
      </c>
      <c r="AB251" s="133">
        <v>118445827</v>
      </c>
      <c r="AC251" s="133">
        <v>-5566954</v>
      </c>
      <c r="AD251" s="709"/>
      <c r="AE251" s="710">
        <v>341</v>
      </c>
      <c r="AF251" s="711">
        <v>7</v>
      </c>
      <c r="AG251" s="710">
        <v>0</v>
      </c>
      <c r="AH251" s="710">
        <v>0</v>
      </c>
      <c r="AI251" s="710">
        <v>467</v>
      </c>
      <c r="AJ251" s="710">
        <v>0</v>
      </c>
      <c r="AK251" s="710">
        <v>33</v>
      </c>
      <c r="AL251" s="710">
        <v>0</v>
      </c>
      <c r="AM251" s="710">
        <v>0</v>
      </c>
      <c r="AN251" s="710">
        <v>0</v>
      </c>
      <c r="AO251" s="710">
        <v>0</v>
      </c>
      <c r="AP251" s="711">
        <v>47</v>
      </c>
      <c r="AQ251" s="709"/>
      <c r="AR251" s="709"/>
      <c r="AS251" s="720">
        <v>1956</v>
      </c>
      <c r="AT251" s="710">
        <v>2049</v>
      </c>
      <c r="AU251" s="710">
        <v>1885</v>
      </c>
      <c r="AV251" s="710">
        <v>164</v>
      </c>
      <c r="AW251" s="710">
        <v>2986</v>
      </c>
      <c r="AX251" s="712">
        <v>7063</v>
      </c>
      <c r="AY251" s="683">
        <v>-15895</v>
      </c>
      <c r="AZ251" s="713">
        <v>3098371</v>
      </c>
      <c r="BA251" s="714">
        <v>5364168</v>
      </c>
      <c r="BB251" s="715">
        <v>30107600</v>
      </c>
      <c r="BC251" s="715">
        <v>0</v>
      </c>
      <c r="BD251" s="716">
        <v>5364229</v>
      </c>
      <c r="BE251" s="420"/>
      <c r="BF251" s="717" t="s">
        <v>379</v>
      </c>
      <c r="BG251" s="118" t="b">
        <v>1</v>
      </c>
      <c r="BH251" s="494"/>
      <c r="BI251" s="420"/>
      <c r="BJ251" s="420"/>
      <c r="BK251" s="420"/>
      <c r="BL251" s="420"/>
      <c r="BM251" s="420"/>
      <c r="BN251" s="420"/>
      <c r="BO251" s="420"/>
      <c r="BP251" s="420"/>
      <c r="BQ251" s="420"/>
      <c r="BR251" s="420"/>
      <c r="BS251" s="420"/>
      <c r="BT251" s="420"/>
      <c r="BU251" s="420"/>
      <c r="BV251" s="420"/>
      <c r="BW251" s="420"/>
      <c r="BX251" s="420"/>
      <c r="BY251" s="420"/>
      <c r="BZ251" s="420"/>
      <c r="CA251" s="420"/>
      <c r="CB251" s="420"/>
      <c r="CC251" s="420"/>
      <c r="CD251" s="420"/>
      <c r="CE251" s="420"/>
      <c r="CF251" s="420"/>
      <c r="CG251" s="420"/>
      <c r="CH251" s="420"/>
      <c r="CI251" s="420"/>
      <c r="CJ251" s="420"/>
      <c r="CK251" s="420"/>
      <c r="CL251" s="420"/>
      <c r="CM251" s="420"/>
      <c r="CN251" s="420"/>
      <c r="CO251" s="420"/>
      <c r="CP251" s="420"/>
      <c r="CQ251" s="420"/>
      <c r="CR251" s="420"/>
    </row>
    <row r="252" spans="1:97" s="737" customFormat="1" ht="12.75" x14ac:dyDescent="0.2">
      <c r="A252" s="705">
        <v>246</v>
      </c>
      <c r="B252" s="718" t="s">
        <v>567</v>
      </c>
      <c r="C252" s="719" t="s">
        <v>381</v>
      </c>
      <c r="D252" s="708">
        <v>224201</v>
      </c>
      <c r="E252" s="708">
        <v>121993000</v>
      </c>
      <c r="F252" s="133">
        <v>59971846</v>
      </c>
      <c r="G252" s="133">
        <v>-7466075</v>
      </c>
      <c r="H252" s="133">
        <v>994574</v>
      </c>
      <c r="I252" s="133">
        <v>-6471501</v>
      </c>
      <c r="J252" s="133">
        <v>-5045024</v>
      </c>
      <c r="K252" s="133">
        <v>-52515</v>
      </c>
      <c r="L252" s="133">
        <v>0</v>
      </c>
      <c r="M252" s="133">
        <v>0</v>
      </c>
      <c r="N252" s="133">
        <v>-675313</v>
      </c>
      <c r="O252" s="133">
        <v>-72017</v>
      </c>
      <c r="P252" s="133">
        <v>-44424</v>
      </c>
      <c r="Q252" s="133">
        <v>-3781</v>
      </c>
      <c r="R252" s="133">
        <v>0</v>
      </c>
      <c r="S252" s="133">
        <v>0</v>
      </c>
      <c r="T252" s="133">
        <v>0</v>
      </c>
      <c r="U252" s="133">
        <v>0</v>
      </c>
      <c r="V252" s="133">
        <v>0</v>
      </c>
      <c r="W252" s="709"/>
      <c r="X252" s="709"/>
      <c r="Y252" s="709"/>
      <c r="Z252" s="133">
        <v>0</v>
      </c>
      <c r="AA252" s="133">
        <v>0</v>
      </c>
      <c r="AB252" s="133">
        <v>46245122</v>
      </c>
      <c r="AC252" s="133">
        <v>-1960992</v>
      </c>
      <c r="AD252" s="709"/>
      <c r="AE252" s="710">
        <v>235</v>
      </c>
      <c r="AF252" s="711">
        <v>13</v>
      </c>
      <c r="AG252" s="710">
        <v>0</v>
      </c>
      <c r="AH252" s="710">
        <v>0</v>
      </c>
      <c r="AI252" s="710">
        <v>634</v>
      </c>
      <c r="AJ252" s="710">
        <v>75</v>
      </c>
      <c r="AK252" s="710">
        <v>9</v>
      </c>
      <c r="AL252" s="710">
        <v>6</v>
      </c>
      <c r="AM252" s="710">
        <v>0</v>
      </c>
      <c r="AN252" s="710">
        <v>0</v>
      </c>
      <c r="AO252" s="710">
        <v>0</v>
      </c>
      <c r="AP252" s="711">
        <v>0</v>
      </c>
      <c r="AQ252" s="709"/>
      <c r="AR252" s="709"/>
      <c r="AS252" s="720">
        <v>1243</v>
      </c>
      <c r="AT252" s="710">
        <v>2721</v>
      </c>
      <c r="AU252" s="710">
        <v>2563</v>
      </c>
      <c r="AV252" s="710">
        <v>158</v>
      </c>
      <c r="AW252" s="710">
        <v>1985</v>
      </c>
      <c r="AX252" s="712">
        <v>6002</v>
      </c>
      <c r="AY252" s="683">
        <v>-22948</v>
      </c>
      <c r="AZ252" s="713">
        <v>303956.22999999672</v>
      </c>
      <c r="BA252" s="714">
        <v>83407.229999996722</v>
      </c>
      <c r="BB252" s="715">
        <v>18847650</v>
      </c>
      <c r="BC252" s="715">
        <v>0</v>
      </c>
      <c r="BD252" s="716">
        <v>83408.229999996722</v>
      </c>
      <c r="BE252" s="420"/>
      <c r="BF252" s="717" t="s">
        <v>381</v>
      </c>
      <c r="BG252" s="118" t="b">
        <v>1</v>
      </c>
      <c r="BH252" s="494"/>
      <c r="BI252" s="420"/>
      <c r="BJ252" s="420"/>
      <c r="BK252" s="420"/>
      <c r="BL252" s="420"/>
      <c r="BM252" s="420"/>
      <c r="BN252" s="420"/>
      <c r="BO252" s="420"/>
      <c r="BP252" s="420"/>
      <c r="BQ252" s="420"/>
      <c r="BR252" s="420"/>
      <c r="BS252" s="420"/>
      <c r="BT252" s="420"/>
      <c r="BU252" s="420"/>
      <c r="BV252" s="420"/>
      <c r="BW252" s="420"/>
      <c r="BX252" s="420"/>
      <c r="BY252" s="420"/>
      <c r="BZ252" s="420"/>
      <c r="CA252" s="420"/>
      <c r="CB252" s="420"/>
      <c r="CC252" s="420"/>
      <c r="CD252" s="420"/>
      <c r="CE252" s="420"/>
      <c r="CF252" s="420"/>
      <c r="CG252" s="420"/>
      <c r="CH252" s="420"/>
      <c r="CI252" s="420"/>
      <c r="CJ252" s="420"/>
      <c r="CK252" s="420"/>
      <c r="CL252" s="420"/>
      <c r="CM252" s="420"/>
      <c r="CN252" s="420"/>
      <c r="CO252" s="420"/>
      <c r="CP252" s="420"/>
      <c r="CQ252" s="420"/>
      <c r="CR252" s="420"/>
      <c r="CS252" s="118"/>
    </row>
    <row r="253" spans="1:97" s="118" customFormat="1" ht="12.75" x14ac:dyDescent="0.2">
      <c r="A253" s="705">
        <v>247</v>
      </c>
      <c r="B253" s="718" t="s">
        <v>382</v>
      </c>
      <c r="C253" s="719" t="s">
        <v>383</v>
      </c>
      <c r="D253" s="708">
        <v>768851</v>
      </c>
      <c r="E253" s="708">
        <v>777389000</v>
      </c>
      <c r="F253" s="133">
        <v>391096539</v>
      </c>
      <c r="G253" s="133">
        <v>-8393706</v>
      </c>
      <c r="H253" s="133">
        <v>8382448</v>
      </c>
      <c r="I253" s="133">
        <v>-11258</v>
      </c>
      <c r="J253" s="133">
        <v>-35297038</v>
      </c>
      <c r="K253" s="133">
        <v>-38943</v>
      </c>
      <c r="L253" s="133">
        <v>0</v>
      </c>
      <c r="M253" s="133">
        <v>0</v>
      </c>
      <c r="N253" s="133">
        <v>-8584345</v>
      </c>
      <c r="O253" s="133">
        <v>-367165</v>
      </c>
      <c r="P253" s="133">
        <v>-67251</v>
      </c>
      <c r="Q253" s="133">
        <v>0</v>
      </c>
      <c r="R253" s="133">
        <v>0</v>
      </c>
      <c r="S253" s="133">
        <v>0</v>
      </c>
      <c r="T253" s="133">
        <v>0</v>
      </c>
      <c r="U253" s="133">
        <v>0</v>
      </c>
      <c r="V253" s="133">
        <v>0</v>
      </c>
      <c r="W253" s="709"/>
      <c r="X253" s="709"/>
      <c r="Y253" s="709"/>
      <c r="Z253" s="133">
        <v>0</v>
      </c>
      <c r="AA253" s="133">
        <v>0</v>
      </c>
      <c r="AB253" s="133">
        <v>331512509</v>
      </c>
      <c r="AC253" s="133">
        <v>-2500000</v>
      </c>
      <c r="AD253" s="709"/>
      <c r="AE253" s="710">
        <v>751</v>
      </c>
      <c r="AF253" s="711">
        <v>6</v>
      </c>
      <c r="AG253" s="710">
        <v>0</v>
      </c>
      <c r="AH253" s="710">
        <v>2</v>
      </c>
      <c r="AI253" s="710">
        <v>1516</v>
      </c>
      <c r="AJ253" s="710">
        <v>72</v>
      </c>
      <c r="AK253" s="710">
        <v>6</v>
      </c>
      <c r="AL253" s="710">
        <v>0</v>
      </c>
      <c r="AM253" s="710">
        <v>0</v>
      </c>
      <c r="AN253" s="710">
        <v>0</v>
      </c>
      <c r="AO253" s="710">
        <v>0</v>
      </c>
      <c r="AP253" s="711">
        <v>0</v>
      </c>
      <c r="AQ253" s="709"/>
      <c r="AR253" s="709"/>
      <c r="AS253" s="720">
        <v>3798</v>
      </c>
      <c r="AT253" s="710">
        <v>3581</v>
      </c>
      <c r="AU253" s="710">
        <v>3102</v>
      </c>
      <c r="AV253" s="710">
        <v>479</v>
      </c>
      <c r="AW253" s="710">
        <v>5283</v>
      </c>
      <c r="AX253" s="712">
        <v>13034</v>
      </c>
      <c r="AY253" s="683">
        <v>-428694</v>
      </c>
      <c r="AZ253" s="713">
        <v>3860896</v>
      </c>
      <c r="BA253" s="714">
        <v>-21901563</v>
      </c>
      <c r="BB253" s="715">
        <v>47714900</v>
      </c>
      <c r="BC253" s="715">
        <v>0</v>
      </c>
      <c r="BD253" s="716">
        <v>-21901565</v>
      </c>
      <c r="BE253" s="420"/>
      <c r="BF253" s="717" t="s">
        <v>383</v>
      </c>
      <c r="BG253" s="118" t="b">
        <v>1</v>
      </c>
      <c r="BH253" s="494"/>
      <c r="BI253" s="420"/>
      <c r="BJ253" s="420"/>
      <c r="BK253" s="420"/>
      <c r="BL253" s="420"/>
      <c r="BM253" s="420"/>
      <c r="BN253" s="420"/>
      <c r="BO253" s="420"/>
      <c r="BP253" s="420"/>
      <c r="BQ253" s="420"/>
      <c r="BR253" s="420"/>
      <c r="BS253" s="420"/>
      <c r="BT253" s="420"/>
      <c r="BU253" s="420"/>
      <c r="BV253" s="420"/>
      <c r="BW253" s="420"/>
      <c r="BX253" s="420"/>
      <c r="BY253" s="420"/>
      <c r="BZ253" s="420"/>
      <c r="CA253" s="420"/>
      <c r="CB253" s="420"/>
      <c r="CC253" s="420"/>
      <c r="CD253" s="420"/>
      <c r="CE253" s="420"/>
      <c r="CF253" s="420"/>
      <c r="CG253" s="420"/>
      <c r="CH253" s="420"/>
      <c r="CI253" s="420"/>
      <c r="CJ253" s="420"/>
      <c r="CK253" s="420"/>
      <c r="CL253" s="420"/>
      <c r="CM253" s="420"/>
      <c r="CN253" s="420"/>
      <c r="CO253" s="420"/>
      <c r="CP253" s="420"/>
      <c r="CQ253" s="420"/>
      <c r="CR253" s="420"/>
    </row>
    <row r="254" spans="1:97" s="118" customFormat="1" ht="12.75" x14ac:dyDescent="0.2">
      <c r="A254" s="705">
        <v>248</v>
      </c>
      <c r="B254" s="718" t="s">
        <v>384</v>
      </c>
      <c r="C254" s="719" t="s">
        <v>385</v>
      </c>
      <c r="D254" s="708">
        <v>122829</v>
      </c>
      <c r="E254" s="708">
        <v>116282000</v>
      </c>
      <c r="F254" s="133">
        <v>57268289</v>
      </c>
      <c r="G254" s="133">
        <v>-2303922</v>
      </c>
      <c r="H254" s="133">
        <v>1218882</v>
      </c>
      <c r="I254" s="133">
        <v>-1085040</v>
      </c>
      <c r="J254" s="133">
        <v>-2617820</v>
      </c>
      <c r="K254" s="133">
        <v>-15382</v>
      </c>
      <c r="L254" s="133">
        <v>0</v>
      </c>
      <c r="M254" s="133">
        <v>0</v>
      </c>
      <c r="N254" s="133">
        <v>-816589</v>
      </c>
      <c r="O254" s="133">
        <v>-48970</v>
      </c>
      <c r="P254" s="133">
        <v>-90000</v>
      </c>
      <c r="Q254" s="133">
        <v>-13205</v>
      </c>
      <c r="R254" s="133">
        <v>0</v>
      </c>
      <c r="S254" s="133">
        <v>0</v>
      </c>
      <c r="T254" s="133">
        <v>0</v>
      </c>
      <c r="U254" s="133">
        <v>0</v>
      </c>
      <c r="V254" s="133">
        <v>0</v>
      </c>
      <c r="W254" s="709"/>
      <c r="X254" s="709"/>
      <c r="Y254" s="709"/>
      <c r="Z254" s="133">
        <v>0</v>
      </c>
      <c r="AA254" s="133">
        <v>0</v>
      </c>
      <c r="AB254" s="133">
        <v>51264991</v>
      </c>
      <c r="AC254" s="133">
        <v>-500000</v>
      </c>
      <c r="AD254" s="709"/>
      <c r="AE254" s="710">
        <v>98</v>
      </c>
      <c r="AF254" s="711">
        <v>3</v>
      </c>
      <c r="AG254" s="710">
        <v>0</v>
      </c>
      <c r="AH254" s="710">
        <v>0</v>
      </c>
      <c r="AI254" s="710">
        <v>142</v>
      </c>
      <c r="AJ254" s="710">
        <v>37</v>
      </c>
      <c r="AK254" s="710">
        <v>17</v>
      </c>
      <c r="AL254" s="710">
        <v>8</v>
      </c>
      <c r="AM254" s="710">
        <v>0</v>
      </c>
      <c r="AN254" s="710">
        <v>0</v>
      </c>
      <c r="AO254" s="710">
        <v>0</v>
      </c>
      <c r="AP254" s="711">
        <v>0</v>
      </c>
      <c r="AQ254" s="709"/>
      <c r="AR254" s="709"/>
      <c r="AS254" s="720">
        <v>678</v>
      </c>
      <c r="AT254" s="710">
        <v>790</v>
      </c>
      <c r="AU254" s="710">
        <v>715</v>
      </c>
      <c r="AV254" s="710">
        <v>75</v>
      </c>
      <c r="AW254" s="710">
        <v>998</v>
      </c>
      <c r="AX254" s="712">
        <v>2499</v>
      </c>
      <c r="AY254" s="683">
        <v>-20000</v>
      </c>
      <c r="AZ254" s="713">
        <v>4264840</v>
      </c>
      <c r="BA254" s="714">
        <v>1850678</v>
      </c>
      <c r="BB254" s="715">
        <v>12844400</v>
      </c>
      <c r="BC254" s="715">
        <v>0</v>
      </c>
      <c r="BD254" s="716">
        <v>2137067</v>
      </c>
      <c r="BE254" s="420"/>
      <c r="BF254" s="717" t="s">
        <v>385</v>
      </c>
      <c r="BG254" s="118" t="b">
        <v>1</v>
      </c>
      <c r="BH254" s="494"/>
      <c r="BI254" s="420"/>
      <c r="BJ254" s="420"/>
      <c r="BK254" s="420"/>
      <c r="BL254" s="420"/>
      <c r="BM254" s="420"/>
      <c r="BN254" s="420"/>
      <c r="BO254" s="420"/>
      <c r="BP254" s="420"/>
      <c r="BQ254" s="420"/>
      <c r="BR254" s="420"/>
      <c r="BS254" s="420"/>
      <c r="BT254" s="420"/>
      <c r="BU254" s="420"/>
      <c r="BV254" s="420"/>
      <c r="BW254" s="420"/>
      <c r="BX254" s="420"/>
      <c r="BY254" s="420"/>
      <c r="BZ254" s="420"/>
      <c r="CA254" s="420"/>
      <c r="CB254" s="420"/>
      <c r="CC254" s="420"/>
      <c r="CD254" s="420"/>
      <c r="CE254" s="420"/>
      <c r="CF254" s="420"/>
      <c r="CG254" s="420"/>
      <c r="CH254" s="420"/>
      <c r="CI254" s="420"/>
      <c r="CJ254" s="420"/>
      <c r="CK254" s="420"/>
      <c r="CL254" s="420"/>
      <c r="CM254" s="420"/>
      <c r="CN254" s="420"/>
      <c r="CO254" s="420"/>
      <c r="CP254" s="420"/>
      <c r="CQ254" s="420"/>
      <c r="CR254" s="420"/>
    </row>
    <row r="255" spans="1:97" s="118" customFormat="1" ht="12.75" x14ac:dyDescent="0.2">
      <c r="A255" s="705">
        <v>249</v>
      </c>
      <c r="B255" s="718" t="s">
        <v>386</v>
      </c>
      <c r="C255" s="719" t="s">
        <v>387</v>
      </c>
      <c r="D255" s="708">
        <v>182688</v>
      </c>
      <c r="E255" s="708">
        <v>147258000</v>
      </c>
      <c r="F255" s="133">
        <v>72576351</v>
      </c>
      <c r="G255" s="133">
        <v>-3241306</v>
      </c>
      <c r="H255" s="133">
        <v>1396712</v>
      </c>
      <c r="I255" s="133">
        <v>-1844594</v>
      </c>
      <c r="J255" s="133">
        <v>-5884931</v>
      </c>
      <c r="K255" s="133">
        <v>-96185</v>
      </c>
      <c r="L255" s="133">
        <v>0</v>
      </c>
      <c r="M255" s="133">
        <v>0</v>
      </c>
      <c r="N255" s="133">
        <v>-1359196</v>
      </c>
      <c r="O255" s="133">
        <v>-141513</v>
      </c>
      <c r="P255" s="133">
        <v>-19495</v>
      </c>
      <c r="Q255" s="133">
        <v>0</v>
      </c>
      <c r="R255" s="133">
        <v>0</v>
      </c>
      <c r="S255" s="133">
        <v>0</v>
      </c>
      <c r="T255" s="133">
        <v>0</v>
      </c>
      <c r="U255" s="133">
        <v>0</v>
      </c>
      <c r="V255" s="133">
        <v>0</v>
      </c>
      <c r="W255" s="709"/>
      <c r="X255" s="709"/>
      <c r="Y255" s="709"/>
      <c r="Z255" s="133">
        <v>0</v>
      </c>
      <c r="AA255" s="133">
        <v>-1500</v>
      </c>
      <c r="AB255" s="133">
        <v>61319880</v>
      </c>
      <c r="AC255" s="133">
        <v>-1233144</v>
      </c>
      <c r="AD255" s="709"/>
      <c r="AE255" s="710">
        <v>206</v>
      </c>
      <c r="AF255" s="711">
        <v>12</v>
      </c>
      <c r="AG255" s="710">
        <v>0</v>
      </c>
      <c r="AH255" s="710">
        <v>0</v>
      </c>
      <c r="AI255" s="710">
        <v>313</v>
      </c>
      <c r="AJ255" s="710">
        <v>52</v>
      </c>
      <c r="AK255" s="710">
        <v>11</v>
      </c>
      <c r="AL255" s="710">
        <v>0</v>
      </c>
      <c r="AM255" s="710">
        <v>0</v>
      </c>
      <c r="AN255" s="710">
        <v>0</v>
      </c>
      <c r="AO255" s="710">
        <v>0</v>
      </c>
      <c r="AP255" s="711">
        <v>0</v>
      </c>
      <c r="AQ255" s="709"/>
      <c r="AR255" s="709"/>
      <c r="AS255" s="720">
        <v>1054</v>
      </c>
      <c r="AT255" s="710">
        <v>1004</v>
      </c>
      <c r="AU255" s="710">
        <v>888</v>
      </c>
      <c r="AV255" s="710">
        <v>116</v>
      </c>
      <c r="AW255" s="710">
        <v>2021</v>
      </c>
      <c r="AX255" s="712">
        <v>4070</v>
      </c>
      <c r="AY255" s="683">
        <v>-13847</v>
      </c>
      <c r="AZ255" s="713">
        <v>3411838</v>
      </c>
      <c r="BA255" s="714">
        <v>-5720713</v>
      </c>
      <c r="BB255" s="715">
        <v>0</v>
      </c>
      <c r="BC255" s="715">
        <v>0</v>
      </c>
      <c r="BD255" s="716">
        <v>-5720713.299999997</v>
      </c>
      <c r="BE255" s="420"/>
      <c r="BF255" s="717" t="s">
        <v>387</v>
      </c>
      <c r="BG255" s="118" t="b">
        <v>1</v>
      </c>
      <c r="BH255" s="494"/>
      <c r="BI255" s="420"/>
      <c r="BJ255" s="420"/>
      <c r="BK255" s="420"/>
      <c r="BL255" s="420"/>
      <c r="BM255" s="420"/>
      <c r="BN255" s="420"/>
      <c r="BO255" s="420"/>
      <c r="BP255" s="420"/>
      <c r="BQ255" s="420"/>
      <c r="BR255" s="420"/>
      <c r="BS255" s="420"/>
      <c r="BT255" s="420"/>
      <c r="BU255" s="420"/>
      <c r="BV255" s="420"/>
      <c r="BW255" s="420"/>
      <c r="BX255" s="420"/>
      <c r="BY255" s="420"/>
      <c r="BZ255" s="420"/>
      <c r="CA255" s="420"/>
      <c r="CB255" s="420"/>
      <c r="CC255" s="420"/>
      <c r="CD255" s="420"/>
      <c r="CE255" s="420"/>
      <c r="CF255" s="420"/>
      <c r="CG255" s="420"/>
      <c r="CH255" s="420"/>
      <c r="CI255" s="420"/>
      <c r="CJ255" s="420"/>
      <c r="CK255" s="420"/>
      <c r="CL255" s="420"/>
      <c r="CM255" s="420"/>
      <c r="CN255" s="420"/>
      <c r="CO255" s="420"/>
      <c r="CP255" s="420"/>
      <c r="CQ255" s="420"/>
      <c r="CR255" s="420"/>
    </row>
    <row r="256" spans="1:97" s="118" customFormat="1" ht="12.75" x14ac:dyDescent="0.2">
      <c r="A256" s="705">
        <v>250</v>
      </c>
      <c r="B256" s="718" t="s">
        <v>909</v>
      </c>
      <c r="C256" s="719" t="s">
        <v>389</v>
      </c>
      <c r="D256" s="708">
        <v>185295</v>
      </c>
      <c r="E256" s="708">
        <v>129667000</v>
      </c>
      <c r="F256" s="133">
        <v>63176672</v>
      </c>
      <c r="G256" s="133">
        <v>-5266265</v>
      </c>
      <c r="H256" s="133">
        <v>1207763</v>
      </c>
      <c r="I256" s="133">
        <v>-4058502</v>
      </c>
      <c r="J256" s="133">
        <v>-3642563</v>
      </c>
      <c r="K256" s="133">
        <v>-72727</v>
      </c>
      <c r="L256" s="133">
        <v>0</v>
      </c>
      <c r="M256" s="133">
        <v>-50000</v>
      </c>
      <c r="N256" s="133">
        <v>-2461727</v>
      </c>
      <c r="O256" s="133">
        <v>-282744</v>
      </c>
      <c r="P256" s="133">
        <v>-33535</v>
      </c>
      <c r="Q256" s="133">
        <v>-11486</v>
      </c>
      <c r="R256" s="133">
        <v>0</v>
      </c>
      <c r="S256" s="133">
        <v>0</v>
      </c>
      <c r="T256" s="133">
        <v>-6120</v>
      </c>
      <c r="U256" s="133">
        <v>0</v>
      </c>
      <c r="V256" s="133">
        <v>0</v>
      </c>
      <c r="W256" s="709"/>
      <c r="X256" s="709"/>
      <c r="Y256" s="709"/>
      <c r="Z256" s="133">
        <v>0</v>
      </c>
      <c r="AA256" s="133">
        <v>0</v>
      </c>
      <c r="AB256" s="133">
        <v>52676712</v>
      </c>
      <c r="AC256" s="133">
        <v>-2597588</v>
      </c>
      <c r="AD256" s="709"/>
      <c r="AE256" s="710">
        <v>198</v>
      </c>
      <c r="AF256" s="711">
        <v>18</v>
      </c>
      <c r="AG256" s="710">
        <v>0</v>
      </c>
      <c r="AH256" s="710">
        <v>2</v>
      </c>
      <c r="AI256" s="710">
        <v>542</v>
      </c>
      <c r="AJ256" s="710">
        <v>86</v>
      </c>
      <c r="AK256" s="710">
        <v>3</v>
      </c>
      <c r="AL256" s="710">
        <v>11</v>
      </c>
      <c r="AM256" s="710">
        <v>0</v>
      </c>
      <c r="AN256" s="710">
        <v>0</v>
      </c>
      <c r="AO256" s="710">
        <v>0</v>
      </c>
      <c r="AP256" s="711">
        <v>1</v>
      </c>
      <c r="AQ256" s="709"/>
      <c r="AR256" s="709"/>
      <c r="AS256" s="720">
        <v>1227</v>
      </c>
      <c r="AT256" s="710">
        <v>1930</v>
      </c>
      <c r="AU256" s="710">
        <v>1842</v>
      </c>
      <c r="AV256" s="710">
        <v>88</v>
      </c>
      <c r="AW256" s="710">
        <v>1600</v>
      </c>
      <c r="AX256" s="712">
        <v>4715</v>
      </c>
      <c r="AY256" s="683">
        <v>-33679</v>
      </c>
      <c r="AZ256" s="713">
        <v>908081</v>
      </c>
      <c r="BA256" s="714">
        <v>1279729</v>
      </c>
      <c r="BB256" s="715">
        <v>17404500</v>
      </c>
      <c r="BC256" s="715">
        <v>0</v>
      </c>
      <c r="BD256" s="716">
        <v>1279729</v>
      </c>
      <c r="BE256" s="420"/>
      <c r="BF256" s="717" t="s">
        <v>389</v>
      </c>
      <c r="BG256" s="118" t="b">
        <v>1</v>
      </c>
      <c r="BH256" s="494"/>
      <c r="BI256" s="420"/>
      <c r="BJ256" s="420"/>
      <c r="BK256" s="420"/>
      <c r="BL256" s="420"/>
      <c r="BM256" s="420"/>
      <c r="BN256" s="420"/>
      <c r="BO256" s="420"/>
      <c r="BP256" s="420"/>
      <c r="BQ256" s="420"/>
      <c r="BR256" s="420"/>
      <c r="BS256" s="420"/>
      <c r="BT256" s="420"/>
      <c r="BU256" s="420"/>
      <c r="BV256" s="420"/>
      <c r="BW256" s="420"/>
      <c r="BX256" s="420"/>
      <c r="BY256" s="420"/>
      <c r="BZ256" s="420"/>
      <c r="CA256" s="420"/>
      <c r="CB256" s="420"/>
      <c r="CC256" s="420"/>
      <c r="CD256" s="420"/>
      <c r="CE256" s="420"/>
      <c r="CF256" s="420"/>
      <c r="CG256" s="420"/>
      <c r="CH256" s="420"/>
      <c r="CI256" s="420"/>
      <c r="CJ256" s="420"/>
      <c r="CK256" s="420"/>
      <c r="CL256" s="420"/>
      <c r="CM256" s="420"/>
      <c r="CN256" s="420"/>
      <c r="CO256" s="420"/>
      <c r="CP256" s="420"/>
      <c r="CQ256" s="420"/>
      <c r="CR256" s="420"/>
    </row>
    <row r="257" spans="1:97" s="118" customFormat="1" ht="12.75" x14ac:dyDescent="0.2">
      <c r="A257" s="705">
        <v>251</v>
      </c>
      <c r="B257" s="718" t="s">
        <v>390</v>
      </c>
      <c r="C257" s="719" t="s">
        <v>391</v>
      </c>
      <c r="D257" s="708">
        <v>171766</v>
      </c>
      <c r="E257" s="708">
        <v>126226000</v>
      </c>
      <c r="F257" s="133">
        <v>61996188</v>
      </c>
      <c r="G257" s="133">
        <v>-4507730</v>
      </c>
      <c r="H257" s="133">
        <v>1167084</v>
      </c>
      <c r="I257" s="133">
        <v>-3340646</v>
      </c>
      <c r="J257" s="133">
        <v>-2874493</v>
      </c>
      <c r="K257" s="133">
        <v>-57053</v>
      </c>
      <c r="L257" s="133">
        <v>-16442</v>
      </c>
      <c r="M257" s="133">
        <v>0</v>
      </c>
      <c r="N257" s="133">
        <v>-1773584</v>
      </c>
      <c r="O257" s="133">
        <v>-254412</v>
      </c>
      <c r="P257" s="133">
        <v>-79985</v>
      </c>
      <c r="Q257" s="133">
        <v>-4566</v>
      </c>
      <c r="R257" s="133">
        <v>0</v>
      </c>
      <c r="S257" s="133">
        <v>0</v>
      </c>
      <c r="T257" s="133">
        <v>-6015</v>
      </c>
      <c r="U257" s="133">
        <v>0</v>
      </c>
      <c r="V257" s="133">
        <v>0</v>
      </c>
      <c r="W257" s="709"/>
      <c r="X257" s="709"/>
      <c r="Y257" s="709"/>
      <c r="Z257" s="133">
        <v>-15787</v>
      </c>
      <c r="AA257" s="133">
        <v>-1500</v>
      </c>
      <c r="AB257" s="133">
        <v>51982426</v>
      </c>
      <c r="AC257" s="133">
        <v>-1262651</v>
      </c>
      <c r="AD257" s="709"/>
      <c r="AE257" s="710">
        <v>225</v>
      </c>
      <c r="AF257" s="711">
        <v>10</v>
      </c>
      <c r="AG257" s="710">
        <v>16</v>
      </c>
      <c r="AH257" s="710">
        <v>0</v>
      </c>
      <c r="AI257" s="710">
        <v>206</v>
      </c>
      <c r="AJ257" s="710">
        <v>149</v>
      </c>
      <c r="AK257" s="710">
        <v>28</v>
      </c>
      <c r="AL257" s="710">
        <v>5</v>
      </c>
      <c r="AM257" s="710">
        <v>15</v>
      </c>
      <c r="AN257" s="710">
        <v>0</v>
      </c>
      <c r="AO257" s="710">
        <v>0</v>
      </c>
      <c r="AP257" s="711">
        <v>1</v>
      </c>
      <c r="AQ257" s="709"/>
      <c r="AR257" s="709"/>
      <c r="AS257" s="720">
        <v>959</v>
      </c>
      <c r="AT257" s="710">
        <v>1612</v>
      </c>
      <c r="AU257" s="710">
        <v>1495</v>
      </c>
      <c r="AV257" s="710">
        <v>117</v>
      </c>
      <c r="AW257" s="710">
        <v>1805</v>
      </c>
      <c r="AX257" s="712">
        <v>4361</v>
      </c>
      <c r="AY257" s="683">
        <v>-33322</v>
      </c>
      <c r="AZ257" s="713">
        <v>1554503</v>
      </c>
      <c r="BA257" s="714">
        <v>-3757560</v>
      </c>
      <c r="BB257" s="715">
        <v>17542000</v>
      </c>
      <c r="BC257" s="715">
        <v>0</v>
      </c>
      <c r="BD257" s="716">
        <v>-3757560.1700000027</v>
      </c>
      <c r="BE257" s="420"/>
      <c r="BF257" s="717" t="s">
        <v>391</v>
      </c>
      <c r="BG257" s="118" t="b">
        <v>1</v>
      </c>
      <c r="BH257" s="494"/>
      <c r="BI257" s="420"/>
      <c r="BJ257" s="420"/>
      <c r="BK257" s="420"/>
      <c r="BL257" s="420"/>
      <c r="BM257" s="420"/>
      <c r="BN257" s="420"/>
      <c r="BO257" s="420"/>
      <c r="BP257" s="420"/>
      <c r="BQ257" s="420"/>
      <c r="BR257" s="420"/>
      <c r="BS257" s="420"/>
      <c r="BT257" s="420"/>
      <c r="BU257" s="420"/>
      <c r="BV257" s="420"/>
      <c r="BW257" s="420"/>
      <c r="BX257" s="420"/>
      <c r="BY257" s="420"/>
      <c r="BZ257" s="420"/>
      <c r="CA257" s="420"/>
      <c r="CB257" s="420"/>
      <c r="CC257" s="420"/>
      <c r="CD257" s="420"/>
      <c r="CE257" s="420"/>
      <c r="CF257" s="420"/>
      <c r="CG257" s="420"/>
      <c r="CH257" s="420"/>
      <c r="CI257" s="420"/>
      <c r="CJ257" s="420"/>
      <c r="CK257" s="420"/>
      <c r="CL257" s="420"/>
      <c r="CM257" s="420"/>
      <c r="CN257" s="420"/>
      <c r="CO257" s="420"/>
      <c r="CP257" s="420"/>
      <c r="CQ257" s="420"/>
      <c r="CR257" s="420"/>
    </row>
    <row r="258" spans="1:97" s="118" customFormat="1" ht="12.75" x14ac:dyDescent="0.2">
      <c r="A258" s="705">
        <v>252</v>
      </c>
      <c r="B258" s="718" t="s">
        <v>392</v>
      </c>
      <c r="C258" s="719" t="s">
        <v>393</v>
      </c>
      <c r="D258" s="708">
        <v>112458</v>
      </c>
      <c r="E258" s="708">
        <v>56526000</v>
      </c>
      <c r="F258" s="133">
        <v>27528713</v>
      </c>
      <c r="G258" s="133">
        <v>-3562588</v>
      </c>
      <c r="H258" s="133">
        <v>462334</v>
      </c>
      <c r="I258" s="133">
        <v>-3100254</v>
      </c>
      <c r="J258" s="133">
        <v>-1541995</v>
      </c>
      <c r="K258" s="133">
        <v>-50303</v>
      </c>
      <c r="L258" s="133">
        <v>-8221</v>
      </c>
      <c r="M258" s="133">
        <v>-37229</v>
      </c>
      <c r="N258" s="133">
        <v>-429902</v>
      </c>
      <c r="O258" s="133">
        <v>-102519</v>
      </c>
      <c r="P258" s="133">
        <v>-99804</v>
      </c>
      <c r="Q258" s="133">
        <v>-2954</v>
      </c>
      <c r="R258" s="133">
        <v>-9069</v>
      </c>
      <c r="S258" s="133">
        <v>0</v>
      </c>
      <c r="T258" s="133">
        <v>0</v>
      </c>
      <c r="U258" s="133">
        <v>0</v>
      </c>
      <c r="V258" s="133">
        <v>0</v>
      </c>
      <c r="W258" s="709"/>
      <c r="X258" s="709"/>
      <c r="Y258" s="709"/>
      <c r="Z258" s="133">
        <v>-3280</v>
      </c>
      <c r="AA258" s="133">
        <v>0</v>
      </c>
      <c r="AB258" s="133">
        <v>19856559</v>
      </c>
      <c r="AC258" s="133">
        <v>-839932</v>
      </c>
      <c r="AD258" s="709"/>
      <c r="AE258" s="710">
        <v>187</v>
      </c>
      <c r="AF258" s="711">
        <v>7</v>
      </c>
      <c r="AG258" s="710">
        <v>9</v>
      </c>
      <c r="AH258" s="710">
        <v>1</v>
      </c>
      <c r="AI258" s="710">
        <v>407</v>
      </c>
      <c r="AJ258" s="710">
        <v>67</v>
      </c>
      <c r="AK258" s="710">
        <v>28</v>
      </c>
      <c r="AL258" s="710">
        <v>5</v>
      </c>
      <c r="AM258" s="710">
        <v>9</v>
      </c>
      <c r="AN258" s="710">
        <v>0</v>
      </c>
      <c r="AO258" s="710">
        <v>0</v>
      </c>
      <c r="AP258" s="711">
        <v>0</v>
      </c>
      <c r="AQ258" s="709"/>
      <c r="AR258" s="709"/>
      <c r="AS258" s="720">
        <v>618</v>
      </c>
      <c r="AT258" s="710">
        <v>1621</v>
      </c>
      <c r="AU258" s="710">
        <v>1546</v>
      </c>
      <c r="AV258" s="710">
        <v>75</v>
      </c>
      <c r="AW258" s="710">
        <v>799</v>
      </c>
      <c r="AX258" s="712">
        <v>3103</v>
      </c>
      <c r="AY258" s="683">
        <v>-73947</v>
      </c>
      <c r="AZ258" s="713">
        <v>-666273</v>
      </c>
      <c r="BA258" s="714">
        <v>-792250</v>
      </c>
      <c r="BB258" s="715">
        <v>7411650</v>
      </c>
      <c r="BC258" s="715">
        <v>0</v>
      </c>
      <c r="BD258" s="716">
        <v>-792249.5</v>
      </c>
      <c r="BE258" s="420"/>
      <c r="BF258" s="717" t="s">
        <v>393</v>
      </c>
      <c r="BG258" s="118" t="b">
        <v>1</v>
      </c>
      <c r="BH258" s="494"/>
      <c r="BI258" s="420"/>
      <c r="BJ258" s="420"/>
      <c r="BK258" s="420"/>
      <c r="BL258" s="420"/>
      <c r="BM258" s="420"/>
      <c r="BN258" s="420"/>
      <c r="BO258" s="420"/>
      <c r="BP258" s="420"/>
      <c r="BQ258" s="420"/>
      <c r="BR258" s="420"/>
      <c r="BS258" s="420"/>
      <c r="BT258" s="420"/>
      <c r="BU258" s="420"/>
      <c r="BV258" s="420"/>
      <c r="BW258" s="420"/>
      <c r="BX258" s="420"/>
      <c r="BY258" s="420"/>
      <c r="BZ258" s="420"/>
      <c r="CA258" s="420"/>
      <c r="CB258" s="420"/>
      <c r="CC258" s="420"/>
      <c r="CD258" s="420"/>
      <c r="CE258" s="420"/>
      <c r="CF258" s="420"/>
      <c r="CG258" s="420"/>
      <c r="CH258" s="420"/>
      <c r="CI258" s="420"/>
      <c r="CJ258" s="420"/>
      <c r="CK258" s="420"/>
      <c r="CL258" s="420"/>
      <c r="CM258" s="420"/>
      <c r="CN258" s="420"/>
      <c r="CO258" s="420"/>
      <c r="CP258" s="420"/>
      <c r="CQ258" s="420"/>
      <c r="CR258" s="420"/>
    </row>
    <row r="259" spans="1:97" s="118" customFormat="1" ht="12.75" x14ac:dyDescent="0.2">
      <c r="A259" s="705">
        <v>253</v>
      </c>
      <c r="B259" s="718" t="s">
        <v>394</v>
      </c>
      <c r="C259" s="719" t="s">
        <v>395</v>
      </c>
      <c r="D259" s="708">
        <v>108152</v>
      </c>
      <c r="E259" s="708">
        <v>108551000</v>
      </c>
      <c r="F259" s="133">
        <v>53422399</v>
      </c>
      <c r="G259" s="133">
        <v>-1910942</v>
      </c>
      <c r="H259" s="133">
        <v>1169700</v>
      </c>
      <c r="I259" s="133">
        <v>-741242</v>
      </c>
      <c r="J259" s="133">
        <v>-2467112</v>
      </c>
      <c r="K259" s="133">
        <v>-4435</v>
      </c>
      <c r="L259" s="133">
        <v>0</v>
      </c>
      <c r="M259" s="133">
        <v>0</v>
      </c>
      <c r="N259" s="133">
        <v>-1533550</v>
      </c>
      <c r="O259" s="133">
        <v>-108124</v>
      </c>
      <c r="P259" s="133">
        <v>-44432</v>
      </c>
      <c r="Q259" s="133">
        <v>0</v>
      </c>
      <c r="R259" s="133">
        <v>0</v>
      </c>
      <c r="S259" s="133">
        <v>0</v>
      </c>
      <c r="T259" s="133">
        <v>0</v>
      </c>
      <c r="U259" s="133">
        <v>0</v>
      </c>
      <c r="V259" s="133">
        <v>0</v>
      </c>
      <c r="W259" s="709"/>
      <c r="X259" s="709"/>
      <c r="Y259" s="709"/>
      <c r="Z259" s="133">
        <v>0</v>
      </c>
      <c r="AA259" s="133">
        <v>0</v>
      </c>
      <c r="AB259" s="133">
        <v>48696592</v>
      </c>
      <c r="AC259" s="133">
        <v>-2200000</v>
      </c>
      <c r="AD259" s="709"/>
      <c r="AE259" s="710">
        <v>110</v>
      </c>
      <c r="AF259" s="711">
        <v>1</v>
      </c>
      <c r="AG259" s="710">
        <v>0</v>
      </c>
      <c r="AH259" s="710">
        <v>0</v>
      </c>
      <c r="AI259" s="710">
        <v>334</v>
      </c>
      <c r="AJ259" s="710">
        <v>50</v>
      </c>
      <c r="AK259" s="710">
        <v>6</v>
      </c>
      <c r="AL259" s="710">
        <v>0</v>
      </c>
      <c r="AM259" s="710">
        <v>0</v>
      </c>
      <c r="AN259" s="710">
        <v>0</v>
      </c>
      <c r="AO259" s="710">
        <v>0</v>
      </c>
      <c r="AP259" s="711">
        <v>0</v>
      </c>
      <c r="AQ259" s="709"/>
      <c r="AR259" s="709"/>
      <c r="AS259" s="720">
        <v>704</v>
      </c>
      <c r="AT259" s="710">
        <v>628</v>
      </c>
      <c r="AU259" s="710">
        <v>578</v>
      </c>
      <c r="AV259" s="710">
        <v>50</v>
      </c>
      <c r="AW259" s="710">
        <v>1058</v>
      </c>
      <c r="AX259" s="712">
        <v>2339</v>
      </c>
      <c r="AY259" s="683">
        <v>-3096</v>
      </c>
      <c r="AZ259" s="713">
        <v>952401</v>
      </c>
      <c r="BA259" s="714">
        <v>889117</v>
      </c>
      <c r="BB259" s="715">
        <v>11475500</v>
      </c>
      <c r="BC259" s="715">
        <v>0</v>
      </c>
      <c r="BD259" s="716">
        <v>889116.5</v>
      </c>
      <c r="BE259" s="420"/>
      <c r="BF259" s="717" t="s">
        <v>395</v>
      </c>
      <c r="BG259" s="118" t="b">
        <v>1</v>
      </c>
      <c r="BH259" s="494"/>
      <c r="BI259" s="420"/>
      <c r="BJ259" s="420"/>
      <c r="BK259" s="420"/>
      <c r="BL259" s="420"/>
      <c r="BM259" s="420"/>
      <c r="BN259" s="420"/>
      <c r="BO259" s="420"/>
      <c r="BP259" s="420"/>
      <c r="BQ259" s="420"/>
      <c r="BR259" s="420"/>
      <c r="BS259" s="420"/>
      <c r="BT259" s="420"/>
      <c r="BU259" s="420"/>
      <c r="BV259" s="420"/>
      <c r="BW259" s="420"/>
      <c r="BX259" s="420"/>
      <c r="BY259" s="420"/>
      <c r="BZ259" s="420"/>
      <c r="CA259" s="420"/>
      <c r="CB259" s="420"/>
      <c r="CC259" s="420"/>
      <c r="CD259" s="420"/>
      <c r="CE259" s="420"/>
      <c r="CF259" s="420"/>
      <c r="CG259" s="420"/>
      <c r="CH259" s="420"/>
      <c r="CI259" s="420"/>
      <c r="CJ259" s="420"/>
      <c r="CK259" s="420"/>
      <c r="CL259" s="420"/>
      <c r="CM259" s="420"/>
      <c r="CN259" s="420"/>
      <c r="CO259" s="420"/>
      <c r="CP259" s="420"/>
      <c r="CQ259" s="420"/>
      <c r="CR259" s="420"/>
    </row>
    <row r="260" spans="1:97" s="118" customFormat="1" ht="12.75" x14ac:dyDescent="0.2">
      <c r="A260" s="705">
        <v>254</v>
      </c>
      <c r="B260" s="718" t="s">
        <v>396</v>
      </c>
      <c r="C260" s="719" t="s">
        <v>397</v>
      </c>
      <c r="D260" s="708">
        <v>428354</v>
      </c>
      <c r="E260" s="708">
        <v>226812000</v>
      </c>
      <c r="F260" s="133">
        <v>110057500</v>
      </c>
      <c r="G260" s="133">
        <v>-11755185</v>
      </c>
      <c r="H260" s="133">
        <v>1937817</v>
      </c>
      <c r="I260" s="133">
        <v>-9817368</v>
      </c>
      <c r="J260" s="133">
        <v>-5166231</v>
      </c>
      <c r="K260" s="133">
        <v>-237959</v>
      </c>
      <c r="L260" s="133">
        <v>0</v>
      </c>
      <c r="M260" s="133">
        <v>0</v>
      </c>
      <c r="N260" s="133">
        <v>-2942393</v>
      </c>
      <c r="O260" s="133">
        <v>0</v>
      </c>
      <c r="P260" s="133">
        <v>-62829</v>
      </c>
      <c r="Q260" s="133">
        <v>-21586</v>
      </c>
      <c r="R260" s="133">
        <v>0</v>
      </c>
      <c r="S260" s="133">
        <v>0</v>
      </c>
      <c r="T260" s="133">
        <v>-249123</v>
      </c>
      <c r="U260" s="133">
        <v>0</v>
      </c>
      <c r="V260" s="133">
        <v>0</v>
      </c>
      <c r="W260" s="709"/>
      <c r="X260" s="709"/>
      <c r="Y260" s="709"/>
      <c r="Z260" s="133">
        <v>0</v>
      </c>
      <c r="AA260" s="133">
        <v>0</v>
      </c>
      <c r="AB260" s="133">
        <v>89495602</v>
      </c>
      <c r="AC260" s="133">
        <v>-5049532</v>
      </c>
      <c r="AD260" s="709"/>
      <c r="AE260" s="710">
        <v>313</v>
      </c>
      <c r="AF260" s="711">
        <v>36</v>
      </c>
      <c r="AG260" s="710">
        <v>0</v>
      </c>
      <c r="AH260" s="710">
        <v>0</v>
      </c>
      <c r="AI260" s="710">
        <v>1512</v>
      </c>
      <c r="AJ260" s="710">
        <v>0</v>
      </c>
      <c r="AK260" s="710">
        <v>16</v>
      </c>
      <c r="AL260" s="710">
        <v>19</v>
      </c>
      <c r="AM260" s="710">
        <v>0</v>
      </c>
      <c r="AN260" s="710">
        <v>0</v>
      </c>
      <c r="AO260" s="710">
        <v>0</v>
      </c>
      <c r="AP260" s="711">
        <v>2</v>
      </c>
      <c r="AQ260" s="709"/>
      <c r="AR260" s="709"/>
      <c r="AS260" s="720">
        <v>2920</v>
      </c>
      <c r="AT260" s="710">
        <v>4415</v>
      </c>
      <c r="AU260" s="710">
        <v>4229</v>
      </c>
      <c r="AV260" s="710">
        <v>186</v>
      </c>
      <c r="AW260" s="710">
        <v>3936</v>
      </c>
      <c r="AX260" s="712">
        <v>11469</v>
      </c>
      <c r="AY260" s="683">
        <v>-24555</v>
      </c>
      <c r="AZ260" s="713">
        <v>133492.96999999881</v>
      </c>
      <c r="BA260" s="714">
        <v>1427623.9699999988</v>
      </c>
      <c r="BB260" s="715">
        <v>34944275</v>
      </c>
      <c r="BC260" s="715">
        <v>0</v>
      </c>
      <c r="BD260" s="716">
        <v>1427623.9699999988</v>
      </c>
      <c r="BE260" s="420"/>
      <c r="BF260" s="717" t="s">
        <v>397</v>
      </c>
      <c r="BG260" s="118" t="b">
        <v>1</v>
      </c>
      <c r="BH260" s="494"/>
      <c r="BI260" s="420"/>
      <c r="BJ260" s="420"/>
      <c r="BK260" s="420"/>
      <c r="BL260" s="420"/>
      <c r="BM260" s="420"/>
      <c r="BN260" s="420"/>
      <c r="BO260" s="420"/>
      <c r="BP260" s="420"/>
      <c r="BQ260" s="420"/>
      <c r="BR260" s="420"/>
      <c r="BS260" s="420"/>
      <c r="BT260" s="420"/>
      <c r="BU260" s="420"/>
      <c r="BV260" s="420"/>
      <c r="BW260" s="420"/>
      <c r="BX260" s="420"/>
      <c r="BY260" s="420"/>
      <c r="BZ260" s="420"/>
      <c r="CA260" s="420"/>
      <c r="CB260" s="420"/>
      <c r="CC260" s="420"/>
      <c r="CD260" s="420"/>
      <c r="CE260" s="420"/>
      <c r="CF260" s="420"/>
      <c r="CG260" s="420"/>
      <c r="CH260" s="420"/>
      <c r="CI260" s="420"/>
      <c r="CJ260" s="420"/>
      <c r="CK260" s="420"/>
      <c r="CL260" s="420"/>
      <c r="CM260" s="420"/>
      <c r="CN260" s="420"/>
      <c r="CO260" s="420"/>
      <c r="CP260" s="420"/>
      <c r="CQ260" s="420"/>
      <c r="CR260" s="420"/>
    </row>
    <row r="261" spans="1:97" s="737" customFormat="1" ht="12.75" x14ac:dyDescent="0.2">
      <c r="A261" s="705">
        <v>255</v>
      </c>
      <c r="B261" s="718" t="s">
        <v>550</v>
      </c>
      <c r="C261" s="719" t="s">
        <v>399</v>
      </c>
      <c r="D261" s="708">
        <v>236749</v>
      </c>
      <c r="E261" s="708">
        <v>201595000</v>
      </c>
      <c r="F261" s="133">
        <v>98544834</v>
      </c>
      <c r="G261" s="133">
        <v>-4967769</v>
      </c>
      <c r="H261" s="133">
        <v>2063201</v>
      </c>
      <c r="I261" s="133">
        <v>-2904568</v>
      </c>
      <c r="J261" s="133">
        <v>-5202165</v>
      </c>
      <c r="K261" s="133">
        <v>-58530</v>
      </c>
      <c r="L261" s="133">
        <v>-9198</v>
      </c>
      <c r="M261" s="133">
        <v>-60000</v>
      </c>
      <c r="N261" s="133">
        <v>-3488149</v>
      </c>
      <c r="O261" s="133">
        <v>-196434</v>
      </c>
      <c r="P261" s="133">
        <v>-55321</v>
      </c>
      <c r="Q261" s="133">
        <v>-11806</v>
      </c>
      <c r="R261" s="133">
        <v>0</v>
      </c>
      <c r="S261" s="133">
        <v>0</v>
      </c>
      <c r="T261" s="133">
        <v>-123724</v>
      </c>
      <c r="U261" s="133">
        <v>-64240</v>
      </c>
      <c r="V261" s="133">
        <v>-14484</v>
      </c>
      <c r="W261" s="709"/>
      <c r="X261" s="709"/>
      <c r="Y261" s="709"/>
      <c r="Z261" s="133">
        <v>-9198</v>
      </c>
      <c r="AA261" s="133">
        <v>0</v>
      </c>
      <c r="AB261" s="133">
        <v>87773671</v>
      </c>
      <c r="AC261" s="133">
        <v>-4125362</v>
      </c>
      <c r="AD261" s="709"/>
      <c r="AE261" s="710">
        <v>242</v>
      </c>
      <c r="AF261" s="711">
        <v>11</v>
      </c>
      <c r="AG261" s="710">
        <v>0</v>
      </c>
      <c r="AH261" s="710">
        <v>0</v>
      </c>
      <c r="AI261" s="710">
        <v>545</v>
      </c>
      <c r="AJ261" s="710">
        <v>101</v>
      </c>
      <c r="AK261" s="710">
        <v>10</v>
      </c>
      <c r="AL261" s="710">
        <v>9</v>
      </c>
      <c r="AM261" s="710">
        <v>6</v>
      </c>
      <c r="AN261" s="710">
        <v>0</v>
      </c>
      <c r="AO261" s="710">
        <v>4</v>
      </c>
      <c r="AP261" s="711">
        <v>11</v>
      </c>
      <c r="AQ261" s="709"/>
      <c r="AR261" s="709"/>
      <c r="AS261" s="720">
        <v>1568</v>
      </c>
      <c r="AT261" s="710">
        <v>1958</v>
      </c>
      <c r="AU261" s="710">
        <v>1872</v>
      </c>
      <c r="AV261" s="710">
        <v>86</v>
      </c>
      <c r="AW261" s="710">
        <v>2213</v>
      </c>
      <c r="AX261" s="712">
        <v>5747</v>
      </c>
      <c r="AY261" s="683">
        <v>-23714</v>
      </c>
      <c r="AZ261" s="713">
        <v>-604702.5</v>
      </c>
      <c r="BA261" s="714">
        <v>-436222.5</v>
      </c>
      <c r="BB261" s="715">
        <v>22250100</v>
      </c>
      <c r="BC261" s="715">
        <v>116250</v>
      </c>
      <c r="BD261" s="716">
        <v>-436221.5</v>
      </c>
      <c r="BE261" s="420"/>
      <c r="BF261" s="717" t="s">
        <v>399</v>
      </c>
      <c r="BG261" s="118" t="b">
        <v>1</v>
      </c>
      <c r="BH261" s="494"/>
      <c r="BI261" s="420"/>
      <c r="BJ261" s="420"/>
      <c r="BK261" s="420"/>
      <c r="BL261" s="420"/>
      <c r="BM261" s="420"/>
      <c r="BN261" s="420"/>
      <c r="BO261" s="420"/>
      <c r="BP261" s="420"/>
      <c r="BQ261" s="420"/>
      <c r="BR261" s="420"/>
      <c r="BS261" s="420"/>
      <c r="BT261" s="420"/>
      <c r="BU261" s="420"/>
      <c r="BV261" s="420"/>
      <c r="BW261" s="420"/>
      <c r="BX261" s="420"/>
      <c r="BY261" s="420"/>
      <c r="BZ261" s="420"/>
      <c r="CA261" s="420"/>
      <c r="CB261" s="420"/>
      <c r="CC261" s="420"/>
      <c r="CD261" s="420"/>
      <c r="CE261" s="420"/>
      <c r="CF261" s="420"/>
      <c r="CG261" s="420"/>
      <c r="CH261" s="420"/>
      <c r="CI261" s="420"/>
      <c r="CJ261" s="420"/>
      <c r="CK261" s="420"/>
      <c r="CL261" s="420"/>
      <c r="CM261" s="420"/>
      <c r="CN261" s="420"/>
      <c r="CO261" s="420"/>
      <c r="CP261" s="420"/>
      <c r="CQ261" s="420"/>
      <c r="CR261" s="420"/>
      <c r="CS261" s="118"/>
    </row>
    <row r="262" spans="1:97" s="118" customFormat="1" ht="12.75" x14ac:dyDescent="0.2">
      <c r="A262" s="705">
        <v>256</v>
      </c>
      <c r="B262" s="718" t="s">
        <v>607</v>
      </c>
      <c r="C262" s="719" t="s">
        <v>401</v>
      </c>
      <c r="D262" s="708">
        <v>352266</v>
      </c>
      <c r="E262" s="708">
        <v>236710000</v>
      </c>
      <c r="F262" s="133">
        <v>117649310</v>
      </c>
      <c r="G262" s="133">
        <v>-10864011</v>
      </c>
      <c r="H262" s="133">
        <v>2240694</v>
      </c>
      <c r="I262" s="133">
        <v>-8623317</v>
      </c>
      <c r="J262" s="133">
        <v>-7191416</v>
      </c>
      <c r="K262" s="133">
        <v>-63109</v>
      </c>
      <c r="L262" s="133">
        <v>0</v>
      </c>
      <c r="M262" s="133">
        <v>-67341</v>
      </c>
      <c r="N262" s="133">
        <v>-3174844</v>
      </c>
      <c r="O262" s="133">
        <v>-163458</v>
      </c>
      <c r="P262" s="133">
        <v>-171768</v>
      </c>
      <c r="Q262" s="133">
        <v>-10326</v>
      </c>
      <c r="R262" s="133">
        <v>0</v>
      </c>
      <c r="S262" s="133">
        <v>0</v>
      </c>
      <c r="T262" s="133">
        <v>-58509</v>
      </c>
      <c r="U262" s="133">
        <v>-58509</v>
      </c>
      <c r="V262" s="133">
        <v>0</v>
      </c>
      <c r="W262" s="709"/>
      <c r="X262" s="709"/>
      <c r="Y262" s="709"/>
      <c r="Z262" s="133">
        <v>0</v>
      </c>
      <c r="AA262" s="133">
        <v>-1500</v>
      </c>
      <c r="AB262" s="133">
        <v>95514922</v>
      </c>
      <c r="AC262" s="133">
        <v>-1400000</v>
      </c>
      <c r="AD262" s="709"/>
      <c r="AE262" s="710">
        <v>335</v>
      </c>
      <c r="AF262" s="711">
        <v>14</v>
      </c>
      <c r="AG262" s="710">
        <v>0</v>
      </c>
      <c r="AH262" s="710">
        <v>9</v>
      </c>
      <c r="AI262" s="710">
        <v>1398</v>
      </c>
      <c r="AJ262" s="710">
        <v>115</v>
      </c>
      <c r="AK262" s="710">
        <v>26</v>
      </c>
      <c r="AL262" s="710">
        <v>0</v>
      </c>
      <c r="AM262" s="710">
        <v>0</v>
      </c>
      <c r="AN262" s="710">
        <v>0</v>
      </c>
      <c r="AO262" s="710">
        <v>1</v>
      </c>
      <c r="AP262" s="711">
        <v>0</v>
      </c>
      <c r="AQ262" s="709"/>
      <c r="AR262" s="709"/>
      <c r="AS262" s="720">
        <v>677</v>
      </c>
      <c r="AT262" s="710">
        <v>3845</v>
      </c>
      <c r="AU262" s="710">
        <v>3690</v>
      </c>
      <c r="AV262" s="710">
        <v>155</v>
      </c>
      <c r="AW262" s="710">
        <v>4722</v>
      </c>
      <c r="AX262" s="712">
        <v>9147</v>
      </c>
      <c r="AY262" s="683">
        <v>-30145</v>
      </c>
      <c r="AZ262" s="713">
        <v>-4284791</v>
      </c>
      <c r="BA262" s="714">
        <v>-5262285</v>
      </c>
      <c r="BB262" s="715">
        <v>25814350</v>
      </c>
      <c r="BC262" s="715">
        <v>0</v>
      </c>
      <c r="BD262" s="716">
        <v>-5263153</v>
      </c>
      <c r="BE262" s="420"/>
      <c r="BF262" s="717" t="s">
        <v>401</v>
      </c>
      <c r="BG262" s="118" t="b">
        <v>1</v>
      </c>
      <c r="BH262" s="494"/>
      <c r="BI262" s="420"/>
      <c r="BJ262" s="420"/>
      <c r="BK262" s="420"/>
      <c r="BL262" s="420"/>
      <c r="BM262" s="420"/>
      <c r="BN262" s="420"/>
      <c r="BO262" s="420"/>
      <c r="BP262" s="420"/>
      <c r="BQ262" s="420"/>
      <c r="BR262" s="420"/>
      <c r="BS262" s="420"/>
      <c r="BT262" s="420"/>
      <c r="BU262" s="420"/>
      <c r="BV262" s="420"/>
      <c r="BW262" s="420"/>
      <c r="BX262" s="420"/>
      <c r="BY262" s="420"/>
      <c r="BZ262" s="420"/>
      <c r="CA262" s="420"/>
      <c r="CB262" s="420"/>
      <c r="CC262" s="420"/>
      <c r="CD262" s="420"/>
      <c r="CE262" s="420"/>
      <c r="CF262" s="420"/>
      <c r="CG262" s="420"/>
      <c r="CH262" s="420"/>
      <c r="CI262" s="420"/>
      <c r="CJ262" s="420"/>
      <c r="CK262" s="420"/>
      <c r="CL262" s="420"/>
      <c r="CM262" s="420"/>
      <c r="CN262" s="420"/>
      <c r="CO262" s="420"/>
      <c r="CP262" s="420"/>
      <c r="CQ262" s="420"/>
      <c r="CR262" s="420"/>
    </row>
    <row r="263" spans="1:97" s="118" customFormat="1" ht="12.75" x14ac:dyDescent="0.2">
      <c r="A263" s="705">
        <v>257</v>
      </c>
      <c r="B263" s="718" t="s">
        <v>402</v>
      </c>
      <c r="C263" s="719" t="s">
        <v>403</v>
      </c>
      <c r="D263" s="708">
        <v>224849</v>
      </c>
      <c r="E263" s="708">
        <v>145658000</v>
      </c>
      <c r="F263" s="133">
        <v>71025224</v>
      </c>
      <c r="G263" s="133">
        <v>-5963237.3099999996</v>
      </c>
      <c r="H263" s="133">
        <v>1307016.74</v>
      </c>
      <c r="I263" s="133">
        <v>-4656220.5699999994</v>
      </c>
      <c r="J263" s="133">
        <v>-4492119.03</v>
      </c>
      <c r="K263" s="133">
        <v>-121423.69</v>
      </c>
      <c r="L263" s="133">
        <v>-23636.92</v>
      </c>
      <c r="M263" s="133">
        <v>0</v>
      </c>
      <c r="N263" s="133">
        <v>-2240305.25</v>
      </c>
      <c r="O263" s="133">
        <v>-13938.12</v>
      </c>
      <c r="P263" s="133">
        <v>-27540.57</v>
      </c>
      <c r="Q263" s="133">
        <v>0</v>
      </c>
      <c r="R263" s="133">
        <v>-24451.96</v>
      </c>
      <c r="S263" s="133">
        <v>0</v>
      </c>
      <c r="T263" s="133">
        <v>0</v>
      </c>
      <c r="U263" s="133">
        <v>0</v>
      </c>
      <c r="V263" s="133">
        <v>0</v>
      </c>
      <c r="W263" s="709"/>
      <c r="X263" s="709"/>
      <c r="Y263" s="709"/>
      <c r="Z263" s="133">
        <v>-24450</v>
      </c>
      <c r="AA263" s="133">
        <v>-1500</v>
      </c>
      <c r="AB263" s="133">
        <v>57818616.609999992</v>
      </c>
      <c r="AC263" s="133">
        <v>-3000000</v>
      </c>
      <c r="AD263" s="709"/>
      <c r="AE263" s="710">
        <v>324</v>
      </c>
      <c r="AF263" s="711">
        <v>24</v>
      </c>
      <c r="AG263" s="710">
        <v>14</v>
      </c>
      <c r="AH263" s="710">
        <v>0</v>
      </c>
      <c r="AI263" s="710">
        <v>791</v>
      </c>
      <c r="AJ263" s="710">
        <v>6</v>
      </c>
      <c r="AK263" s="710">
        <v>8</v>
      </c>
      <c r="AL263" s="710">
        <v>0</v>
      </c>
      <c r="AM263" s="710">
        <v>15</v>
      </c>
      <c r="AN263" s="710">
        <v>0</v>
      </c>
      <c r="AO263" s="710">
        <v>0</v>
      </c>
      <c r="AP263" s="711">
        <v>577</v>
      </c>
      <c r="AQ263" s="709"/>
      <c r="AR263" s="709"/>
      <c r="AS263" s="720">
        <v>1340</v>
      </c>
      <c r="AT263" s="710">
        <v>2178</v>
      </c>
      <c r="AU263" s="710">
        <v>2044</v>
      </c>
      <c r="AV263" s="710">
        <v>134</v>
      </c>
      <c r="AW263" s="710">
        <v>2231</v>
      </c>
      <c r="AX263" s="712">
        <v>5740</v>
      </c>
      <c r="AY263" s="683">
        <v>-23588.02</v>
      </c>
      <c r="AZ263" s="713">
        <v>-5932130</v>
      </c>
      <c r="BA263" s="714">
        <v>-7324171.4200000018</v>
      </c>
      <c r="BB263" s="715">
        <v>23896450</v>
      </c>
      <c r="BC263" s="715">
        <v>0</v>
      </c>
      <c r="BD263" s="716">
        <v>-7513227.4200000018</v>
      </c>
      <c r="BE263" s="420"/>
      <c r="BF263" s="717" t="s">
        <v>403</v>
      </c>
      <c r="BG263" s="118" t="b">
        <v>1</v>
      </c>
      <c r="BH263" s="494"/>
      <c r="BI263" s="420"/>
      <c r="BJ263" s="420"/>
      <c r="BK263" s="420"/>
      <c r="BL263" s="420"/>
      <c r="BM263" s="420"/>
      <c r="BN263" s="420"/>
      <c r="BO263" s="420"/>
      <c r="BP263" s="420"/>
      <c r="BQ263" s="420"/>
      <c r="BR263" s="420"/>
      <c r="BS263" s="420"/>
      <c r="BT263" s="420"/>
      <c r="BU263" s="420"/>
      <c r="BV263" s="420"/>
      <c r="BW263" s="420"/>
      <c r="BX263" s="420"/>
      <c r="BY263" s="420"/>
      <c r="BZ263" s="420"/>
      <c r="CA263" s="420"/>
      <c r="CB263" s="420"/>
      <c r="CC263" s="420"/>
      <c r="CD263" s="420"/>
      <c r="CE263" s="420"/>
      <c r="CF263" s="420"/>
      <c r="CG263" s="420"/>
      <c r="CH263" s="420"/>
      <c r="CI263" s="420"/>
      <c r="CJ263" s="420"/>
      <c r="CK263" s="420"/>
      <c r="CL263" s="420"/>
      <c r="CM263" s="420"/>
      <c r="CN263" s="420"/>
      <c r="CO263" s="420"/>
      <c r="CP263" s="420"/>
      <c r="CQ263" s="420"/>
      <c r="CR263" s="420"/>
    </row>
    <row r="264" spans="1:97" s="118" customFormat="1" ht="12.75" x14ac:dyDescent="0.2">
      <c r="A264" s="705">
        <v>258</v>
      </c>
      <c r="B264" s="718" t="s">
        <v>404</v>
      </c>
      <c r="C264" s="719" t="s">
        <v>405</v>
      </c>
      <c r="D264" s="708">
        <v>155376</v>
      </c>
      <c r="E264" s="708">
        <v>77688000</v>
      </c>
      <c r="F264" s="133">
        <v>37674083</v>
      </c>
      <c r="G264" s="133">
        <v>-4339478</v>
      </c>
      <c r="H264" s="133">
        <v>621085.94999999995</v>
      </c>
      <c r="I264" s="133">
        <v>-3718392.05</v>
      </c>
      <c r="J264" s="133">
        <v>-2638036.04</v>
      </c>
      <c r="K264" s="133">
        <v>-35904.97</v>
      </c>
      <c r="L264" s="133">
        <v>-29997.31</v>
      </c>
      <c r="M264" s="133">
        <v>-4385.12</v>
      </c>
      <c r="N264" s="133">
        <v>-824439</v>
      </c>
      <c r="O264" s="133">
        <v>-96368.13</v>
      </c>
      <c r="P264" s="133">
        <v>-115539.43</v>
      </c>
      <c r="Q264" s="133">
        <v>0</v>
      </c>
      <c r="R264" s="133">
        <v>-29997.26</v>
      </c>
      <c r="S264" s="133">
        <v>0</v>
      </c>
      <c r="T264" s="133">
        <v>0</v>
      </c>
      <c r="U264" s="133">
        <v>0</v>
      </c>
      <c r="V264" s="133">
        <v>0</v>
      </c>
      <c r="W264" s="709"/>
      <c r="X264" s="709"/>
      <c r="Y264" s="709"/>
      <c r="Z264" s="133">
        <v>-29997</v>
      </c>
      <c r="AA264" s="133">
        <v>-1500</v>
      </c>
      <c r="AB264" s="133">
        <v>29520888.41</v>
      </c>
      <c r="AC264" s="133">
        <v>-1000000</v>
      </c>
      <c r="AD264" s="709"/>
      <c r="AE264" s="710">
        <v>311</v>
      </c>
      <c r="AF264" s="711">
        <v>14</v>
      </c>
      <c r="AG264" s="710">
        <v>27</v>
      </c>
      <c r="AH264" s="710">
        <v>1</v>
      </c>
      <c r="AI264" s="710">
        <v>352</v>
      </c>
      <c r="AJ264" s="710">
        <v>146</v>
      </c>
      <c r="AK264" s="710">
        <v>7</v>
      </c>
      <c r="AL264" s="710">
        <v>0</v>
      </c>
      <c r="AM264" s="710">
        <v>27</v>
      </c>
      <c r="AN264" s="710">
        <v>0</v>
      </c>
      <c r="AO264" s="710">
        <v>0</v>
      </c>
      <c r="AP264" s="711">
        <v>0</v>
      </c>
      <c r="AQ264" s="709"/>
      <c r="AR264" s="709"/>
      <c r="AS264" s="720">
        <v>976</v>
      </c>
      <c r="AT264" s="710">
        <v>1810</v>
      </c>
      <c r="AU264" s="710">
        <v>1745</v>
      </c>
      <c r="AV264" s="710">
        <v>65</v>
      </c>
      <c r="AW264" s="710">
        <v>1319</v>
      </c>
      <c r="AX264" s="712">
        <v>4194</v>
      </c>
      <c r="AY264" s="683">
        <v>-29869</v>
      </c>
      <c r="AZ264" s="713">
        <v>411015</v>
      </c>
      <c r="BA264" s="714">
        <v>350134</v>
      </c>
      <c r="BB264" s="715">
        <v>8984000</v>
      </c>
      <c r="BC264" s="715">
        <v>0</v>
      </c>
      <c r="BD264" s="716">
        <v>335234.24000000022</v>
      </c>
      <c r="BE264" s="420"/>
      <c r="BF264" s="717" t="s">
        <v>405</v>
      </c>
      <c r="BG264" s="118" t="b">
        <v>1</v>
      </c>
      <c r="BH264" s="494"/>
      <c r="BI264" s="420"/>
      <c r="BJ264" s="420"/>
      <c r="BK264" s="420"/>
      <c r="BL264" s="420"/>
      <c r="BM264" s="420"/>
      <c r="BN264" s="420"/>
      <c r="BO264" s="420"/>
      <c r="BP264" s="420"/>
      <c r="BQ264" s="420"/>
      <c r="BR264" s="420"/>
      <c r="BS264" s="420"/>
      <c r="BT264" s="420"/>
      <c r="BU264" s="420"/>
      <c r="BV264" s="420"/>
      <c r="BW264" s="420"/>
      <c r="BX264" s="420"/>
      <c r="BY264" s="420"/>
      <c r="BZ264" s="420"/>
      <c r="CA264" s="420"/>
      <c r="CB264" s="420"/>
      <c r="CC264" s="420"/>
      <c r="CD264" s="420"/>
      <c r="CE264" s="420"/>
      <c r="CF264" s="420"/>
      <c r="CG264" s="420"/>
      <c r="CH264" s="420"/>
      <c r="CI264" s="420"/>
      <c r="CJ264" s="420"/>
      <c r="CK264" s="420"/>
      <c r="CL264" s="420"/>
      <c r="CM264" s="420"/>
      <c r="CN264" s="420"/>
      <c r="CO264" s="420"/>
      <c r="CP264" s="420"/>
      <c r="CQ264" s="420"/>
      <c r="CR264" s="420"/>
    </row>
    <row r="265" spans="1:97" s="118" customFormat="1" ht="12.75" x14ac:dyDescent="0.2">
      <c r="A265" s="705">
        <v>259</v>
      </c>
      <c r="B265" s="718" t="s">
        <v>406</v>
      </c>
      <c r="C265" s="719" t="s">
        <v>407</v>
      </c>
      <c r="D265" s="708">
        <v>330391</v>
      </c>
      <c r="E265" s="708">
        <v>230714000</v>
      </c>
      <c r="F265" s="133">
        <v>113551148</v>
      </c>
      <c r="G265" s="133">
        <v>-8197904</v>
      </c>
      <c r="H265" s="133">
        <v>2289823.67</v>
      </c>
      <c r="I265" s="133">
        <v>-5908080.3300000001</v>
      </c>
      <c r="J265" s="133">
        <v>-8140665.1799999997</v>
      </c>
      <c r="K265" s="133">
        <v>-49230.720000000001</v>
      </c>
      <c r="L265" s="133">
        <v>-1492.17</v>
      </c>
      <c r="M265" s="133">
        <v>0</v>
      </c>
      <c r="N265" s="133">
        <v>-2126125</v>
      </c>
      <c r="O265" s="133">
        <v>-59504.54</v>
      </c>
      <c r="P265" s="133">
        <v>-122365.69</v>
      </c>
      <c r="Q265" s="133">
        <v>-504</v>
      </c>
      <c r="R265" s="133">
        <v>-1492.17</v>
      </c>
      <c r="S265" s="133">
        <v>0</v>
      </c>
      <c r="T265" s="133">
        <v>0</v>
      </c>
      <c r="U265" s="133">
        <v>0</v>
      </c>
      <c r="V265" s="133">
        <v>0</v>
      </c>
      <c r="W265" s="709"/>
      <c r="X265" s="709"/>
      <c r="Y265" s="709"/>
      <c r="Z265" s="133">
        <v>-1492</v>
      </c>
      <c r="AA265" s="133">
        <v>-1500</v>
      </c>
      <c r="AB265" s="133">
        <v>96075316.289999992</v>
      </c>
      <c r="AC265" s="133">
        <v>-4482736</v>
      </c>
      <c r="AD265" s="709"/>
      <c r="AE265" s="710">
        <v>329</v>
      </c>
      <c r="AF265" s="711">
        <v>6</v>
      </c>
      <c r="AG265" s="710">
        <v>2</v>
      </c>
      <c r="AH265" s="710">
        <v>0</v>
      </c>
      <c r="AI265" s="710">
        <v>737</v>
      </c>
      <c r="AJ265" s="710">
        <v>73</v>
      </c>
      <c r="AK265" s="710">
        <v>23</v>
      </c>
      <c r="AL265" s="710">
        <v>1</v>
      </c>
      <c r="AM265" s="710">
        <v>2</v>
      </c>
      <c r="AN265" s="710">
        <v>0</v>
      </c>
      <c r="AO265" s="710">
        <v>0</v>
      </c>
      <c r="AP265" s="711">
        <v>0</v>
      </c>
      <c r="AQ265" s="709"/>
      <c r="AR265" s="709"/>
      <c r="AS265" s="720">
        <v>2112</v>
      </c>
      <c r="AT265" s="710">
        <v>3375</v>
      </c>
      <c r="AU265" s="710">
        <v>3234</v>
      </c>
      <c r="AV265" s="710">
        <v>141</v>
      </c>
      <c r="AW265" s="710">
        <v>2900</v>
      </c>
      <c r="AX265" s="712">
        <v>8496</v>
      </c>
      <c r="AY265" s="683">
        <v>-29394</v>
      </c>
      <c r="AZ265" s="713">
        <v>1475769</v>
      </c>
      <c r="BA265" s="714">
        <v>3935378</v>
      </c>
      <c r="BB265" s="715">
        <v>23386950</v>
      </c>
      <c r="BC265" s="715">
        <v>54750</v>
      </c>
      <c r="BD265" s="716">
        <v>4032495</v>
      </c>
      <c r="BE265" s="420"/>
      <c r="BF265" s="717" t="s">
        <v>407</v>
      </c>
      <c r="BG265" s="118" t="b">
        <v>1</v>
      </c>
      <c r="BH265" s="494"/>
      <c r="BI265" s="420"/>
      <c r="BJ265" s="420"/>
      <c r="BK265" s="420"/>
      <c r="BL265" s="420"/>
      <c r="BM265" s="420"/>
      <c r="BN265" s="420"/>
      <c r="BO265" s="420"/>
      <c r="BP265" s="420"/>
      <c r="BQ265" s="420"/>
      <c r="BR265" s="420"/>
      <c r="BS265" s="420"/>
      <c r="BT265" s="420"/>
      <c r="BU265" s="420"/>
      <c r="BV265" s="420"/>
      <c r="BW265" s="420"/>
      <c r="BX265" s="420"/>
      <c r="BY265" s="420"/>
      <c r="BZ265" s="420"/>
      <c r="CA265" s="420"/>
      <c r="CB265" s="420"/>
      <c r="CC265" s="420"/>
      <c r="CD265" s="420"/>
      <c r="CE265" s="420"/>
      <c r="CF265" s="420"/>
      <c r="CG265" s="420"/>
      <c r="CH265" s="420"/>
      <c r="CI265" s="420"/>
      <c r="CJ265" s="420"/>
      <c r="CK265" s="420"/>
      <c r="CL265" s="420"/>
      <c r="CM265" s="420"/>
      <c r="CN265" s="420"/>
      <c r="CO265" s="420"/>
      <c r="CP265" s="420"/>
      <c r="CQ265" s="420"/>
      <c r="CR265" s="420"/>
    </row>
    <row r="266" spans="1:97" s="118" customFormat="1" ht="12.75" x14ac:dyDescent="0.2">
      <c r="A266" s="705">
        <v>260</v>
      </c>
      <c r="B266" s="718" t="s">
        <v>408</v>
      </c>
      <c r="C266" s="719" t="s">
        <v>409</v>
      </c>
      <c r="D266" s="708">
        <v>120807</v>
      </c>
      <c r="E266" s="708">
        <v>89772000</v>
      </c>
      <c r="F266" s="133">
        <v>45010246</v>
      </c>
      <c r="G266" s="133">
        <v>-2866175</v>
      </c>
      <c r="H266" s="133">
        <v>877712</v>
      </c>
      <c r="I266" s="133">
        <v>-1988463</v>
      </c>
      <c r="J266" s="133">
        <v>-1776619</v>
      </c>
      <c r="K266" s="133">
        <v>-5768</v>
      </c>
      <c r="L266" s="133">
        <v>0</v>
      </c>
      <c r="M266" s="133">
        <v>-10000</v>
      </c>
      <c r="N266" s="133">
        <v>-1200000</v>
      </c>
      <c r="O266" s="133">
        <v>-97124</v>
      </c>
      <c r="P266" s="133">
        <v>-187616</v>
      </c>
      <c r="Q266" s="133">
        <v>-1474</v>
      </c>
      <c r="R266" s="133">
        <v>0</v>
      </c>
      <c r="S266" s="133">
        <v>0</v>
      </c>
      <c r="T266" s="133">
        <v>0</v>
      </c>
      <c r="U266" s="133">
        <v>0</v>
      </c>
      <c r="V266" s="133">
        <v>0</v>
      </c>
      <c r="W266" s="709"/>
      <c r="X266" s="709"/>
      <c r="Y266" s="709"/>
      <c r="Z266" s="133">
        <v>0</v>
      </c>
      <c r="AA266" s="133">
        <v>0</v>
      </c>
      <c r="AB266" s="133">
        <v>38716219</v>
      </c>
      <c r="AC266" s="133">
        <v>-903896</v>
      </c>
      <c r="AD266" s="709"/>
      <c r="AE266" s="710">
        <v>115</v>
      </c>
      <c r="AF266" s="711">
        <v>4</v>
      </c>
      <c r="AG266" s="710">
        <v>0</v>
      </c>
      <c r="AH266" s="710">
        <v>0</v>
      </c>
      <c r="AI266" s="710">
        <v>184</v>
      </c>
      <c r="AJ266" s="710">
        <v>67</v>
      </c>
      <c r="AK266" s="710">
        <v>10</v>
      </c>
      <c r="AL266" s="710">
        <v>4</v>
      </c>
      <c r="AM266" s="710">
        <v>0</v>
      </c>
      <c r="AN266" s="710">
        <v>0</v>
      </c>
      <c r="AO266" s="710">
        <v>0</v>
      </c>
      <c r="AP266" s="711">
        <v>0</v>
      </c>
      <c r="AQ266" s="709"/>
      <c r="AR266" s="709"/>
      <c r="AS266" s="720">
        <v>661</v>
      </c>
      <c r="AT266" s="710">
        <v>955</v>
      </c>
      <c r="AU266" s="710">
        <v>861</v>
      </c>
      <c r="AV266" s="710">
        <v>94</v>
      </c>
      <c r="AW266" s="710">
        <v>512</v>
      </c>
      <c r="AX266" s="712">
        <v>2694</v>
      </c>
      <c r="AY266" s="683">
        <v>-22000</v>
      </c>
      <c r="AZ266" s="713">
        <v>2731956</v>
      </c>
      <c r="BA266" s="714">
        <v>2051799</v>
      </c>
      <c r="BB266" s="715">
        <v>0</v>
      </c>
      <c r="BC266" s="715">
        <v>0</v>
      </c>
      <c r="BD266" s="716">
        <v>2390418</v>
      </c>
      <c r="BE266" s="420"/>
      <c r="BF266" s="717" t="s">
        <v>409</v>
      </c>
      <c r="BG266" s="118" t="b">
        <v>1</v>
      </c>
      <c r="BH266" s="494"/>
      <c r="BI266" s="420"/>
      <c r="BJ266" s="420"/>
      <c r="BK266" s="420"/>
      <c r="BL266" s="420"/>
      <c r="BM266" s="420"/>
      <c r="BN266" s="420"/>
      <c r="BO266" s="420"/>
      <c r="BP266" s="420"/>
      <c r="BQ266" s="420"/>
      <c r="BR266" s="420"/>
      <c r="BS266" s="420"/>
      <c r="BT266" s="420"/>
      <c r="BU266" s="420"/>
      <c r="BV266" s="420"/>
      <c r="BW266" s="420"/>
      <c r="BX266" s="420"/>
      <c r="BY266" s="420"/>
      <c r="BZ266" s="420"/>
      <c r="CA266" s="420"/>
      <c r="CB266" s="420"/>
      <c r="CC266" s="420"/>
      <c r="CD266" s="420"/>
      <c r="CE266" s="420"/>
      <c r="CF266" s="420"/>
      <c r="CG266" s="420"/>
      <c r="CH266" s="420"/>
      <c r="CI266" s="420"/>
      <c r="CJ266" s="420"/>
      <c r="CK266" s="420"/>
      <c r="CL266" s="420"/>
      <c r="CM266" s="420"/>
      <c r="CN266" s="420"/>
      <c r="CO266" s="420"/>
      <c r="CP266" s="420"/>
      <c r="CQ266" s="420"/>
      <c r="CR266" s="420"/>
    </row>
    <row r="267" spans="1:97" s="118" customFormat="1" ht="12.75" x14ac:dyDescent="0.2">
      <c r="A267" s="705">
        <v>261</v>
      </c>
      <c r="B267" s="718" t="s">
        <v>410</v>
      </c>
      <c r="C267" s="719" t="s">
        <v>411</v>
      </c>
      <c r="D267" s="708">
        <v>187065</v>
      </c>
      <c r="E267" s="708">
        <v>143152000</v>
      </c>
      <c r="F267" s="133">
        <v>71159517</v>
      </c>
      <c r="G267" s="133">
        <v>-4965432</v>
      </c>
      <c r="H267" s="133">
        <v>1350293</v>
      </c>
      <c r="I267" s="133">
        <v>-3615139</v>
      </c>
      <c r="J267" s="133">
        <v>-7130226</v>
      </c>
      <c r="K267" s="133">
        <v>-37538</v>
      </c>
      <c r="L267" s="133">
        <v>0</v>
      </c>
      <c r="M267" s="133">
        <v>-25000</v>
      </c>
      <c r="N267" s="133">
        <v>-536326</v>
      </c>
      <c r="O267" s="133">
        <v>0</v>
      </c>
      <c r="P267" s="133">
        <v>-91778</v>
      </c>
      <c r="Q267" s="133">
        <v>0</v>
      </c>
      <c r="R267" s="133">
        <v>0</v>
      </c>
      <c r="S267" s="133">
        <v>0</v>
      </c>
      <c r="T267" s="133">
        <v>0</v>
      </c>
      <c r="U267" s="133">
        <v>0</v>
      </c>
      <c r="V267" s="133">
        <v>0</v>
      </c>
      <c r="W267" s="709"/>
      <c r="X267" s="709"/>
      <c r="Y267" s="709"/>
      <c r="Z267" s="133">
        <v>0</v>
      </c>
      <c r="AA267" s="133">
        <v>0</v>
      </c>
      <c r="AB267" s="133">
        <v>57677207</v>
      </c>
      <c r="AC267" s="133">
        <v>0</v>
      </c>
      <c r="AD267" s="709"/>
      <c r="AE267" s="710">
        <v>207</v>
      </c>
      <c r="AF267" s="711">
        <v>5</v>
      </c>
      <c r="AG267" s="710">
        <v>0</v>
      </c>
      <c r="AH267" s="710">
        <v>3</v>
      </c>
      <c r="AI267" s="710">
        <v>303</v>
      </c>
      <c r="AJ267" s="710">
        <v>0</v>
      </c>
      <c r="AK267" s="710">
        <v>26</v>
      </c>
      <c r="AL267" s="710">
        <v>0</v>
      </c>
      <c r="AM267" s="710">
        <v>0</v>
      </c>
      <c r="AN267" s="710">
        <v>0</v>
      </c>
      <c r="AO267" s="710">
        <v>0</v>
      </c>
      <c r="AP267" s="711">
        <v>0</v>
      </c>
      <c r="AQ267" s="709"/>
      <c r="AR267" s="709"/>
      <c r="AS267" s="720">
        <v>902</v>
      </c>
      <c r="AT267" s="710">
        <v>1442</v>
      </c>
      <c r="AU267" s="710">
        <v>1300</v>
      </c>
      <c r="AV267" s="710">
        <v>142</v>
      </c>
      <c r="AW267" s="710">
        <v>1571</v>
      </c>
      <c r="AX267" s="712">
        <v>4088</v>
      </c>
      <c r="AY267" s="683">
        <v>-16279</v>
      </c>
      <c r="AZ267" s="713">
        <v>628125.60000000102</v>
      </c>
      <c r="BA267" s="714">
        <v>1156059.5999999996</v>
      </c>
      <c r="BB267" s="715">
        <v>13066000</v>
      </c>
      <c r="BC267" s="715">
        <v>0</v>
      </c>
      <c r="BD267" s="716">
        <v>1069212.7400000002</v>
      </c>
      <c r="BE267" s="420"/>
      <c r="BF267" s="717" t="s">
        <v>411</v>
      </c>
      <c r="BG267" s="118" t="b">
        <v>1</v>
      </c>
      <c r="BH267" s="494"/>
      <c r="BI267" s="420"/>
      <c r="BJ267" s="420"/>
      <c r="BK267" s="420"/>
      <c r="BL267" s="420"/>
      <c r="BM267" s="420"/>
      <c r="BN267" s="420"/>
      <c r="BO267" s="420"/>
      <c r="BP267" s="420"/>
      <c r="BQ267" s="420"/>
      <c r="BR267" s="420"/>
      <c r="BS267" s="420"/>
      <c r="BT267" s="420"/>
      <c r="BU267" s="420"/>
      <c r="BV267" s="420"/>
      <c r="BW267" s="420"/>
      <c r="BX267" s="420"/>
      <c r="BY267" s="420"/>
      <c r="BZ267" s="420"/>
      <c r="CA267" s="420"/>
      <c r="CB267" s="420"/>
      <c r="CC267" s="420"/>
      <c r="CD267" s="420"/>
      <c r="CE267" s="420"/>
      <c r="CF267" s="420"/>
      <c r="CG267" s="420"/>
      <c r="CH267" s="420"/>
      <c r="CI267" s="420"/>
      <c r="CJ267" s="420"/>
      <c r="CK267" s="420"/>
      <c r="CL267" s="420"/>
      <c r="CM267" s="420"/>
      <c r="CN267" s="420"/>
      <c r="CO267" s="420"/>
      <c r="CP267" s="420"/>
      <c r="CQ267" s="420"/>
      <c r="CR267" s="420"/>
    </row>
    <row r="268" spans="1:97" s="118" customFormat="1" ht="12.75" x14ac:dyDescent="0.2">
      <c r="A268" s="705">
        <v>262</v>
      </c>
      <c r="B268" s="718" t="s">
        <v>412</v>
      </c>
      <c r="C268" s="719" t="s">
        <v>413</v>
      </c>
      <c r="D268" s="708">
        <v>186831</v>
      </c>
      <c r="E268" s="708">
        <v>131091000</v>
      </c>
      <c r="F268" s="133">
        <v>63584553</v>
      </c>
      <c r="G268" s="133">
        <v>-5753676</v>
      </c>
      <c r="H268" s="133">
        <v>1146853</v>
      </c>
      <c r="I268" s="133">
        <v>-4606823</v>
      </c>
      <c r="J268" s="133">
        <v>-3414672</v>
      </c>
      <c r="K268" s="133">
        <v>-95673</v>
      </c>
      <c r="L268" s="133">
        <v>-25250</v>
      </c>
      <c r="M268" s="133">
        <v>0</v>
      </c>
      <c r="N268" s="133">
        <v>-1937640</v>
      </c>
      <c r="O268" s="133">
        <v>-229496</v>
      </c>
      <c r="P268" s="133">
        <v>-104825</v>
      </c>
      <c r="Q268" s="133">
        <v>-23918</v>
      </c>
      <c r="R268" s="133">
        <v>0</v>
      </c>
      <c r="S268" s="133">
        <v>-7609</v>
      </c>
      <c r="T268" s="133">
        <v>0</v>
      </c>
      <c r="U268" s="133">
        <v>0</v>
      </c>
      <c r="V268" s="133">
        <v>0</v>
      </c>
      <c r="W268" s="709"/>
      <c r="X268" s="709"/>
      <c r="Y268" s="709"/>
      <c r="Z268" s="133">
        <v>-2307</v>
      </c>
      <c r="AA268" s="133">
        <v>-1500</v>
      </c>
      <c r="AB268" s="133">
        <v>51886417</v>
      </c>
      <c r="AC268" s="133">
        <v>-2297199</v>
      </c>
      <c r="AD268" s="709"/>
      <c r="AE268" s="710">
        <v>239</v>
      </c>
      <c r="AF268" s="711">
        <v>21</v>
      </c>
      <c r="AG268" s="710">
        <v>15</v>
      </c>
      <c r="AH268" s="710">
        <v>0</v>
      </c>
      <c r="AI268" s="710">
        <v>341</v>
      </c>
      <c r="AJ268" s="710">
        <v>142</v>
      </c>
      <c r="AK268" s="710">
        <v>27</v>
      </c>
      <c r="AL268" s="710">
        <v>21</v>
      </c>
      <c r="AM268" s="710">
        <v>0</v>
      </c>
      <c r="AN268" s="710">
        <v>1</v>
      </c>
      <c r="AO268" s="710">
        <v>0</v>
      </c>
      <c r="AP268" s="711">
        <v>167</v>
      </c>
      <c r="AQ268" s="709"/>
      <c r="AR268" s="709"/>
      <c r="AS268" s="720">
        <v>1084</v>
      </c>
      <c r="AT268" s="710">
        <v>2150</v>
      </c>
      <c r="AU268" s="710">
        <v>2035</v>
      </c>
      <c r="AV268" s="710">
        <v>115</v>
      </c>
      <c r="AW268" s="710">
        <v>1478</v>
      </c>
      <c r="AX268" s="712">
        <v>4763</v>
      </c>
      <c r="AY268" s="683">
        <v>-37296</v>
      </c>
      <c r="AZ268" s="713">
        <v>-362325.39999999851</v>
      </c>
      <c r="BA268" s="714">
        <v>721644.60000000149</v>
      </c>
      <c r="BB268" s="715">
        <v>16425000</v>
      </c>
      <c r="BC268" s="715">
        <v>0</v>
      </c>
      <c r="BD268" s="716">
        <v>721644.60000000149</v>
      </c>
      <c r="BE268" s="420"/>
      <c r="BF268" s="717" t="s">
        <v>413</v>
      </c>
      <c r="BG268" s="118" t="b">
        <v>1</v>
      </c>
      <c r="BH268" s="494"/>
      <c r="BI268" s="420"/>
      <c r="BJ268" s="420"/>
      <c r="BK268" s="420"/>
      <c r="BL268" s="420"/>
      <c r="BM268" s="420"/>
      <c r="BN268" s="420"/>
      <c r="BO268" s="420"/>
      <c r="BP268" s="420"/>
      <c r="BQ268" s="420"/>
      <c r="BR268" s="420"/>
      <c r="BS268" s="420"/>
      <c r="BT268" s="420"/>
      <c r="BU268" s="420"/>
      <c r="BV268" s="420"/>
      <c r="BW268" s="420"/>
      <c r="BX268" s="420"/>
      <c r="BY268" s="420"/>
      <c r="BZ268" s="420"/>
      <c r="CA268" s="420"/>
      <c r="CB268" s="420"/>
      <c r="CC268" s="420"/>
      <c r="CD268" s="420"/>
      <c r="CE268" s="420"/>
      <c r="CF268" s="420"/>
      <c r="CG268" s="420"/>
      <c r="CH268" s="420"/>
      <c r="CI268" s="420"/>
      <c r="CJ268" s="420"/>
      <c r="CK268" s="420"/>
      <c r="CL268" s="420"/>
      <c r="CM268" s="420"/>
      <c r="CN268" s="420"/>
      <c r="CO268" s="420"/>
      <c r="CP268" s="420"/>
      <c r="CQ268" s="420"/>
      <c r="CR268" s="420"/>
    </row>
    <row r="269" spans="1:97" s="737" customFormat="1" ht="12.75" x14ac:dyDescent="0.2">
      <c r="A269" s="705">
        <v>263</v>
      </c>
      <c r="B269" s="718" t="s">
        <v>614</v>
      </c>
      <c r="C269" s="719" t="s">
        <v>415</v>
      </c>
      <c r="D269" s="708">
        <v>261763</v>
      </c>
      <c r="E269" s="708">
        <v>255753000</v>
      </c>
      <c r="F269" s="133">
        <v>127171593</v>
      </c>
      <c r="G269" s="133">
        <v>-5075895</v>
      </c>
      <c r="H269" s="133">
        <v>2688769</v>
      </c>
      <c r="I269" s="133">
        <v>-2387126</v>
      </c>
      <c r="J269" s="133">
        <v>-6692496</v>
      </c>
      <c r="K269" s="133">
        <v>-88785</v>
      </c>
      <c r="L269" s="133">
        <v>0</v>
      </c>
      <c r="M269" s="133">
        <v>-89163</v>
      </c>
      <c r="N269" s="133">
        <v>-1868622</v>
      </c>
      <c r="O269" s="133">
        <v>-208300</v>
      </c>
      <c r="P269" s="133">
        <v>-61034</v>
      </c>
      <c r="Q269" s="133">
        <v>-22196</v>
      </c>
      <c r="R269" s="133">
        <v>0</v>
      </c>
      <c r="S269" s="133">
        <v>0</v>
      </c>
      <c r="T269" s="133">
        <v>0</v>
      </c>
      <c r="U269" s="133">
        <v>0</v>
      </c>
      <c r="V269" s="133">
        <v>0</v>
      </c>
      <c r="W269" s="709"/>
      <c r="X269" s="709"/>
      <c r="Y269" s="709"/>
      <c r="Z269" s="133">
        <v>-11697</v>
      </c>
      <c r="AA269" s="133">
        <v>0</v>
      </c>
      <c r="AB269" s="133">
        <v>115081796</v>
      </c>
      <c r="AC269" s="133">
        <v>-3793592</v>
      </c>
      <c r="AD269" s="709"/>
      <c r="AE269" s="710">
        <v>283</v>
      </c>
      <c r="AF269" s="711">
        <v>5</v>
      </c>
      <c r="AG269" s="710">
        <v>0</v>
      </c>
      <c r="AH269" s="710">
        <v>0</v>
      </c>
      <c r="AI269" s="710">
        <v>601</v>
      </c>
      <c r="AJ269" s="710">
        <v>147</v>
      </c>
      <c r="AK269" s="710">
        <v>17</v>
      </c>
      <c r="AL269" s="710">
        <v>5</v>
      </c>
      <c r="AM269" s="710">
        <v>0</v>
      </c>
      <c r="AN269" s="710">
        <v>0</v>
      </c>
      <c r="AO269" s="710">
        <v>0</v>
      </c>
      <c r="AP269" s="711">
        <v>0</v>
      </c>
      <c r="AQ269" s="709"/>
      <c r="AR269" s="709"/>
      <c r="AS269" s="720">
        <v>1764</v>
      </c>
      <c r="AT269" s="710">
        <v>1836</v>
      </c>
      <c r="AU269" s="710">
        <v>1693</v>
      </c>
      <c r="AV269" s="710">
        <v>143</v>
      </c>
      <c r="AW269" s="710">
        <v>2127</v>
      </c>
      <c r="AX269" s="712">
        <v>5871</v>
      </c>
      <c r="AY269" s="683">
        <v>-8826</v>
      </c>
      <c r="AZ269" s="713">
        <v>91914</v>
      </c>
      <c r="BA269" s="714">
        <v>517928</v>
      </c>
      <c r="BB269" s="715">
        <v>25084850</v>
      </c>
      <c r="BC269" s="715">
        <v>0</v>
      </c>
      <c r="BD269" s="716">
        <v>517929.99000000022</v>
      </c>
      <c r="BE269" s="420"/>
      <c r="BF269" s="717" t="s">
        <v>415</v>
      </c>
      <c r="BG269" s="118" t="b">
        <v>1</v>
      </c>
      <c r="BH269" s="494"/>
      <c r="BI269" s="420"/>
      <c r="BJ269" s="420"/>
      <c r="BK269" s="420"/>
      <c r="BL269" s="420"/>
      <c r="BM269" s="420"/>
      <c r="BN269" s="420"/>
      <c r="BO269" s="420"/>
      <c r="BP269" s="420"/>
      <c r="BQ269" s="420"/>
      <c r="BR269" s="420"/>
      <c r="BS269" s="420"/>
      <c r="BT269" s="420"/>
      <c r="BU269" s="420"/>
      <c r="BV269" s="420"/>
      <c r="BW269" s="420"/>
      <c r="BX269" s="420"/>
      <c r="BY269" s="420"/>
      <c r="BZ269" s="420"/>
      <c r="CA269" s="420"/>
      <c r="CB269" s="420"/>
      <c r="CC269" s="420"/>
      <c r="CD269" s="420"/>
      <c r="CE269" s="420"/>
      <c r="CF269" s="420"/>
      <c r="CG269" s="420"/>
      <c r="CH269" s="420"/>
      <c r="CI269" s="420"/>
      <c r="CJ269" s="420"/>
      <c r="CK269" s="420"/>
      <c r="CL269" s="420"/>
      <c r="CM269" s="420"/>
      <c r="CN269" s="420"/>
      <c r="CO269" s="420"/>
      <c r="CP269" s="420"/>
      <c r="CQ269" s="420"/>
      <c r="CR269" s="420"/>
      <c r="CS269" s="118"/>
    </row>
    <row r="270" spans="1:97" s="118" customFormat="1" ht="12.75" x14ac:dyDescent="0.2">
      <c r="A270" s="705">
        <v>264</v>
      </c>
      <c r="B270" s="718" t="s">
        <v>416</v>
      </c>
      <c r="C270" s="719" t="s">
        <v>417</v>
      </c>
      <c r="D270" s="708">
        <v>284996</v>
      </c>
      <c r="E270" s="708">
        <v>147851000</v>
      </c>
      <c r="F270" s="133">
        <v>72347868</v>
      </c>
      <c r="G270" s="133">
        <v>-9304540</v>
      </c>
      <c r="H270" s="133">
        <v>1250853</v>
      </c>
      <c r="I270" s="133">
        <v>-8053687</v>
      </c>
      <c r="J270" s="133">
        <v>-4068901</v>
      </c>
      <c r="K270" s="133">
        <v>-135477</v>
      </c>
      <c r="L270" s="133">
        <v>0</v>
      </c>
      <c r="M270" s="133">
        <v>0</v>
      </c>
      <c r="N270" s="133">
        <v>-1353828</v>
      </c>
      <c r="O270" s="133">
        <v>-22500</v>
      </c>
      <c r="P270" s="133">
        <v>-25086</v>
      </c>
      <c r="Q270" s="133">
        <v>0</v>
      </c>
      <c r="R270" s="133">
        <v>0</v>
      </c>
      <c r="S270" s="133">
        <v>0</v>
      </c>
      <c r="T270" s="133">
        <v>0</v>
      </c>
      <c r="U270" s="133">
        <v>0</v>
      </c>
      <c r="V270" s="133">
        <v>0</v>
      </c>
      <c r="W270" s="709"/>
      <c r="X270" s="709"/>
      <c r="Y270" s="709"/>
      <c r="Z270" s="133">
        <v>0</v>
      </c>
      <c r="AA270" s="133">
        <v>-1500</v>
      </c>
      <c r="AB270" s="133">
        <v>58074436</v>
      </c>
      <c r="AC270" s="133">
        <v>-2772869</v>
      </c>
      <c r="AD270" s="709"/>
      <c r="AE270" s="710">
        <v>222</v>
      </c>
      <c r="AF270" s="711">
        <v>12</v>
      </c>
      <c r="AG270" s="710">
        <v>0</v>
      </c>
      <c r="AH270" s="710">
        <v>0</v>
      </c>
      <c r="AI270" s="710">
        <v>737</v>
      </c>
      <c r="AJ270" s="710">
        <v>40</v>
      </c>
      <c r="AK270" s="710">
        <v>8</v>
      </c>
      <c r="AL270" s="710">
        <v>0</v>
      </c>
      <c r="AM270" s="710">
        <v>0</v>
      </c>
      <c r="AN270" s="710">
        <v>0</v>
      </c>
      <c r="AO270" s="710">
        <v>0</v>
      </c>
      <c r="AP270" s="711">
        <v>0</v>
      </c>
      <c r="AQ270" s="709"/>
      <c r="AR270" s="709"/>
      <c r="AS270" s="720">
        <v>1744</v>
      </c>
      <c r="AT270" s="710">
        <v>3769</v>
      </c>
      <c r="AU270" s="710">
        <v>3624</v>
      </c>
      <c r="AV270" s="710">
        <v>145</v>
      </c>
      <c r="AW270" s="710">
        <v>2112</v>
      </c>
      <c r="AX270" s="712">
        <v>7659</v>
      </c>
      <c r="AY270" s="683">
        <v>-20039</v>
      </c>
      <c r="AZ270" s="713">
        <v>854114</v>
      </c>
      <c r="BA270" s="714">
        <v>-657303</v>
      </c>
      <c r="BB270" s="715">
        <v>20699065</v>
      </c>
      <c r="BC270" s="715">
        <v>0</v>
      </c>
      <c r="BD270" s="716">
        <v>-657302.12000000011</v>
      </c>
      <c r="BE270" s="420"/>
      <c r="BF270" s="717" t="s">
        <v>417</v>
      </c>
      <c r="BG270" s="118" t="b">
        <v>1</v>
      </c>
      <c r="BH270" s="494"/>
      <c r="BI270" s="420"/>
      <c r="BJ270" s="420"/>
      <c r="BK270" s="420"/>
      <c r="BL270" s="420"/>
      <c r="BM270" s="420"/>
      <c r="BN270" s="420"/>
      <c r="BO270" s="420"/>
      <c r="BP270" s="420"/>
      <c r="BQ270" s="420"/>
      <c r="BR270" s="420"/>
      <c r="BS270" s="420"/>
      <c r="BT270" s="420"/>
      <c r="BU270" s="420"/>
      <c r="BV270" s="420"/>
      <c r="BW270" s="420"/>
      <c r="BX270" s="420"/>
      <c r="BY270" s="420"/>
      <c r="BZ270" s="420"/>
      <c r="CA270" s="420"/>
      <c r="CB270" s="420"/>
      <c r="CC270" s="420"/>
      <c r="CD270" s="420"/>
      <c r="CE270" s="420"/>
      <c r="CF270" s="420"/>
      <c r="CG270" s="420"/>
      <c r="CH270" s="420"/>
      <c r="CI270" s="420"/>
      <c r="CJ270" s="420"/>
      <c r="CK270" s="420"/>
      <c r="CL270" s="420"/>
      <c r="CM270" s="420"/>
      <c r="CN270" s="420"/>
      <c r="CO270" s="420"/>
      <c r="CP270" s="420"/>
      <c r="CQ270" s="420"/>
      <c r="CR270" s="420"/>
    </row>
    <row r="271" spans="1:97" s="118" customFormat="1" ht="12.75" x14ac:dyDescent="0.2">
      <c r="A271" s="705">
        <v>265</v>
      </c>
      <c r="B271" s="718" t="s">
        <v>418</v>
      </c>
      <c r="C271" s="719" t="s">
        <v>419</v>
      </c>
      <c r="D271" s="708">
        <v>89508</v>
      </c>
      <c r="E271" s="708">
        <v>81953000</v>
      </c>
      <c r="F271" s="133">
        <v>40162204</v>
      </c>
      <c r="G271" s="133">
        <v>-2224583</v>
      </c>
      <c r="H271" s="133">
        <v>829368</v>
      </c>
      <c r="I271" s="133">
        <v>-1395215</v>
      </c>
      <c r="J271" s="133">
        <v>-1383768</v>
      </c>
      <c r="K271" s="133">
        <v>-45461</v>
      </c>
      <c r="L271" s="133">
        <v>0</v>
      </c>
      <c r="M271" s="133">
        <v>-42500</v>
      </c>
      <c r="N271" s="133">
        <v>-1061162</v>
      </c>
      <c r="O271" s="133">
        <v>-17894</v>
      </c>
      <c r="P271" s="133">
        <v>-2240</v>
      </c>
      <c r="Q271" s="133">
        <v>-1134</v>
      </c>
      <c r="R271" s="133">
        <v>0</v>
      </c>
      <c r="S271" s="133">
        <v>0</v>
      </c>
      <c r="T271" s="133">
        <v>0</v>
      </c>
      <c r="U271" s="133">
        <v>0</v>
      </c>
      <c r="V271" s="133">
        <v>0</v>
      </c>
      <c r="W271" s="709"/>
      <c r="X271" s="709"/>
      <c r="Y271" s="709"/>
      <c r="Z271" s="133">
        <v>0</v>
      </c>
      <c r="AA271" s="133">
        <v>-1500</v>
      </c>
      <c r="AB271" s="133">
        <v>35449875</v>
      </c>
      <c r="AC271" s="133">
        <v>-1407000</v>
      </c>
      <c r="AD271" s="709"/>
      <c r="AE271" s="710">
        <v>82</v>
      </c>
      <c r="AF271" s="711">
        <v>4</v>
      </c>
      <c r="AG271" s="710">
        <v>0</v>
      </c>
      <c r="AH271" s="710">
        <v>0</v>
      </c>
      <c r="AI271" s="710">
        <v>95</v>
      </c>
      <c r="AJ271" s="710">
        <v>17</v>
      </c>
      <c r="AK271" s="710">
        <v>1</v>
      </c>
      <c r="AL271" s="710">
        <v>2</v>
      </c>
      <c r="AM271" s="710">
        <v>0</v>
      </c>
      <c r="AN271" s="710">
        <v>0</v>
      </c>
      <c r="AO271" s="710">
        <v>0</v>
      </c>
      <c r="AP271" s="711">
        <v>0</v>
      </c>
      <c r="AQ271" s="709"/>
      <c r="AR271" s="709"/>
      <c r="AS271" s="720">
        <v>545</v>
      </c>
      <c r="AT271" s="710">
        <v>718</v>
      </c>
      <c r="AU271" s="710">
        <v>681</v>
      </c>
      <c r="AV271" s="710">
        <v>37</v>
      </c>
      <c r="AW271" s="710">
        <v>818</v>
      </c>
      <c r="AX271" s="712">
        <v>2115</v>
      </c>
      <c r="AY271" s="683">
        <v>-7455</v>
      </c>
      <c r="AZ271" s="713">
        <v>1882217</v>
      </c>
      <c r="BA271" s="714">
        <v>2302058</v>
      </c>
      <c r="BB271" s="715">
        <v>9934250</v>
      </c>
      <c r="BC271" s="715">
        <v>0</v>
      </c>
      <c r="BD271" s="716">
        <v>2302056</v>
      </c>
      <c r="BE271" s="420"/>
      <c r="BF271" s="717" t="s">
        <v>419</v>
      </c>
      <c r="BG271" s="118" t="b">
        <v>1</v>
      </c>
      <c r="BH271" s="494"/>
      <c r="BI271" s="420"/>
      <c r="BJ271" s="420"/>
      <c r="BK271" s="420"/>
      <c r="BL271" s="420"/>
      <c r="BM271" s="420"/>
      <c r="BN271" s="420"/>
      <c r="BO271" s="420"/>
      <c r="BP271" s="420"/>
      <c r="BQ271" s="420"/>
      <c r="BR271" s="420"/>
      <c r="BS271" s="420"/>
      <c r="BT271" s="420"/>
      <c r="BU271" s="420"/>
      <c r="BV271" s="420"/>
      <c r="BW271" s="420"/>
      <c r="BX271" s="420"/>
      <c r="BY271" s="420"/>
      <c r="BZ271" s="420"/>
      <c r="CA271" s="420"/>
      <c r="CB271" s="420"/>
      <c r="CC271" s="420"/>
      <c r="CD271" s="420"/>
      <c r="CE271" s="420"/>
      <c r="CF271" s="420"/>
      <c r="CG271" s="420"/>
      <c r="CH271" s="420"/>
      <c r="CI271" s="420"/>
      <c r="CJ271" s="420"/>
      <c r="CK271" s="420"/>
      <c r="CL271" s="420"/>
      <c r="CM271" s="420"/>
      <c r="CN271" s="420"/>
      <c r="CO271" s="420"/>
      <c r="CP271" s="420"/>
      <c r="CQ271" s="420"/>
      <c r="CR271" s="420"/>
    </row>
    <row r="272" spans="1:97" s="118" customFormat="1" ht="12.75" x14ac:dyDescent="0.2">
      <c r="A272" s="705">
        <v>266</v>
      </c>
      <c r="B272" s="718" t="s">
        <v>420</v>
      </c>
      <c r="C272" s="719" t="s">
        <v>421</v>
      </c>
      <c r="D272" s="708">
        <v>122412</v>
      </c>
      <c r="E272" s="708">
        <v>60719000</v>
      </c>
      <c r="F272" s="133">
        <v>29719270</v>
      </c>
      <c r="G272" s="133">
        <v>-3172104</v>
      </c>
      <c r="H272" s="133">
        <v>469279</v>
      </c>
      <c r="I272" s="133">
        <v>-2702825</v>
      </c>
      <c r="J272" s="133">
        <v>-3349991</v>
      </c>
      <c r="K272" s="133">
        <v>-37880</v>
      </c>
      <c r="L272" s="133">
        <v>-16577</v>
      </c>
      <c r="M272" s="133">
        <v>0</v>
      </c>
      <c r="N272" s="133">
        <v>-534249</v>
      </c>
      <c r="O272" s="133">
        <v>-47645</v>
      </c>
      <c r="P272" s="133">
        <v>-12167</v>
      </c>
      <c r="Q272" s="133">
        <v>-76</v>
      </c>
      <c r="R272" s="133">
        <v>0</v>
      </c>
      <c r="S272" s="133">
        <v>0</v>
      </c>
      <c r="T272" s="133">
        <v>0</v>
      </c>
      <c r="U272" s="133">
        <v>0</v>
      </c>
      <c r="V272" s="133">
        <v>0</v>
      </c>
      <c r="W272" s="709"/>
      <c r="X272" s="709"/>
      <c r="Y272" s="709"/>
      <c r="Z272" s="133">
        <v>-16577</v>
      </c>
      <c r="AA272" s="133">
        <v>0</v>
      </c>
      <c r="AB272" s="133">
        <v>21122499</v>
      </c>
      <c r="AC272" s="133">
        <v>-400000</v>
      </c>
      <c r="AD272" s="709"/>
      <c r="AE272" s="710">
        <v>169</v>
      </c>
      <c r="AF272" s="711">
        <v>15</v>
      </c>
      <c r="AG272" s="710">
        <v>11</v>
      </c>
      <c r="AH272" s="710">
        <v>0</v>
      </c>
      <c r="AI272" s="710">
        <v>286</v>
      </c>
      <c r="AJ272" s="710">
        <v>43</v>
      </c>
      <c r="AK272" s="710">
        <v>8</v>
      </c>
      <c r="AL272" s="710">
        <v>2</v>
      </c>
      <c r="AM272" s="710">
        <v>0</v>
      </c>
      <c r="AN272" s="710">
        <v>0</v>
      </c>
      <c r="AO272" s="710">
        <v>0</v>
      </c>
      <c r="AP272" s="711">
        <v>145</v>
      </c>
      <c r="AQ272" s="709"/>
      <c r="AR272" s="709"/>
      <c r="AS272" s="720">
        <v>657</v>
      </c>
      <c r="AT272" s="710">
        <v>1192</v>
      </c>
      <c r="AU272" s="710">
        <v>1100</v>
      </c>
      <c r="AV272" s="710">
        <v>92</v>
      </c>
      <c r="AW272" s="710">
        <v>1216</v>
      </c>
      <c r="AX272" s="712">
        <v>3014</v>
      </c>
      <c r="AY272" s="683">
        <v>-69070</v>
      </c>
      <c r="AZ272" s="713">
        <v>-46627</v>
      </c>
      <c r="BA272" s="714">
        <v>-703917</v>
      </c>
      <c r="BB272" s="715">
        <v>11198350</v>
      </c>
      <c r="BC272" s="715">
        <v>0</v>
      </c>
      <c r="BD272" s="716">
        <v>-703916</v>
      </c>
      <c r="BE272" s="420"/>
      <c r="BF272" s="717" t="s">
        <v>421</v>
      </c>
      <c r="BG272" s="118" t="b">
        <v>1</v>
      </c>
      <c r="BH272" s="494"/>
      <c r="BI272" s="420"/>
      <c r="BJ272" s="420"/>
      <c r="BK272" s="420"/>
      <c r="BL272" s="420"/>
      <c r="BM272" s="420"/>
      <c r="BN272" s="420"/>
      <c r="BO272" s="420"/>
      <c r="BP272" s="420"/>
      <c r="BQ272" s="420"/>
      <c r="BR272" s="420"/>
      <c r="BS272" s="420"/>
      <c r="BT272" s="420"/>
      <c r="BU272" s="420"/>
      <c r="BV272" s="420"/>
      <c r="BW272" s="420"/>
      <c r="BX272" s="420"/>
      <c r="BY272" s="420"/>
      <c r="BZ272" s="420"/>
      <c r="CA272" s="420"/>
      <c r="CB272" s="420"/>
      <c r="CC272" s="420"/>
      <c r="CD272" s="420"/>
      <c r="CE272" s="420"/>
      <c r="CF272" s="420"/>
      <c r="CG272" s="420"/>
      <c r="CH272" s="420"/>
      <c r="CI272" s="420"/>
      <c r="CJ272" s="420"/>
      <c r="CK272" s="420"/>
      <c r="CL272" s="420"/>
      <c r="CM272" s="420"/>
      <c r="CN272" s="420"/>
      <c r="CO272" s="420"/>
      <c r="CP272" s="420"/>
      <c r="CQ272" s="420"/>
      <c r="CR272" s="420"/>
    </row>
    <row r="273" spans="1:96" s="118" customFormat="1" ht="12.75" x14ac:dyDescent="0.2">
      <c r="A273" s="705">
        <v>267</v>
      </c>
      <c r="B273" s="718" t="s">
        <v>422</v>
      </c>
      <c r="C273" s="719" t="s">
        <v>423</v>
      </c>
      <c r="D273" s="708">
        <v>190930</v>
      </c>
      <c r="E273" s="708">
        <v>85664000</v>
      </c>
      <c r="F273" s="133">
        <v>41807777</v>
      </c>
      <c r="G273" s="133">
        <v>-6319026</v>
      </c>
      <c r="H273" s="133">
        <v>598259</v>
      </c>
      <c r="I273" s="133">
        <v>-5720767</v>
      </c>
      <c r="J273" s="133">
        <v>-2969337</v>
      </c>
      <c r="K273" s="133">
        <v>-77255</v>
      </c>
      <c r="L273" s="133">
        <v>-36507</v>
      </c>
      <c r="M273" s="133">
        <v>0</v>
      </c>
      <c r="N273" s="133">
        <v>-688937</v>
      </c>
      <c r="O273" s="133">
        <v>-88212</v>
      </c>
      <c r="P273" s="133">
        <v>-14093</v>
      </c>
      <c r="Q273" s="133">
        <v>-7465</v>
      </c>
      <c r="R273" s="133">
        <v>0</v>
      </c>
      <c r="S273" s="133">
        <v>-2087</v>
      </c>
      <c r="T273" s="133">
        <v>0</v>
      </c>
      <c r="U273" s="133">
        <v>0</v>
      </c>
      <c r="V273" s="133">
        <v>0</v>
      </c>
      <c r="W273" s="709"/>
      <c r="X273" s="709"/>
      <c r="Y273" s="709"/>
      <c r="Z273" s="133">
        <v>-36507</v>
      </c>
      <c r="AA273" s="133">
        <v>-1500</v>
      </c>
      <c r="AB273" s="133">
        <v>31239062</v>
      </c>
      <c r="AC273" s="133">
        <v>-100000</v>
      </c>
      <c r="AD273" s="709"/>
      <c r="AE273" s="710">
        <v>331</v>
      </c>
      <c r="AF273" s="711">
        <v>21</v>
      </c>
      <c r="AG273" s="710">
        <v>26</v>
      </c>
      <c r="AH273" s="710">
        <v>0</v>
      </c>
      <c r="AI273" s="710">
        <v>258</v>
      </c>
      <c r="AJ273" s="710">
        <v>145</v>
      </c>
      <c r="AK273" s="710">
        <v>15</v>
      </c>
      <c r="AL273" s="710">
        <v>17</v>
      </c>
      <c r="AM273" s="710">
        <v>0</v>
      </c>
      <c r="AN273" s="710">
        <v>2</v>
      </c>
      <c r="AO273" s="710">
        <v>0</v>
      </c>
      <c r="AP273" s="711">
        <v>0</v>
      </c>
      <c r="AQ273" s="709"/>
      <c r="AR273" s="709"/>
      <c r="AS273" s="720">
        <v>944</v>
      </c>
      <c r="AT273" s="710">
        <v>2659</v>
      </c>
      <c r="AU273" s="710">
        <v>2534</v>
      </c>
      <c r="AV273" s="710">
        <v>125</v>
      </c>
      <c r="AW273" s="710">
        <v>1714</v>
      </c>
      <c r="AX273" s="712">
        <v>5360</v>
      </c>
      <c r="AY273" s="683">
        <v>-33684</v>
      </c>
      <c r="AZ273" s="713">
        <v>-196898</v>
      </c>
      <c r="BA273" s="714">
        <v>-1286825</v>
      </c>
      <c r="BB273" s="715">
        <v>16763875</v>
      </c>
      <c r="BC273" s="715">
        <v>67750</v>
      </c>
      <c r="BD273" s="716">
        <v>-1286824</v>
      </c>
      <c r="BE273" s="420"/>
      <c r="BF273" s="717" t="s">
        <v>423</v>
      </c>
      <c r="BG273" s="118" t="b">
        <v>1</v>
      </c>
      <c r="BH273" s="494"/>
      <c r="BI273" s="420"/>
      <c r="BJ273" s="420"/>
      <c r="BK273" s="420"/>
      <c r="BL273" s="420"/>
      <c r="BM273" s="420"/>
      <c r="BN273" s="420"/>
      <c r="BO273" s="420"/>
      <c r="BP273" s="420"/>
      <c r="BQ273" s="420"/>
      <c r="BR273" s="420"/>
      <c r="BS273" s="420"/>
      <c r="BT273" s="420"/>
      <c r="BU273" s="420"/>
      <c r="BV273" s="420"/>
      <c r="BW273" s="420"/>
      <c r="BX273" s="420"/>
      <c r="BY273" s="420"/>
      <c r="BZ273" s="420"/>
      <c r="CA273" s="420"/>
      <c r="CB273" s="420"/>
      <c r="CC273" s="420"/>
      <c r="CD273" s="420"/>
      <c r="CE273" s="420"/>
      <c r="CF273" s="420"/>
      <c r="CG273" s="420"/>
      <c r="CH273" s="420"/>
      <c r="CI273" s="420"/>
      <c r="CJ273" s="420"/>
      <c r="CK273" s="420"/>
      <c r="CL273" s="420"/>
      <c r="CM273" s="420"/>
      <c r="CN273" s="420"/>
      <c r="CO273" s="420"/>
      <c r="CP273" s="420"/>
      <c r="CQ273" s="420"/>
      <c r="CR273" s="420"/>
    </row>
    <row r="274" spans="1:96" s="118" customFormat="1" ht="12.75" x14ac:dyDescent="0.2">
      <c r="A274" s="705">
        <v>268</v>
      </c>
      <c r="B274" s="718" t="s">
        <v>919</v>
      </c>
      <c r="C274" s="719" t="s">
        <v>425</v>
      </c>
      <c r="D274" s="708">
        <v>213355</v>
      </c>
      <c r="E274" s="708">
        <v>182930000</v>
      </c>
      <c r="F274" s="133">
        <v>89211940</v>
      </c>
      <c r="G274" s="133">
        <v>-5064989</v>
      </c>
      <c r="H274" s="133">
        <v>1814134</v>
      </c>
      <c r="I274" s="133">
        <v>-3250855</v>
      </c>
      <c r="J274" s="133">
        <v>-5508358</v>
      </c>
      <c r="K274" s="133">
        <v>-33499</v>
      </c>
      <c r="L274" s="133">
        <v>-1484</v>
      </c>
      <c r="M274" s="133">
        <v>-97380</v>
      </c>
      <c r="N274" s="133">
        <v>-2374193</v>
      </c>
      <c r="O274" s="133">
        <v>-272445</v>
      </c>
      <c r="P274" s="133">
        <v>-59717</v>
      </c>
      <c r="Q274" s="133">
        <v>-7116</v>
      </c>
      <c r="R274" s="133">
        <v>0</v>
      </c>
      <c r="S274" s="133">
        <v>0</v>
      </c>
      <c r="T274" s="133">
        <v>-50000</v>
      </c>
      <c r="U274" s="133">
        <v>0</v>
      </c>
      <c r="V274" s="133">
        <v>0</v>
      </c>
      <c r="W274" s="709"/>
      <c r="X274" s="709"/>
      <c r="Y274" s="709"/>
      <c r="Z274" s="133">
        <v>-1484</v>
      </c>
      <c r="AA274" s="133">
        <v>-1500</v>
      </c>
      <c r="AB274" s="133">
        <v>75482457</v>
      </c>
      <c r="AC274" s="133">
        <v>-3382000</v>
      </c>
      <c r="AD274" s="709"/>
      <c r="AE274" s="710">
        <v>265</v>
      </c>
      <c r="AF274" s="711">
        <v>11</v>
      </c>
      <c r="AG274" s="710">
        <v>3</v>
      </c>
      <c r="AH274" s="710">
        <v>4</v>
      </c>
      <c r="AI274" s="710">
        <v>653</v>
      </c>
      <c r="AJ274" s="710">
        <v>152</v>
      </c>
      <c r="AK274" s="710">
        <v>9</v>
      </c>
      <c r="AL274" s="710">
        <v>11</v>
      </c>
      <c r="AM274" s="710">
        <v>0</v>
      </c>
      <c r="AN274" s="710">
        <v>0</v>
      </c>
      <c r="AO274" s="710">
        <v>0</v>
      </c>
      <c r="AP274" s="711">
        <v>333</v>
      </c>
      <c r="AQ274" s="709"/>
      <c r="AR274" s="709"/>
      <c r="AS274" s="720">
        <v>1530</v>
      </c>
      <c r="AT274" s="710">
        <v>2445</v>
      </c>
      <c r="AU274" s="710">
        <v>2290</v>
      </c>
      <c r="AV274" s="710">
        <v>155</v>
      </c>
      <c r="AW274" s="710">
        <v>1064</v>
      </c>
      <c r="AX274" s="712">
        <v>5166</v>
      </c>
      <c r="AY274" s="683">
        <v>-34003</v>
      </c>
      <c r="AZ274" s="713">
        <v>1677883</v>
      </c>
      <c r="BA274" s="714">
        <v>3681783</v>
      </c>
      <c r="BB274" s="715">
        <v>22310750</v>
      </c>
      <c r="BC274" s="715">
        <v>0</v>
      </c>
      <c r="BD274" s="716">
        <v>3681783.4000000013</v>
      </c>
      <c r="BE274" s="420"/>
      <c r="BF274" s="717" t="s">
        <v>425</v>
      </c>
      <c r="BG274" s="118" t="b">
        <v>1</v>
      </c>
      <c r="BH274" s="494"/>
      <c r="BI274" s="420"/>
      <c r="BJ274" s="420"/>
      <c r="BK274" s="420"/>
      <c r="BL274" s="420"/>
      <c r="BM274" s="420"/>
      <c r="BN274" s="420"/>
      <c r="BO274" s="420"/>
      <c r="BP274" s="420"/>
      <c r="BQ274" s="420"/>
      <c r="BR274" s="420"/>
      <c r="BS274" s="420"/>
      <c r="BT274" s="420"/>
      <c r="BU274" s="420"/>
      <c r="BV274" s="420"/>
      <c r="BW274" s="420"/>
      <c r="BX274" s="420"/>
      <c r="BY274" s="420"/>
      <c r="BZ274" s="420"/>
      <c r="CA274" s="420"/>
      <c r="CB274" s="420"/>
      <c r="CC274" s="420"/>
      <c r="CD274" s="420"/>
      <c r="CE274" s="420"/>
      <c r="CF274" s="420"/>
      <c r="CG274" s="420"/>
      <c r="CH274" s="420"/>
      <c r="CI274" s="420"/>
      <c r="CJ274" s="420"/>
      <c r="CK274" s="420"/>
      <c r="CL274" s="420"/>
      <c r="CM274" s="420"/>
      <c r="CN274" s="420"/>
      <c r="CO274" s="420"/>
      <c r="CP274" s="420"/>
      <c r="CQ274" s="420"/>
      <c r="CR274" s="420"/>
    </row>
    <row r="275" spans="1:96" s="118" customFormat="1" ht="12.75" x14ac:dyDescent="0.2">
      <c r="A275" s="705">
        <v>269</v>
      </c>
      <c r="B275" s="718" t="s">
        <v>426</v>
      </c>
      <c r="C275" s="719" t="s">
        <v>427</v>
      </c>
      <c r="D275" s="708">
        <v>287227</v>
      </c>
      <c r="E275" s="708">
        <v>80386000</v>
      </c>
      <c r="F275" s="133">
        <v>38583494</v>
      </c>
      <c r="G275" s="133">
        <v>-6707992</v>
      </c>
      <c r="H275" s="133">
        <v>585741</v>
      </c>
      <c r="I275" s="133">
        <v>-6122251</v>
      </c>
      <c r="J275" s="133">
        <v>-2369425</v>
      </c>
      <c r="K275" s="133">
        <v>-171804</v>
      </c>
      <c r="L275" s="133">
        <v>-36124</v>
      </c>
      <c r="M275" s="133">
        <v>0</v>
      </c>
      <c r="N275" s="133">
        <v>-458903</v>
      </c>
      <c r="O275" s="133">
        <v>-30490</v>
      </c>
      <c r="P275" s="133">
        <v>0</v>
      </c>
      <c r="Q275" s="133">
        <v>0</v>
      </c>
      <c r="R275" s="133">
        <v>0</v>
      </c>
      <c r="S275" s="133">
        <v>0</v>
      </c>
      <c r="T275" s="133">
        <v>0</v>
      </c>
      <c r="U275" s="133">
        <v>0</v>
      </c>
      <c r="V275" s="133">
        <v>0</v>
      </c>
      <c r="W275" s="709"/>
      <c r="X275" s="709"/>
      <c r="Y275" s="709"/>
      <c r="Z275" s="133">
        <v>-36124</v>
      </c>
      <c r="AA275" s="133">
        <v>-1500</v>
      </c>
      <c r="AB275" s="133">
        <v>28088918</v>
      </c>
      <c r="AC275" s="133">
        <v>-1820000</v>
      </c>
      <c r="AD275" s="709"/>
      <c r="AE275" s="710">
        <v>256</v>
      </c>
      <c r="AF275" s="711">
        <v>29</v>
      </c>
      <c r="AG275" s="710">
        <v>25</v>
      </c>
      <c r="AH275" s="710">
        <v>0</v>
      </c>
      <c r="AI275" s="710">
        <v>400</v>
      </c>
      <c r="AJ275" s="710">
        <v>19</v>
      </c>
      <c r="AK275" s="710">
        <v>0</v>
      </c>
      <c r="AL275" s="710">
        <v>0</v>
      </c>
      <c r="AM275" s="710">
        <v>0</v>
      </c>
      <c r="AN275" s="710">
        <v>0</v>
      </c>
      <c r="AO275" s="710">
        <v>0</v>
      </c>
      <c r="AP275" s="711">
        <v>0</v>
      </c>
      <c r="AQ275" s="709"/>
      <c r="AR275" s="709"/>
      <c r="AS275" s="720">
        <v>936</v>
      </c>
      <c r="AT275" s="710">
        <v>5532</v>
      </c>
      <c r="AU275" s="710">
        <v>5414</v>
      </c>
      <c r="AV275" s="710">
        <v>118</v>
      </c>
      <c r="AW275" s="710">
        <v>1854</v>
      </c>
      <c r="AX275" s="712">
        <v>8404</v>
      </c>
      <c r="AY275" s="683">
        <v>-13182</v>
      </c>
      <c r="AZ275" s="713">
        <v>1114126</v>
      </c>
      <c r="BA275" s="714">
        <v>2126758</v>
      </c>
      <c r="BB275" s="715">
        <v>2520175</v>
      </c>
      <c r="BC275" s="715">
        <v>0</v>
      </c>
      <c r="BD275" s="716">
        <v>2126759</v>
      </c>
      <c r="BE275" s="420"/>
      <c r="BF275" s="717" t="s">
        <v>427</v>
      </c>
      <c r="BG275" s="118" t="b">
        <v>1</v>
      </c>
      <c r="BH275" s="494"/>
      <c r="BI275" s="420"/>
      <c r="BJ275" s="420"/>
      <c r="BK275" s="420"/>
      <c r="BL275" s="420"/>
      <c r="BM275" s="420"/>
      <c r="BN275" s="420"/>
      <c r="BO275" s="420"/>
      <c r="BP275" s="420"/>
      <c r="BQ275" s="420"/>
      <c r="BR275" s="420"/>
      <c r="BS275" s="420"/>
      <c r="BT275" s="420"/>
      <c r="BU275" s="420"/>
      <c r="BV275" s="420"/>
      <c r="BW275" s="420"/>
      <c r="BX275" s="420"/>
      <c r="BY275" s="420"/>
      <c r="BZ275" s="420"/>
      <c r="CA275" s="420"/>
      <c r="CB275" s="420"/>
      <c r="CC275" s="420"/>
      <c r="CD275" s="420"/>
      <c r="CE275" s="420"/>
      <c r="CF275" s="420"/>
      <c r="CG275" s="420"/>
      <c r="CH275" s="420"/>
      <c r="CI275" s="420"/>
      <c r="CJ275" s="420"/>
      <c r="CK275" s="420"/>
      <c r="CL275" s="420"/>
      <c r="CM275" s="420"/>
      <c r="CN275" s="420"/>
      <c r="CO275" s="420"/>
      <c r="CP275" s="420"/>
      <c r="CQ275" s="420"/>
      <c r="CR275" s="420"/>
    </row>
    <row r="276" spans="1:96" s="118" customFormat="1" ht="12.75" x14ac:dyDescent="0.2">
      <c r="A276" s="705">
        <v>270</v>
      </c>
      <c r="B276" s="718" t="s">
        <v>428</v>
      </c>
      <c r="C276" s="719" t="s">
        <v>429</v>
      </c>
      <c r="D276" s="708">
        <v>186187</v>
      </c>
      <c r="E276" s="708">
        <v>137587000</v>
      </c>
      <c r="F276" s="133">
        <v>67355371</v>
      </c>
      <c r="G276" s="133">
        <v>-4414886</v>
      </c>
      <c r="H276" s="133">
        <v>1248048</v>
      </c>
      <c r="I276" s="133">
        <v>-3166838</v>
      </c>
      <c r="J276" s="133">
        <v>-3166155</v>
      </c>
      <c r="K276" s="133">
        <v>-46601</v>
      </c>
      <c r="L276" s="133">
        <v>-23856</v>
      </c>
      <c r="M276" s="133">
        <v>-44147</v>
      </c>
      <c r="N276" s="133">
        <v>-1666096</v>
      </c>
      <c r="O276" s="133">
        <v>-181753</v>
      </c>
      <c r="P276" s="133">
        <v>-137819</v>
      </c>
      <c r="Q276" s="133">
        <v>-11650</v>
      </c>
      <c r="R276" s="133">
        <v>0</v>
      </c>
      <c r="S276" s="133">
        <v>-56592</v>
      </c>
      <c r="T276" s="133">
        <v>0</v>
      </c>
      <c r="U276" s="133">
        <v>0</v>
      </c>
      <c r="V276" s="133">
        <v>0</v>
      </c>
      <c r="W276" s="709"/>
      <c r="X276" s="709"/>
      <c r="Y276" s="709"/>
      <c r="Z276" s="133">
        <v>-23856</v>
      </c>
      <c r="AA276" s="133">
        <v>-3000</v>
      </c>
      <c r="AB276" s="133">
        <v>57305389</v>
      </c>
      <c r="AC276" s="133">
        <v>-2500000</v>
      </c>
      <c r="AD276" s="709"/>
      <c r="AE276" s="710">
        <v>259</v>
      </c>
      <c r="AF276" s="711">
        <v>7</v>
      </c>
      <c r="AG276" s="710">
        <v>11</v>
      </c>
      <c r="AH276" s="710">
        <v>2</v>
      </c>
      <c r="AI276" s="710">
        <v>261</v>
      </c>
      <c r="AJ276" s="710">
        <v>126</v>
      </c>
      <c r="AK276" s="710">
        <v>24</v>
      </c>
      <c r="AL276" s="710">
        <v>7</v>
      </c>
      <c r="AM276" s="710">
        <v>0</v>
      </c>
      <c r="AN276" s="710">
        <v>6</v>
      </c>
      <c r="AO276" s="710">
        <v>0</v>
      </c>
      <c r="AP276" s="711">
        <v>0</v>
      </c>
      <c r="AQ276" s="709"/>
      <c r="AR276" s="709"/>
      <c r="AS276" s="720">
        <v>973</v>
      </c>
      <c r="AT276" s="710">
        <v>1723</v>
      </c>
      <c r="AU276" s="710">
        <v>1598</v>
      </c>
      <c r="AV276" s="710">
        <v>125</v>
      </c>
      <c r="AW276" s="710">
        <v>1811</v>
      </c>
      <c r="AX276" s="712">
        <v>4507</v>
      </c>
      <c r="AY276" s="683">
        <v>-21467</v>
      </c>
      <c r="AZ276" s="713">
        <v>-143979</v>
      </c>
      <c r="BA276" s="714">
        <v>-2282874</v>
      </c>
      <c r="BB276" s="715">
        <v>21920450</v>
      </c>
      <c r="BC276" s="715">
        <v>0</v>
      </c>
      <c r="BD276" s="716">
        <v>-2282265</v>
      </c>
      <c r="BE276" s="420"/>
      <c r="BF276" s="717" t="s">
        <v>429</v>
      </c>
      <c r="BG276" s="118" t="b">
        <v>1</v>
      </c>
      <c r="BH276" s="494"/>
      <c r="BI276" s="420"/>
      <c r="BJ276" s="420"/>
      <c r="BK276" s="420"/>
      <c r="BL276" s="420"/>
      <c r="BM276" s="420"/>
      <c r="BN276" s="420"/>
      <c r="BO276" s="420"/>
      <c r="BP276" s="420"/>
      <c r="BQ276" s="420"/>
      <c r="BR276" s="420"/>
      <c r="BS276" s="420"/>
      <c r="BT276" s="420"/>
      <c r="BU276" s="420"/>
      <c r="BV276" s="420"/>
      <c r="BW276" s="420"/>
      <c r="BX276" s="420"/>
      <c r="BY276" s="420"/>
      <c r="BZ276" s="420"/>
      <c r="CA276" s="420"/>
      <c r="CB276" s="420"/>
      <c r="CC276" s="420"/>
      <c r="CD276" s="420"/>
      <c r="CE276" s="420"/>
      <c r="CF276" s="420"/>
      <c r="CG276" s="420"/>
      <c r="CH276" s="420"/>
      <c r="CI276" s="420"/>
      <c r="CJ276" s="420"/>
      <c r="CK276" s="420"/>
      <c r="CL276" s="420"/>
      <c r="CM276" s="420"/>
      <c r="CN276" s="420"/>
      <c r="CO276" s="420"/>
      <c r="CP276" s="420"/>
      <c r="CQ276" s="420"/>
      <c r="CR276" s="420"/>
    </row>
    <row r="277" spans="1:96" s="118" customFormat="1" ht="12.75" x14ac:dyDescent="0.2">
      <c r="A277" s="705">
        <v>271</v>
      </c>
      <c r="B277" s="718" t="s">
        <v>430</v>
      </c>
      <c r="C277" s="719" t="s">
        <v>431</v>
      </c>
      <c r="D277" s="708">
        <v>120059</v>
      </c>
      <c r="E277" s="708">
        <v>91699000</v>
      </c>
      <c r="F277" s="133">
        <v>44756309</v>
      </c>
      <c r="G277" s="133">
        <v>-2915613</v>
      </c>
      <c r="H277" s="133">
        <v>857962</v>
      </c>
      <c r="I277" s="133">
        <v>-2057651</v>
      </c>
      <c r="J277" s="133">
        <v>-1321870</v>
      </c>
      <c r="K277" s="133">
        <v>-34897</v>
      </c>
      <c r="L277" s="133">
        <v>0</v>
      </c>
      <c r="M277" s="133">
        <v>0</v>
      </c>
      <c r="N277" s="133">
        <v>-529780</v>
      </c>
      <c r="O277" s="133">
        <v>-68597</v>
      </c>
      <c r="P277" s="133">
        <v>-4510</v>
      </c>
      <c r="Q277" s="133">
        <v>-627</v>
      </c>
      <c r="R277" s="133">
        <v>0</v>
      </c>
      <c r="S277" s="133">
        <v>-5040</v>
      </c>
      <c r="T277" s="133">
        <v>0</v>
      </c>
      <c r="U277" s="133">
        <v>0</v>
      </c>
      <c r="V277" s="133">
        <v>0</v>
      </c>
      <c r="W277" s="709"/>
      <c r="X277" s="709"/>
      <c r="Y277" s="709"/>
      <c r="Z277" s="133">
        <v>-24347</v>
      </c>
      <c r="AA277" s="133">
        <v>0</v>
      </c>
      <c r="AB277" s="133">
        <v>39615808</v>
      </c>
      <c r="AC277" s="133">
        <v>-3435831</v>
      </c>
      <c r="AD277" s="709"/>
      <c r="AE277" s="710">
        <v>146</v>
      </c>
      <c r="AF277" s="711">
        <v>13</v>
      </c>
      <c r="AG277" s="710">
        <v>0</v>
      </c>
      <c r="AH277" s="710">
        <v>0</v>
      </c>
      <c r="AI277" s="710">
        <v>196</v>
      </c>
      <c r="AJ277" s="710">
        <v>70</v>
      </c>
      <c r="AK277" s="710">
        <v>7</v>
      </c>
      <c r="AL277" s="710">
        <v>2</v>
      </c>
      <c r="AM277" s="710">
        <v>0</v>
      </c>
      <c r="AN277" s="710">
        <v>1</v>
      </c>
      <c r="AO277" s="710">
        <v>0</v>
      </c>
      <c r="AP277" s="711">
        <v>0</v>
      </c>
      <c r="AQ277" s="709"/>
      <c r="AR277" s="709"/>
      <c r="AS277" s="720">
        <v>647</v>
      </c>
      <c r="AT277" s="710">
        <v>1178</v>
      </c>
      <c r="AU277" s="710">
        <v>1095</v>
      </c>
      <c r="AV277" s="710">
        <v>83</v>
      </c>
      <c r="AW277" s="710">
        <v>1105</v>
      </c>
      <c r="AX277" s="712">
        <v>2944</v>
      </c>
      <c r="AY277" s="683">
        <v>-4106</v>
      </c>
      <c r="AZ277" s="713">
        <v>846408</v>
      </c>
      <c r="BA277" s="714">
        <v>950693</v>
      </c>
      <c r="BB277" s="715">
        <v>11717925</v>
      </c>
      <c r="BC277" s="715">
        <v>0</v>
      </c>
      <c r="BD277" s="716">
        <v>950693</v>
      </c>
      <c r="BE277" s="420"/>
      <c r="BF277" s="717" t="s">
        <v>431</v>
      </c>
      <c r="BG277" s="118" t="b">
        <v>1</v>
      </c>
      <c r="BH277" s="494"/>
      <c r="BI277" s="420"/>
      <c r="BJ277" s="420"/>
      <c r="BK277" s="420"/>
      <c r="BL277" s="420"/>
      <c r="BM277" s="420"/>
      <c r="BN277" s="420"/>
      <c r="BO277" s="420"/>
      <c r="BP277" s="420"/>
      <c r="BQ277" s="420"/>
      <c r="BR277" s="420"/>
      <c r="BS277" s="420"/>
      <c r="BT277" s="420"/>
      <c r="BU277" s="420"/>
      <c r="BV277" s="420"/>
      <c r="BW277" s="420"/>
      <c r="BX277" s="420"/>
      <c r="BY277" s="420"/>
      <c r="BZ277" s="420"/>
      <c r="CA277" s="420"/>
      <c r="CB277" s="420"/>
      <c r="CC277" s="420"/>
      <c r="CD277" s="420"/>
      <c r="CE277" s="420"/>
      <c r="CF277" s="420"/>
      <c r="CG277" s="420"/>
      <c r="CH277" s="420"/>
      <c r="CI277" s="420"/>
      <c r="CJ277" s="420"/>
      <c r="CK277" s="420"/>
      <c r="CL277" s="420"/>
      <c r="CM277" s="420"/>
      <c r="CN277" s="420"/>
      <c r="CO277" s="420"/>
      <c r="CP277" s="420"/>
      <c r="CQ277" s="420"/>
      <c r="CR277" s="420"/>
    </row>
    <row r="278" spans="1:96" s="118" customFormat="1" ht="12.75" x14ac:dyDescent="0.2">
      <c r="A278" s="705">
        <v>272</v>
      </c>
      <c r="B278" s="718" t="s">
        <v>432</v>
      </c>
      <c r="C278" s="719" t="s">
        <v>433</v>
      </c>
      <c r="D278" s="708">
        <v>197348</v>
      </c>
      <c r="E278" s="708">
        <v>98880000</v>
      </c>
      <c r="F278" s="133">
        <v>47345956</v>
      </c>
      <c r="G278" s="133">
        <v>-6318114</v>
      </c>
      <c r="H278" s="133">
        <v>829242</v>
      </c>
      <c r="I278" s="133">
        <v>-5488872</v>
      </c>
      <c r="J278" s="133">
        <v>-4500251</v>
      </c>
      <c r="K278" s="133">
        <v>-42842</v>
      </c>
      <c r="L278" s="133">
        <v>-4977</v>
      </c>
      <c r="M278" s="133">
        <v>0</v>
      </c>
      <c r="N278" s="133">
        <v>-1447253</v>
      </c>
      <c r="O278" s="133">
        <v>-214358</v>
      </c>
      <c r="P278" s="133">
        <v>-69619</v>
      </c>
      <c r="Q278" s="133">
        <v>-806</v>
      </c>
      <c r="R278" s="133">
        <v>0</v>
      </c>
      <c r="S278" s="133">
        <v>0</v>
      </c>
      <c r="T278" s="133">
        <v>0</v>
      </c>
      <c r="U278" s="133">
        <v>0</v>
      </c>
      <c r="V278" s="133">
        <v>0</v>
      </c>
      <c r="W278" s="709"/>
      <c r="X278" s="709"/>
      <c r="Y278" s="709"/>
      <c r="Z278" s="133">
        <v>-4977</v>
      </c>
      <c r="AA278" s="133">
        <v>-1500</v>
      </c>
      <c r="AB278" s="133">
        <v>34651409</v>
      </c>
      <c r="AC278" s="133">
        <v>-1553105</v>
      </c>
      <c r="AD278" s="709"/>
      <c r="AE278" s="710">
        <v>264</v>
      </c>
      <c r="AF278" s="711">
        <v>13</v>
      </c>
      <c r="AG278" s="710">
        <v>4</v>
      </c>
      <c r="AH278" s="710">
        <v>0</v>
      </c>
      <c r="AI278" s="710">
        <v>406</v>
      </c>
      <c r="AJ278" s="710">
        <v>84</v>
      </c>
      <c r="AK278" s="710">
        <v>10</v>
      </c>
      <c r="AL278" s="710">
        <v>1</v>
      </c>
      <c r="AM278" s="710">
        <v>0</v>
      </c>
      <c r="AN278" s="710">
        <v>0</v>
      </c>
      <c r="AO278" s="710">
        <v>0</v>
      </c>
      <c r="AP278" s="711">
        <v>0</v>
      </c>
      <c r="AQ278" s="709"/>
      <c r="AR278" s="709"/>
      <c r="AS278" s="720">
        <v>1077</v>
      </c>
      <c r="AT278" s="710">
        <v>2704</v>
      </c>
      <c r="AU278" s="710">
        <v>2632</v>
      </c>
      <c r="AV278" s="710">
        <v>72</v>
      </c>
      <c r="AW278" s="710">
        <v>1623</v>
      </c>
      <c r="AX278" s="712">
        <v>5399</v>
      </c>
      <c r="AY278" s="683">
        <v>-41479</v>
      </c>
      <c r="AZ278" s="713">
        <v>724932</v>
      </c>
      <c r="BA278" s="714">
        <v>1729111</v>
      </c>
      <c r="BB278" s="715">
        <v>11569925</v>
      </c>
      <c r="BC278" s="715">
        <v>0</v>
      </c>
      <c r="BD278" s="716">
        <v>1729112</v>
      </c>
      <c r="BE278" s="420"/>
      <c r="BF278" s="717" t="s">
        <v>433</v>
      </c>
      <c r="BG278" s="118" t="b">
        <v>1</v>
      </c>
      <c r="BH278" s="494"/>
      <c r="BI278" s="420"/>
      <c r="BJ278" s="420"/>
      <c r="BK278" s="420"/>
      <c r="BL278" s="420"/>
      <c r="BM278" s="420"/>
      <c r="BN278" s="420"/>
      <c r="BO278" s="420"/>
      <c r="BP278" s="420"/>
      <c r="BQ278" s="420"/>
      <c r="BR278" s="420"/>
      <c r="BS278" s="420"/>
      <c r="BT278" s="420"/>
      <c r="BU278" s="420"/>
      <c r="BV278" s="420"/>
      <c r="BW278" s="420"/>
      <c r="BX278" s="420"/>
      <c r="BY278" s="420"/>
      <c r="BZ278" s="420"/>
      <c r="CA278" s="420"/>
      <c r="CB278" s="420"/>
      <c r="CC278" s="420"/>
      <c r="CD278" s="420"/>
      <c r="CE278" s="420"/>
      <c r="CF278" s="420"/>
      <c r="CG278" s="420"/>
      <c r="CH278" s="420"/>
      <c r="CI278" s="420"/>
      <c r="CJ278" s="420"/>
      <c r="CK278" s="420"/>
      <c r="CL278" s="420"/>
      <c r="CM278" s="420"/>
      <c r="CN278" s="420"/>
      <c r="CO278" s="420"/>
      <c r="CP278" s="420"/>
      <c r="CQ278" s="420"/>
      <c r="CR278" s="420"/>
    </row>
    <row r="279" spans="1:96" s="118" customFormat="1" ht="12.75" x14ac:dyDescent="0.2">
      <c r="A279" s="705">
        <v>273</v>
      </c>
      <c r="B279" s="718" t="s">
        <v>434</v>
      </c>
      <c r="C279" s="719" t="s">
        <v>435</v>
      </c>
      <c r="D279" s="708">
        <v>91808</v>
      </c>
      <c r="E279" s="708">
        <v>71379000</v>
      </c>
      <c r="F279" s="133">
        <v>34866218</v>
      </c>
      <c r="G279" s="133">
        <v>-1786844</v>
      </c>
      <c r="H279" s="133">
        <v>647426</v>
      </c>
      <c r="I279" s="133">
        <v>-1139418</v>
      </c>
      <c r="J279" s="133">
        <v>-2704726</v>
      </c>
      <c r="K279" s="133">
        <v>-31651</v>
      </c>
      <c r="L279" s="133">
        <v>-2066</v>
      </c>
      <c r="M279" s="133">
        <v>0</v>
      </c>
      <c r="N279" s="133">
        <v>-838627</v>
      </c>
      <c r="O279" s="133">
        <v>-11763</v>
      </c>
      <c r="P279" s="133">
        <v>-182196</v>
      </c>
      <c r="Q279" s="133">
        <v>0</v>
      </c>
      <c r="R279" s="133">
        <v>-2066</v>
      </c>
      <c r="S279" s="133">
        <v>0</v>
      </c>
      <c r="T279" s="133">
        <v>0</v>
      </c>
      <c r="U279" s="133">
        <v>0</v>
      </c>
      <c r="V279" s="133">
        <v>0</v>
      </c>
      <c r="W279" s="709"/>
      <c r="X279" s="709"/>
      <c r="Y279" s="709"/>
      <c r="Z279" s="133">
        <v>-2066</v>
      </c>
      <c r="AA279" s="133">
        <v>0</v>
      </c>
      <c r="AB279" s="133">
        <v>29194771</v>
      </c>
      <c r="AC279" s="133">
        <v>-470440</v>
      </c>
      <c r="AD279" s="709"/>
      <c r="AE279" s="710">
        <v>156</v>
      </c>
      <c r="AF279" s="711">
        <v>6</v>
      </c>
      <c r="AG279" s="710">
        <v>2</v>
      </c>
      <c r="AH279" s="710">
        <v>1</v>
      </c>
      <c r="AI279" s="710">
        <v>266</v>
      </c>
      <c r="AJ279" s="710">
        <v>90</v>
      </c>
      <c r="AK279" s="710">
        <v>1</v>
      </c>
      <c r="AL279" s="710">
        <v>0</v>
      </c>
      <c r="AM279" s="710">
        <v>2</v>
      </c>
      <c r="AN279" s="710">
        <v>0</v>
      </c>
      <c r="AO279" s="710">
        <v>0</v>
      </c>
      <c r="AP279" s="711">
        <v>0</v>
      </c>
      <c r="AQ279" s="709"/>
      <c r="AR279" s="709"/>
      <c r="AS279" s="720">
        <v>520</v>
      </c>
      <c r="AT279" s="710">
        <v>542</v>
      </c>
      <c r="AU279" s="710">
        <v>467</v>
      </c>
      <c r="AV279" s="710">
        <v>75</v>
      </c>
      <c r="AW279" s="710">
        <v>1041</v>
      </c>
      <c r="AX279" s="712">
        <v>2071</v>
      </c>
      <c r="AY279" s="683">
        <v>-17371</v>
      </c>
      <c r="AZ279" s="713">
        <v>-2896731</v>
      </c>
      <c r="BA279" s="714">
        <v>-1578219</v>
      </c>
      <c r="BB279" s="715">
        <v>12082750</v>
      </c>
      <c r="BC279" s="715">
        <v>0</v>
      </c>
      <c r="BD279" s="716">
        <v>-1580218</v>
      </c>
      <c r="BE279" s="420"/>
      <c r="BF279" s="717" t="s">
        <v>435</v>
      </c>
      <c r="BG279" s="118" t="b">
        <v>1</v>
      </c>
      <c r="BH279" s="494"/>
      <c r="BI279" s="420"/>
      <c r="BJ279" s="420"/>
      <c r="BK279" s="420"/>
      <c r="BL279" s="420"/>
      <c r="BM279" s="420"/>
      <c r="BN279" s="420"/>
      <c r="BO279" s="420"/>
      <c r="BP279" s="420"/>
      <c r="BQ279" s="420"/>
      <c r="BR279" s="420"/>
      <c r="BS279" s="420"/>
      <c r="BT279" s="420"/>
      <c r="BU279" s="420"/>
      <c r="BV279" s="420"/>
      <c r="BW279" s="420"/>
      <c r="BX279" s="420"/>
      <c r="BY279" s="420"/>
      <c r="BZ279" s="420"/>
      <c r="CA279" s="420"/>
      <c r="CB279" s="420"/>
      <c r="CC279" s="420"/>
      <c r="CD279" s="420"/>
      <c r="CE279" s="420"/>
      <c r="CF279" s="420"/>
      <c r="CG279" s="420"/>
      <c r="CH279" s="420"/>
      <c r="CI279" s="420"/>
      <c r="CJ279" s="420"/>
      <c r="CK279" s="420"/>
      <c r="CL279" s="420"/>
      <c r="CM279" s="420"/>
      <c r="CN279" s="420"/>
      <c r="CO279" s="420"/>
      <c r="CP279" s="420"/>
      <c r="CQ279" s="420"/>
      <c r="CR279" s="420"/>
    </row>
    <row r="280" spans="1:96" s="118" customFormat="1" ht="12.75" x14ac:dyDescent="0.2">
      <c r="A280" s="705">
        <v>274</v>
      </c>
      <c r="B280" s="718" t="s">
        <v>569</v>
      </c>
      <c r="C280" s="719" t="s">
        <v>437</v>
      </c>
      <c r="D280" s="708">
        <v>229087</v>
      </c>
      <c r="E280" s="708">
        <v>278425000</v>
      </c>
      <c r="F280" s="133">
        <v>134854400</v>
      </c>
      <c r="G280" s="133">
        <v>-4065639</v>
      </c>
      <c r="H280" s="133">
        <v>3086294</v>
      </c>
      <c r="I280" s="133">
        <v>-979345</v>
      </c>
      <c r="J280" s="133">
        <v>-4415000</v>
      </c>
      <c r="K280" s="133">
        <v>-42507</v>
      </c>
      <c r="L280" s="133">
        <v>0</v>
      </c>
      <c r="M280" s="133">
        <v>-183000</v>
      </c>
      <c r="N280" s="133">
        <v>-4552182</v>
      </c>
      <c r="O280" s="133">
        <v>-44744</v>
      </c>
      <c r="P280" s="133">
        <v>-28416</v>
      </c>
      <c r="Q280" s="133">
        <v>-1000</v>
      </c>
      <c r="R280" s="133">
        <v>0</v>
      </c>
      <c r="S280" s="133">
        <v>0</v>
      </c>
      <c r="T280" s="133">
        <v>0</v>
      </c>
      <c r="U280" s="133">
        <v>0</v>
      </c>
      <c r="V280" s="133">
        <v>0</v>
      </c>
      <c r="W280" s="709"/>
      <c r="X280" s="709"/>
      <c r="Y280" s="709"/>
      <c r="Z280" s="133">
        <v>0</v>
      </c>
      <c r="AA280" s="133">
        <v>0</v>
      </c>
      <c r="AB280" s="133">
        <v>124526743</v>
      </c>
      <c r="AC280" s="133">
        <v>-4566642</v>
      </c>
      <c r="AD280" s="709"/>
      <c r="AE280" s="710">
        <v>190</v>
      </c>
      <c r="AF280" s="711">
        <v>9</v>
      </c>
      <c r="AG280" s="710">
        <v>0</v>
      </c>
      <c r="AH280" s="710">
        <v>0</v>
      </c>
      <c r="AI280" s="710">
        <v>383</v>
      </c>
      <c r="AJ280" s="710">
        <v>102</v>
      </c>
      <c r="AK280" s="710">
        <v>12</v>
      </c>
      <c r="AL280" s="710">
        <v>8</v>
      </c>
      <c r="AM280" s="710">
        <v>0</v>
      </c>
      <c r="AN280" s="710">
        <v>0</v>
      </c>
      <c r="AO280" s="710">
        <v>0</v>
      </c>
      <c r="AP280" s="711">
        <v>0</v>
      </c>
      <c r="AQ280" s="709"/>
      <c r="AR280" s="709"/>
      <c r="AS280" s="720">
        <v>1289</v>
      </c>
      <c r="AT280" s="710">
        <v>1425</v>
      </c>
      <c r="AU280" s="710">
        <v>869</v>
      </c>
      <c r="AV280" s="710">
        <v>556</v>
      </c>
      <c r="AW280" s="710">
        <v>1486</v>
      </c>
      <c r="AX280" s="712">
        <v>4345</v>
      </c>
      <c r="AY280" s="683">
        <v>-8888</v>
      </c>
      <c r="AZ280" s="713">
        <v>217143</v>
      </c>
      <c r="BA280" s="714">
        <v>3820925</v>
      </c>
      <c r="BB280" s="715">
        <v>18675650</v>
      </c>
      <c r="BC280" s="715">
        <v>0</v>
      </c>
      <c r="BD280" s="716">
        <v>3811335</v>
      </c>
      <c r="BE280" s="420"/>
      <c r="BF280" s="717" t="s">
        <v>437</v>
      </c>
      <c r="BG280" s="118" t="b">
        <v>1</v>
      </c>
      <c r="BH280" s="494"/>
      <c r="BI280" s="420"/>
      <c r="BJ280" s="420"/>
      <c r="BK280" s="420"/>
      <c r="BL280" s="420"/>
      <c r="BM280" s="420"/>
      <c r="BN280" s="420"/>
      <c r="BO280" s="420"/>
      <c r="BP280" s="420"/>
      <c r="BQ280" s="420"/>
      <c r="BR280" s="420"/>
      <c r="BS280" s="420"/>
      <c r="BT280" s="420"/>
      <c r="BU280" s="420"/>
      <c r="BV280" s="420"/>
      <c r="BW280" s="420"/>
      <c r="BX280" s="420"/>
      <c r="BY280" s="420"/>
      <c r="BZ280" s="420"/>
      <c r="CA280" s="420"/>
      <c r="CB280" s="420"/>
      <c r="CC280" s="420"/>
      <c r="CD280" s="420"/>
      <c r="CE280" s="420"/>
      <c r="CF280" s="420"/>
      <c r="CG280" s="420"/>
      <c r="CH280" s="420"/>
      <c r="CI280" s="420"/>
      <c r="CJ280" s="420"/>
      <c r="CK280" s="420"/>
      <c r="CL280" s="420"/>
      <c r="CM280" s="420"/>
      <c r="CN280" s="420"/>
      <c r="CO280" s="420"/>
      <c r="CP280" s="420"/>
      <c r="CQ280" s="420"/>
      <c r="CR280" s="420"/>
    </row>
    <row r="281" spans="1:96" s="118" customFormat="1" ht="12.75" x14ac:dyDescent="0.2">
      <c r="A281" s="705">
        <v>275</v>
      </c>
      <c r="B281" s="718" t="s">
        <v>438</v>
      </c>
      <c r="C281" s="719" t="s">
        <v>439</v>
      </c>
      <c r="D281" s="708">
        <v>157389</v>
      </c>
      <c r="E281" s="708">
        <v>142341000</v>
      </c>
      <c r="F281" s="133">
        <v>68769385</v>
      </c>
      <c r="G281" s="133">
        <v>-3068478</v>
      </c>
      <c r="H281" s="133">
        <v>1481927</v>
      </c>
      <c r="I281" s="133">
        <v>-1586551</v>
      </c>
      <c r="J281" s="133">
        <v>-5296314</v>
      </c>
      <c r="K281" s="133">
        <v>-69915</v>
      </c>
      <c r="L281" s="133">
        <v>-7104</v>
      </c>
      <c r="M281" s="133">
        <v>-25574</v>
      </c>
      <c r="N281" s="133">
        <v>-2189332</v>
      </c>
      <c r="O281" s="133">
        <v>-133343</v>
      </c>
      <c r="P281" s="133">
        <v>-48144</v>
      </c>
      <c r="Q281" s="133">
        <v>-14747</v>
      </c>
      <c r="R281" s="133">
        <v>-7104</v>
      </c>
      <c r="S281" s="133">
        <v>-8838</v>
      </c>
      <c r="T281" s="133">
        <v>0</v>
      </c>
      <c r="U281" s="133">
        <v>0</v>
      </c>
      <c r="V281" s="133">
        <v>0</v>
      </c>
      <c r="W281" s="709"/>
      <c r="X281" s="709"/>
      <c r="Y281" s="709"/>
      <c r="Z281" s="133">
        <v>0</v>
      </c>
      <c r="AA281" s="133">
        <v>0</v>
      </c>
      <c r="AB281" s="133">
        <v>58455557</v>
      </c>
      <c r="AC281" s="133">
        <v>-2441986</v>
      </c>
      <c r="AD281" s="709"/>
      <c r="AE281" s="710">
        <v>207</v>
      </c>
      <c r="AF281" s="711">
        <v>22</v>
      </c>
      <c r="AG281" s="710">
        <v>4</v>
      </c>
      <c r="AH281" s="710">
        <v>5</v>
      </c>
      <c r="AI281" s="710">
        <v>314</v>
      </c>
      <c r="AJ281" s="710">
        <v>48</v>
      </c>
      <c r="AK281" s="710">
        <v>5</v>
      </c>
      <c r="AL281" s="710">
        <v>20</v>
      </c>
      <c r="AM281" s="710">
        <v>4</v>
      </c>
      <c r="AN281" s="710">
        <v>2</v>
      </c>
      <c r="AO281" s="710">
        <v>0</v>
      </c>
      <c r="AP281" s="711">
        <v>0</v>
      </c>
      <c r="AQ281" s="709"/>
      <c r="AR281" s="709"/>
      <c r="AS281" s="720">
        <v>1155</v>
      </c>
      <c r="AT281" s="710">
        <v>1083</v>
      </c>
      <c r="AU281" s="710">
        <v>991</v>
      </c>
      <c r="AV281" s="710">
        <v>92</v>
      </c>
      <c r="AW281" s="710">
        <v>1498</v>
      </c>
      <c r="AX281" s="712">
        <v>3707</v>
      </c>
      <c r="AY281" s="683">
        <v>-25340</v>
      </c>
      <c r="AZ281" s="713">
        <v>2172722</v>
      </c>
      <c r="BA281" s="714">
        <v>2731233</v>
      </c>
      <c r="BB281" s="715">
        <v>18636750</v>
      </c>
      <c r="BC281" s="715">
        <v>0</v>
      </c>
      <c r="BD281" s="716">
        <v>2731248</v>
      </c>
      <c r="BE281" s="420"/>
      <c r="BF281" s="717" t="s">
        <v>439</v>
      </c>
      <c r="BG281" s="118" t="b">
        <v>1</v>
      </c>
      <c r="BH281" s="494"/>
      <c r="BI281" s="420"/>
      <c r="BJ281" s="420"/>
      <c r="BK281" s="420"/>
      <c r="BL281" s="420"/>
      <c r="BM281" s="420"/>
      <c r="BN281" s="420"/>
      <c r="BO281" s="420"/>
      <c r="BP281" s="420"/>
      <c r="BQ281" s="420"/>
      <c r="BR281" s="420"/>
      <c r="BS281" s="420"/>
      <c r="BT281" s="420"/>
      <c r="BU281" s="420"/>
      <c r="BV281" s="420"/>
      <c r="BW281" s="420"/>
      <c r="BX281" s="420"/>
      <c r="BY281" s="420"/>
      <c r="BZ281" s="420"/>
      <c r="CA281" s="420"/>
      <c r="CB281" s="420"/>
      <c r="CC281" s="420"/>
      <c r="CD281" s="420"/>
      <c r="CE281" s="420"/>
      <c r="CF281" s="420"/>
      <c r="CG281" s="420"/>
      <c r="CH281" s="420"/>
      <c r="CI281" s="420"/>
      <c r="CJ281" s="420"/>
      <c r="CK281" s="420"/>
      <c r="CL281" s="420"/>
      <c r="CM281" s="420"/>
      <c r="CN281" s="420"/>
      <c r="CO281" s="420"/>
      <c r="CP281" s="420"/>
      <c r="CQ281" s="420"/>
      <c r="CR281" s="420"/>
    </row>
    <row r="282" spans="1:96" s="118" customFormat="1" ht="12.75" x14ac:dyDescent="0.2">
      <c r="A282" s="705">
        <v>276</v>
      </c>
      <c r="B282" s="718" t="s">
        <v>559</v>
      </c>
      <c r="C282" s="719" t="s">
        <v>441</v>
      </c>
      <c r="D282" s="708">
        <v>196359</v>
      </c>
      <c r="E282" s="708">
        <v>93678000</v>
      </c>
      <c r="F282" s="133">
        <v>45718923</v>
      </c>
      <c r="G282" s="133">
        <v>-6957457</v>
      </c>
      <c r="H282" s="133">
        <v>718305.63</v>
      </c>
      <c r="I282" s="133">
        <v>-6239151.3700000001</v>
      </c>
      <c r="J282" s="133">
        <v>-3797660.71</v>
      </c>
      <c r="K282" s="133">
        <v>-122753.48</v>
      </c>
      <c r="L282" s="133">
        <v>0</v>
      </c>
      <c r="M282" s="133">
        <v>0</v>
      </c>
      <c r="N282" s="133">
        <v>-747966</v>
      </c>
      <c r="O282" s="133">
        <v>-95378.31</v>
      </c>
      <c r="P282" s="133">
        <v>-421050.87</v>
      </c>
      <c r="Q282" s="133">
        <v>-567</v>
      </c>
      <c r="R282" s="133">
        <v>0</v>
      </c>
      <c r="S282" s="133">
        <v>0</v>
      </c>
      <c r="T282" s="133">
        <v>0</v>
      </c>
      <c r="U282" s="133">
        <v>0</v>
      </c>
      <c r="V282" s="133">
        <v>0</v>
      </c>
      <c r="W282" s="709"/>
      <c r="X282" s="709"/>
      <c r="Y282" s="709"/>
      <c r="Z282" s="133">
        <v>0</v>
      </c>
      <c r="AA282" s="133">
        <v>-1500</v>
      </c>
      <c r="AB282" s="133">
        <v>33473201.539999999</v>
      </c>
      <c r="AC282" s="133">
        <v>-2148789</v>
      </c>
      <c r="AD282" s="709"/>
      <c r="AE282" s="710">
        <v>229</v>
      </c>
      <c r="AF282" s="711">
        <v>27</v>
      </c>
      <c r="AG282" s="710">
        <v>0</v>
      </c>
      <c r="AH282" s="710">
        <v>0</v>
      </c>
      <c r="AI282" s="710">
        <v>353</v>
      </c>
      <c r="AJ282" s="710">
        <v>82</v>
      </c>
      <c r="AK282" s="710">
        <v>56</v>
      </c>
      <c r="AL282" s="710">
        <v>2</v>
      </c>
      <c r="AM282" s="710">
        <v>0</v>
      </c>
      <c r="AN282" s="710">
        <v>0</v>
      </c>
      <c r="AO282" s="710">
        <v>0</v>
      </c>
      <c r="AP282" s="711">
        <v>0</v>
      </c>
      <c r="AQ282" s="709"/>
      <c r="AR282" s="709"/>
      <c r="AS282" s="720">
        <v>1037</v>
      </c>
      <c r="AT282" s="710">
        <v>2703</v>
      </c>
      <c r="AU282" s="710">
        <v>2592</v>
      </c>
      <c r="AV282" s="710">
        <v>111</v>
      </c>
      <c r="AW282" s="710">
        <v>1674</v>
      </c>
      <c r="AX282" s="712">
        <v>5458</v>
      </c>
      <c r="AY282" s="683">
        <v>-5750</v>
      </c>
      <c r="AZ282" s="713">
        <v>-225705</v>
      </c>
      <c r="BA282" s="714">
        <v>-745646</v>
      </c>
      <c r="BB282" s="715">
        <v>15386800</v>
      </c>
      <c r="BC282" s="715">
        <v>0</v>
      </c>
      <c r="BD282" s="716">
        <v>-745637.89999999851</v>
      </c>
      <c r="BE282" s="420"/>
      <c r="BF282" s="717" t="s">
        <v>441</v>
      </c>
      <c r="BG282" s="118" t="b">
        <v>1</v>
      </c>
      <c r="BH282" s="494"/>
      <c r="BI282" s="420"/>
      <c r="BJ282" s="420"/>
      <c r="BK282" s="420"/>
      <c r="BL282" s="420"/>
      <c r="BM282" s="420"/>
      <c r="BN282" s="420"/>
      <c r="BO282" s="420"/>
      <c r="BP282" s="420"/>
      <c r="BQ282" s="420"/>
      <c r="BR282" s="420"/>
      <c r="BS282" s="420"/>
      <c r="BT282" s="420"/>
      <c r="BU282" s="420"/>
      <c r="BV282" s="420"/>
      <c r="BW282" s="420"/>
      <c r="BX282" s="420"/>
      <c r="BY282" s="420"/>
      <c r="BZ282" s="420"/>
      <c r="CA282" s="420"/>
      <c r="CB282" s="420"/>
      <c r="CC282" s="420"/>
      <c r="CD282" s="420"/>
      <c r="CE282" s="420"/>
      <c r="CF282" s="420"/>
      <c r="CG282" s="420"/>
      <c r="CH282" s="420"/>
      <c r="CI282" s="420"/>
      <c r="CJ282" s="420"/>
      <c r="CK282" s="420"/>
      <c r="CL282" s="420"/>
      <c r="CM282" s="420"/>
      <c r="CN282" s="420"/>
      <c r="CO282" s="420"/>
      <c r="CP282" s="420"/>
      <c r="CQ282" s="420"/>
      <c r="CR282" s="420"/>
    </row>
    <row r="283" spans="1:96" s="118" customFormat="1" ht="12.75" x14ac:dyDescent="0.2">
      <c r="A283" s="705">
        <v>277</v>
      </c>
      <c r="B283" s="718" t="s">
        <v>442</v>
      </c>
      <c r="C283" s="719" t="s">
        <v>443</v>
      </c>
      <c r="D283" s="708">
        <v>134231</v>
      </c>
      <c r="E283" s="708">
        <v>39825000</v>
      </c>
      <c r="F283" s="133">
        <v>18939577</v>
      </c>
      <c r="G283" s="133">
        <v>-4376769</v>
      </c>
      <c r="H283" s="133">
        <v>222088</v>
      </c>
      <c r="I283" s="133">
        <v>-4154681</v>
      </c>
      <c r="J283" s="133">
        <v>-1493043</v>
      </c>
      <c r="K283" s="133">
        <v>-28008</v>
      </c>
      <c r="L283" s="133">
        <v>-48537</v>
      </c>
      <c r="M283" s="133">
        <v>0</v>
      </c>
      <c r="N283" s="133">
        <v>-315632</v>
      </c>
      <c r="O283" s="133">
        <v>-103863</v>
      </c>
      <c r="P283" s="133">
        <v>-6100</v>
      </c>
      <c r="Q283" s="133">
        <v>-3536</v>
      </c>
      <c r="R283" s="133">
        <v>-12839</v>
      </c>
      <c r="S283" s="133">
        <v>0</v>
      </c>
      <c r="T283" s="133">
        <v>0</v>
      </c>
      <c r="U283" s="133">
        <v>0</v>
      </c>
      <c r="V283" s="133">
        <v>0</v>
      </c>
      <c r="W283" s="709"/>
      <c r="X283" s="709"/>
      <c r="Y283" s="709"/>
      <c r="Z283" s="133">
        <v>-51831</v>
      </c>
      <c r="AA283" s="133">
        <v>0</v>
      </c>
      <c r="AB283" s="133">
        <v>11810442</v>
      </c>
      <c r="AC283" s="133">
        <v>-109204</v>
      </c>
      <c r="AD283" s="709"/>
      <c r="AE283" s="710">
        <v>211</v>
      </c>
      <c r="AF283" s="711">
        <v>11</v>
      </c>
      <c r="AG283" s="710">
        <v>39</v>
      </c>
      <c r="AH283" s="710">
        <v>0</v>
      </c>
      <c r="AI283" s="710">
        <v>180</v>
      </c>
      <c r="AJ283" s="710">
        <v>139</v>
      </c>
      <c r="AK283" s="710">
        <v>2</v>
      </c>
      <c r="AL283" s="710">
        <v>7</v>
      </c>
      <c r="AM283" s="710">
        <v>0</v>
      </c>
      <c r="AN283" s="710">
        <v>4</v>
      </c>
      <c r="AO283" s="710">
        <v>0</v>
      </c>
      <c r="AP283" s="711">
        <v>0</v>
      </c>
      <c r="AQ283" s="709"/>
      <c r="AR283" s="709"/>
      <c r="AS283" s="720">
        <v>570</v>
      </c>
      <c r="AT283" s="710">
        <v>2263</v>
      </c>
      <c r="AU283" s="710">
        <v>2211</v>
      </c>
      <c r="AV283" s="710">
        <v>52</v>
      </c>
      <c r="AW283" s="710">
        <v>1040</v>
      </c>
      <c r="AX283" s="712">
        <v>3958</v>
      </c>
      <c r="AY283" s="683">
        <v>-33220</v>
      </c>
      <c r="AZ283" s="713">
        <v>710944</v>
      </c>
      <c r="BA283" s="714">
        <v>768432</v>
      </c>
      <c r="BB283" s="715">
        <v>6937100</v>
      </c>
      <c r="BC283" s="715">
        <v>0</v>
      </c>
      <c r="BD283" s="716">
        <v>686147.80000000075</v>
      </c>
      <c r="BE283" s="420"/>
      <c r="BF283" s="717" t="s">
        <v>443</v>
      </c>
      <c r="BG283" s="118" t="b">
        <v>1</v>
      </c>
      <c r="BH283" s="494"/>
      <c r="BI283" s="420"/>
      <c r="BJ283" s="420"/>
      <c r="BK283" s="420"/>
      <c r="BL283" s="420"/>
      <c r="BM283" s="420"/>
      <c r="BN283" s="420"/>
      <c r="BO283" s="420"/>
      <c r="BP283" s="420"/>
      <c r="BQ283" s="420"/>
      <c r="BR283" s="420"/>
      <c r="BS283" s="420"/>
      <c r="BT283" s="420"/>
      <c r="BU283" s="420"/>
      <c r="BV283" s="420"/>
      <c r="BW283" s="420"/>
      <c r="BX283" s="420"/>
      <c r="BY283" s="420"/>
      <c r="BZ283" s="420"/>
      <c r="CA283" s="420"/>
      <c r="CB283" s="420"/>
      <c r="CC283" s="420"/>
      <c r="CD283" s="420"/>
      <c r="CE283" s="420"/>
      <c r="CF283" s="420"/>
      <c r="CG283" s="420"/>
      <c r="CH283" s="420"/>
      <c r="CI283" s="420"/>
      <c r="CJ283" s="420"/>
      <c r="CK283" s="420"/>
      <c r="CL283" s="420"/>
      <c r="CM283" s="420"/>
      <c r="CN283" s="420"/>
      <c r="CO283" s="420"/>
      <c r="CP283" s="420"/>
      <c r="CQ283" s="420"/>
      <c r="CR283" s="420"/>
    </row>
    <row r="284" spans="1:96" s="118" customFormat="1" ht="12.75" x14ac:dyDescent="0.2">
      <c r="A284" s="705">
        <v>278</v>
      </c>
      <c r="B284" s="718" t="s">
        <v>444</v>
      </c>
      <c r="C284" s="719" t="s">
        <v>445</v>
      </c>
      <c r="D284" s="708">
        <v>1031240</v>
      </c>
      <c r="E284" s="708">
        <v>1035968000</v>
      </c>
      <c r="F284" s="133">
        <v>517405765</v>
      </c>
      <c r="G284" s="133">
        <v>-10031695</v>
      </c>
      <c r="H284" s="133">
        <v>13565690</v>
      </c>
      <c r="I284" s="133">
        <v>3533995</v>
      </c>
      <c r="J284" s="133">
        <v>-18995232</v>
      </c>
      <c r="K284" s="133">
        <v>0</v>
      </c>
      <c r="L284" s="133">
        <v>0</v>
      </c>
      <c r="M284" s="133">
        <v>-100000</v>
      </c>
      <c r="N284" s="133">
        <v>-14740754</v>
      </c>
      <c r="O284" s="133">
        <v>-531380</v>
      </c>
      <c r="P284" s="133">
        <v>-513401</v>
      </c>
      <c r="Q284" s="133">
        <v>0</v>
      </c>
      <c r="R284" s="133">
        <v>0</v>
      </c>
      <c r="S284" s="133">
        <v>0</v>
      </c>
      <c r="T284" s="133">
        <v>0</v>
      </c>
      <c r="U284" s="133">
        <v>0</v>
      </c>
      <c r="V284" s="133">
        <v>0</v>
      </c>
      <c r="W284" s="709"/>
      <c r="X284" s="709"/>
      <c r="Y284" s="709"/>
      <c r="Z284" s="133">
        <v>0</v>
      </c>
      <c r="AA284" s="133">
        <v>0</v>
      </c>
      <c r="AB284" s="133">
        <v>471641496</v>
      </c>
      <c r="AC284" s="133">
        <v>-10000000</v>
      </c>
      <c r="AD284" s="709"/>
      <c r="AE284" s="710">
        <v>632</v>
      </c>
      <c r="AF284" s="711">
        <v>0</v>
      </c>
      <c r="AG284" s="710">
        <v>0</v>
      </c>
      <c r="AH284" s="710">
        <v>0</v>
      </c>
      <c r="AI284" s="710">
        <v>1916</v>
      </c>
      <c r="AJ284" s="710">
        <v>103</v>
      </c>
      <c r="AK284" s="710">
        <v>101</v>
      </c>
      <c r="AL284" s="710">
        <v>0</v>
      </c>
      <c r="AM284" s="710">
        <v>0</v>
      </c>
      <c r="AN284" s="710">
        <v>0</v>
      </c>
      <c r="AO284" s="710">
        <v>0</v>
      </c>
      <c r="AP284" s="711">
        <v>0</v>
      </c>
      <c r="AQ284" s="709"/>
      <c r="AR284" s="709"/>
      <c r="AS284" s="720">
        <v>5204</v>
      </c>
      <c r="AT284" s="710">
        <v>3759</v>
      </c>
      <c r="AU284" s="710">
        <v>3265</v>
      </c>
      <c r="AV284" s="710">
        <v>494</v>
      </c>
      <c r="AW284" s="710">
        <v>8176</v>
      </c>
      <c r="AX284" s="712">
        <v>17542</v>
      </c>
      <c r="AY284" s="683">
        <v>-599367</v>
      </c>
      <c r="AZ284" s="713">
        <v>935055</v>
      </c>
      <c r="BA284" s="714">
        <v>-17060316</v>
      </c>
      <c r="BB284" s="715">
        <v>54127525</v>
      </c>
      <c r="BC284" s="715">
        <v>0</v>
      </c>
      <c r="BD284" s="716">
        <v>-17060318</v>
      </c>
      <c r="BE284" s="420"/>
      <c r="BF284" s="717" t="s">
        <v>445</v>
      </c>
      <c r="BG284" s="118" t="b">
        <v>1</v>
      </c>
      <c r="BH284" s="494"/>
      <c r="BI284" s="420"/>
      <c r="BJ284" s="420"/>
      <c r="BK284" s="420"/>
      <c r="BL284" s="420"/>
      <c r="BM284" s="420"/>
      <c r="BN284" s="420"/>
      <c r="BO284" s="420"/>
      <c r="BP284" s="420"/>
      <c r="BQ284" s="420"/>
      <c r="BR284" s="420"/>
      <c r="BS284" s="420"/>
      <c r="BT284" s="420"/>
      <c r="BU284" s="420"/>
      <c r="BV284" s="420"/>
      <c r="BW284" s="420"/>
      <c r="BX284" s="420"/>
      <c r="BY284" s="420"/>
      <c r="BZ284" s="420"/>
      <c r="CA284" s="420"/>
      <c r="CB284" s="420"/>
      <c r="CC284" s="420"/>
      <c r="CD284" s="420"/>
      <c r="CE284" s="420"/>
      <c r="CF284" s="420"/>
      <c r="CG284" s="420"/>
      <c r="CH284" s="420"/>
      <c r="CI284" s="420"/>
      <c r="CJ284" s="420"/>
      <c r="CK284" s="420"/>
      <c r="CL284" s="420"/>
      <c r="CM284" s="420"/>
      <c r="CN284" s="420"/>
      <c r="CO284" s="420"/>
      <c r="CP284" s="420"/>
      <c r="CQ284" s="420"/>
      <c r="CR284" s="420"/>
    </row>
    <row r="285" spans="1:96" s="118" customFormat="1" ht="12.75" x14ac:dyDescent="0.2">
      <c r="A285" s="705">
        <v>279</v>
      </c>
      <c r="B285" s="718" t="s">
        <v>446</v>
      </c>
      <c r="C285" s="719" t="s">
        <v>447</v>
      </c>
      <c r="D285" s="708">
        <v>460092</v>
      </c>
      <c r="E285" s="708">
        <v>373418000</v>
      </c>
      <c r="F285" s="133">
        <v>184114380</v>
      </c>
      <c r="G285" s="133">
        <v>-8416181</v>
      </c>
      <c r="H285" s="133">
        <v>3902598.97</v>
      </c>
      <c r="I285" s="133">
        <v>-4513582.0299999993</v>
      </c>
      <c r="J285" s="133">
        <v>-5096633.12</v>
      </c>
      <c r="K285" s="133">
        <v>-60379.199999999997</v>
      </c>
      <c r="L285" s="133">
        <v>-642.6</v>
      </c>
      <c r="M285" s="133">
        <v>0</v>
      </c>
      <c r="N285" s="133">
        <v>-2471352</v>
      </c>
      <c r="O285" s="133">
        <v>-51243.93</v>
      </c>
      <c r="P285" s="133">
        <v>-794664.81</v>
      </c>
      <c r="Q285" s="133">
        <v>-10987.2</v>
      </c>
      <c r="R285" s="133">
        <v>-642.6</v>
      </c>
      <c r="S285" s="133">
        <v>0</v>
      </c>
      <c r="T285" s="133">
        <v>0</v>
      </c>
      <c r="U285" s="133">
        <v>0</v>
      </c>
      <c r="V285" s="133">
        <v>0</v>
      </c>
      <c r="W285" s="709"/>
      <c r="X285" s="709"/>
      <c r="Y285" s="709"/>
      <c r="Z285" s="133">
        <v>0</v>
      </c>
      <c r="AA285" s="133">
        <v>0</v>
      </c>
      <c r="AB285" s="133">
        <v>166949124.35000002</v>
      </c>
      <c r="AC285" s="133">
        <v>-7367500</v>
      </c>
      <c r="AD285" s="709"/>
      <c r="AE285" s="710">
        <v>305</v>
      </c>
      <c r="AF285" s="711">
        <v>8</v>
      </c>
      <c r="AG285" s="710">
        <v>1</v>
      </c>
      <c r="AH285" s="710">
        <v>0</v>
      </c>
      <c r="AI285" s="710">
        <v>1200</v>
      </c>
      <c r="AJ285" s="710">
        <v>38</v>
      </c>
      <c r="AK285" s="710">
        <v>72</v>
      </c>
      <c r="AL285" s="710">
        <v>7</v>
      </c>
      <c r="AM285" s="710">
        <v>1</v>
      </c>
      <c r="AN285" s="710">
        <v>0</v>
      </c>
      <c r="AO285" s="710">
        <v>0</v>
      </c>
      <c r="AP285" s="711">
        <v>0</v>
      </c>
      <c r="AQ285" s="709"/>
      <c r="AR285" s="709"/>
      <c r="AS285" s="720">
        <v>2842</v>
      </c>
      <c r="AT285" s="710">
        <v>2826</v>
      </c>
      <c r="AU285" s="710">
        <v>2583</v>
      </c>
      <c r="AV285" s="710">
        <v>243</v>
      </c>
      <c r="AW285" s="710">
        <v>4181</v>
      </c>
      <c r="AX285" s="712">
        <v>11104</v>
      </c>
      <c r="AY285" s="683">
        <v>-17606</v>
      </c>
      <c r="AZ285" s="713">
        <v>-351819</v>
      </c>
      <c r="BA285" s="714">
        <v>142147</v>
      </c>
      <c r="BB285" s="715">
        <v>39155250</v>
      </c>
      <c r="BC285" s="715">
        <v>0</v>
      </c>
      <c r="BD285" s="716">
        <v>142148</v>
      </c>
      <c r="BE285" s="420"/>
      <c r="BF285" s="717" t="s">
        <v>447</v>
      </c>
      <c r="BG285" s="118" t="b">
        <v>1</v>
      </c>
      <c r="BH285" s="494"/>
      <c r="BI285" s="420"/>
      <c r="BJ285" s="420"/>
      <c r="BK285" s="420"/>
      <c r="BL285" s="420"/>
      <c r="BM285" s="420"/>
      <c r="BN285" s="420"/>
      <c r="BO285" s="420"/>
      <c r="BP285" s="420"/>
      <c r="BQ285" s="420"/>
      <c r="BR285" s="420"/>
      <c r="BS285" s="420"/>
      <c r="BT285" s="420"/>
      <c r="BU285" s="420"/>
      <c r="BV285" s="420"/>
      <c r="BW285" s="420"/>
      <c r="BX285" s="420"/>
      <c r="BY285" s="420"/>
      <c r="BZ285" s="420"/>
      <c r="CA285" s="420"/>
      <c r="CB285" s="420"/>
      <c r="CC285" s="420"/>
      <c r="CD285" s="420"/>
      <c r="CE285" s="420"/>
      <c r="CF285" s="420"/>
      <c r="CG285" s="420"/>
      <c r="CH285" s="420"/>
      <c r="CI285" s="420"/>
      <c r="CJ285" s="420"/>
      <c r="CK285" s="420"/>
      <c r="CL285" s="420"/>
      <c r="CM285" s="420"/>
      <c r="CN285" s="420"/>
      <c r="CO285" s="420"/>
      <c r="CP285" s="420"/>
      <c r="CQ285" s="420"/>
      <c r="CR285" s="420"/>
    </row>
    <row r="286" spans="1:96" s="118" customFormat="1" ht="12.75" x14ac:dyDescent="0.2">
      <c r="A286" s="705">
        <v>280</v>
      </c>
      <c r="B286" s="718" t="s">
        <v>448</v>
      </c>
      <c r="C286" s="719" t="s">
        <v>449</v>
      </c>
      <c r="D286" s="708">
        <v>168139</v>
      </c>
      <c r="E286" s="708">
        <v>136464000</v>
      </c>
      <c r="F286" s="133">
        <v>66635535</v>
      </c>
      <c r="G286" s="133">
        <v>-4049624</v>
      </c>
      <c r="H286" s="133">
        <v>1272876</v>
      </c>
      <c r="I286" s="133">
        <v>-2776748</v>
      </c>
      <c r="J286" s="133">
        <v>-4920128</v>
      </c>
      <c r="K286" s="133">
        <v>-25775</v>
      </c>
      <c r="L286" s="133">
        <v>-7600</v>
      </c>
      <c r="M286" s="133">
        <v>0</v>
      </c>
      <c r="N286" s="133">
        <v>-1754546</v>
      </c>
      <c r="O286" s="133">
        <v>-26929</v>
      </c>
      <c r="P286" s="133">
        <v>-38683</v>
      </c>
      <c r="Q286" s="133">
        <v>-1111</v>
      </c>
      <c r="R286" s="133">
        <v>-7600</v>
      </c>
      <c r="S286" s="133">
        <v>-26177</v>
      </c>
      <c r="T286" s="133">
        <v>0</v>
      </c>
      <c r="U286" s="133">
        <v>0</v>
      </c>
      <c r="V286" s="133">
        <v>0</v>
      </c>
      <c r="W286" s="709"/>
      <c r="X286" s="709"/>
      <c r="Y286" s="709"/>
      <c r="Z286" s="133">
        <v>0</v>
      </c>
      <c r="AA286" s="133">
        <v>-1500</v>
      </c>
      <c r="AB286" s="133">
        <v>55050045</v>
      </c>
      <c r="AC286" s="133">
        <v>-2702000</v>
      </c>
      <c r="AD286" s="709"/>
      <c r="AE286" s="710">
        <v>191</v>
      </c>
      <c r="AF286" s="711">
        <v>5</v>
      </c>
      <c r="AG286" s="710">
        <v>5</v>
      </c>
      <c r="AH286" s="710">
        <v>0</v>
      </c>
      <c r="AI286" s="710">
        <v>256</v>
      </c>
      <c r="AJ286" s="710">
        <v>40</v>
      </c>
      <c r="AK286" s="710">
        <v>4</v>
      </c>
      <c r="AL286" s="710">
        <v>2</v>
      </c>
      <c r="AM286" s="710">
        <v>6</v>
      </c>
      <c r="AN286" s="710">
        <v>4</v>
      </c>
      <c r="AO286" s="710">
        <v>0</v>
      </c>
      <c r="AP286" s="711">
        <v>0</v>
      </c>
      <c r="AQ286" s="709"/>
      <c r="AR286" s="709"/>
      <c r="AS286" s="720">
        <v>1003</v>
      </c>
      <c r="AT286" s="710">
        <v>1418</v>
      </c>
      <c r="AU286" s="710">
        <v>1317</v>
      </c>
      <c r="AV286" s="710">
        <v>101</v>
      </c>
      <c r="AW286" s="710">
        <v>1675</v>
      </c>
      <c r="AX286" s="712">
        <v>4111</v>
      </c>
      <c r="AY286" s="683">
        <v>-51823</v>
      </c>
      <c r="AZ286" s="713">
        <v>-1251566.0700000003</v>
      </c>
      <c r="BA286" s="714">
        <v>-338801.0700000003</v>
      </c>
      <c r="BB286" s="715">
        <v>21503550</v>
      </c>
      <c r="BC286" s="715">
        <v>0</v>
      </c>
      <c r="BD286" s="716">
        <v>-160192.5700000003</v>
      </c>
      <c r="BE286" s="420"/>
      <c r="BF286" s="717" t="s">
        <v>449</v>
      </c>
      <c r="BG286" s="118" t="b">
        <v>1</v>
      </c>
      <c r="BH286" s="494"/>
      <c r="BI286" s="420"/>
      <c r="BJ286" s="420"/>
      <c r="BK286" s="420"/>
      <c r="BL286" s="420"/>
      <c r="BM286" s="420"/>
      <c r="BN286" s="420"/>
      <c r="BO286" s="420"/>
      <c r="BP286" s="420"/>
      <c r="BQ286" s="420"/>
      <c r="BR286" s="420"/>
      <c r="BS286" s="420"/>
      <c r="BT286" s="420"/>
      <c r="BU286" s="420"/>
      <c r="BV286" s="420"/>
      <c r="BW286" s="420"/>
      <c r="BX286" s="420"/>
      <c r="BY286" s="420"/>
      <c r="BZ286" s="420"/>
      <c r="CA286" s="420"/>
      <c r="CB286" s="420"/>
      <c r="CC286" s="420"/>
      <c r="CD286" s="420"/>
      <c r="CE286" s="420"/>
      <c r="CF286" s="420"/>
      <c r="CG286" s="420"/>
      <c r="CH286" s="420"/>
      <c r="CI286" s="420"/>
      <c r="CJ286" s="420"/>
      <c r="CK286" s="420"/>
      <c r="CL286" s="420"/>
      <c r="CM286" s="420"/>
      <c r="CN286" s="420"/>
      <c r="CO286" s="420"/>
      <c r="CP286" s="420"/>
      <c r="CQ286" s="420"/>
      <c r="CR286" s="420"/>
    </row>
    <row r="287" spans="1:96" s="118" customFormat="1" ht="12.75" x14ac:dyDescent="0.2">
      <c r="A287" s="705">
        <v>281</v>
      </c>
      <c r="B287" s="718" t="s">
        <v>450</v>
      </c>
      <c r="C287" s="719" t="s">
        <v>451</v>
      </c>
      <c r="D287" s="708">
        <v>138878</v>
      </c>
      <c r="E287" s="708">
        <v>107129000</v>
      </c>
      <c r="F287" s="133">
        <v>52283585</v>
      </c>
      <c r="G287" s="133">
        <v>-3505668</v>
      </c>
      <c r="H287" s="133">
        <v>1006526</v>
      </c>
      <c r="I287" s="133">
        <v>-2499142</v>
      </c>
      <c r="J287" s="133">
        <v>-2069902</v>
      </c>
      <c r="K287" s="133">
        <v>-16471</v>
      </c>
      <c r="L287" s="133">
        <v>-32568</v>
      </c>
      <c r="M287" s="133">
        <v>-100000</v>
      </c>
      <c r="N287" s="133">
        <v>-686328</v>
      </c>
      <c r="O287" s="133">
        <v>-55628</v>
      </c>
      <c r="P287" s="133">
        <v>-128789</v>
      </c>
      <c r="Q287" s="133">
        <v>-171</v>
      </c>
      <c r="R287" s="133">
        <v>-32568</v>
      </c>
      <c r="S287" s="133">
        <v>-69794</v>
      </c>
      <c r="T287" s="133">
        <v>-40508</v>
      </c>
      <c r="U287" s="133">
        <v>0</v>
      </c>
      <c r="V287" s="133">
        <v>0</v>
      </c>
      <c r="W287" s="709"/>
      <c r="X287" s="709"/>
      <c r="Y287" s="709"/>
      <c r="Z287" s="133">
        <v>-32568</v>
      </c>
      <c r="AA287" s="133">
        <v>-1500</v>
      </c>
      <c r="AB287" s="133">
        <v>45519786</v>
      </c>
      <c r="AC287" s="133">
        <v>-1447167</v>
      </c>
      <c r="AD287" s="709"/>
      <c r="AE287" s="710">
        <v>167</v>
      </c>
      <c r="AF287" s="711">
        <v>4</v>
      </c>
      <c r="AG287" s="710">
        <v>21</v>
      </c>
      <c r="AH287" s="710">
        <v>0</v>
      </c>
      <c r="AI287" s="710">
        <v>260</v>
      </c>
      <c r="AJ287" s="710">
        <v>75</v>
      </c>
      <c r="AK287" s="710">
        <v>70</v>
      </c>
      <c r="AL287" s="710">
        <v>1</v>
      </c>
      <c r="AM287" s="710">
        <v>21</v>
      </c>
      <c r="AN287" s="710">
        <v>12</v>
      </c>
      <c r="AO287" s="710">
        <v>0</v>
      </c>
      <c r="AP287" s="711">
        <v>5</v>
      </c>
      <c r="AQ287" s="709"/>
      <c r="AR287" s="709"/>
      <c r="AS287" s="720">
        <v>807</v>
      </c>
      <c r="AT287" s="710">
        <v>1340</v>
      </c>
      <c r="AU287" s="710">
        <v>1219</v>
      </c>
      <c r="AV287" s="710">
        <v>121</v>
      </c>
      <c r="AW287" s="710">
        <v>1236</v>
      </c>
      <c r="AX287" s="712">
        <v>3424</v>
      </c>
      <c r="AY287" s="683">
        <v>-138962</v>
      </c>
      <c r="AZ287" s="713">
        <v>2629179</v>
      </c>
      <c r="BA287" s="714">
        <v>2939182</v>
      </c>
      <c r="BB287" s="715">
        <v>14024100</v>
      </c>
      <c r="BC287" s="715">
        <v>0</v>
      </c>
      <c r="BD287" s="716">
        <v>2939180</v>
      </c>
      <c r="BE287" s="420"/>
      <c r="BF287" s="717" t="s">
        <v>451</v>
      </c>
      <c r="BG287" s="118" t="b">
        <v>1</v>
      </c>
      <c r="BH287" s="494"/>
      <c r="BI287" s="420"/>
      <c r="BJ287" s="420"/>
      <c r="BK287" s="420"/>
      <c r="BL287" s="420"/>
      <c r="BM287" s="420"/>
      <c r="BN287" s="420"/>
      <c r="BO287" s="420"/>
      <c r="BP287" s="420"/>
      <c r="BQ287" s="420"/>
      <c r="BR287" s="420"/>
      <c r="BS287" s="420"/>
      <c r="BT287" s="420"/>
      <c r="BU287" s="420"/>
      <c r="BV287" s="420"/>
      <c r="BW287" s="420"/>
      <c r="BX287" s="420"/>
      <c r="BY287" s="420"/>
      <c r="BZ287" s="420"/>
      <c r="CA287" s="420"/>
      <c r="CB287" s="420"/>
      <c r="CC287" s="420"/>
      <c r="CD287" s="420"/>
      <c r="CE287" s="420"/>
      <c r="CF287" s="420"/>
      <c r="CG287" s="420"/>
      <c r="CH287" s="420"/>
      <c r="CI287" s="420"/>
      <c r="CJ287" s="420"/>
      <c r="CK287" s="420"/>
      <c r="CL287" s="420"/>
      <c r="CM287" s="420"/>
      <c r="CN287" s="420"/>
      <c r="CO287" s="420"/>
      <c r="CP287" s="420"/>
      <c r="CQ287" s="420"/>
      <c r="CR287" s="420"/>
    </row>
    <row r="288" spans="1:96" s="118" customFormat="1" ht="12.75" x14ac:dyDescent="0.2">
      <c r="A288" s="705">
        <v>282</v>
      </c>
      <c r="B288" s="718" t="s">
        <v>452</v>
      </c>
      <c r="C288" s="719" t="s">
        <v>453</v>
      </c>
      <c r="D288" s="708">
        <v>171458</v>
      </c>
      <c r="E288" s="708">
        <v>146382000</v>
      </c>
      <c r="F288" s="133">
        <v>70906431</v>
      </c>
      <c r="G288" s="133">
        <v>-2757789</v>
      </c>
      <c r="H288" s="133">
        <v>1466227</v>
      </c>
      <c r="I288" s="133">
        <v>-1291562</v>
      </c>
      <c r="J288" s="133">
        <v>-8046466</v>
      </c>
      <c r="K288" s="133">
        <v>-103784</v>
      </c>
      <c r="L288" s="133">
        <v>-25024</v>
      </c>
      <c r="M288" s="133">
        <v>0</v>
      </c>
      <c r="N288" s="133">
        <v>-1076564</v>
      </c>
      <c r="O288" s="133">
        <v>-168265</v>
      </c>
      <c r="P288" s="133">
        <v>-6189</v>
      </c>
      <c r="Q288" s="133">
        <v>-6486</v>
      </c>
      <c r="R288" s="133">
        <v>0</v>
      </c>
      <c r="S288" s="133">
        <v>0</v>
      </c>
      <c r="T288" s="133">
        <v>-610735</v>
      </c>
      <c r="U288" s="133">
        <v>-610735</v>
      </c>
      <c r="V288" s="133">
        <v>0</v>
      </c>
      <c r="W288" s="709"/>
      <c r="X288" s="709"/>
      <c r="Y288" s="709"/>
      <c r="Z288" s="133">
        <v>-25024</v>
      </c>
      <c r="AA288" s="133">
        <v>0</v>
      </c>
      <c r="AB288" s="133">
        <v>62020733</v>
      </c>
      <c r="AC288" s="133">
        <v>-3101038</v>
      </c>
      <c r="AD288" s="709"/>
      <c r="AE288" s="710">
        <v>267</v>
      </c>
      <c r="AF288" s="711">
        <v>30</v>
      </c>
      <c r="AG288" s="710">
        <v>22</v>
      </c>
      <c r="AH288" s="710">
        <v>0</v>
      </c>
      <c r="AI288" s="710">
        <v>433</v>
      </c>
      <c r="AJ288" s="710">
        <v>115</v>
      </c>
      <c r="AK288" s="710">
        <v>3</v>
      </c>
      <c r="AL288" s="710">
        <v>30</v>
      </c>
      <c r="AM288" s="710">
        <v>0</v>
      </c>
      <c r="AN288" s="710">
        <v>0</v>
      </c>
      <c r="AO288" s="710">
        <v>27</v>
      </c>
      <c r="AP288" s="711">
        <v>0</v>
      </c>
      <c r="AQ288" s="709"/>
      <c r="AR288" s="709"/>
      <c r="AS288" s="720">
        <v>1161</v>
      </c>
      <c r="AT288" s="710">
        <v>963</v>
      </c>
      <c r="AU288" s="710">
        <v>875</v>
      </c>
      <c r="AV288" s="710">
        <v>88</v>
      </c>
      <c r="AW288" s="710">
        <v>1707</v>
      </c>
      <c r="AX288" s="712">
        <v>3882</v>
      </c>
      <c r="AY288" s="683">
        <v>-31680</v>
      </c>
      <c r="AZ288" s="713">
        <v>-1489413</v>
      </c>
      <c r="BA288" s="714">
        <v>-1725351</v>
      </c>
      <c r="BB288" s="715">
        <v>17062750</v>
      </c>
      <c r="BC288" s="715">
        <v>639000</v>
      </c>
      <c r="BD288" s="716">
        <v>-1725349.5999999968</v>
      </c>
      <c r="BE288" s="420"/>
      <c r="BF288" s="717" t="s">
        <v>453</v>
      </c>
      <c r="BG288" s="118" t="b">
        <v>1</v>
      </c>
      <c r="BH288" s="494"/>
      <c r="BI288" s="420"/>
      <c r="BJ288" s="420"/>
      <c r="BK288" s="420"/>
      <c r="BL288" s="420"/>
      <c r="BM288" s="420"/>
      <c r="BN288" s="420"/>
      <c r="BO288" s="420"/>
      <c r="BP288" s="420"/>
      <c r="BQ288" s="420"/>
      <c r="BR288" s="420"/>
      <c r="BS288" s="420"/>
      <c r="BT288" s="420"/>
      <c r="BU288" s="420"/>
      <c r="BV288" s="420"/>
      <c r="BW288" s="420"/>
      <c r="BX288" s="420"/>
      <c r="BY288" s="420"/>
      <c r="BZ288" s="420"/>
      <c r="CA288" s="420"/>
      <c r="CB288" s="420"/>
      <c r="CC288" s="420"/>
      <c r="CD288" s="420"/>
      <c r="CE288" s="420"/>
      <c r="CF288" s="420"/>
      <c r="CG288" s="420"/>
      <c r="CH288" s="420"/>
      <c r="CI288" s="420"/>
      <c r="CJ288" s="420"/>
      <c r="CK288" s="420"/>
      <c r="CL288" s="420"/>
      <c r="CM288" s="420"/>
      <c r="CN288" s="420"/>
      <c r="CO288" s="420"/>
      <c r="CP288" s="420"/>
      <c r="CQ288" s="420"/>
      <c r="CR288" s="420"/>
    </row>
    <row r="289" spans="1:97" s="118" customFormat="1" ht="12.75" x14ac:dyDescent="0.2">
      <c r="A289" s="705">
        <v>283</v>
      </c>
      <c r="B289" s="718" t="s">
        <v>454</v>
      </c>
      <c r="C289" s="719" t="s">
        <v>455</v>
      </c>
      <c r="D289" s="708">
        <v>461465</v>
      </c>
      <c r="E289" s="708">
        <v>326569000</v>
      </c>
      <c r="F289" s="133">
        <v>160854025</v>
      </c>
      <c r="G289" s="133">
        <v>-12717262</v>
      </c>
      <c r="H289" s="133">
        <v>2987628</v>
      </c>
      <c r="I289" s="133">
        <v>-9729634</v>
      </c>
      <c r="J289" s="133">
        <v>-7963776</v>
      </c>
      <c r="K289" s="133">
        <v>-93592</v>
      </c>
      <c r="L289" s="133">
        <v>-13306</v>
      </c>
      <c r="M289" s="133">
        <v>-500000</v>
      </c>
      <c r="N289" s="133">
        <v>-5200000</v>
      </c>
      <c r="O289" s="133">
        <v>-658508</v>
      </c>
      <c r="P289" s="133">
        <v>-527683</v>
      </c>
      <c r="Q289" s="133">
        <v>-11806</v>
      </c>
      <c r="R289" s="133">
        <v>0</v>
      </c>
      <c r="S289" s="133">
        <v>0</v>
      </c>
      <c r="T289" s="133">
        <v>-71326</v>
      </c>
      <c r="U289" s="133">
        <v>-71326</v>
      </c>
      <c r="V289" s="133">
        <v>0</v>
      </c>
      <c r="W289" s="709"/>
      <c r="X289" s="709"/>
      <c r="Y289" s="709"/>
      <c r="Z289" s="133">
        <v>0</v>
      </c>
      <c r="AA289" s="133">
        <v>-1500</v>
      </c>
      <c r="AB289" s="133">
        <v>134425253</v>
      </c>
      <c r="AC289" s="133">
        <v>-3000000</v>
      </c>
      <c r="AD289" s="709"/>
      <c r="AE289" s="710">
        <v>448</v>
      </c>
      <c r="AF289" s="711">
        <v>9</v>
      </c>
      <c r="AG289" s="710">
        <v>8</v>
      </c>
      <c r="AH289" s="710">
        <v>0</v>
      </c>
      <c r="AI289" s="710">
        <v>769</v>
      </c>
      <c r="AJ289" s="710">
        <v>215</v>
      </c>
      <c r="AK289" s="710">
        <v>86</v>
      </c>
      <c r="AL289" s="710">
        <v>8</v>
      </c>
      <c r="AM289" s="710">
        <v>0</v>
      </c>
      <c r="AN289" s="710">
        <v>0</v>
      </c>
      <c r="AO289" s="710">
        <v>2</v>
      </c>
      <c r="AP289" s="711">
        <v>0</v>
      </c>
      <c r="AQ289" s="709"/>
      <c r="AR289" s="709"/>
      <c r="AS289" s="720">
        <v>1049</v>
      </c>
      <c r="AT289" s="710">
        <v>4805</v>
      </c>
      <c r="AU289" s="710">
        <v>4516</v>
      </c>
      <c r="AV289" s="710">
        <v>289</v>
      </c>
      <c r="AW289" s="710">
        <v>5256</v>
      </c>
      <c r="AX289" s="712">
        <v>11750</v>
      </c>
      <c r="AY289" s="683">
        <v>-74945</v>
      </c>
      <c r="AZ289" s="713">
        <v>7722924</v>
      </c>
      <c r="BA289" s="714">
        <v>8149085</v>
      </c>
      <c r="BB289" s="715">
        <v>46938450</v>
      </c>
      <c r="BC289" s="715">
        <v>33250</v>
      </c>
      <c r="BD289" s="716">
        <v>8149084</v>
      </c>
      <c r="BE289" s="420"/>
      <c r="BF289" s="717" t="s">
        <v>455</v>
      </c>
      <c r="BG289" s="118" t="b">
        <v>1</v>
      </c>
      <c r="BH289" s="494"/>
      <c r="BI289" s="420"/>
      <c r="BJ289" s="420"/>
      <c r="BK289" s="420"/>
      <c r="BL289" s="420"/>
      <c r="BM289" s="420"/>
      <c r="BN289" s="420"/>
      <c r="BO289" s="420"/>
      <c r="BP289" s="420"/>
      <c r="BQ289" s="420"/>
      <c r="BR289" s="420"/>
      <c r="BS289" s="420"/>
      <c r="BT289" s="420"/>
      <c r="BU289" s="420"/>
      <c r="BV289" s="420"/>
      <c r="BW289" s="420"/>
      <c r="BX289" s="420"/>
      <c r="BY289" s="420"/>
      <c r="BZ289" s="420"/>
      <c r="CA289" s="420"/>
      <c r="CB289" s="420"/>
      <c r="CC289" s="420"/>
      <c r="CD289" s="420"/>
      <c r="CE289" s="420"/>
      <c r="CF289" s="420"/>
      <c r="CG289" s="420"/>
      <c r="CH289" s="420"/>
      <c r="CI289" s="420"/>
      <c r="CJ289" s="420"/>
      <c r="CK289" s="420"/>
      <c r="CL289" s="420"/>
      <c r="CM289" s="420"/>
      <c r="CN289" s="420"/>
      <c r="CO289" s="420"/>
      <c r="CP289" s="420"/>
      <c r="CQ289" s="420"/>
      <c r="CR289" s="420"/>
    </row>
    <row r="290" spans="1:97" s="118" customFormat="1" ht="12.75" x14ac:dyDescent="0.2">
      <c r="A290" s="705">
        <v>284</v>
      </c>
      <c r="B290" s="718" t="s">
        <v>456</v>
      </c>
      <c r="C290" s="719" t="s">
        <v>457</v>
      </c>
      <c r="D290" s="708">
        <v>327254</v>
      </c>
      <c r="E290" s="708">
        <v>190171000</v>
      </c>
      <c r="F290" s="133">
        <v>93780644</v>
      </c>
      <c r="G290" s="133">
        <v>-9683814</v>
      </c>
      <c r="H290" s="133">
        <v>1695925</v>
      </c>
      <c r="I290" s="133">
        <v>-7987889</v>
      </c>
      <c r="J290" s="133">
        <v>-5651092</v>
      </c>
      <c r="K290" s="133">
        <v>-54004</v>
      </c>
      <c r="L290" s="133">
        <v>0</v>
      </c>
      <c r="M290" s="133">
        <v>0</v>
      </c>
      <c r="N290" s="133">
        <v>-1685213</v>
      </c>
      <c r="O290" s="133">
        <v>-140447</v>
      </c>
      <c r="P290" s="133">
        <v>-27344</v>
      </c>
      <c r="Q290" s="133">
        <v>-3556</v>
      </c>
      <c r="R290" s="133">
        <v>0</v>
      </c>
      <c r="S290" s="133">
        <v>0</v>
      </c>
      <c r="T290" s="133">
        <v>-18044</v>
      </c>
      <c r="U290" s="133">
        <v>-18044</v>
      </c>
      <c r="V290" s="133">
        <v>0</v>
      </c>
      <c r="W290" s="709"/>
      <c r="X290" s="709"/>
      <c r="Y290" s="709"/>
      <c r="Z290" s="133">
        <v>0</v>
      </c>
      <c r="AA290" s="133">
        <v>0</v>
      </c>
      <c r="AB290" s="133">
        <v>75869831</v>
      </c>
      <c r="AC290" s="133">
        <v>-2152263</v>
      </c>
      <c r="AD290" s="709"/>
      <c r="AE290" s="710">
        <v>387</v>
      </c>
      <c r="AF290" s="711">
        <v>12</v>
      </c>
      <c r="AG290" s="710">
        <v>0</v>
      </c>
      <c r="AH290" s="710">
        <v>2</v>
      </c>
      <c r="AI290" s="710">
        <v>680</v>
      </c>
      <c r="AJ290" s="710">
        <v>156</v>
      </c>
      <c r="AK290" s="710">
        <v>9</v>
      </c>
      <c r="AL290" s="710">
        <v>9</v>
      </c>
      <c r="AM290" s="710">
        <v>0</v>
      </c>
      <c r="AN290" s="710">
        <v>0</v>
      </c>
      <c r="AO290" s="710">
        <v>1</v>
      </c>
      <c r="AP290" s="711">
        <v>0</v>
      </c>
      <c r="AQ290" s="709"/>
      <c r="AR290" s="709"/>
      <c r="AS290" s="720">
        <v>2085</v>
      </c>
      <c r="AT290" s="710">
        <v>3561</v>
      </c>
      <c r="AU290" s="710">
        <v>3390</v>
      </c>
      <c r="AV290" s="710">
        <v>171</v>
      </c>
      <c r="AW290" s="710">
        <v>2753</v>
      </c>
      <c r="AX290" s="712">
        <v>8644</v>
      </c>
      <c r="AY290" s="683">
        <v>-24320</v>
      </c>
      <c r="AZ290" s="713">
        <v>-747769</v>
      </c>
      <c r="BA290" s="714">
        <v>-949623</v>
      </c>
      <c r="BB290" s="715">
        <v>25592750</v>
      </c>
      <c r="BC290" s="715">
        <v>78750</v>
      </c>
      <c r="BD290" s="716">
        <v>-949623</v>
      </c>
      <c r="BE290" s="420"/>
      <c r="BF290" s="717" t="s">
        <v>457</v>
      </c>
      <c r="BG290" s="118" t="b">
        <v>1</v>
      </c>
      <c r="BH290" s="494"/>
      <c r="BI290" s="420"/>
      <c r="BJ290" s="420"/>
      <c r="BK290" s="420"/>
      <c r="BL290" s="420"/>
      <c r="BM290" s="420"/>
      <c r="BN290" s="420"/>
      <c r="BO290" s="420"/>
      <c r="BP290" s="420"/>
      <c r="BQ290" s="420"/>
      <c r="BR290" s="420"/>
      <c r="BS290" s="420"/>
      <c r="BT290" s="420"/>
      <c r="BU290" s="420"/>
      <c r="BV290" s="420"/>
      <c r="BW290" s="420"/>
      <c r="BX290" s="420"/>
      <c r="BY290" s="420"/>
      <c r="BZ290" s="420"/>
      <c r="CA290" s="420"/>
      <c r="CB290" s="420"/>
      <c r="CC290" s="420"/>
      <c r="CD290" s="420"/>
      <c r="CE290" s="420"/>
      <c r="CF290" s="420"/>
      <c r="CG290" s="420"/>
      <c r="CH290" s="420"/>
      <c r="CI290" s="420"/>
      <c r="CJ290" s="420"/>
      <c r="CK290" s="420"/>
      <c r="CL290" s="420"/>
      <c r="CM290" s="420"/>
      <c r="CN290" s="420"/>
      <c r="CO290" s="420"/>
      <c r="CP290" s="420"/>
      <c r="CQ290" s="420"/>
      <c r="CR290" s="420"/>
    </row>
    <row r="291" spans="1:97" s="118" customFormat="1" ht="12.75" x14ac:dyDescent="0.2">
      <c r="A291" s="705">
        <v>285</v>
      </c>
      <c r="B291" s="718" t="s">
        <v>458</v>
      </c>
      <c r="C291" s="719" t="s">
        <v>459</v>
      </c>
      <c r="D291" s="708">
        <v>284128</v>
      </c>
      <c r="E291" s="708">
        <v>178380000</v>
      </c>
      <c r="F291" s="133">
        <v>87318220</v>
      </c>
      <c r="G291" s="133">
        <v>-8617798</v>
      </c>
      <c r="H291" s="133">
        <v>1471046</v>
      </c>
      <c r="I291" s="133">
        <v>-7146752</v>
      </c>
      <c r="J291" s="133">
        <v>-6833935</v>
      </c>
      <c r="K291" s="133">
        <v>-69108</v>
      </c>
      <c r="L291" s="133">
        <v>0</v>
      </c>
      <c r="M291" s="133">
        <v>-25000</v>
      </c>
      <c r="N291" s="133">
        <v>-1061656</v>
      </c>
      <c r="O291" s="133">
        <v>-235556</v>
      </c>
      <c r="P291" s="133">
        <v>-219921</v>
      </c>
      <c r="Q291" s="133">
        <v>-6469</v>
      </c>
      <c r="R291" s="133">
        <v>0</v>
      </c>
      <c r="S291" s="133">
        <v>0</v>
      </c>
      <c r="T291" s="133">
        <v>0</v>
      </c>
      <c r="U291" s="133">
        <v>0</v>
      </c>
      <c r="V291" s="133">
        <v>0</v>
      </c>
      <c r="W291" s="709"/>
      <c r="X291" s="709"/>
      <c r="Y291" s="709"/>
      <c r="Z291" s="133">
        <v>0</v>
      </c>
      <c r="AA291" s="133">
        <v>0</v>
      </c>
      <c r="AB291" s="133">
        <v>64921483</v>
      </c>
      <c r="AC291" s="133">
        <v>-2030839</v>
      </c>
      <c r="AD291" s="709"/>
      <c r="AE291" s="710">
        <v>250</v>
      </c>
      <c r="AF291" s="711">
        <v>10</v>
      </c>
      <c r="AG291" s="710">
        <v>0</v>
      </c>
      <c r="AH291" s="710">
        <v>0</v>
      </c>
      <c r="AI291" s="710">
        <v>364</v>
      </c>
      <c r="AJ291" s="710">
        <v>37</v>
      </c>
      <c r="AK291" s="710">
        <v>11</v>
      </c>
      <c r="AL291" s="710">
        <v>4</v>
      </c>
      <c r="AM291" s="710">
        <v>0</v>
      </c>
      <c r="AN291" s="710">
        <v>0</v>
      </c>
      <c r="AO291" s="710">
        <v>0</v>
      </c>
      <c r="AP291" s="711">
        <v>0</v>
      </c>
      <c r="AQ291" s="709"/>
      <c r="AR291" s="709"/>
      <c r="AS291" s="720">
        <v>1494</v>
      </c>
      <c r="AT291" s="710">
        <v>2599</v>
      </c>
      <c r="AU291" s="710">
        <v>2175</v>
      </c>
      <c r="AV291" s="710">
        <v>424</v>
      </c>
      <c r="AW291" s="710">
        <v>2632</v>
      </c>
      <c r="AX291" s="712">
        <v>6848</v>
      </c>
      <c r="AY291" s="683">
        <v>-260047</v>
      </c>
      <c r="AZ291" s="713">
        <v>212432</v>
      </c>
      <c r="BA291" s="714">
        <v>370930</v>
      </c>
      <c r="BB291" s="715">
        <v>19409750</v>
      </c>
      <c r="BC291" s="715">
        <v>0</v>
      </c>
      <c r="BD291" s="716">
        <v>254249</v>
      </c>
      <c r="BE291" s="420"/>
      <c r="BF291" s="717" t="s">
        <v>459</v>
      </c>
      <c r="BG291" s="118" t="b">
        <v>1</v>
      </c>
      <c r="BH291" s="494"/>
      <c r="BI291" s="420"/>
      <c r="BJ291" s="420"/>
      <c r="BK291" s="420"/>
      <c r="BL291" s="420"/>
      <c r="BM291" s="420"/>
      <c r="BN291" s="420"/>
      <c r="BO291" s="420"/>
      <c r="BP291" s="420"/>
      <c r="BQ291" s="420"/>
      <c r="BR291" s="420"/>
      <c r="BS291" s="420"/>
      <c r="BT291" s="420"/>
      <c r="BU291" s="420"/>
      <c r="BV291" s="420"/>
      <c r="BW291" s="420"/>
      <c r="BX291" s="420"/>
      <c r="BY291" s="420"/>
      <c r="BZ291" s="420"/>
      <c r="CA291" s="420"/>
      <c r="CB291" s="420"/>
      <c r="CC291" s="420"/>
      <c r="CD291" s="420"/>
      <c r="CE291" s="420"/>
      <c r="CF291" s="420"/>
      <c r="CG291" s="420"/>
      <c r="CH291" s="420"/>
      <c r="CI291" s="420"/>
      <c r="CJ291" s="420"/>
      <c r="CK291" s="420"/>
      <c r="CL291" s="420"/>
      <c r="CM291" s="420"/>
      <c r="CN291" s="420"/>
      <c r="CO291" s="420"/>
      <c r="CP291" s="420"/>
      <c r="CQ291" s="420"/>
      <c r="CR291" s="420"/>
    </row>
    <row r="292" spans="1:97" s="737" customFormat="1" ht="12.75" x14ac:dyDescent="0.2">
      <c r="A292" s="705">
        <v>286</v>
      </c>
      <c r="B292" s="718" t="s">
        <v>460</v>
      </c>
      <c r="C292" s="719" t="s">
        <v>461</v>
      </c>
      <c r="D292" s="708">
        <v>442570</v>
      </c>
      <c r="E292" s="708">
        <v>310261000</v>
      </c>
      <c r="F292" s="133">
        <v>145850439</v>
      </c>
      <c r="G292" s="133">
        <v>-7423758</v>
      </c>
      <c r="H292" s="133">
        <v>2691211</v>
      </c>
      <c r="I292" s="133">
        <v>-4732547</v>
      </c>
      <c r="J292" s="133">
        <v>-13122829</v>
      </c>
      <c r="K292" s="133">
        <v>-29413</v>
      </c>
      <c r="L292" s="133">
        <v>0</v>
      </c>
      <c r="M292" s="133">
        <v>0</v>
      </c>
      <c r="N292" s="133">
        <v>-2881591</v>
      </c>
      <c r="O292" s="133">
        <v>-276420</v>
      </c>
      <c r="P292" s="133">
        <v>-1239962</v>
      </c>
      <c r="Q292" s="133">
        <v>-1492</v>
      </c>
      <c r="R292" s="133">
        <v>0</v>
      </c>
      <c r="S292" s="133">
        <v>0</v>
      </c>
      <c r="T292" s="133">
        <v>0</v>
      </c>
      <c r="U292" s="133">
        <v>0</v>
      </c>
      <c r="V292" s="133">
        <v>0</v>
      </c>
      <c r="W292" s="709"/>
      <c r="X292" s="709"/>
      <c r="Y292" s="709"/>
      <c r="Z292" s="133">
        <v>0</v>
      </c>
      <c r="AA292" s="133">
        <v>0</v>
      </c>
      <c r="AB292" s="133">
        <v>116737189</v>
      </c>
      <c r="AC292" s="133">
        <v>0</v>
      </c>
      <c r="AD292" s="709"/>
      <c r="AE292" s="710">
        <v>335</v>
      </c>
      <c r="AF292" s="711">
        <v>8</v>
      </c>
      <c r="AG292" s="710">
        <v>0</v>
      </c>
      <c r="AH292" s="710">
        <v>0</v>
      </c>
      <c r="AI292" s="710">
        <v>1172</v>
      </c>
      <c r="AJ292" s="710">
        <v>56</v>
      </c>
      <c r="AK292" s="710">
        <v>31</v>
      </c>
      <c r="AL292" s="710">
        <v>2</v>
      </c>
      <c r="AM292" s="710">
        <v>0</v>
      </c>
      <c r="AN292" s="710">
        <v>0</v>
      </c>
      <c r="AO292" s="710">
        <v>0</v>
      </c>
      <c r="AP292" s="711">
        <v>0</v>
      </c>
      <c r="AQ292" s="709"/>
      <c r="AR292" s="709"/>
      <c r="AS292" s="720">
        <v>2516</v>
      </c>
      <c r="AT292" s="710">
        <v>2226</v>
      </c>
      <c r="AU292" s="710">
        <v>1917</v>
      </c>
      <c r="AV292" s="710">
        <v>309</v>
      </c>
      <c r="AW292" s="710">
        <v>4078</v>
      </c>
      <c r="AX292" s="712">
        <v>8790</v>
      </c>
      <c r="AY292" s="683">
        <v>-15235</v>
      </c>
      <c r="AZ292" s="713">
        <v>5463768</v>
      </c>
      <c r="BA292" s="714">
        <v>3001167</v>
      </c>
      <c r="BB292" s="715">
        <v>35833750</v>
      </c>
      <c r="BC292" s="715">
        <v>1331350</v>
      </c>
      <c r="BD292" s="716">
        <v>3001166.5999999996</v>
      </c>
      <c r="BE292" s="420"/>
      <c r="BF292" s="717" t="s">
        <v>461</v>
      </c>
      <c r="BG292" s="118" t="b">
        <v>1</v>
      </c>
      <c r="BH292" s="494"/>
      <c r="BI292" s="420"/>
      <c r="BJ292" s="420"/>
      <c r="BK292" s="420"/>
      <c r="BL292" s="420"/>
      <c r="BM292" s="420"/>
      <c r="BN292" s="420"/>
      <c r="BO292" s="420"/>
      <c r="BP292" s="420"/>
      <c r="BQ292" s="420"/>
      <c r="BR292" s="420"/>
      <c r="BS292" s="420"/>
      <c r="BT292" s="420"/>
      <c r="BU292" s="420"/>
      <c r="BV292" s="420"/>
      <c r="BW292" s="420"/>
      <c r="BX292" s="420"/>
      <c r="BY292" s="420"/>
      <c r="BZ292" s="420"/>
      <c r="CA292" s="420"/>
      <c r="CB292" s="420"/>
      <c r="CC292" s="420"/>
      <c r="CD292" s="420"/>
      <c r="CE292" s="420"/>
      <c r="CF292" s="420"/>
      <c r="CG292" s="420"/>
      <c r="CH292" s="420"/>
      <c r="CI292" s="420"/>
      <c r="CJ292" s="420"/>
      <c r="CK292" s="420"/>
      <c r="CL292" s="420"/>
      <c r="CM292" s="420"/>
      <c r="CN292" s="420"/>
      <c r="CO292" s="420"/>
      <c r="CP292" s="420"/>
      <c r="CQ292" s="420"/>
      <c r="CR292" s="420"/>
      <c r="CS292" s="118"/>
    </row>
    <row r="293" spans="1:97" s="118" customFormat="1" ht="12.75" x14ac:dyDescent="0.2">
      <c r="A293" s="705">
        <v>287</v>
      </c>
      <c r="B293" s="718" t="s">
        <v>545</v>
      </c>
      <c r="C293" s="719" t="s">
        <v>463</v>
      </c>
      <c r="D293" s="708">
        <v>290095</v>
      </c>
      <c r="E293" s="708">
        <v>249722000</v>
      </c>
      <c r="F293" s="133">
        <v>121856488</v>
      </c>
      <c r="G293" s="133">
        <v>-5979072</v>
      </c>
      <c r="H293" s="133">
        <v>2470885</v>
      </c>
      <c r="I293" s="133">
        <v>-3508187</v>
      </c>
      <c r="J293" s="133">
        <v>-4663337</v>
      </c>
      <c r="K293" s="133">
        <v>-44210</v>
      </c>
      <c r="L293" s="133">
        <v>0</v>
      </c>
      <c r="M293" s="133">
        <v>0</v>
      </c>
      <c r="N293" s="133">
        <v>-1850263</v>
      </c>
      <c r="O293" s="133">
        <v>-159986</v>
      </c>
      <c r="P293" s="133">
        <v>-775996</v>
      </c>
      <c r="Q293" s="133">
        <v>-3860</v>
      </c>
      <c r="R293" s="133">
        <v>0</v>
      </c>
      <c r="S293" s="133">
        <v>-4142</v>
      </c>
      <c r="T293" s="133">
        <v>-145784</v>
      </c>
      <c r="U293" s="133">
        <v>-145784</v>
      </c>
      <c r="V293" s="133">
        <v>0</v>
      </c>
      <c r="W293" s="709"/>
      <c r="X293" s="709"/>
      <c r="Y293" s="709"/>
      <c r="Z293" s="133">
        <v>-4443</v>
      </c>
      <c r="AA293" s="133">
        <v>0</v>
      </c>
      <c r="AB293" s="133">
        <v>113814096</v>
      </c>
      <c r="AC293" s="133">
        <v>-2304800</v>
      </c>
      <c r="AD293" s="709"/>
      <c r="AE293" s="710">
        <v>293</v>
      </c>
      <c r="AF293" s="711">
        <v>7</v>
      </c>
      <c r="AG293" s="710">
        <v>0</v>
      </c>
      <c r="AH293" s="710">
        <v>0</v>
      </c>
      <c r="AI293" s="710">
        <v>373</v>
      </c>
      <c r="AJ293" s="710">
        <v>172</v>
      </c>
      <c r="AK293" s="710">
        <v>27</v>
      </c>
      <c r="AL293" s="710">
        <v>3</v>
      </c>
      <c r="AM293" s="710">
        <v>0</v>
      </c>
      <c r="AN293" s="710">
        <v>1</v>
      </c>
      <c r="AO293" s="710">
        <v>3</v>
      </c>
      <c r="AP293" s="711">
        <v>38</v>
      </c>
      <c r="AQ293" s="709"/>
      <c r="AR293" s="709"/>
      <c r="AS293" s="720">
        <v>1829</v>
      </c>
      <c r="AT293" s="710">
        <v>2102</v>
      </c>
      <c r="AU293" s="710">
        <v>1990</v>
      </c>
      <c r="AV293" s="710">
        <v>112</v>
      </c>
      <c r="AW293" s="710">
        <v>2933</v>
      </c>
      <c r="AX293" s="712">
        <v>6897</v>
      </c>
      <c r="AY293" s="683">
        <v>-44089</v>
      </c>
      <c r="AZ293" s="713">
        <v>-6777376</v>
      </c>
      <c r="BA293" s="714">
        <v>-4199584</v>
      </c>
      <c r="BB293" s="715">
        <v>30718150</v>
      </c>
      <c r="BC293" s="715">
        <v>275500</v>
      </c>
      <c r="BD293" s="716">
        <v>-4210136</v>
      </c>
      <c r="BE293" s="420"/>
      <c r="BF293" s="717" t="s">
        <v>463</v>
      </c>
      <c r="BG293" s="118" t="b">
        <v>1</v>
      </c>
      <c r="BH293" s="494"/>
      <c r="BI293" s="420"/>
      <c r="BJ293" s="420"/>
      <c r="BK293" s="420"/>
      <c r="BL293" s="420"/>
      <c r="BM293" s="420"/>
      <c r="BN293" s="420"/>
      <c r="BO293" s="420"/>
      <c r="BP293" s="420"/>
      <c r="BQ293" s="420"/>
      <c r="BR293" s="420"/>
      <c r="BS293" s="420"/>
      <c r="BT293" s="420"/>
      <c r="BU293" s="420"/>
      <c r="BV293" s="420"/>
      <c r="BW293" s="420"/>
      <c r="BX293" s="420"/>
      <c r="BY293" s="420"/>
      <c r="BZ293" s="420"/>
      <c r="CA293" s="420"/>
      <c r="CB293" s="420"/>
      <c r="CC293" s="420"/>
      <c r="CD293" s="420"/>
      <c r="CE293" s="420"/>
      <c r="CF293" s="420"/>
      <c r="CG293" s="420"/>
      <c r="CH293" s="420"/>
      <c r="CI293" s="420"/>
      <c r="CJ293" s="420"/>
      <c r="CK293" s="420"/>
      <c r="CL293" s="420"/>
      <c r="CM293" s="420"/>
      <c r="CN293" s="420"/>
      <c r="CO293" s="420"/>
      <c r="CP293" s="420"/>
      <c r="CQ293" s="420"/>
      <c r="CR293" s="420"/>
    </row>
    <row r="294" spans="1:97" s="118" customFormat="1" ht="12.75" x14ac:dyDescent="0.2">
      <c r="A294" s="705">
        <v>288</v>
      </c>
      <c r="B294" s="718" t="s">
        <v>464</v>
      </c>
      <c r="C294" s="719" t="s">
        <v>465</v>
      </c>
      <c r="D294" s="708">
        <v>219227</v>
      </c>
      <c r="E294" s="708">
        <v>173565000</v>
      </c>
      <c r="F294" s="133">
        <v>84085287</v>
      </c>
      <c r="G294" s="133">
        <v>-5317486</v>
      </c>
      <c r="H294" s="133">
        <v>1638862</v>
      </c>
      <c r="I294" s="133">
        <v>-3678624</v>
      </c>
      <c r="J294" s="133">
        <v>-4951969</v>
      </c>
      <c r="K294" s="133">
        <v>-63866</v>
      </c>
      <c r="L294" s="133">
        <v>-7988</v>
      </c>
      <c r="M294" s="133">
        <v>-17631</v>
      </c>
      <c r="N294" s="133">
        <v>-1299685</v>
      </c>
      <c r="O294" s="133">
        <v>-8087</v>
      </c>
      <c r="P294" s="133">
        <v>-61451</v>
      </c>
      <c r="Q294" s="133">
        <v>0</v>
      </c>
      <c r="R294" s="133">
        <v>-11855</v>
      </c>
      <c r="S294" s="133">
        <v>0</v>
      </c>
      <c r="T294" s="133">
        <v>0</v>
      </c>
      <c r="U294" s="133">
        <v>0</v>
      </c>
      <c r="V294" s="133">
        <v>0</v>
      </c>
      <c r="W294" s="709"/>
      <c r="X294" s="709"/>
      <c r="Y294" s="709"/>
      <c r="Z294" s="133">
        <v>-7814</v>
      </c>
      <c r="AA294" s="133">
        <v>-1500</v>
      </c>
      <c r="AB294" s="133">
        <v>72020051</v>
      </c>
      <c r="AC294" s="133">
        <v>-4024397</v>
      </c>
      <c r="AD294" s="709"/>
      <c r="AE294" s="710">
        <v>300</v>
      </c>
      <c r="AF294" s="711">
        <v>14</v>
      </c>
      <c r="AG294" s="710">
        <v>7</v>
      </c>
      <c r="AH294" s="710">
        <v>5</v>
      </c>
      <c r="AI294" s="710">
        <v>277</v>
      </c>
      <c r="AJ294" s="710">
        <v>36</v>
      </c>
      <c r="AK294" s="710">
        <v>20</v>
      </c>
      <c r="AL294" s="710">
        <v>0</v>
      </c>
      <c r="AM294" s="710">
        <v>9</v>
      </c>
      <c r="AN294" s="710">
        <v>0</v>
      </c>
      <c r="AO294" s="710">
        <v>0</v>
      </c>
      <c r="AP294" s="711">
        <v>0</v>
      </c>
      <c r="AQ294" s="709"/>
      <c r="AR294" s="709"/>
      <c r="AS294" s="720">
        <v>1205</v>
      </c>
      <c r="AT294" s="710">
        <v>1807</v>
      </c>
      <c r="AU294" s="710">
        <v>1663</v>
      </c>
      <c r="AV294" s="710">
        <v>144</v>
      </c>
      <c r="AW294" s="710">
        <v>2036</v>
      </c>
      <c r="AX294" s="712">
        <v>5297</v>
      </c>
      <c r="AY294" s="683">
        <v>0</v>
      </c>
      <c r="AZ294" s="713">
        <v>3824439</v>
      </c>
      <c r="BA294" s="714">
        <v>1931111</v>
      </c>
      <c r="BB294" s="715">
        <v>24068167</v>
      </c>
      <c r="BC294" s="715">
        <v>0</v>
      </c>
      <c r="BD294" s="716">
        <v>1555188.5</v>
      </c>
      <c r="BE294" s="420"/>
      <c r="BF294" s="717" t="s">
        <v>465</v>
      </c>
      <c r="BG294" s="118" t="b">
        <v>1</v>
      </c>
      <c r="BH294" s="494"/>
      <c r="BI294" s="420"/>
      <c r="BJ294" s="420"/>
      <c r="BK294" s="420"/>
      <c r="BL294" s="420"/>
      <c r="BM294" s="420"/>
      <c r="BN294" s="420"/>
      <c r="BO294" s="420"/>
      <c r="BP294" s="420"/>
      <c r="BQ294" s="420"/>
      <c r="BR294" s="420"/>
      <c r="BS294" s="420"/>
      <c r="BT294" s="420"/>
      <c r="BU294" s="420"/>
      <c r="BV294" s="420"/>
      <c r="BW294" s="420"/>
      <c r="BX294" s="420"/>
      <c r="BY294" s="420"/>
      <c r="BZ294" s="420"/>
      <c r="CA294" s="420"/>
      <c r="CB294" s="420"/>
      <c r="CC294" s="420"/>
      <c r="CD294" s="420"/>
      <c r="CE294" s="420"/>
      <c r="CF294" s="420"/>
      <c r="CG294" s="420"/>
      <c r="CH294" s="420"/>
      <c r="CI294" s="420"/>
      <c r="CJ294" s="420"/>
      <c r="CK294" s="420"/>
      <c r="CL294" s="420"/>
      <c r="CM294" s="420"/>
      <c r="CN294" s="420"/>
      <c r="CO294" s="420"/>
      <c r="CP294" s="420"/>
      <c r="CQ294" s="420"/>
      <c r="CR294" s="420"/>
    </row>
    <row r="295" spans="1:97" s="118" customFormat="1" ht="12.75" x14ac:dyDescent="0.2">
      <c r="A295" s="705">
        <v>289</v>
      </c>
      <c r="B295" s="718" t="s">
        <v>466</v>
      </c>
      <c r="C295" s="719" t="s">
        <v>467</v>
      </c>
      <c r="D295" s="708">
        <v>161690</v>
      </c>
      <c r="E295" s="708">
        <v>148654000</v>
      </c>
      <c r="F295" s="133">
        <v>76058096</v>
      </c>
      <c r="G295" s="133">
        <v>-2749748</v>
      </c>
      <c r="H295" s="133">
        <v>1533128</v>
      </c>
      <c r="I295" s="133">
        <v>-1216620</v>
      </c>
      <c r="J295" s="133">
        <v>-3074874</v>
      </c>
      <c r="K295" s="133">
        <v>0</v>
      </c>
      <c r="L295" s="133">
        <v>0</v>
      </c>
      <c r="M295" s="133">
        <v>0</v>
      </c>
      <c r="N295" s="133">
        <v>-1739601</v>
      </c>
      <c r="O295" s="133">
        <v>-1068</v>
      </c>
      <c r="P295" s="133">
        <v>0</v>
      </c>
      <c r="Q295" s="133">
        <v>0</v>
      </c>
      <c r="R295" s="133">
        <v>0</v>
      </c>
      <c r="S295" s="133">
        <v>0</v>
      </c>
      <c r="T295" s="133">
        <v>0</v>
      </c>
      <c r="U295" s="133">
        <v>0</v>
      </c>
      <c r="V295" s="133">
        <v>0</v>
      </c>
      <c r="W295" s="709"/>
      <c r="X295" s="709"/>
      <c r="Y295" s="709"/>
      <c r="Z295" s="133">
        <v>0</v>
      </c>
      <c r="AA295" s="133">
        <v>-1500</v>
      </c>
      <c r="AB295" s="133">
        <v>71354759</v>
      </c>
      <c r="AC295" s="133">
        <v>-1234248</v>
      </c>
      <c r="AD295" s="709"/>
      <c r="AE295" s="710">
        <v>162</v>
      </c>
      <c r="AF295" s="711">
        <v>0</v>
      </c>
      <c r="AG295" s="710">
        <v>0</v>
      </c>
      <c r="AH295" s="710">
        <v>3</v>
      </c>
      <c r="AI295" s="710">
        <v>647</v>
      </c>
      <c r="AJ295" s="710">
        <v>34</v>
      </c>
      <c r="AK295" s="710">
        <v>0</v>
      </c>
      <c r="AL295" s="710">
        <v>0</v>
      </c>
      <c r="AM295" s="710">
        <v>0</v>
      </c>
      <c r="AN295" s="710">
        <v>0</v>
      </c>
      <c r="AO295" s="710">
        <v>0</v>
      </c>
      <c r="AP295" s="711">
        <v>0</v>
      </c>
      <c r="AQ295" s="709"/>
      <c r="AR295" s="709"/>
      <c r="AS295" s="720">
        <v>1206</v>
      </c>
      <c r="AT295" s="710">
        <v>892</v>
      </c>
      <c r="AU295" s="710">
        <v>807</v>
      </c>
      <c r="AV295" s="710">
        <v>85</v>
      </c>
      <c r="AW295" s="710">
        <v>1512</v>
      </c>
      <c r="AX295" s="712">
        <v>3427</v>
      </c>
      <c r="AY295" s="683">
        <v>-24780</v>
      </c>
      <c r="AZ295" s="713">
        <v>-8526711.700000003</v>
      </c>
      <c r="BA295" s="714">
        <v>-5956813.6999999993</v>
      </c>
      <c r="BB295" s="715">
        <v>16830500</v>
      </c>
      <c r="BC295" s="715">
        <v>0</v>
      </c>
      <c r="BD295" s="716">
        <v>-5956813.6999999993</v>
      </c>
      <c r="BE295" s="420"/>
      <c r="BF295" s="717" t="s">
        <v>467</v>
      </c>
      <c r="BG295" s="118" t="b">
        <v>1</v>
      </c>
      <c r="BH295" s="494"/>
      <c r="BI295" s="420"/>
      <c r="BJ295" s="420"/>
      <c r="BK295" s="420"/>
      <c r="BL295" s="420"/>
      <c r="BM295" s="420"/>
      <c r="BN295" s="420"/>
      <c r="BO295" s="420"/>
      <c r="BP295" s="420"/>
      <c r="BQ295" s="420"/>
      <c r="BR295" s="420"/>
      <c r="BS295" s="420"/>
      <c r="BT295" s="420"/>
      <c r="BU295" s="420"/>
      <c r="BV295" s="420"/>
      <c r="BW295" s="420"/>
      <c r="BX295" s="420"/>
      <c r="BY295" s="420"/>
      <c r="BZ295" s="420"/>
      <c r="CA295" s="420"/>
      <c r="CB295" s="420"/>
      <c r="CC295" s="420"/>
      <c r="CD295" s="420"/>
      <c r="CE295" s="420"/>
      <c r="CF295" s="420"/>
      <c r="CG295" s="420"/>
      <c r="CH295" s="420"/>
      <c r="CI295" s="420"/>
      <c r="CJ295" s="420"/>
      <c r="CK295" s="420"/>
      <c r="CL295" s="420"/>
      <c r="CM295" s="420"/>
      <c r="CN295" s="420"/>
      <c r="CO295" s="420"/>
      <c r="CP295" s="420"/>
      <c r="CQ295" s="420"/>
      <c r="CR295" s="420"/>
    </row>
    <row r="296" spans="1:97" s="118" customFormat="1" ht="12.75" x14ac:dyDescent="0.2">
      <c r="A296" s="705">
        <v>290</v>
      </c>
      <c r="B296" s="718" t="s">
        <v>468</v>
      </c>
      <c r="C296" s="719" t="s">
        <v>469</v>
      </c>
      <c r="D296" s="708">
        <v>172945</v>
      </c>
      <c r="E296" s="708">
        <v>105209000</v>
      </c>
      <c r="F296" s="133">
        <v>51923199</v>
      </c>
      <c r="G296" s="133">
        <v>-4036377</v>
      </c>
      <c r="H296" s="133">
        <v>910730</v>
      </c>
      <c r="I296" s="133">
        <v>-3125647</v>
      </c>
      <c r="J296" s="133">
        <v>-6313732</v>
      </c>
      <c r="K296" s="133">
        <v>-40946</v>
      </c>
      <c r="L296" s="133">
        <v>-5947</v>
      </c>
      <c r="M296" s="133">
        <v>-32805</v>
      </c>
      <c r="N296" s="133">
        <v>-796731</v>
      </c>
      <c r="O296" s="133">
        <v>-89141</v>
      </c>
      <c r="P296" s="133">
        <v>-515259</v>
      </c>
      <c r="Q296" s="133">
        <v>0</v>
      </c>
      <c r="R296" s="133">
        <v>0</v>
      </c>
      <c r="S296" s="133">
        <v>-7404</v>
      </c>
      <c r="T296" s="133">
        <v>0</v>
      </c>
      <c r="U296" s="133">
        <v>0</v>
      </c>
      <c r="V296" s="133">
        <v>0</v>
      </c>
      <c r="W296" s="709"/>
      <c r="X296" s="709"/>
      <c r="Y296" s="709"/>
      <c r="Z296" s="133">
        <v>-5947</v>
      </c>
      <c r="AA296" s="133">
        <v>-4500</v>
      </c>
      <c r="AB296" s="133">
        <v>38789700</v>
      </c>
      <c r="AC296" s="133">
        <v>-2484951</v>
      </c>
      <c r="AD296" s="709"/>
      <c r="AE296" s="710">
        <v>271</v>
      </c>
      <c r="AF296" s="711">
        <v>25</v>
      </c>
      <c r="AG296" s="710">
        <v>4</v>
      </c>
      <c r="AH296" s="710">
        <v>1</v>
      </c>
      <c r="AI296" s="710">
        <v>280</v>
      </c>
      <c r="AJ296" s="710">
        <v>62</v>
      </c>
      <c r="AK296" s="710">
        <v>13</v>
      </c>
      <c r="AL296" s="710">
        <v>0</v>
      </c>
      <c r="AM296" s="710">
        <v>4</v>
      </c>
      <c r="AN296" s="710">
        <v>2</v>
      </c>
      <c r="AO296" s="710">
        <v>0</v>
      </c>
      <c r="AP296" s="711">
        <v>0</v>
      </c>
      <c r="AQ296" s="709"/>
      <c r="AR296" s="709"/>
      <c r="AS296" s="720">
        <v>1049</v>
      </c>
      <c r="AT296" s="710">
        <v>1345</v>
      </c>
      <c r="AU296" s="710">
        <v>1190</v>
      </c>
      <c r="AV296" s="710">
        <v>155</v>
      </c>
      <c r="AW296" s="710">
        <v>1663</v>
      </c>
      <c r="AX296" s="712">
        <v>4067</v>
      </c>
      <c r="AY296" s="683">
        <v>-36510</v>
      </c>
      <c r="AZ296" s="713">
        <v>-257847</v>
      </c>
      <c r="BA296" s="714">
        <v>524492.04999999702</v>
      </c>
      <c r="BB296" s="715">
        <v>20690800</v>
      </c>
      <c r="BC296" s="715">
        <v>0</v>
      </c>
      <c r="BD296" s="716">
        <v>524492.25</v>
      </c>
      <c r="BE296" s="420"/>
      <c r="BF296" s="717" t="s">
        <v>469</v>
      </c>
      <c r="BG296" s="118" t="b">
        <v>1</v>
      </c>
      <c r="BH296" s="494"/>
      <c r="BI296" s="420"/>
      <c r="BJ296" s="420"/>
      <c r="BK296" s="420"/>
      <c r="BL296" s="420"/>
      <c r="BM296" s="420"/>
      <c r="BN296" s="420"/>
      <c r="BO296" s="420"/>
      <c r="BP296" s="420"/>
      <c r="BQ296" s="420"/>
      <c r="BR296" s="420"/>
      <c r="BS296" s="420"/>
      <c r="BT296" s="420"/>
      <c r="BU296" s="420"/>
      <c r="BV296" s="420"/>
      <c r="BW296" s="420"/>
      <c r="BX296" s="420"/>
      <c r="BY296" s="420"/>
      <c r="BZ296" s="420"/>
      <c r="CA296" s="420"/>
      <c r="CB296" s="420"/>
      <c r="CC296" s="420"/>
      <c r="CD296" s="420"/>
      <c r="CE296" s="420"/>
      <c r="CF296" s="420"/>
      <c r="CG296" s="420"/>
      <c r="CH296" s="420"/>
      <c r="CI296" s="420"/>
      <c r="CJ296" s="420"/>
      <c r="CK296" s="420"/>
      <c r="CL296" s="420"/>
      <c r="CM296" s="420"/>
      <c r="CN296" s="420"/>
      <c r="CO296" s="420"/>
      <c r="CP296" s="420"/>
      <c r="CQ296" s="420"/>
      <c r="CR296" s="420"/>
    </row>
    <row r="297" spans="1:97" s="118" customFormat="1" ht="12.75" x14ac:dyDescent="0.2">
      <c r="A297" s="705">
        <v>291</v>
      </c>
      <c r="B297" s="718" t="s">
        <v>470</v>
      </c>
      <c r="C297" s="719" t="s">
        <v>471</v>
      </c>
      <c r="D297" s="708">
        <v>225111</v>
      </c>
      <c r="E297" s="708">
        <v>94056000</v>
      </c>
      <c r="F297" s="133">
        <v>45838010</v>
      </c>
      <c r="G297" s="133">
        <v>-8466850</v>
      </c>
      <c r="H297" s="133">
        <v>594346</v>
      </c>
      <c r="I297" s="133">
        <v>-7872504</v>
      </c>
      <c r="J297" s="133">
        <v>-3276883</v>
      </c>
      <c r="K297" s="133">
        <v>-100370</v>
      </c>
      <c r="L297" s="133">
        <v>-38046</v>
      </c>
      <c r="M297" s="133">
        <v>-10000</v>
      </c>
      <c r="N297" s="133">
        <v>-473945</v>
      </c>
      <c r="O297" s="133">
        <v>-92358</v>
      </c>
      <c r="P297" s="133">
        <v>-5000</v>
      </c>
      <c r="Q297" s="133">
        <v>0</v>
      </c>
      <c r="R297" s="133">
        <v>0</v>
      </c>
      <c r="S297" s="133">
        <v>-5000</v>
      </c>
      <c r="T297" s="133">
        <v>0</v>
      </c>
      <c r="U297" s="133">
        <v>0</v>
      </c>
      <c r="V297" s="133">
        <v>0</v>
      </c>
      <c r="W297" s="709"/>
      <c r="X297" s="709"/>
      <c r="Y297" s="709"/>
      <c r="Z297" s="133">
        <v>-38046</v>
      </c>
      <c r="AA297" s="133">
        <v>0</v>
      </c>
      <c r="AB297" s="133">
        <v>31985939</v>
      </c>
      <c r="AC297" s="133">
        <v>-500000</v>
      </c>
      <c r="AD297" s="709"/>
      <c r="AE297" s="710">
        <v>298</v>
      </c>
      <c r="AF297" s="711">
        <v>43</v>
      </c>
      <c r="AG297" s="710">
        <v>24</v>
      </c>
      <c r="AH297" s="710">
        <v>0</v>
      </c>
      <c r="AI297" s="710">
        <v>183</v>
      </c>
      <c r="AJ297" s="710">
        <v>33</v>
      </c>
      <c r="AK297" s="710">
        <v>0</v>
      </c>
      <c r="AL297" s="710">
        <v>1</v>
      </c>
      <c r="AM297" s="710">
        <v>0</v>
      </c>
      <c r="AN297" s="710">
        <v>0</v>
      </c>
      <c r="AO297" s="710">
        <v>0</v>
      </c>
      <c r="AP297" s="711">
        <v>0</v>
      </c>
      <c r="AQ297" s="709"/>
      <c r="AR297" s="709"/>
      <c r="AS297" s="720">
        <v>934</v>
      </c>
      <c r="AT297" s="710">
        <v>3411</v>
      </c>
      <c r="AU297" s="710">
        <v>3252</v>
      </c>
      <c r="AV297" s="710">
        <v>159</v>
      </c>
      <c r="AW297" s="710">
        <v>1870</v>
      </c>
      <c r="AX297" s="712">
        <v>6317</v>
      </c>
      <c r="AY297" s="683">
        <v>-60100</v>
      </c>
      <c r="AZ297" s="713">
        <v>83434</v>
      </c>
      <c r="BA297" s="714">
        <v>211673</v>
      </c>
      <c r="BB297" s="715">
        <v>19636250</v>
      </c>
      <c r="BC297" s="715">
        <v>0</v>
      </c>
      <c r="BD297" s="716">
        <v>211674</v>
      </c>
      <c r="BE297" s="420"/>
      <c r="BF297" s="717" t="s">
        <v>471</v>
      </c>
      <c r="BG297" s="118" t="b">
        <v>1</v>
      </c>
      <c r="BH297" s="494"/>
      <c r="BI297" s="420"/>
      <c r="BJ297" s="420"/>
      <c r="BK297" s="420"/>
      <c r="BL297" s="420"/>
      <c r="BM297" s="420"/>
      <c r="BN297" s="420"/>
      <c r="BO297" s="420"/>
      <c r="BP297" s="420"/>
      <c r="BQ297" s="420"/>
      <c r="BR297" s="420"/>
      <c r="BS297" s="420"/>
      <c r="BT297" s="420"/>
      <c r="BU297" s="420"/>
      <c r="BV297" s="420"/>
      <c r="BW297" s="420"/>
      <c r="BX297" s="420"/>
      <c r="BY297" s="420"/>
      <c r="BZ297" s="420"/>
      <c r="CA297" s="420"/>
      <c r="CB297" s="420"/>
      <c r="CC297" s="420"/>
      <c r="CD297" s="420"/>
      <c r="CE297" s="420"/>
      <c r="CF297" s="420"/>
      <c r="CG297" s="420"/>
      <c r="CH297" s="420"/>
      <c r="CI297" s="420"/>
      <c r="CJ297" s="420"/>
      <c r="CK297" s="420"/>
      <c r="CL297" s="420"/>
      <c r="CM297" s="420"/>
      <c r="CN297" s="420"/>
      <c r="CO297" s="420"/>
      <c r="CP297" s="420"/>
      <c r="CQ297" s="420"/>
      <c r="CR297" s="420"/>
    </row>
    <row r="298" spans="1:97" s="737" customFormat="1" ht="12.75" x14ac:dyDescent="0.2">
      <c r="A298" s="705">
        <v>292</v>
      </c>
      <c r="B298" s="718" t="s">
        <v>472</v>
      </c>
      <c r="C298" s="719" t="s">
        <v>473</v>
      </c>
      <c r="D298" s="708">
        <v>106992</v>
      </c>
      <c r="E298" s="708">
        <v>71263000</v>
      </c>
      <c r="F298" s="133">
        <v>35407044</v>
      </c>
      <c r="G298" s="133">
        <v>-3472289</v>
      </c>
      <c r="H298" s="133">
        <v>667062</v>
      </c>
      <c r="I298" s="133">
        <v>-2805227</v>
      </c>
      <c r="J298" s="133">
        <v>-1833690</v>
      </c>
      <c r="K298" s="133">
        <v>-1533</v>
      </c>
      <c r="L298" s="133">
        <v>0</v>
      </c>
      <c r="M298" s="133">
        <v>-195743</v>
      </c>
      <c r="N298" s="133">
        <v>-1151733</v>
      </c>
      <c r="O298" s="133">
        <v>-88492</v>
      </c>
      <c r="P298" s="133">
        <v>-11698</v>
      </c>
      <c r="Q298" s="133">
        <v>-383</v>
      </c>
      <c r="R298" s="133">
        <v>0</v>
      </c>
      <c r="S298" s="133">
        <v>0</v>
      </c>
      <c r="T298" s="133">
        <v>0</v>
      </c>
      <c r="U298" s="133">
        <v>0</v>
      </c>
      <c r="V298" s="133">
        <v>0</v>
      </c>
      <c r="W298" s="709"/>
      <c r="X298" s="709"/>
      <c r="Y298" s="709"/>
      <c r="Z298" s="133">
        <v>0</v>
      </c>
      <c r="AA298" s="133">
        <v>0</v>
      </c>
      <c r="AB298" s="133">
        <v>29068711</v>
      </c>
      <c r="AC298" s="133">
        <v>-291000</v>
      </c>
      <c r="AD298" s="709"/>
      <c r="AE298" s="710">
        <v>111</v>
      </c>
      <c r="AF298" s="711">
        <v>2</v>
      </c>
      <c r="AG298" s="710">
        <v>0</v>
      </c>
      <c r="AH298" s="710">
        <v>0</v>
      </c>
      <c r="AI298" s="710">
        <v>186</v>
      </c>
      <c r="AJ298" s="710">
        <v>50</v>
      </c>
      <c r="AK298" s="710">
        <v>3</v>
      </c>
      <c r="AL298" s="710">
        <v>2</v>
      </c>
      <c r="AM298" s="710">
        <v>0</v>
      </c>
      <c r="AN298" s="710">
        <v>0</v>
      </c>
      <c r="AO298" s="710">
        <v>0</v>
      </c>
      <c r="AP298" s="711">
        <v>0</v>
      </c>
      <c r="AQ298" s="709"/>
      <c r="AR298" s="709"/>
      <c r="AS298" s="720">
        <v>549</v>
      </c>
      <c r="AT298" s="710">
        <v>1299</v>
      </c>
      <c r="AU298" s="710">
        <v>1048</v>
      </c>
      <c r="AV298" s="710">
        <v>251</v>
      </c>
      <c r="AW298" s="710">
        <v>872</v>
      </c>
      <c r="AX298" s="712">
        <v>2736</v>
      </c>
      <c r="AY298" s="683">
        <v>0</v>
      </c>
      <c r="AZ298" s="713">
        <v>-1475933</v>
      </c>
      <c r="BA298" s="714">
        <v>-1674426</v>
      </c>
      <c r="BB298" s="715">
        <v>10635950</v>
      </c>
      <c r="BC298" s="715">
        <v>0</v>
      </c>
      <c r="BD298" s="716">
        <v>-1674426</v>
      </c>
      <c r="BE298" s="420"/>
      <c r="BF298" s="717" t="s">
        <v>473</v>
      </c>
      <c r="BG298" s="118" t="b">
        <v>1</v>
      </c>
      <c r="BH298" s="494"/>
      <c r="BI298" s="420"/>
      <c r="BJ298" s="420"/>
      <c r="BK298" s="420"/>
      <c r="BL298" s="420"/>
      <c r="BM298" s="420"/>
      <c r="BN298" s="420"/>
      <c r="BO298" s="420"/>
      <c r="BP298" s="420"/>
      <c r="BQ298" s="420"/>
      <c r="BR298" s="420"/>
      <c r="BS298" s="420"/>
      <c r="BT298" s="420"/>
      <c r="BU298" s="420"/>
      <c r="BV298" s="420"/>
      <c r="BW298" s="420"/>
      <c r="BX298" s="420"/>
      <c r="BY298" s="420"/>
      <c r="BZ298" s="420"/>
      <c r="CA298" s="420"/>
      <c r="CB298" s="420"/>
      <c r="CC298" s="420"/>
      <c r="CD298" s="420"/>
      <c r="CE298" s="420"/>
      <c r="CF298" s="420"/>
      <c r="CG298" s="420"/>
      <c r="CH298" s="420"/>
      <c r="CI298" s="420"/>
      <c r="CJ298" s="420"/>
      <c r="CK298" s="420"/>
      <c r="CL298" s="420"/>
      <c r="CM298" s="420"/>
      <c r="CN298" s="420"/>
      <c r="CO298" s="420"/>
      <c r="CP298" s="420"/>
      <c r="CQ298" s="420"/>
      <c r="CR298" s="420"/>
      <c r="CS298" s="118"/>
    </row>
    <row r="299" spans="1:97" s="118" customFormat="1" ht="12.75" x14ac:dyDescent="0.2">
      <c r="A299" s="705">
        <v>293</v>
      </c>
      <c r="B299" s="718" t="s">
        <v>474</v>
      </c>
      <c r="C299" s="719" t="s">
        <v>475</v>
      </c>
      <c r="D299" s="708">
        <v>146294</v>
      </c>
      <c r="E299" s="708">
        <v>146565000</v>
      </c>
      <c r="F299" s="133">
        <v>71493449</v>
      </c>
      <c r="G299" s="133">
        <v>-2264191</v>
      </c>
      <c r="H299" s="133">
        <v>1539042</v>
      </c>
      <c r="I299" s="133">
        <v>-725149</v>
      </c>
      <c r="J299" s="133">
        <v>-7081584</v>
      </c>
      <c r="K299" s="133">
        <v>-52978</v>
      </c>
      <c r="L299" s="133">
        <v>0</v>
      </c>
      <c r="M299" s="133">
        <v>-50000</v>
      </c>
      <c r="N299" s="133">
        <v>-496524</v>
      </c>
      <c r="O299" s="133">
        <v>-189615</v>
      </c>
      <c r="P299" s="133">
        <v>-30091</v>
      </c>
      <c r="Q299" s="133">
        <v>-7017</v>
      </c>
      <c r="R299" s="133">
        <v>0</v>
      </c>
      <c r="S299" s="133">
        <v>0</v>
      </c>
      <c r="T299" s="133">
        <v>0</v>
      </c>
      <c r="U299" s="133">
        <v>0</v>
      </c>
      <c r="V299" s="133">
        <v>0</v>
      </c>
      <c r="W299" s="709"/>
      <c r="X299" s="709"/>
      <c r="Y299" s="709"/>
      <c r="Z299" s="133">
        <v>0</v>
      </c>
      <c r="AA299" s="133">
        <v>-1500</v>
      </c>
      <c r="AB299" s="133">
        <v>61437082</v>
      </c>
      <c r="AC299" s="133">
        <v>-313858</v>
      </c>
      <c r="AD299" s="709"/>
      <c r="AE299" s="710">
        <v>201</v>
      </c>
      <c r="AF299" s="711">
        <v>10</v>
      </c>
      <c r="AG299" s="710">
        <v>0</v>
      </c>
      <c r="AH299" s="710">
        <v>0</v>
      </c>
      <c r="AI299" s="710">
        <v>123</v>
      </c>
      <c r="AJ299" s="710">
        <v>74</v>
      </c>
      <c r="AK299" s="710">
        <v>8</v>
      </c>
      <c r="AL299" s="710">
        <v>10</v>
      </c>
      <c r="AM299" s="710">
        <v>0</v>
      </c>
      <c r="AN299" s="710">
        <v>0</v>
      </c>
      <c r="AO299" s="710">
        <v>0</v>
      </c>
      <c r="AP299" s="711">
        <v>21</v>
      </c>
      <c r="AQ299" s="709"/>
      <c r="AR299" s="709"/>
      <c r="AS299" s="720">
        <v>840</v>
      </c>
      <c r="AT299" s="710">
        <v>800</v>
      </c>
      <c r="AU299" s="710">
        <v>738</v>
      </c>
      <c r="AV299" s="710">
        <v>62</v>
      </c>
      <c r="AW299" s="710">
        <v>1340</v>
      </c>
      <c r="AX299" s="712">
        <v>2992</v>
      </c>
      <c r="AY299" s="683">
        <v>-50262</v>
      </c>
      <c r="AZ299" s="713">
        <v>-4418963</v>
      </c>
      <c r="BA299" s="714">
        <v>-7870325</v>
      </c>
      <c r="BB299" s="715">
        <v>15936450</v>
      </c>
      <c r="BC299" s="715">
        <v>0</v>
      </c>
      <c r="BD299" s="716">
        <v>-7891566</v>
      </c>
      <c r="BE299" s="420"/>
      <c r="BF299" s="717" t="s">
        <v>475</v>
      </c>
      <c r="BG299" s="118" t="b">
        <v>1</v>
      </c>
      <c r="BH299" s="494"/>
      <c r="BI299" s="420"/>
      <c r="BJ299" s="420"/>
      <c r="BK299" s="420"/>
      <c r="BL299" s="420"/>
      <c r="BM299" s="420"/>
      <c r="BN299" s="420"/>
      <c r="BO299" s="420"/>
      <c r="BP299" s="420"/>
      <c r="BQ299" s="420"/>
      <c r="BR299" s="420"/>
      <c r="BS299" s="420"/>
      <c r="BT299" s="420"/>
      <c r="BU299" s="420"/>
      <c r="BV299" s="420"/>
      <c r="BW299" s="420"/>
      <c r="BX299" s="420"/>
      <c r="BY299" s="420"/>
      <c r="BZ299" s="420"/>
      <c r="CA299" s="420"/>
      <c r="CB299" s="420"/>
      <c r="CC299" s="420"/>
      <c r="CD299" s="420"/>
      <c r="CE299" s="420"/>
      <c r="CF299" s="420"/>
      <c r="CG299" s="420"/>
      <c r="CH299" s="420"/>
      <c r="CI299" s="420"/>
      <c r="CJ299" s="420"/>
      <c r="CK299" s="420"/>
      <c r="CL299" s="420"/>
      <c r="CM299" s="420"/>
      <c r="CN299" s="420"/>
      <c r="CO299" s="420"/>
      <c r="CP299" s="420"/>
      <c r="CQ299" s="420"/>
      <c r="CR299" s="420"/>
    </row>
    <row r="300" spans="1:97" s="118" customFormat="1" ht="12.75" x14ac:dyDescent="0.2">
      <c r="A300" s="705">
        <v>294</v>
      </c>
      <c r="B300" s="718" t="s">
        <v>533</v>
      </c>
      <c r="C300" s="719" t="s">
        <v>477</v>
      </c>
      <c r="D300" s="708">
        <v>259293</v>
      </c>
      <c r="E300" s="708">
        <v>206216000</v>
      </c>
      <c r="F300" s="133">
        <v>97554093</v>
      </c>
      <c r="G300" s="133">
        <v>-4962260</v>
      </c>
      <c r="H300" s="133">
        <v>1960827</v>
      </c>
      <c r="I300" s="133">
        <v>-3001433</v>
      </c>
      <c r="J300" s="133">
        <v>-5125626</v>
      </c>
      <c r="K300" s="133">
        <v>-70711</v>
      </c>
      <c r="L300" s="133">
        <v>-9245</v>
      </c>
      <c r="M300" s="133">
        <v>0</v>
      </c>
      <c r="N300" s="133">
        <v>-1708434</v>
      </c>
      <c r="O300" s="133">
        <v>-66056</v>
      </c>
      <c r="P300" s="133">
        <v>-29332</v>
      </c>
      <c r="Q300" s="133">
        <v>-5596</v>
      </c>
      <c r="R300" s="133">
        <v>-7749</v>
      </c>
      <c r="S300" s="133">
        <v>-7431</v>
      </c>
      <c r="T300" s="133">
        <v>0</v>
      </c>
      <c r="U300" s="133">
        <v>0</v>
      </c>
      <c r="V300" s="133">
        <v>0</v>
      </c>
      <c r="W300" s="709"/>
      <c r="X300" s="709"/>
      <c r="Y300" s="709"/>
      <c r="Z300" s="133">
        <v>0</v>
      </c>
      <c r="AA300" s="133">
        <v>0</v>
      </c>
      <c r="AB300" s="133">
        <v>88213001</v>
      </c>
      <c r="AC300" s="133">
        <v>-1500000</v>
      </c>
      <c r="AD300" s="709"/>
      <c r="AE300" s="710">
        <v>264</v>
      </c>
      <c r="AF300" s="711">
        <v>17</v>
      </c>
      <c r="AG300" s="710">
        <v>4</v>
      </c>
      <c r="AH300" s="710">
        <v>0</v>
      </c>
      <c r="AI300" s="710">
        <v>340</v>
      </c>
      <c r="AJ300" s="710">
        <v>41</v>
      </c>
      <c r="AK300" s="710">
        <v>0</v>
      </c>
      <c r="AL300" s="710">
        <v>3</v>
      </c>
      <c r="AM300" s="710">
        <v>4</v>
      </c>
      <c r="AN300" s="710">
        <v>0</v>
      </c>
      <c r="AO300" s="710">
        <v>0</v>
      </c>
      <c r="AP300" s="711">
        <v>0</v>
      </c>
      <c r="AQ300" s="709"/>
      <c r="AR300" s="709"/>
      <c r="AS300" s="720">
        <v>1232</v>
      </c>
      <c r="AT300" s="710">
        <v>1645</v>
      </c>
      <c r="AU300" s="710">
        <v>1513</v>
      </c>
      <c r="AV300" s="710">
        <v>132</v>
      </c>
      <c r="AW300" s="710">
        <v>2855</v>
      </c>
      <c r="AX300" s="712">
        <v>5813</v>
      </c>
      <c r="AY300" s="683">
        <v>-50509</v>
      </c>
      <c r="AZ300" s="713">
        <v>-1404247</v>
      </c>
      <c r="BA300" s="714">
        <v>-6519582</v>
      </c>
      <c r="BB300" s="715">
        <v>29136100</v>
      </c>
      <c r="BC300" s="715">
        <v>0</v>
      </c>
      <c r="BD300" s="716">
        <v>-6519579</v>
      </c>
      <c r="BE300" s="420"/>
      <c r="BF300" s="717" t="s">
        <v>477</v>
      </c>
      <c r="BG300" s="118" t="b">
        <v>1</v>
      </c>
      <c r="BH300" s="494"/>
      <c r="BI300" s="420"/>
      <c r="BJ300" s="420"/>
      <c r="BK300" s="420"/>
      <c r="BL300" s="420"/>
      <c r="BM300" s="420"/>
      <c r="BN300" s="420"/>
      <c r="BO300" s="420"/>
      <c r="BP300" s="420"/>
      <c r="BQ300" s="420"/>
      <c r="BR300" s="420"/>
      <c r="BS300" s="420"/>
      <c r="BT300" s="420"/>
      <c r="BU300" s="420"/>
      <c r="BV300" s="420"/>
      <c r="BW300" s="420"/>
      <c r="BX300" s="420"/>
      <c r="BY300" s="420"/>
      <c r="BZ300" s="420"/>
      <c r="CA300" s="420"/>
      <c r="CB300" s="420"/>
      <c r="CC300" s="420"/>
      <c r="CD300" s="420"/>
      <c r="CE300" s="420"/>
      <c r="CF300" s="420"/>
      <c r="CG300" s="420"/>
      <c r="CH300" s="420"/>
      <c r="CI300" s="420"/>
      <c r="CJ300" s="420"/>
      <c r="CK300" s="420"/>
      <c r="CL300" s="420"/>
      <c r="CM300" s="420"/>
      <c r="CN300" s="420"/>
      <c r="CO300" s="420"/>
      <c r="CP300" s="420"/>
      <c r="CQ300" s="420"/>
      <c r="CR300" s="420"/>
    </row>
    <row r="301" spans="1:97" s="118" customFormat="1" ht="12.75" x14ac:dyDescent="0.2">
      <c r="A301" s="705">
        <v>295</v>
      </c>
      <c r="B301" s="718" t="s">
        <v>478</v>
      </c>
      <c r="C301" s="719" t="s">
        <v>479</v>
      </c>
      <c r="D301" s="708">
        <v>80300</v>
      </c>
      <c r="E301" s="708">
        <v>32227000</v>
      </c>
      <c r="F301" s="133">
        <v>15772724</v>
      </c>
      <c r="G301" s="133">
        <v>-2776918</v>
      </c>
      <c r="H301" s="133">
        <v>210152</v>
      </c>
      <c r="I301" s="133">
        <v>-2566766</v>
      </c>
      <c r="J301" s="133">
        <v>-1369420</v>
      </c>
      <c r="K301" s="133">
        <v>-75167</v>
      </c>
      <c r="L301" s="133">
        <v>-43030</v>
      </c>
      <c r="M301" s="133">
        <v>-10000</v>
      </c>
      <c r="N301" s="133">
        <v>-466881</v>
      </c>
      <c r="O301" s="133">
        <v>-51000</v>
      </c>
      <c r="P301" s="133">
        <v>-15000</v>
      </c>
      <c r="Q301" s="133">
        <v>-5000</v>
      </c>
      <c r="R301" s="133">
        <v>0</v>
      </c>
      <c r="S301" s="133">
        <v>0</v>
      </c>
      <c r="T301" s="133">
        <v>0</v>
      </c>
      <c r="U301" s="133">
        <v>0</v>
      </c>
      <c r="V301" s="133">
        <v>0</v>
      </c>
      <c r="W301" s="709"/>
      <c r="X301" s="709"/>
      <c r="Y301" s="709"/>
      <c r="Z301" s="133">
        <v>-43030</v>
      </c>
      <c r="AA301" s="133">
        <v>-1500</v>
      </c>
      <c r="AB301" s="133">
        <v>10249898</v>
      </c>
      <c r="AC301" s="133">
        <v>-431503</v>
      </c>
      <c r="AD301" s="709"/>
      <c r="AE301" s="710">
        <v>197</v>
      </c>
      <c r="AF301" s="711">
        <v>28</v>
      </c>
      <c r="AG301" s="710">
        <v>31</v>
      </c>
      <c r="AH301" s="710">
        <v>0</v>
      </c>
      <c r="AI301" s="710">
        <v>94</v>
      </c>
      <c r="AJ301" s="710">
        <v>80</v>
      </c>
      <c r="AK301" s="710">
        <v>6</v>
      </c>
      <c r="AL301" s="710">
        <v>6</v>
      </c>
      <c r="AM301" s="710">
        <v>0</v>
      </c>
      <c r="AN301" s="710">
        <v>0</v>
      </c>
      <c r="AO301" s="710">
        <v>0</v>
      </c>
      <c r="AP301" s="711">
        <v>0</v>
      </c>
      <c r="AQ301" s="709"/>
      <c r="AR301" s="709"/>
      <c r="AS301" s="720">
        <v>466</v>
      </c>
      <c r="AT301" s="710">
        <v>1039</v>
      </c>
      <c r="AU301" s="710">
        <v>1001</v>
      </c>
      <c r="AV301" s="710">
        <v>38</v>
      </c>
      <c r="AW301" s="710">
        <v>785</v>
      </c>
      <c r="AX301" s="712">
        <v>2289</v>
      </c>
      <c r="AY301" s="683">
        <v>-23068</v>
      </c>
      <c r="AZ301" s="713">
        <v>780491</v>
      </c>
      <c r="BA301" s="714">
        <v>545478</v>
      </c>
      <c r="BB301" s="715">
        <v>6228950</v>
      </c>
      <c r="BC301" s="715">
        <v>0</v>
      </c>
      <c r="BD301" s="716">
        <v>545478</v>
      </c>
      <c r="BE301" s="420"/>
      <c r="BF301" s="717" t="s">
        <v>479</v>
      </c>
      <c r="BG301" s="118" t="b">
        <v>1</v>
      </c>
      <c r="BH301" s="494"/>
      <c r="BI301" s="420"/>
      <c r="BJ301" s="420"/>
      <c r="BK301" s="420"/>
      <c r="BL301" s="420"/>
      <c r="BM301" s="420"/>
      <c r="BN301" s="420"/>
      <c r="BO301" s="420"/>
      <c r="BP301" s="420"/>
      <c r="BQ301" s="420"/>
      <c r="BR301" s="420"/>
      <c r="BS301" s="420"/>
      <c r="BT301" s="420"/>
      <c r="BU301" s="420"/>
      <c r="BV301" s="420"/>
      <c r="BW301" s="420"/>
      <c r="BX301" s="420"/>
      <c r="BY301" s="420"/>
      <c r="BZ301" s="420"/>
      <c r="CA301" s="420"/>
      <c r="CB301" s="420"/>
      <c r="CC301" s="420"/>
      <c r="CD301" s="420"/>
      <c r="CE301" s="420"/>
      <c r="CF301" s="420"/>
      <c r="CG301" s="420"/>
      <c r="CH301" s="420"/>
      <c r="CI301" s="420"/>
      <c r="CJ301" s="420"/>
      <c r="CK301" s="420"/>
      <c r="CL301" s="420"/>
      <c r="CM301" s="420"/>
      <c r="CN301" s="420"/>
      <c r="CO301" s="420"/>
      <c r="CP301" s="420"/>
      <c r="CQ301" s="420"/>
      <c r="CR301" s="420"/>
    </row>
    <row r="302" spans="1:97" s="118" customFormat="1" ht="12.75" x14ac:dyDescent="0.2">
      <c r="A302" s="705">
        <v>296</v>
      </c>
      <c r="B302" s="718" t="s">
        <v>480</v>
      </c>
      <c r="C302" s="719" t="s">
        <v>481</v>
      </c>
      <c r="D302" s="708">
        <v>125618</v>
      </c>
      <c r="E302" s="708">
        <v>79398000</v>
      </c>
      <c r="F302" s="133">
        <v>39231233</v>
      </c>
      <c r="G302" s="133">
        <v>-3658576</v>
      </c>
      <c r="H302" s="133">
        <v>693784</v>
      </c>
      <c r="I302" s="133">
        <v>-2964792</v>
      </c>
      <c r="J302" s="133">
        <v>-2691610</v>
      </c>
      <c r="K302" s="133">
        <v>0</v>
      </c>
      <c r="L302" s="133">
        <v>-1499</v>
      </c>
      <c r="M302" s="133">
        <v>-71116</v>
      </c>
      <c r="N302" s="133">
        <v>-445805</v>
      </c>
      <c r="O302" s="133">
        <v>-11441</v>
      </c>
      <c r="P302" s="133">
        <v>-15614</v>
      </c>
      <c r="Q302" s="133">
        <v>0</v>
      </c>
      <c r="R302" s="133">
        <v>0</v>
      </c>
      <c r="S302" s="133">
        <v>0</v>
      </c>
      <c r="T302" s="133">
        <v>0</v>
      </c>
      <c r="U302" s="133">
        <v>0</v>
      </c>
      <c r="V302" s="133">
        <v>0</v>
      </c>
      <c r="W302" s="709"/>
      <c r="X302" s="709"/>
      <c r="Y302" s="709"/>
      <c r="Z302" s="133">
        <v>-1499</v>
      </c>
      <c r="AA302" s="133">
        <v>0</v>
      </c>
      <c r="AB302" s="133">
        <v>32266477</v>
      </c>
      <c r="AC302" s="133">
        <v>-1451991</v>
      </c>
      <c r="AD302" s="709"/>
      <c r="AE302" s="710">
        <v>159</v>
      </c>
      <c r="AF302" s="711">
        <v>0</v>
      </c>
      <c r="AG302" s="710">
        <v>2</v>
      </c>
      <c r="AH302" s="710">
        <v>0</v>
      </c>
      <c r="AI302" s="710">
        <v>310</v>
      </c>
      <c r="AJ302" s="710">
        <v>11</v>
      </c>
      <c r="AK302" s="710">
        <v>12</v>
      </c>
      <c r="AL302" s="710">
        <v>0</v>
      </c>
      <c r="AM302" s="710">
        <v>0</v>
      </c>
      <c r="AN302" s="710">
        <v>0</v>
      </c>
      <c r="AO302" s="710">
        <v>0</v>
      </c>
      <c r="AP302" s="711">
        <v>0</v>
      </c>
      <c r="AQ302" s="709"/>
      <c r="AR302" s="709"/>
      <c r="AS302" s="720">
        <v>1114</v>
      </c>
      <c r="AT302" s="710">
        <v>1399</v>
      </c>
      <c r="AU302" s="710">
        <v>1318</v>
      </c>
      <c r="AV302" s="710">
        <v>81</v>
      </c>
      <c r="AW302" s="710">
        <v>764</v>
      </c>
      <c r="AX302" s="712">
        <v>3312</v>
      </c>
      <c r="AY302" s="683">
        <v>-7903</v>
      </c>
      <c r="AZ302" s="713">
        <v>763785</v>
      </c>
      <c r="BA302" s="714">
        <v>2193611</v>
      </c>
      <c r="BB302" s="715">
        <v>12725350</v>
      </c>
      <c r="BC302" s="715">
        <v>0</v>
      </c>
      <c r="BD302" s="716">
        <v>2193611</v>
      </c>
      <c r="BE302" s="420"/>
      <c r="BF302" s="717" t="s">
        <v>481</v>
      </c>
      <c r="BG302" s="118" t="b">
        <v>1</v>
      </c>
      <c r="BH302" s="494"/>
      <c r="BI302" s="420"/>
      <c r="BJ302" s="420"/>
      <c r="BK302" s="420"/>
      <c r="BL302" s="420"/>
      <c r="BM302" s="420"/>
      <c r="BN302" s="420"/>
      <c r="BO302" s="420"/>
      <c r="BP302" s="420"/>
      <c r="BQ302" s="420"/>
      <c r="BR302" s="420"/>
      <c r="BS302" s="420"/>
      <c r="BT302" s="420"/>
      <c r="BU302" s="420"/>
      <c r="BV302" s="420"/>
      <c r="BW302" s="420"/>
      <c r="BX302" s="420"/>
      <c r="BY302" s="420"/>
      <c r="BZ302" s="420"/>
      <c r="CA302" s="420"/>
      <c r="CB302" s="420"/>
      <c r="CC302" s="420"/>
      <c r="CD302" s="420"/>
      <c r="CE302" s="420"/>
      <c r="CF302" s="420"/>
      <c r="CG302" s="420"/>
      <c r="CH302" s="420"/>
      <c r="CI302" s="420"/>
      <c r="CJ302" s="420"/>
      <c r="CK302" s="420"/>
      <c r="CL302" s="420"/>
      <c r="CM302" s="420"/>
      <c r="CN302" s="420"/>
      <c r="CO302" s="420"/>
      <c r="CP302" s="420"/>
      <c r="CQ302" s="420"/>
      <c r="CR302" s="420"/>
    </row>
    <row r="303" spans="1:97" s="737" customFormat="1" ht="12.75" x14ac:dyDescent="0.2">
      <c r="A303" s="705">
        <v>297</v>
      </c>
      <c r="B303" s="718" t="s">
        <v>482</v>
      </c>
      <c r="C303" s="719" t="s">
        <v>483</v>
      </c>
      <c r="D303" s="708">
        <v>103497</v>
      </c>
      <c r="E303" s="708">
        <v>48084000</v>
      </c>
      <c r="F303" s="133">
        <v>23978526</v>
      </c>
      <c r="G303" s="133">
        <v>-2662308</v>
      </c>
      <c r="H303" s="133">
        <v>378436</v>
      </c>
      <c r="I303" s="133">
        <v>-2283872</v>
      </c>
      <c r="J303" s="133">
        <v>-1763416</v>
      </c>
      <c r="K303" s="133">
        <v>-35828</v>
      </c>
      <c r="L303" s="133">
        <v>-32045</v>
      </c>
      <c r="M303" s="133">
        <v>0</v>
      </c>
      <c r="N303" s="133">
        <v>-546866</v>
      </c>
      <c r="O303" s="133">
        <v>-43841</v>
      </c>
      <c r="P303" s="133">
        <v>-4124</v>
      </c>
      <c r="Q303" s="133">
        <v>-1787</v>
      </c>
      <c r="R303" s="133">
        <v>-2419</v>
      </c>
      <c r="S303" s="133">
        <v>-29626</v>
      </c>
      <c r="T303" s="133">
        <v>0</v>
      </c>
      <c r="U303" s="133">
        <v>0</v>
      </c>
      <c r="V303" s="133">
        <v>0</v>
      </c>
      <c r="W303" s="709"/>
      <c r="X303" s="709"/>
      <c r="Y303" s="709"/>
      <c r="Z303" s="133">
        <v>-29626</v>
      </c>
      <c r="AA303" s="133">
        <v>-3000</v>
      </c>
      <c r="AB303" s="133">
        <v>17992240</v>
      </c>
      <c r="AC303" s="133">
        <v>-496000</v>
      </c>
      <c r="AD303" s="709"/>
      <c r="AE303" s="710">
        <v>170</v>
      </c>
      <c r="AF303" s="711">
        <v>8</v>
      </c>
      <c r="AG303" s="710">
        <v>31</v>
      </c>
      <c r="AH303" s="710">
        <v>0</v>
      </c>
      <c r="AI303" s="710">
        <v>223</v>
      </c>
      <c r="AJ303" s="710">
        <v>91</v>
      </c>
      <c r="AK303" s="710">
        <v>4</v>
      </c>
      <c r="AL303" s="710">
        <v>5</v>
      </c>
      <c r="AM303" s="710">
        <v>1</v>
      </c>
      <c r="AN303" s="710">
        <v>30</v>
      </c>
      <c r="AO303" s="710">
        <v>0</v>
      </c>
      <c r="AP303" s="711">
        <v>0</v>
      </c>
      <c r="AQ303" s="709"/>
      <c r="AR303" s="709"/>
      <c r="AS303" s="720">
        <v>1202</v>
      </c>
      <c r="AT303" s="710">
        <v>1197</v>
      </c>
      <c r="AU303" s="710">
        <v>1150</v>
      </c>
      <c r="AV303" s="710">
        <v>47</v>
      </c>
      <c r="AW303" s="710">
        <v>957</v>
      </c>
      <c r="AX303" s="712">
        <v>2887</v>
      </c>
      <c r="AY303" s="683">
        <v>-24252</v>
      </c>
      <c r="AZ303" s="713">
        <v>453252</v>
      </c>
      <c r="BA303" s="714">
        <v>-13001</v>
      </c>
      <c r="BB303" s="715">
        <v>8189500</v>
      </c>
      <c r="BC303" s="715">
        <v>0</v>
      </c>
      <c r="BD303" s="716">
        <v>-74666</v>
      </c>
      <c r="BE303" s="420"/>
      <c r="BF303" s="717" t="s">
        <v>483</v>
      </c>
      <c r="BG303" s="118" t="b">
        <v>1</v>
      </c>
      <c r="BH303" s="494"/>
      <c r="BI303" s="420"/>
      <c r="BJ303" s="420"/>
      <c r="BK303" s="420"/>
      <c r="BL303" s="420"/>
      <c r="BM303" s="420"/>
      <c r="BN303" s="420"/>
      <c r="BO303" s="420"/>
      <c r="BP303" s="420"/>
      <c r="BQ303" s="420"/>
      <c r="BR303" s="420"/>
      <c r="BS303" s="420"/>
      <c r="BT303" s="420"/>
      <c r="BU303" s="420"/>
      <c r="BV303" s="420"/>
      <c r="BW303" s="420"/>
      <c r="BX303" s="420"/>
      <c r="BY303" s="420"/>
      <c r="BZ303" s="420"/>
      <c r="CA303" s="420"/>
      <c r="CB303" s="420"/>
      <c r="CC303" s="420"/>
      <c r="CD303" s="420"/>
      <c r="CE303" s="420"/>
      <c r="CF303" s="420"/>
      <c r="CG303" s="420"/>
      <c r="CH303" s="420"/>
      <c r="CI303" s="420"/>
      <c r="CJ303" s="420"/>
      <c r="CK303" s="420"/>
      <c r="CL303" s="420"/>
      <c r="CM303" s="420"/>
      <c r="CN303" s="420"/>
      <c r="CO303" s="420"/>
      <c r="CP303" s="420"/>
      <c r="CQ303" s="420"/>
      <c r="CR303" s="420"/>
      <c r="CS303" s="118"/>
    </row>
    <row r="304" spans="1:97" s="118" customFormat="1" ht="12.75" x14ac:dyDescent="0.2">
      <c r="A304" s="705">
        <v>298</v>
      </c>
      <c r="B304" s="718" t="s">
        <v>484</v>
      </c>
      <c r="C304" s="719" t="s">
        <v>485</v>
      </c>
      <c r="D304" s="708">
        <v>163212</v>
      </c>
      <c r="E304" s="708">
        <v>100332000</v>
      </c>
      <c r="F304" s="133">
        <v>48577724</v>
      </c>
      <c r="G304" s="133">
        <v>-3866318</v>
      </c>
      <c r="H304" s="133">
        <v>803457</v>
      </c>
      <c r="I304" s="133">
        <v>-3062861</v>
      </c>
      <c r="J304" s="133">
        <v>-3334796</v>
      </c>
      <c r="K304" s="133">
        <v>-54490</v>
      </c>
      <c r="L304" s="133">
        <v>-29156</v>
      </c>
      <c r="M304" s="133">
        <v>0</v>
      </c>
      <c r="N304" s="133">
        <v>-888590</v>
      </c>
      <c r="O304" s="133">
        <v>-103668</v>
      </c>
      <c r="P304" s="133">
        <v>-9765</v>
      </c>
      <c r="Q304" s="133">
        <v>0</v>
      </c>
      <c r="R304" s="133">
        <v>0</v>
      </c>
      <c r="S304" s="133">
        <v>0</v>
      </c>
      <c r="T304" s="133">
        <v>0</v>
      </c>
      <c r="U304" s="133">
        <v>0</v>
      </c>
      <c r="V304" s="133">
        <v>0</v>
      </c>
      <c r="W304" s="709"/>
      <c r="X304" s="709"/>
      <c r="Y304" s="709"/>
      <c r="Z304" s="133">
        <v>-29156</v>
      </c>
      <c r="AA304" s="133">
        <v>0</v>
      </c>
      <c r="AB304" s="133">
        <v>39031922</v>
      </c>
      <c r="AC304" s="133">
        <v>-1776038</v>
      </c>
      <c r="AD304" s="709"/>
      <c r="AE304" s="710">
        <v>272</v>
      </c>
      <c r="AF304" s="711">
        <v>18</v>
      </c>
      <c r="AG304" s="710">
        <v>19</v>
      </c>
      <c r="AH304" s="710">
        <v>0</v>
      </c>
      <c r="AI304" s="710">
        <v>125</v>
      </c>
      <c r="AJ304" s="710">
        <v>29</v>
      </c>
      <c r="AK304" s="710">
        <v>2</v>
      </c>
      <c r="AL304" s="710">
        <v>0</v>
      </c>
      <c r="AM304" s="710">
        <v>0</v>
      </c>
      <c r="AN304" s="710">
        <v>0</v>
      </c>
      <c r="AO304" s="710">
        <v>0</v>
      </c>
      <c r="AP304" s="711">
        <v>0</v>
      </c>
      <c r="AQ304" s="709"/>
      <c r="AR304" s="709"/>
      <c r="AS304" s="720">
        <v>860</v>
      </c>
      <c r="AT304" s="710">
        <v>1526</v>
      </c>
      <c r="AU304" s="710">
        <v>1391</v>
      </c>
      <c r="AV304" s="710">
        <v>135</v>
      </c>
      <c r="AW304" s="710">
        <v>1593</v>
      </c>
      <c r="AX304" s="712">
        <v>4064</v>
      </c>
      <c r="AY304" s="683">
        <v>-58588</v>
      </c>
      <c r="AZ304" s="713">
        <v>713497</v>
      </c>
      <c r="BA304" s="714">
        <v>-1316307</v>
      </c>
      <c r="BB304" s="715">
        <v>19476141</v>
      </c>
      <c r="BC304" s="715">
        <v>0</v>
      </c>
      <c r="BD304" s="716">
        <v>-1316306</v>
      </c>
      <c r="BE304" s="420"/>
      <c r="BF304" s="717" t="s">
        <v>485</v>
      </c>
      <c r="BG304" s="118" t="b">
        <v>1</v>
      </c>
      <c r="BH304" s="494"/>
      <c r="BI304" s="420"/>
      <c r="BJ304" s="420"/>
      <c r="BK304" s="420"/>
      <c r="BL304" s="420"/>
      <c r="BM304" s="420"/>
      <c r="BN304" s="420"/>
      <c r="BO304" s="420"/>
      <c r="BP304" s="420"/>
      <c r="BQ304" s="420"/>
      <c r="BR304" s="420"/>
      <c r="BS304" s="420"/>
      <c r="BT304" s="420"/>
      <c r="BU304" s="420"/>
      <c r="BV304" s="420"/>
      <c r="BW304" s="420"/>
      <c r="BX304" s="420"/>
      <c r="BY304" s="420"/>
      <c r="BZ304" s="420"/>
      <c r="CA304" s="420"/>
      <c r="CB304" s="420"/>
      <c r="CC304" s="420"/>
      <c r="CD304" s="420"/>
      <c r="CE304" s="420"/>
      <c r="CF304" s="420"/>
      <c r="CG304" s="420"/>
      <c r="CH304" s="420"/>
      <c r="CI304" s="420"/>
      <c r="CJ304" s="420"/>
      <c r="CK304" s="420"/>
      <c r="CL304" s="420"/>
      <c r="CM304" s="420"/>
      <c r="CN304" s="420"/>
      <c r="CO304" s="420"/>
      <c r="CP304" s="420"/>
      <c r="CQ304" s="420"/>
      <c r="CR304" s="420"/>
    </row>
    <row r="305" spans="1:97" s="118" customFormat="1" ht="12.75" x14ac:dyDescent="0.2">
      <c r="A305" s="705">
        <v>299</v>
      </c>
      <c r="B305" s="721" t="s">
        <v>1131</v>
      </c>
      <c r="C305" s="722" t="s">
        <v>1132</v>
      </c>
      <c r="D305" s="723">
        <v>245044</v>
      </c>
      <c r="E305" s="723">
        <v>177690000</v>
      </c>
      <c r="F305" s="133">
        <v>86913917</v>
      </c>
      <c r="G305" s="133">
        <v>-5939789</v>
      </c>
      <c r="H305" s="133">
        <v>1579697</v>
      </c>
      <c r="I305" s="133">
        <v>-4360092</v>
      </c>
      <c r="J305" s="133">
        <v>-4805204</v>
      </c>
      <c r="K305" s="133">
        <v>-43936</v>
      </c>
      <c r="L305" s="133">
        <v>-49219</v>
      </c>
      <c r="M305" s="133">
        <v>-101921</v>
      </c>
      <c r="N305" s="133">
        <v>-1608970</v>
      </c>
      <c r="O305" s="133">
        <v>-56744</v>
      </c>
      <c r="P305" s="133">
        <v>-19809</v>
      </c>
      <c r="Q305" s="133">
        <v>-5520</v>
      </c>
      <c r="R305" s="133">
        <v>-2344</v>
      </c>
      <c r="S305" s="133">
        <v>-969</v>
      </c>
      <c r="T305" s="133">
        <v>0</v>
      </c>
      <c r="U305" s="133">
        <v>0</v>
      </c>
      <c r="V305" s="133">
        <v>0</v>
      </c>
      <c r="W305" s="709">
        <v>0</v>
      </c>
      <c r="X305" s="709">
        <v>0</v>
      </c>
      <c r="Y305" s="709">
        <v>0</v>
      </c>
      <c r="Z305" s="133">
        <v>-46876</v>
      </c>
      <c r="AA305" s="133">
        <v>-5455</v>
      </c>
      <c r="AB305" s="133">
        <v>73567637</v>
      </c>
      <c r="AC305" s="133">
        <v>-3118738</v>
      </c>
      <c r="AD305" s="709">
        <v>0</v>
      </c>
      <c r="AE305" s="710">
        <v>408</v>
      </c>
      <c r="AF305" s="711">
        <v>13</v>
      </c>
      <c r="AG305" s="710">
        <v>36</v>
      </c>
      <c r="AH305" s="710">
        <v>0</v>
      </c>
      <c r="AI305" s="710">
        <v>462</v>
      </c>
      <c r="AJ305" s="710">
        <v>103</v>
      </c>
      <c r="AK305" s="710">
        <v>10</v>
      </c>
      <c r="AL305" s="710">
        <v>12</v>
      </c>
      <c r="AM305" s="710">
        <v>1</v>
      </c>
      <c r="AN305" s="710">
        <v>2</v>
      </c>
      <c r="AO305" s="710">
        <v>0</v>
      </c>
      <c r="AP305" s="711">
        <v>0</v>
      </c>
      <c r="AQ305" s="709">
        <v>0</v>
      </c>
      <c r="AR305" s="709">
        <v>0</v>
      </c>
      <c r="AS305" s="720">
        <v>1434</v>
      </c>
      <c r="AT305" s="710">
        <v>2265</v>
      </c>
      <c r="AU305" s="710">
        <v>2099</v>
      </c>
      <c r="AV305" s="710">
        <v>166</v>
      </c>
      <c r="AW305" s="710">
        <v>2506</v>
      </c>
      <c r="AX305" s="712">
        <v>6198</v>
      </c>
      <c r="AY305" s="683">
        <v>-33931</v>
      </c>
      <c r="AZ305" s="713">
        <v>-1345854.7199999988</v>
      </c>
      <c r="BA305" s="714">
        <v>-818549.71999999881</v>
      </c>
      <c r="BB305" s="715">
        <v>30082450</v>
      </c>
      <c r="BC305" s="715">
        <v>0</v>
      </c>
      <c r="BD305" s="716">
        <v>-826736.71999999881</v>
      </c>
      <c r="BE305" s="420"/>
      <c r="BF305" s="717" t="s">
        <v>1132</v>
      </c>
      <c r="BG305" s="118" t="b">
        <v>1</v>
      </c>
      <c r="BH305" s="494"/>
      <c r="BI305" s="420"/>
      <c r="BJ305" s="420"/>
      <c r="BK305" s="420"/>
      <c r="BL305" s="420"/>
      <c r="BM305" s="420"/>
      <c r="BN305" s="420"/>
      <c r="BO305" s="420"/>
      <c r="BP305" s="420"/>
      <c r="BQ305" s="420"/>
      <c r="BR305" s="420"/>
      <c r="BS305" s="420"/>
      <c r="BT305" s="420"/>
      <c r="BU305" s="420"/>
      <c r="BV305" s="420"/>
      <c r="BW305" s="420"/>
      <c r="BX305" s="420"/>
      <c r="BY305" s="420"/>
      <c r="BZ305" s="420"/>
      <c r="CA305" s="420"/>
      <c r="CB305" s="420"/>
      <c r="CC305" s="420"/>
      <c r="CD305" s="420"/>
      <c r="CE305" s="420"/>
      <c r="CF305" s="420"/>
      <c r="CG305" s="420"/>
      <c r="CH305" s="420"/>
      <c r="CI305" s="420"/>
      <c r="CJ305" s="420"/>
      <c r="CK305" s="420"/>
      <c r="CL305" s="420"/>
      <c r="CM305" s="420"/>
      <c r="CN305" s="420"/>
      <c r="CO305" s="420"/>
      <c r="CP305" s="420"/>
      <c r="CQ305" s="420"/>
      <c r="CR305" s="420"/>
      <c r="CS305" s="420"/>
    </row>
    <row r="306" spans="1:97" s="118" customFormat="1" ht="12.75" x14ac:dyDescent="0.2">
      <c r="A306" s="705">
        <v>300</v>
      </c>
      <c r="B306" s="718" t="s">
        <v>486</v>
      </c>
      <c r="C306" s="719" t="s">
        <v>487</v>
      </c>
      <c r="D306" s="708">
        <v>3314261</v>
      </c>
      <c r="E306" s="708">
        <v>5147006000</v>
      </c>
      <c r="F306" s="133">
        <v>2547966097</v>
      </c>
      <c r="G306" s="133">
        <v>-4683371</v>
      </c>
      <c r="H306" s="133">
        <v>63517278</v>
      </c>
      <c r="I306" s="133">
        <v>58833907</v>
      </c>
      <c r="J306" s="133">
        <v>-87163849</v>
      </c>
      <c r="K306" s="133">
        <v>-23789</v>
      </c>
      <c r="L306" s="133">
        <v>0</v>
      </c>
      <c r="M306" s="133">
        <v>-10000000</v>
      </c>
      <c r="N306" s="133">
        <v>-152970620</v>
      </c>
      <c r="O306" s="133">
        <v>-273275</v>
      </c>
      <c r="P306" s="133">
        <v>-6961</v>
      </c>
      <c r="Q306" s="133">
        <v>-1487</v>
      </c>
      <c r="R306" s="133">
        <v>0</v>
      </c>
      <c r="S306" s="133">
        <v>0</v>
      </c>
      <c r="T306" s="133">
        <v>0</v>
      </c>
      <c r="U306" s="133">
        <v>0</v>
      </c>
      <c r="V306" s="133">
        <v>0</v>
      </c>
      <c r="W306" s="709"/>
      <c r="X306" s="709"/>
      <c r="Y306" s="709"/>
      <c r="Z306" s="133">
        <v>0</v>
      </c>
      <c r="AA306" s="133">
        <v>0</v>
      </c>
      <c r="AB306" s="133">
        <v>2333613055</v>
      </c>
      <c r="AC306" s="133">
        <v>-102678974</v>
      </c>
      <c r="AD306" s="709"/>
      <c r="AE306" s="710">
        <v>1167</v>
      </c>
      <c r="AF306" s="711">
        <v>1</v>
      </c>
      <c r="AG306" s="710">
        <v>0</v>
      </c>
      <c r="AH306" s="710">
        <v>5</v>
      </c>
      <c r="AI306" s="710">
        <v>6547</v>
      </c>
      <c r="AJ306" s="710">
        <v>93</v>
      </c>
      <c r="AK306" s="710">
        <v>5</v>
      </c>
      <c r="AL306" s="710">
        <v>1</v>
      </c>
      <c r="AM306" s="710">
        <v>0</v>
      </c>
      <c r="AN306" s="710">
        <v>0</v>
      </c>
      <c r="AO306" s="710">
        <v>0</v>
      </c>
      <c r="AP306" s="711">
        <v>0</v>
      </c>
      <c r="AQ306" s="709"/>
      <c r="AR306" s="709"/>
      <c r="AS306" s="720">
        <v>19479</v>
      </c>
      <c r="AT306" s="710">
        <v>1351</v>
      </c>
      <c r="AU306" s="710">
        <v>1016</v>
      </c>
      <c r="AV306" s="710">
        <v>335</v>
      </c>
      <c r="AW306" s="710">
        <v>16284</v>
      </c>
      <c r="AX306" s="712">
        <v>39286</v>
      </c>
      <c r="AY306" s="683">
        <v>-71248</v>
      </c>
      <c r="AZ306" s="713">
        <v>3394928</v>
      </c>
      <c r="BA306" s="714">
        <v>7858331</v>
      </c>
      <c r="BB306" s="715">
        <v>160446750</v>
      </c>
      <c r="BC306" s="715">
        <v>0</v>
      </c>
      <c r="BD306" s="716">
        <v>7858330.601000309</v>
      </c>
      <c r="BE306" s="420"/>
      <c r="BF306" s="717" t="s">
        <v>487</v>
      </c>
      <c r="BG306" s="118" t="b">
        <v>1</v>
      </c>
      <c r="BH306" s="494"/>
      <c r="BI306" s="420"/>
      <c r="BJ306" s="420"/>
      <c r="BK306" s="420"/>
      <c r="BL306" s="420"/>
      <c r="BM306" s="420"/>
      <c r="BN306" s="420"/>
      <c r="BO306" s="420"/>
      <c r="BP306" s="420"/>
      <c r="BQ306" s="420"/>
      <c r="BR306" s="420"/>
      <c r="BS306" s="420"/>
      <c r="BT306" s="420"/>
      <c r="BU306" s="420"/>
      <c r="BV306" s="420"/>
      <c r="BW306" s="420"/>
      <c r="BX306" s="420"/>
      <c r="BY306" s="420"/>
      <c r="BZ306" s="420"/>
      <c r="CA306" s="420"/>
      <c r="CB306" s="420"/>
      <c r="CC306" s="420"/>
      <c r="CD306" s="420"/>
      <c r="CE306" s="420"/>
      <c r="CF306" s="420"/>
      <c r="CG306" s="420"/>
      <c r="CH306" s="420"/>
      <c r="CI306" s="420"/>
      <c r="CJ306" s="420"/>
      <c r="CK306" s="420"/>
      <c r="CL306" s="420"/>
      <c r="CM306" s="420"/>
      <c r="CN306" s="420"/>
      <c r="CO306" s="420"/>
      <c r="CP306" s="420"/>
      <c r="CQ306" s="420"/>
      <c r="CR306" s="420"/>
    </row>
    <row r="307" spans="1:97" s="118" customFormat="1" ht="12.75" x14ac:dyDescent="0.2">
      <c r="A307" s="705">
        <v>301</v>
      </c>
      <c r="B307" s="718" t="s">
        <v>488</v>
      </c>
      <c r="C307" s="719" t="s">
        <v>489</v>
      </c>
      <c r="D307" s="708">
        <v>368903</v>
      </c>
      <c r="E307" s="708">
        <v>214284000</v>
      </c>
      <c r="F307" s="133">
        <v>104905636</v>
      </c>
      <c r="G307" s="133">
        <v>-10879628</v>
      </c>
      <c r="H307" s="133">
        <v>1859015</v>
      </c>
      <c r="I307" s="133">
        <v>-9020613</v>
      </c>
      <c r="J307" s="133">
        <v>-6145487</v>
      </c>
      <c r="K307" s="133">
        <v>-151643</v>
      </c>
      <c r="L307" s="133">
        <v>0</v>
      </c>
      <c r="M307" s="133">
        <v>0</v>
      </c>
      <c r="N307" s="133">
        <v>-3203641</v>
      </c>
      <c r="O307" s="133">
        <v>-716525</v>
      </c>
      <c r="P307" s="133">
        <v>-350348</v>
      </c>
      <c r="Q307" s="133">
        <v>-29539</v>
      </c>
      <c r="R307" s="133">
        <v>0</v>
      </c>
      <c r="S307" s="133">
        <v>0</v>
      </c>
      <c r="T307" s="133">
        <v>0</v>
      </c>
      <c r="U307" s="133">
        <v>0</v>
      </c>
      <c r="V307" s="133">
        <v>0</v>
      </c>
      <c r="W307" s="709"/>
      <c r="X307" s="709"/>
      <c r="Y307" s="709"/>
      <c r="Z307" s="133">
        <v>0</v>
      </c>
      <c r="AA307" s="133">
        <v>-1500</v>
      </c>
      <c r="AB307" s="133">
        <v>85246755</v>
      </c>
      <c r="AC307" s="133">
        <v>-3257432</v>
      </c>
      <c r="AD307" s="709"/>
      <c r="AE307" s="710">
        <v>367</v>
      </c>
      <c r="AF307" s="711">
        <v>10</v>
      </c>
      <c r="AG307" s="710">
        <v>0</v>
      </c>
      <c r="AH307" s="710">
        <v>0</v>
      </c>
      <c r="AI307" s="710">
        <v>1587</v>
      </c>
      <c r="AJ307" s="710">
        <v>209</v>
      </c>
      <c r="AK307" s="710">
        <v>43</v>
      </c>
      <c r="AL307" s="710">
        <v>7</v>
      </c>
      <c r="AM307" s="710">
        <v>0</v>
      </c>
      <c r="AN307" s="710">
        <v>0</v>
      </c>
      <c r="AO307" s="710">
        <v>0</v>
      </c>
      <c r="AP307" s="711">
        <v>0</v>
      </c>
      <c r="AQ307" s="709"/>
      <c r="AR307" s="709"/>
      <c r="AS307" s="720">
        <v>2389</v>
      </c>
      <c r="AT307" s="710">
        <v>5722</v>
      </c>
      <c r="AU307" s="710">
        <v>5494</v>
      </c>
      <c r="AV307" s="710">
        <v>228</v>
      </c>
      <c r="AW307" s="710">
        <v>1903</v>
      </c>
      <c r="AX307" s="712">
        <v>9700</v>
      </c>
      <c r="AY307" s="683">
        <v>-20983</v>
      </c>
      <c r="AZ307" s="713">
        <v>11305868</v>
      </c>
      <c r="BA307" s="714">
        <v>11201059</v>
      </c>
      <c r="BB307" s="715">
        <v>30397200</v>
      </c>
      <c r="BC307" s="715">
        <v>0</v>
      </c>
      <c r="BD307" s="716">
        <v>11201059</v>
      </c>
      <c r="BE307" s="420"/>
      <c r="BF307" s="717" t="s">
        <v>489</v>
      </c>
      <c r="BG307" s="118" t="b">
        <v>1</v>
      </c>
      <c r="BH307" s="494"/>
      <c r="BI307" s="420"/>
      <c r="BJ307" s="420"/>
      <c r="BK307" s="420"/>
      <c r="BL307" s="420"/>
      <c r="BM307" s="420"/>
      <c r="BN307" s="420"/>
      <c r="BO307" s="420"/>
      <c r="BP307" s="420"/>
      <c r="BQ307" s="420"/>
      <c r="BR307" s="420"/>
      <c r="BS307" s="420"/>
      <c r="BT307" s="420"/>
      <c r="BU307" s="420"/>
      <c r="BV307" s="420"/>
      <c r="BW307" s="420"/>
      <c r="BX307" s="420"/>
      <c r="BY307" s="420"/>
      <c r="BZ307" s="420"/>
      <c r="CA307" s="420"/>
      <c r="CB307" s="420"/>
      <c r="CC307" s="420"/>
      <c r="CD307" s="420"/>
      <c r="CE307" s="420"/>
      <c r="CF307" s="420"/>
      <c r="CG307" s="420"/>
      <c r="CH307" s="420"/>
      <c r="CI307" s="420"/>
      <c r="CJ307" s="420"/>
      <c r="CK307" s="420"/>
      <c r="CL307" s="420"/>
      <c r="CM307" s="420"/>
      <c r="CN307" s="420"/>
      <c r="CO307" s="420"/>
      <c r="CP307" s="420"/>
      <c r="CQ307" s="420"/>
      <c r="CR307" s="420"/>
    </row>
    <row r="308" spans="1:97" s="118" customFormat="1" ht="12.75" x14ac:dyDescent="0.2">
      <c r="A308" s="705">
        <v>302</v>
      </c>
      <c r="B308" s="718" t="s">
        <v>490</v>
      </c>
      <c r="C308" s="719" t="s">
        <v>491</v>
      </c>
      <c r="D308" s="708">
        <v>616375</v>
      </c>
      <c r="E308" s="708">
        <v>388572000</v>
      </c>
      <c r="F308" s="133">
        <v>185108589</v>
      </c>
      <c r="G308" s="133">
        <v>-17254517</v>
      </c>
      <c r="H308" s="133">
        <v>3394536</v>
      </c>
      <c r="I308" s="133">
        <v>-13859981</v>
      </c>
      <c r="J308" s="133">
        <v>-12045376</v>
      </c>
      <c r="K308" s="133">
        <v>-110149</v>
      </c>
      <c r="L308" s="133">
        <v>-162227</v>
      </c>
      <c r="M308" s="133">
        <v>-100000</v>
      </c>
      <c r="N308" s="133">
        <v>-2913856</v>
      </c>
      <c r="O308" s="133">
        <v>-226961</v>
      </c>
      <c r="P308" s="133">
        <v>-464258</v>
      </c>
      <c r="Q308" s="133">
        <v>-1191</v>
      </c>
      <c r="R308" s="133">
        <v>0</v>
      </c>
      <c r="S308" s="133">
        <v>0</v>
      </c>
      <c r="T308" s="133">
        <v>0</v>
      </c>
      <c r="U308" s="133">
        <v>0</v>
      </c>
      <c r="V308" s="133">
        <v>0</v>
      </c>
      <c r="W308" s="709"/>
      <c r="X308" s="709"/>
      <c r="Y308" s="709"/>
      <c r="Z308" s="133">
        <v>-163165</v>
      </c>
      <c r="AA308" s="133">
        <v>0</v>
      </c>
      <c r="AB308" s="133">
        <v>153520927</v>
      </c>
      <c r="AC308" s="133">
        <v>-1919012</v>
      </c>
      <c r="AD308" s="709"/>
      <c r="AE308" s="710">
        <v>1043</v>
      </c>
      <c r="AF308" s="711">
        <v>35</v>
      </c>
      <c r="AG308" s="710">
        <v>129</v>
      </c>
      <c r="AH308" s="710">
        <v>2</v>
      </c>
      <c r="AI308" s="710">
        <v>1314</v>
      </c>
      <c r="AJ308" s="710">
        <v>389</v>
      </c>
      <c r="AK308" s="710">
        <v>17</v>
      </c>
      <c r="AL308" s="710">
        <v>8</v>
      </c>
      <c r="AM308" s="710">
        <v>0</v>
      </c>
      <c r="AN308" s="710">
        <v>0</v>
      </c>
      <c r="AO308" s="710">
        <v>0</v>
      </c>
      <c r="AP308" s="711">
        <v>0</v>
      </c>
      <c r="AQ308" s="709"/>
      <c r="AR308" s="709"/>
      <c r="AS308" s="720">
        <v>3751</v>
      </c>
      <c r="AT308" s="710">
        <v>6633</v>
      </c>
      <c r="AU308" s="710">
        <v>6222</v>
      </c>
      <c r="AV308" s="710">
        <v>411</v>
      </c>
      <c r="AW308" s="710">
        <v>5361</v>
      </c>
      <c r="AX308" s="712">
        <v>15826</v>
      </c>
      <c r="AY308" s="683">
        <v>-179511</v>
      </c>
      <c r="AZ308" s="713">
        <v>-8912275</v>
      </c>
      <c r="BA308" s="714">
        <v>-6281600</v>
      </c>
      <c r="BB308" s="715">
        <v>52849025</v>
      </c>
      <c r="BC308" s="715">
        <v>0</v>
      </c>
      <c r="BD308" s="716">
        <v>-6281600</v>
      </c>
      <c r="BE308" s="420"/>
      <c r="BF308" s="717" t="s">
        <v>491</v>
      </c>
      <c r="BG308" s="118" t="b">
        <v>1</v>
      </c>
      <c r="BH308" s="494"/>
      <c r="BI308" s="420"/>
      <c r="BJ308" s="420"/>
      <c r="BK308" s="420"/>
      <c r="BL308" s="420"/>
      <c r="BM308" s="420"/>
      <c r="BN308" s="420"/>
      <c r="BO308" s="420"/>
      <c r="BP308" s="420"/>
      <c r="BQ308" s="420"/>
      <c r="BR308" s="420"/>
      <c r="BS308" s="420"/>
      <c r="BT308" s="420"/>
      <c r="BU308" s="420"/>
      <c r="BV308" s="420"/>
      <c r="BW308" s="420"/>
      <c r="BX308" s="420"/>
      <c r="BY308" s="420"/>
      <c r="BZ308" s="420"/>
      <c r="CA308" s="420"/>
      <c r="CB308" s="420"/>
      <c r="CC308" s="420"/>
      <c r="CD308" s="420"/>
      <c r="CE308" s="420"/>
      <c r="CF308" s="420"/>
      <c r="CG308" s="420"/>
      <c r="CH308" s="420"/>
      <c r="CI308" s="420"/>
      <c r="CJ308" s="420"/>
      <c r="CK308" s="420"/>
      <c r="CL308" s="420"/>
      <c r="CM308" s="420"/>
      <c r="CN308" s="420"/>
      <c r="CO308" s="420"/>
      <c r="CP308" s="420"/>
      <c r="CQ308" s="420"/>
      <c r="CR308" s="420"/>
    </row>
    <row r="309" spans="1:97" s="118" customFormat="1" ht="12.75" x14ac:dyDescent="0.2">
      <c r="A309" s="705">
        <v>303</v>
      </c>
      <c r="B309" s="718" t="s">
        <v>492</v>
      </c>
      <c r="C309" s="719" t="s">
        <v>493</v>
      </c>
      <c r="D309" s="708">
        <v>203160</v>
      </c>
      <c r="E309" s="708">
        <v>154506000</v>
      </c>
      <c r="F309" s="133">
        <v>75066483</v>
      </c>
      <c r="G309" s="133">
        <v>-4476962</v>
      </c>
      <c r="H309" s="133">
        <v>1407320</v>
      </c>
      <c r="I309" s="133">
        <v>-3069642</v>
      </c>
      <c r="J309" s="133">
        <v>-4587356</v>
      </c>
      <c r="K309" s="133">
        <v>-46252</v>
      </c>
      <c r="L309" s="133">
        <v>-10687</v>
      </c>
      <c r="M309" s="133">
        <v>-10000</v>
      </c>
      <c r="N309" s="133">
        <v>-1068701</v>
      </c>
      <c r="O309" s="133">
        <v>-59521</v>
      </c>
      <c r="P309" s="133">
        <v>-228257</v>
      </c>
      <c r="Q309" s="133">
        <v>-4203</v>
      </c>
      <c r="R309" s="133">
        <v>0</v>
      </c>
      <c r="S309" s="133">
        <v>0</v>
      </c>
      <c r="T309" s="133">
        <v>0</v>
      </c>
      <c r="U309" s="133">
        <v>0</v>
      </c>
      <c r="V309" s="133">
        <v>0</v>
      </c>
      <c r="W309" s="709"/>
      <c r="X309" s="709"/>
      <c r="Y309" s="709"/>
      <c r="Z309" s="133">
        <v>-5974</v>
      </c>
      <c r="AA309" s="133">
        <v>-1500</v>
      </c>
      <c r="AB309" s="133">
        <v>63788190</v>
      </c>
      <c r="AC309" s="133">
        <v>-2998045</v>
      </c>
      <c r="AD309" s="709"/>
      <c r="AE309" s="710">
        <v>216</v>
      </c>
      <c r="AF309" s="711">
        <v>21</v>
      </c>
      <c r="AG309" s="710">
        <v>7</v>
      </c>
      <c r="AH309" s="710">
        <v>0</v>
      </c>
      <c r="AI309" s="710">
        <v>373</v>
      </c>
      <c r="AJ309" s="710">
        <v>87</v>
      </c>
      <c r="AK309" s="710">
        <v>3</v>
      </c>
      <c r="AL309" s="710">
        <v>7</v>
      </c>
      <c r="AM309" s="710">
        <v>8</v>
      </c>
      <c r="AN309" s="710">
        <v>0</v>
      </c>
      <c r="AO309" s="710">
        <v>0</v>
      </c>
      <c r="AP309" s="711">
        <v>0</v>
      </c>
      <c r="AQ309" s="709"/>
      <c r="AR309" s="709"/>
      <c r="AS309" s="720">
        <v>1368</v>
      </c>
      <c r="AT309" s="710">
        <v>1708</v>
      </c>
      <c r="AU309" s="710">
        <v>1571</v>
      </c>
      <c r="AV309" s="710">
        <v>137</v>
      </c>
      <c r="AW309" s="710">
        <v>1740</v>
      </c>
      <c r="AX309" s="712">
        <v>4876</v>
      </c>
      <c r="AY309" s="683">
        <v>-73548</v>
      </c>
      <c r="AZ309" s="713">
        <v>970048</v>
      </c>
      <c r="BA309" s="714">
        <v>992484</v>
      </c>
      <c r="BB309" s="715">
        <v>22255300</v>
      </c>
      <c r="BC309" s="715">
        <v>0</v>
      </c>
      <c r="BD309" s="716">
        <v>992484.20000000019</v>
      </c>
      <c r="BE309" s="420"/>
      <c r="BF309" s="717" t="s">
        <v>493</v>
      </c>
      <c r="BG309" s="118" t="b">
        <v>1</v>
      </c>
      <c r="BH309" s="494"/>
      <c r="BI309" s="420"/>
      <c r="BJ309" s="420"/>
      <c r="BK309" s="420"/>
      <c r="BL309" s="420"/>
      <c r="BM309" s="420"/>
      <c r="BN309" s="420"/>
      <c r="BO309" s="420"/>
      <c r="BP309" s="420"/>
      <c r="BQ309" s="420"/>
      <c r="BR309" s="420"/>
      <c r="BS309" s="420"/>
      <c r="BT309" s="420"/>
      <c r="BU309" s="420"/>
      <c r="BV309" s="420"/>
      <c r="BW309" s="420"/>
      <c r="BX309" s="420"/>
      <c r="BY309" s="420"/>
      <c r="BZ309" s="420"/>
      <c r="CA309" s="420"/>
      <c r="CB309" s="420"/>
      <c r="CC309" s="420"/>
      <c r="CD309" s="420"/>
      <c r="CE309" s="420"/>
      <c r="CF309" s="420"/>
      <c r="CG309" s="420"/>
      <c r="CH309" s="420"/>
      <c r="CI309" s="420"/>
      <c r="CJ309" s="420"/>
      <c r="CK309" s="420"/>
      <c r="CL309" s="420"/>
      <c r="CM309" s="420"/>
      <c r="CN309" s="420"/>
      <c r="CO309" s="420"/>
      <c r="CP309" s="420"/>
      <c r="CQ309" s="420"/>
      <c r="CR309" s="420"/>
    </row>
    <row r="310" spans="1:97" s="118" customFormat="1" ht="12.75" x14ac:dyDescent="0.2">
      <c r="A310" s="705">
        <v>304</v>
      </c>
      <c r="B310" s="718" t="s">
        <v>908</v>
      </c>
      <c r="C310" s="719" t="s">
        <v>495</v>
      </c>
      <c r="D310" s="708">
        <v>236763</v>
      </c>
      <c r="E310" s="708">
        <v>221905000</v>
      </c>
      <c r="F310" s="133">
        <v>108475413</v>
      </c>
      <c r="G310" s="133">
        <v>-3664594</v>
      </c>
      <c r="H310" s="133">
        <v>2247290</v>
      </c>
      <c r="I310" s="133">
        <v>-1417304</v>
      </c>
      <c r="J310" s="133">
        <v>-7661681</v>
      </c>
      <c r="K310" s="133">
        <v>0</v>
      </c>
      <c r="L310" s="133">
        <v>-4498</v>
      </c>
      <c r="M310" s="133">
        <v>0</v>
      </c>
      <c r="N310" s="133">
        <v>-2097251</v>
      </c>
      <c r="O310" s="133">
        <v>-445768</v>
      </c>
      <c r="P310" s="133">
        <v>-169304</v>
      </c>
      <c r="Q310" s="133">
        <v>0</v>
      </c>
      <c r="R310" s="133">
        <v>0</v>
      </c>
      <c r="S310" s="133">
        <v>-9390</v>
      </c>
      <c r="T310" s="133">
        <v>-35495</v>
      </c>
      <c r="U310" s="133">
        <v>0</v>
      </c>
      <c r="V310" s="133">
        <v>0</v>
      </c>
      <c r="W310" s="709"/>
      <c r="X310" s="709"/>
      <c r="Y310" s="709"/>
      <c r="Z310" s="133">
        <v>-4311</v>
      </c>
      <c r="AA310" s="133">
        <v>-1500</v>
      </c>
      <c r="AB310" s="133">
        <v>94306308</v>
      </c>
      <c r="AC310" s="133">
        <v>-131117</v>
      </c>
      <c r="AD310" s="709"/>
      <c r="AE310" s="710">
        <v>272</v>
      </c>
      <c r="AF310" s="711">
        <v>0</v>
      </c>
      <c r="AG310" s="710">
        <v>1</v>
      </c>
      <c r="AH310" s="710">
        <v>0</v>
      </c>
      <c r="AI310" s="710">
        <v>260</v>
      </c>
      <c r="AJ310" s="710">
        <v>113</v>
      </c>
      <c r="AK310" s="710">
        <v>32</v>
      </c>
      <c r="AL310" s="710">
        <v>0</v>
      </c>
      <c r="AM310" s="710">
        <v>0</v>
      </c>
      <c r="AN310" s="710">
        <v>3</v>
      </c>
      <c r="AO310" s="710">
        <v>0</v>
      </c>
      <c r="AP310" s="711">
        <v>0</v>
      </c>
      <c r="AQ310" s="709"/>
      <c r="AR310" s="709"/>
      <c r="AS310" s="720">
        <v>1574</v>
      </c>
      <c r="AT310" s="710">
        <v>1170</v>
      </c>
      <c r="AU310" s="710">
        <v>1012</v>
      </c>
      <c r="AV310" s="710">
        <v>158</v>
      </c>
      <c r="AW310" s="710">
        <v>2129</v>
      </c>
      <c r="AX310" s="712">
        <v>4844</v>
      </c>
      <c r="AY310" s="683">
        <v>-5240</v>
      </c>
      <c r="AZ310" s="713">
        <v>-2381328</v>
      </c>
      <c r="BA310" s="714">
        <v>-4013289</v>
      </c>
      <c r="BB310" s="715">
        <v>28458600</v>
      </c>
      <c r="BC310" s="715">
        <v>0</v>
      </c>
      <c r="BD310" s="716">
        <v>-4225811.0200000033</v>
      </c>
      <c r="BE310" s="420"/>
      <c r="BF310" s="717" t="s">
        <v>495</v>
      </c>
      <c r="BG310" s="118" t="b">
        <v>1</v>
      </c>
      <c r="BH310" s="494"/>
      <c r="BI310" s="420"/>
      <c r="BJ310" s="420"/>
      <c r="BK310" s="420"/>
      <c r="BL310" s="420"/>
      <c r="BM310" s="420"/>
      <c r="BN310" s="420"/>
      <c r="BO310" s="420"/>
      <c r="BP310" s="420"/>
      <c r="BQ310" s="420"/>
      <c r="BR310" s="420"/>
      <c r="BS310" s="420"/>
      <c r="BT310" s="420"/>
      <c r="BU310" s="420"/>
      <c r="BV310" s="420"/>
      <c r="BW310" s="420"/>
      <c r="BX310" s="420"/>
      <c r="BY310" s="420"/>
      <c r="BZ310" s="420"/>
      <c r="CA310" s="420"/>
      <c r="CB310" s="420"/>
      <c r="CC310" s="420"/>
      <c r="CD310" s="420"/>
      <c r="CE310" s="420"/>
      <c r="CF310" s="420"/>
      <c r="CG310" s="420"/>
      <c r="CH310" s="420"/>
      <c r="CI310" s="420"/>
      <c r="CJ310" s="420"/>
      <c r="CK310" s="420"/>
      <c r="CL310" s="420"/>
      <c r="CM310" s="420"/>
      <c r="CN310" s="420"/>
      <c r="CO310" s="420"/>
      <c r="CP310" s="420"/>
      <c r="CQ310" s="420"/>
      <c r="CR310" s="420"/>
    </row>
    <row r="311" spans="1:97" s="118" customFormat="1" ht="12.75" x14ac:dyDescent="0.2">
      <c r="A311" s="705">
        <v>305</v>
      </c>
      <c r="B311" s="718" t="s">
        <v>496</v>
      </c>
      <c r="C311" s="719" t="s">
        <v>497</v>
      </c>
      <c r="D311" s="708">
        <v>325143</v>
      </c>
      <c r="E311" s="708">
        <v>191599000</v>
      </c>
      <c r="F311" s="133">
        <v>94068604</v>
      </c>
      <c r="G311" s="133">
        <v>-9934265</v>
      </c>
      <c r="H311" s="133">
        <v>1682603</v>
      </c>
      <c r="I311" s="133">
        <v>-8251662</v>
      </c>
      <c r="J311" s="133">
        <v>-5761633</v>
      </c>
      <c r="K311" s="133">
        <v>-29050</v>
      </c>
      <c r="L311" s="133">
        <v>0</v>
      </c>
      <c r="M311" s="133">
        <v>-50000</v>
      </c>
      <c r="N311" s="133">
        <v>-3152483</v>
      </c>
      <c r="O311" s="133">
        <v>-681872</v>
      </c>
      <c r="P311" s="133">
        <v>-104558</v>
      </c>
      <c r="Q311" s="133">
        <v>-7263</v>
      </c>
      <c r="R311" s="133">
        <v>0</v>
      </c>
      <c r="S311" s="133">
        <v>0</v>
      </c>
      <c r="T311" s="133">
        <v>-76307</v>
      </c>
      <c r="U311" s="133">
        <v>-76307</v>
      </c>
      <c r="V311" s="133">
        <v>0</v>
      </c>
      <c r="W311" s="709"/>
      <c r="X311" s="709"/>
      <c r="Y311" s="709"/>
      <c r="Z311" s="133">
        <v>0</v>
      </c>
      <c r="AA311" s="133">
        <v>-1500</v>
      </c>
      <c r="AB311" s="133">
        <v>74544338</v>
      </c>
      <c r="AC311" s="133">
        <v>-2500000</v>
      </c>
      <c r="AD311" s="709"/>
      <c r="AE311" s="710">
        <v>442</v>
      </c>
      <c r="AF311" s="711">
        <v>8</v>
      </c>
      <c r="AG311" s="710">
        <v>0</v>
      </c>
      <c r="AH311" s="710">
        <v>1</v>
      </c>
      <c r="AI311" s="710">
        <v>649</v>
      </c>
      <c r="AJ311" s="710">
        <v>351</v>
      </c>
      <c r="AK311" s="710">
        <v>11</v>
      </c>
      <c r="AL311" s="710">
        <v>8</v>
      </c>
      <c r="AM311" s="710">
        <v>0</v>
      </c>
      <c r="AN311" s="710">
        <v>0</v>
      </c>
      <c r="AO311" s="710">
        <v>2</v>
      </c>
      <c r="AP311" s="711">
        <v>0</v>
      </c>
      <c r="AQ311" s="709"/>
      <c r="AR311" s="709"/>
      <c r="AS311" s="720">
        <v>2049</v>
      </c>
      <c r="AT311" s="710">
        <v>3951</v>
      </c>
      <c r="AU311" s="710">
        <v>3759</v>
      </c>
      <c r="AV311" s="710">
        <v>192</v>
      </c>
      <c r="AW311" s="710">
        <v>2569</v>
      </c>
      <c r="AX311" s="712">
        <v>8615</v>
      </c>
      <c r="AY311" s="683">
        <v>-35054</v>
      </c>
      <c r="AZ311" s="713">
        <v>69101</v>
      </c>
      <c r="BA311" s="714">
        <v>-320386</v>
      </c>
      <c r="BB311" s="715">
        <v>26663600</v>
      </c>
      <c r="BC311" s="715">
        <v>107500</v>
      </c>
      <c r="BD311" s="716">
        <v>-320384</v>
      </c>
      <c r="BE311" s="420"/>
      <c r="BF311" s="717" t="s">
        <v>497</v>
      </c>
      <c r="BG311" s="118" t="b">
        <v>1</v>
      </c>
      <c r="BH311" s="494"/>
      <c r="BI311" s="420"/>
      <c r="BJ311" s="420"/>
      <c r="BK311" s="420"/>
      <c r="BL311" s="420"/>
      <c r="BM311" s="420"/>
      <c r="BN311" s="420"/>
      <c r="BO311" s="420"/>
      <c r="BP311" s="420"/>
      <c r="BQ311" s="420"/>
      <c r="BR311" s="420"/>
      <c r="BS311" s="420"/>
      <c r="BT311" s="420"/>
      <c r="BU311" s="420"/>
      <c r="BV311" s="420"/>
      <c r="BW311" s="420"/>
      <c r="BX311" s="420"/>
      <c r="BY311" s="420"/>
      <c r="BZ311" s="420"/>
      <c r="CA311" s="420"/>
      <c r="CB311" s="420"/>
      <c r="CC311" s="420"/>
      <c r="CD311" s="420"/>
      <c r="CE311" s="420"/>
      <c r="CF311" s="420"/>
      <c r="CG311" s="420"/>
      <c r="CH311" s="420"/>
      <c r="CI311" s="420"/>
      <c r="CJ311" s="420"/>
      <c r="CK311" s="420"/>
      <c r="CL311" s="420"/>
      <c r="CM311" s="420"/>
      <c r="CN311" s="420"/>
      <c r="CO311" s="420"/>
      <c r="CP311" s="420"/>
      <c r="CQ311" s="420"/>
      <c r="CR311" s="420"/>
    </row>
    <row r="312" spans="1:97" s="118" customFormat="1" ht="12.75" x14ac:dyDescent="0.2">
      <c r="A312" s="705">
        <v>306</v>
      </c>
      <c r="B312" s="718" t="s">
        <v>498</v>
      </c>
      <c r="C312" s="719" t="s">
        <v>499</v>
      </c>
      <c r="D312" s="708">
        <v>129869</v>
      </c>
      <c r="E312" s="708">
        <v>116913000</v>
      </c>
      <c r="F312" s="133">
        <v>56462902</v>
      </c>
      <c r="G312" s="133">
        <v>-2294931</v>
      </c>
      <c r="H312" s="133">
        <v>1160048</v>
      </c>
      <c r="I312" s="133">
        <v>-1134883</v>
      </c>
      <c r="J312" s="133">
        <v>-3308774</v>
      </c>
      <c r="K312" s="133">
        <v>0</v>
      </c>
      <c r="L312" s="133">
        <v>-962</v>
      </c>
      <c r="M312" s="133">
        <v>0</v>
      </c>
      <c r="N312" s="133">
        <v>-664852</v>
      </c>
      <c r="O312" s="133">
        <v>-347350</v>
      </c>
      <c r="P312" s="133">
        <v>-93059</v>
      </c>
      <c r="Q312" s="133">
        <v>0</v>
      </c>
      <c r="R312" s="133">
        <v>0</v>
      </c>
      <c r="S312" s="133">
        <v>0</v>
      </c>
      <c r="T312" s="133">
        <v>-399852</v>
      </c>
      <c r="U312" s="133">
        <v>0</v>
      </c>
      <c r="V312" s="133">
        <v>0</v>
      </c>
      <c r="W312" s="709"/>
      <c r="X312" s="709"/>
      <c r="Y312" s="709"/>
      <c r="Z312" s="133">
        <v>0</v>
      </c>
      <c r="AA312" s="133">
        <v>0</v>
      </c>
      <c r="AB312" s="133">
        <v>48444791</v>
      </c>
      <c r="AC312" s="133">
        <v>-2276881</v>
      </c>
      <c r="AD312" s="709"/>
      <c r="AE312" s="710">
        <v>155</v>
      </c>
      <c r="AF312" s="711">
        <v>0</v>
      </c>
      <c r="AG312" s="710">
        <v>1</v>
      </c>
      <c r="AH312" s="710">
        <v>0</v>
      </c>
      <c r="AI312" s="710">
        <v>170</v>
      </c>
      <c r="AJ312" s="710">
        <v>94</v>
      </c>
      <c r="AK312" s="710">
        <v>11</v>
      </c>
      <c r="AL312" s="710">
        <v>0</v>
      </c>
      <c r="AM312" s="710">
        <v>0</v>
      </c>
      <c r="AN312" s="710">
        <v>0</v>
      </c>
      <c r="AO312" s="710">
        <v>0</v>
      </c>
      <c r="AP312" s="711">
        <v>3</v>
      </c>
      <c r="AQ312" s="709"/>
      <c r="AR312" s="709"/>
      <c r="AS312" s="720">
        <v>893</v>
      </c>
      <c r="AT312" s="710">
        <v>695</v>
      </c>
      <c r="AU312" s="710">
        <v>611</v>
      </c>
      <c r="AV312" s="710">
        <v>84</v>
      </c>
      <c r="AW312" s="710">
        <v>1129</v>
      </c>
      <c r="AX312" s="712">
        <v>2698</v>
      </c>
      <c r="AY312" s="683">
        <v>-21582</v>
      </c>
      <c r="AZ312" s="713">
        <v>6293253</v>
      </c>
      <c r="BA312" s="714">
        <v>6766102</v>
      </c>
      <c r="BB312" s="715">
        <v>16190700</v>
      </c>
      <c r="BC312" s="715">
        <v>0</v>
      </c>
      <c r="BD312" s="716">
        <v>6766102</v>
      </c>
      <c r="BE312" s="420"/>
      <c r="BF312" s="717" t="s">
        <v>499</v>
      </c>
      <c r="BG312" s="118" t="b">
        <v>1</v>
      </c>
      <c r="BH312" s="494"/>
      <c r="BI312" s="420"/>
      <c r="BJ312" s="420"/>
      <c r="BK312" s="420"/>
      <c r="BL312" s="420"/>
      <c r="BM312" s="420"/>
      <c r="BN312" s="420"/>
      <c r="BO312" s="420"/>
      <c r="BP312" s="420"/>
      <c r="BQ312" s="420"/>
      <c r="BR312" s="420"/>
      <c r="BS312" s="420"/>
      <c r="BT312" s="420"/>
      <c r="BU312" s="420"/>
      <c r="BV312" s="420"/>
      <c r="BW312" s="420"/>
      <c r="BX312" s="420"/>
      <c r="BY312" s="420"/>
      <c r="BZ312" s="420"/>
      <c r="CA312" s="420"/>
      <c r="CB312" s="420"/>
      <c r="CC312" s="420"/>
      <c r="CD312" s="420"/>
      <c r="CE312" s="420"/>
      <c r="CF312" s="420"/>
      <c r="CG312" s="420"/>
      <c r="CH312" s="420"/>
      <c r="CI312" s="420"/>
      <c r="CJ312" s="420"/>
      <c r="CK312" s="420"/>
      <c r="CL312" s="420"/>
      <c r="CM312" s="420"/>
      <c r="CN312" s="420"/>
      <c r="CO312" s="420"/>
      <c r="CP312" s="420"/>
      <c r="CQ312" s="420"/>
      <c r="CR312" s="420"/>
    </row>
    <row r="313" spans="1:97" s="118" customFormat="1" ht="12.75" x14ac:dyDescent="0.2">
      <c r="A313" s="705">
        <v>307</v>
      </c>
      <c r="B313" s="718" t="s">
        <v>536</v>
      </c>
      <c r="C313" s="719" t="s">
        <v>501</v>
      </c>
      <c r="D313" s="708">
        <v>200867</v>
      </c>
      <c r="E313" s="708">
        <v>178995000</v>
      </c>
      <c r="F313" s="133">
        <v>89299496</v>
      </c>
      <c r="G313" s="133">
        <v>-3326951</v>
      </c>
      <c r="H313" s="133">
        <v>1843217</v>
      </c>
      <c r="I313" s="133">
        <v>-1483734</v>
      </c>
      <c r="J313" s="133">
        <v>-6776925</v>
      </c>
      <c r="K313" s="133">
        <v>-65445</v>
      </c>
      <c r="L313" s="133">
        <v>-2445</v>
      </c>
      <c r="M313" s="133">
        <v>-100000</v>
      </c>
      <c r="N313" s="133">
        <v>-3245280</v>
      </c>
      <c r="O313" s="133">
        <v>-5416</v>
      </c>
      <c r="P313" s="133">
        <v>-49903</v>
      </c>
      <c r="Q313" s="133">
        <v>-459</v>
      </c>
      <c r="R313" s="133">
        <v>0</v>
      </c>
      <c r="S313" s="133">
        <v>0</v>
      </c>
      <c r="T313" s="133">
        <v>-35000</v>
      </c>
      <c r="U313" s="133">
        <v>0</v>
      </c>
      <c r="V313" s="133">
        <v>0</v>
      </c>
      <c r="W313" s="709"/>
      <c r="X313" s="709"/>
      <c r="Y313" s="709"/>
      <c r="Z313" s="133">
        <v>-2444</v>
      </c>
      <c r="AA313" s="133">
        <v>0</v>
      </c>
      <c r="AB313" s="133">
        <v>76229173</v>
      </c>
      <c r="AC313" s="133">
        <v>-1070000</v>
      </c>
      <c r="AD313" s="709"/>
      <c r="AE313" s="710">
        <v>174</v>
      </c>
      <c r="AF313" s="711">
        <v>8</v>
      </c>
      <c r="AG313" s="710">
        <v>2</v>
      </c>
      <c r="AH313" s="710">
        <v>0</v>
      </c>
      <c r="AI313" s="710">
        <v>272</v>
      </c>
      <c r="AJ313" s="710">
        <v>7</v>
      </c>
      <c r="AK313" s="710">
        <v>19</v>
      </c>
      <c r="AL313" s="710">
        <v>1</v>
      </c>
      <c r="AM313" s="710">
        <v>2</v>
      </c>
      <c r="AN313" s="710">
        <v>0</v>
      </c>
      <c r="AO313" s="710">
        <v>0</v>
      </c>
      <c r="AP313" s="711">
        <v>0</v>
      </c>
      <c r="AQ313" s="709"/>
      <c r="AR313" s="709"/>
      <c r="AS313" s="720">
        <v>1111</v>
      </c>
      <c r="AT313" s="710">
        <v>1236</v>
      </c>
      <c r="AU313" s="710">
        <v>1132</v>
      </c>
      <c r="AV313" s="710">
        <v>104</v>
      </c>
      <c r="AW313" s="710">
        <v>1923</v>
      </c>
      <c r="AX313" s="712">
        <v>4316</v>
      </c>
      <c r="AY313" s="683">
        <v>-37199</v>
      </c>
      <c r="AZ313" s="713">
        <v>3377479.1400000006</v>
      </c>
      <c r="BA313" s="714">
        <v>-2158613</v>
      </c>
      <c r="BB313" s="715">
        <v>21183250</v>
      </c>
      <c r="BC313" s="715">
        <v>0</v>
      </c>
      <c r="BD313" s="716">
        <v>-2158613.8599999994</v>
      </c>
      <c r="BE313" s="420"/>
      <c r="BF313" s="717" t="s">
        <v>501</v>
      </c>
      <c r="BG313" s="118" t="b">
        <v>1</v>
      </c>
      <c r="BH313" s="494"/>
      <c r="BI313" s="420"/>
      <c r="BJ313" s="420"/>
      <c r="BK313" s="420"/>
      <c r="BL313" s="420"/>
      <c r="BM313" s="420"/>
      <c r="BN313" s="420"/>
      <c r="BO313" s="420"/>
      <c r="BP313" s="420"/>
      <c r="BQ313" s="420"/>
      <c r="BR313" s="420"/>
      <c r="BS313" s="420"/>
      <c r="BT313" s="420"/>
      <c r="BU313" s="420"/>
      <c r="BV313" s="420"/>
      <c r="BW313" s="420"/>
      <c r="BX313" s="420"/>
      <c r="BY313" s="420"/>
      <c r="BZ313" s="420"/>
      <c r="CA313" s="420"/>
      <c r="CB313" s="420"/>
      <c r="CC313" s="420"/>
      <c r="CD313" s="420"/>
      <c r="CE313" s="420"/>
      <c r="CF313" s="420"/>
      <c r="CG313" s="420"/>
      <c r="CH313" s="420"/>
      <c r="CI313" s="420"/>
      <c r="CJ313" s="420"/>
      <c r="CK313" s="420"/>
      <c r="CL313" s="420"/>
      <c r="CM313" s="420"/>
      <c r="CN313" s="420"/>
      <c r="CO313" s="420"/>
      <c r="CP313" s="420"/>
      <c r="CQ313" s="420"/>
      <c r="CR313" s="420"/>
    </row>
    <row r="314" spans="1:97" s="118" customFormat="1" ht="12.75" x14ac:dyDescent="0.2">
      <c r="A314" s="705">
        <v>308</v>
      </c>
      <c r="B314" s="718" t="s">
        <v>502</v>
      </c>
      <c r="C314" s="719" t="s">
        <v>503</v>
      </c>
      <c r="D314" s="708">
        <v>330903</v>
      </c>
      <c r="E314" s="708">
        <v>195093000</v>
      </c>
      <c r="F314" s="133">
        <v>95165162</v>
      </c>
      <c r="G314" s="133">
        <v>-9431120</v>
      </c>
      <c r="H314" s="133">
        <v>1714146</v>
      </c>
      <c r="I314" s="133">
        <v>-7716974</v>
      </c>
      <c r="J314" s="133">
        <v>-6626913</v>
      </c>
      <c r="K314" s="133">
        <v>-13191</v>
      </c>
      <c r="L314" s="133">
        <v>0</v>
      </c>
      <c r="M314" s="133">
        <v>0</v>
      </c>
      <c r="N314" s="133">
        <v>-2822468</v>
      </c>
      <c r="O314" s="133">
        <v>-248158</v>
      </c>
      <c r="P314" s="133">
        <v>-369414</v>
      </c>
      <c r="Q314" s="133">
        <v>-1748</v>
      </c>
      <c r="R314" s="133">
        <v>0</v>
      </c>
      <c r="S314" s="133">
        <v>0</v>
      </c>
      <c r="T314" s="133">
        <v>-8715</v>
      </c>
      <c r="U314" s="133">
        <v>-8715</v>
      </c>
      <c r="V314" s="133">
        <v>0</v>
      </c>
      <c r="W314" s="709"/>
      <c r="X314" s="709"/>
      <c r="Y314" s="709"/>
      <c r="Z314" s="133">
        <v>0</v>
      </c>
      <c r="AA314" s="133">
        <v>-1500</v>
      </c>
      <c r="AB314" s="133">
        <v>75757408</v>
      </c>
      <c r="AC314" s="133">
        <v>-1200000</v>
      </c>
      <c r="AD314" s="709"/>
      <c r="AE314" s="710">
        <v>304</v>
      </c>
      <c r="AF314" s="711">
        <v>3</v>
      </c>
      <c r="AG314" s="710">
        <v>0</v>
      </c>
      <c r="AH314" s="710">
        <v>0</v>
      </c>
      <c r="AI314" s="710">
        <v>1321</v>
      </c>
      <c r="AJ314" s="710">
        <v>137</v>
      </c>
      <c r="AK314" s="710">
        <v>34</v>
      </c>
      <c r="AL314" s="710">
        <v>3</v>
      </c>
      <c r="AM314" s="710">
        <v>0</v>
      </c>
      <c r="AN314" s="710">
        <v>0</v>
      </c>
      <c r="AO314" s="710">
        <v>1</v>
      </c>
      <c r="AP314" s="711">
        <v>0</v>
      </c>
      <c r="AQ314" s="709"/>
      <c r="AR314" s="709"/>
      <c r="AS314" s="720">
        <v>2193</v>
      </c>
      <c r="AT314" s="710">
        <v>3533</v>
      </c>
      <c r="AU314" s="710">
        <v>3360</v>
      </c>
      <c r="AV314" s="710">
        <v>173</v>
      </c>
      <c r="AW314" s="710">
        <v>2841</v>
      </c>
      <c r="AX314" s="712">
        <v>8712</v>
      </c>
      <c r="AY314" s="683">
        <v>-31171</v>
      </c>
      <c r="AZ314" s="713">
        <v>-1083198.700000003</v>
      </c>
      <c r="BA314" s="714">
        <v>-538804.69999999925</v>
      </c>
      <c r="BB314" s="715">
        <v>27158750</v>
      </c>
      <c r="BC314" s="715">
        <v>0</v>
      </c>
      <c r="BD314" s="716">
        <v>1457657.0000000037</v>
      </c>
      <c r="BE314" s="420"/>
      <c r="BF314" s="717" t="s">
        <v>503</v>
      </c>
      <c r="BG314" s="118" t="b">
        <v>1</v>
      </c>
      <c r="BH314" s="494"/>
      <c r="BI314" s="420"/>
      <c r="BJ314" s="420"/>
      <c r="BK314" s="420"/>
      <c r="BL314" s="420"/>
      <c r="BM314" s="420"/>
      <c r="BN314" s="420"/>
      <c r="BO314" s="420"/>
      <c r="BP314" s="420"/>
      <c r="BQ314" s="420"/>
      <c r="BR314" s="420"/>
      <c r="BS314" s="420"/>
      <c r="BT314" s="420"/>
      <c r="BU314" s="420"/>
      <c r="BV314" s="420"/>
      <c r="BW314" s="420"/>
      <c r="BX314" s="420"/>
      <c r="BY314" s="420"/>
      <c r="BZ314" s="420"/>
      <c r="CA314" s="420"/>
      <c r="CB314" s="420"/>
      <c r="CC314" s="420"/>
      <c r="CD314" s="420"/>
      <c r="CE314" s="420"/>
      <c r="CF314" s="420"/>
      <c r="CG314" s="420"/>
      <c r="CH314" s="420"/>
      <c r="CI314" s="420"/>
      <c r="CJ314" s="420"/>
      <c r="CK314" s="420"/>
      <c r="CL314" s="420"/>
      <c r="CM314" s="420"/>
      <c r="CN314" s="420"/>
      <c r="CO314" s="420"/>
      <c r="CP314" s="420"/>
      <c r="CQ314" s="420"/>
      <c r="CR314" s="420"/>
    </row>
    <row r="315" spans="1:97" s="118" customFormat="1" ht="12.75" x14ac:dyDescent="0.2">
      <c r="A315" s="705">
        <v>309</v>
      </c>
      <c r="B315" s="718" t="s">
        <v>504</v>
      </c>
      <c r="C315" s="719" t="s">
        <v>505</v>
      </c>
      <c r="D315" s="708">
        <v>130944</v>
      </c>
      <c r="E315" s="708">
        <v>106208000</v>
      </c>
      <c r="F315" s="133">
        <v>51870110</v>
      </c>
      <c r="G315" s="133">
        <v>-3272535</v>
      </c>
      <c r="H315" s="133">
        <v>1027461</v>
      </c>
      <c r="I315" s="133">
        <v>-2245074</v>
      </c>
      <c r="J315" s="133">
        <v>-4449321</v>
      </c>
      <c r="K315" s="133">
        <v>-18749</v>
      </c>
      <c r="L315" s="133">
        <v>0</v>
      </c>
      <c r="M315" s="133">
        <v>0</v>
      </c>
      <c r="N315" s="133">
        <v>-1131949</v>
      </c>
      <c r="O315" s="133">
        <v>-192196</v>
      </c>
      <c r="P315" s="133">
        <v>-8824</v>
      </c>
      <c r="Q315" s="133">
        <v>-4687</v>
      </c>
      <c r="R315" s="133">
        <v>0</v>
      </c>
      <c r="S315" s="133">
        <v>0</v>
      </c>
      <c r="T315" s="133">
        <v>0</v>
      </c>
      <c r="U315" s="133">
        <v>0</v>
      </c>
      <c r="V315" s="133">
        <v>0</v>
      </c>
      <c r="W315" s="709"/>
      <c r="X315" s="709"/>
      <c r="Y315" s="709"/>
      <c r="Z315" s="133">
        <v>0</v>
      </c>
      <c r="AA315" s="133">
        <v>-1500</v>
      </c>
      <c r="AB315" s="133">
        <v>41022727</v>
      </c>
      <c r="AC315" s="133">
        <v>-1928068</v>
      </c>
      <c r="AD315" s="709"/>
      <c r="AE315" s="710">
        <v>210</v>
      </c>
      <c r="AF315" s="711">
        <v>4</v>
      </c>
      <c r="AG315" s="710">
        <v>0</v>
      </c>
      <c r="AH315" s="710">
        <v>0</v>
      </c>
      <c r="AI315" s="710">
        <v>296</v>
      </c>
      <c r="AJ315" s="710">
        <v>109</v>
      </c>
      <c r="AK315" s="710">
        <v>3</v>
      </c>
      <c r="AL315" s="710">
        <v>4</v>
      </c>
      <c r="AM315" s="710">
        <v>0</v>
      </c>
      <c r="AN315" s="710">
        <v>0</v>
      </c>
      <c r="AO315" s="710">
        <v>0</v>
      </c>
      <c r="AP315" s="711">
        <v>0</v>
      </c>
      <c r="AQ315" s="709"/>
      <c r="AR315" s="709"/>
      <c r="AS315" s="720">
        <v>1016</v>
      </c>
      <c r="AT315" s="710">
        <v>1119</v>
      </c>
      <c r="AU315" s="710">
        <v>1042</v>
      </c>
      <c r="AV315" s="710">
        <v>77</v>
      </c>
      <c r="AW315" s="710">
        <v>1084</v>
      </c>
      <c r="AX315" s="712">
        <v>3229</v>
      </c>
      <c r="AY315" s="683">
        <v>-135126</v>
      </c>
      <c r="AZ315" s="713">
        <v>591645</v>
      </c>
      <c r="BA315" s="714">
        <v>489747</v>
      </c>
      <c r="BB315" s="715">
        <v>13929150</v>
      </c>
      <c r="BC315" s="715">
        <v>0</v>
      </c>
      <c r="BD315" s="716">
        <v>489747.5</v>
      </c>
      <c r="BE315" s="420"/>
      <c r="BF315" s="717" t="s">
        <v>505</v>
      </c>
      <c r="BG315" s="118" t="b">
        <v>1</v>
      </c>
      <c r="BH315" s="494"/>
      <c r="BI315" s="420"/>
      <c r="BJ315" s="420"/>
      <c r="BK315" s="420"/>
      <c r="BL315" s="420"/>
      <c r="BM315" s="420"/>
      <c r="BN315" s="420"/>
      <c r="BO315" s="420"/>
      <c r="BP315" s="420"/>
      <c r="BQ315" s="420"/>
      <c r="BR315" s="420"/>
      <c r="BS315" s="420"/>
      <c r="BT315" s="420"/>
      <c r="BU315" s="420"/>
      <c r="BV315" s="420"/>
      <c r="BW315" s="420"/>
      <c r="BX315" s="420"/>
      <c r="BY315" s="420"/>
      <c r="BZ315" s="420"/>
      <c r="CA315" s="420"/>
      <c r="CB315" s="420"/>
      <c r="CC315" s="420"/>
      <c r="CD315" s="420"/>
      <c r="CE315" s="420"/>
      <c r="CF315" s="420"/>
      <c r="CG315" s="420"/>
      <c r="CH315" s="420"/>
      <c r="CI315" s="420"/>
      <c r="CJ315" s="420"/>
      <c r="CK315" s="420"/>
      <c r="CL315" s="420"/>
      <c r="CM315" s="420"/>
      <c r="CN315" s="420"/>
      <c r="CO315" s="420"/>
      <c r="CP315" s="420"/>
      <c r="CQ315" s="420"/>
      <c r="CR315" s="420"/>
    </row>
    <row r="316" spans="1:97" s="118" customFormat="1" ht="12.75" x14ac:dyDescent="0.2">
      <c r="A316" s="705">
        <v>310</v>
      </c>
      <c r="B316" s="718" t="s">
        <v>506</v>
      </c>
      <c r="C316" s="719" t="s">
        <v>507</v>
      </c>
      <c r="D316" s="708">
        <v>125135</v>
      </c>
      <c r="E316" s="708">
        <v>80931000</v>
      </c>
      <c r="F316" s="133">
        <v>39913745</v>
      </c>
      <c r="G316" s="133">
        <v>-3476299</v>
      </c>
      <c r="H316" s="133">
        <v>731839</v>
      </c>
      <c r="I316" s="133">
        <v>-2744460</v>
      </c>
      <c r="J316" s="133">
        <v>-3168900</v>
      </c>
      <c r="K316" s="133">
        <v>-41913</v>
      </c>
      <c r="L316" s="133">
        <v>0</v>
      </c>
      <c r="M316" s="133">
        <v>0</v>
      </c>
      <c r="N316" s="133">
        <v>-502992</v>
      </c>
      <c r="O316" s="133">
        <v>-192944</v>
      </c>
      <c r="P316" s="133">
        <v>-4316</v>
      </c>
      <c r="Q316" s="133">
        <v>-605</v>
      </c>
      <c r="R316" s="133">
        <v>0</v>
      </c>
      <c r="S316" s="133">
        <v>0</v>
      </c>
      <c r="T316" s="133">
        <v>0</v>
      </c>
      <c r="U316" s="133">
        <v>0</v>
      </c>
      <c r="V316" s="133">
        <v>0</v>
      </c>
      <c r="W316" s="709"/>
      <c r="X316" s="709"/>
      <c r="Y316" s="709"/>
      <c r="Z316" s="133">
        <v>0</v>
      </c>
      <c r="AA316" s="133">
        <v>-1500</v>
      </c>
      <c r="AB316" s="133">
        <v>33035665</v>
      </c>
      <c r="AC316" s="133">
        <v>-400000</v>
      </c>
      <c r="AD316" s="709"/>
      <c r="AE316" s="710">
        <v>167</v>
      </c>
      <c r="AF316" s="711">
        <v>5</v>
      </c>
      <c r="AG316" s="710">
        <v>0</v>
      </c>
      <c r="AH316" s="710">
        <v>0</v>
      </c>
      <c r="AI316" s="710">
        <v>183</v>
      </c>
      <c r="AJ316" s="710">
        <v>97</v>
      </c>
      <c r="AK316" s="710">
        <v>3</v>
      </c>
      <c r="AL316" s="710">
        <v>1</v>
      </c>
      <c r="AM316" s="710">
        <v>0</v>
      </c>
      <c r="AN316" s="710">
        <v>0</v>
      </c>
      <c r="AO316" s="710">
        <v>0</v>
      </c>
      <c r="AP316" s="711">
        <v>0</v>
      </c>
      <c r="AQ316" s="709"/>
      <c r="AR316" s="709"/>
      <c r="AS316" s="720">
        <v>715</v>
      </c>
      <c r="AT316" s="710">
        <v>1427</v>
      </c>
      <c r="AU316" s="710">
        <v>1370</v>
      </c>
      <c r="AV316" s="710">
        <v>57</v>
      </c>
      <c r="AW316" s="710">
        <v>1127</v>
      </c>
      <c r="AX316" s="712">
        <v>3275</v>
      </c>
      <c r="AY316" s="683">
        <v>-41740</v>
      </c>
      <c r="AZ316" s="713">
        <v>-1655856</v>
      </c>
      <c r="BA316" s="714">
        <v>-1875203</v>
      </c>
      <c r="BB316" s="715">
        <v>11667100</v>
      </c>
      <c r="BC316" s="715">
        <v>0</v>
      </c>
      <c r="BD316" s="716">
        <v>-1875201</v>
      </c>
      <c r="BE316" s="420"/>
      <c r="BF316" s="717" t="s">
        <v>507</v>
      </c>
      <c r="BG316" s="118" t="b">
        <v>1</v>
      </c>
      <c r="BH316" s="494"/>
      <c r="BI316" s="420"/>
      <c r="BJ316" s="420"/>
      <c r="BK316" s="420"/>
      <c r="BL316" s="420"/>
      <c r="BM316" s="420"/>
      <c r="BN316" s="420"/>
      <c r="BO316" s="420"/>
      <c r="BP316" s="420"/>
      <c r="BQ316" s="420"/>
      <c r="BR316" s="420"/>
      <c r="BS316" s="420"/>
      <c r="BT316" s="420"/>
      <c r="BU316" s="420"/>
      <c r="BV316" s="420"/>
      <c r="BW316" s="420"/>
      <c r="BX316" s="420"/>
      <c r="BY316" s="420"/>
      <c r="BZ316" s="420"/>
      <c r="CA316" s="420"/>
      <c r="CB316" s="420"/>
      <c r="CC316" s="420"/>
      <c r="CD316" s="420"/>
      <c r="CE316" s="420"/>
      <c r="CF316" s="420"/>
      <c r="CG316" s="420"/>
      <c r="CH316" s="420"/>
      <c r="CI316" s="420"/>
      <c r="CJ316" s="420"/>
      <c r="CK316" s="420"/>
      <c r="CL316" s="420"/>
      <c r="CM316" s="420"/>
      <c r="CN316" s="420"/>
      <c r="CO316" s="420"/>
      <c r="CP316" s="420"/>
      <c r="CQ316" s="420"/>
      <c r="CR316" s="420"/>
    </row>
    <row r="317" spans="1:97" s="118" customFormat="1" ht="12.75" x14ac:dyDescent="0.2">
      <c r="A317" s="705">
        <v>311</v>
      </c>
      <c r="B317" s="718" t="s">
        <v>508</v>
      </c>
      <c r="C317" s="719" t="s">
        <v>509</v>
      </c>
      <c r="D317" s="708">
        <v>186778</v>
      </c>
      <c r="E317" s="708">
        <v>110771000</v>
      </c>
      <c r="F317" s="133">
        <v>53084220</v>
      </c>
      <c r="G317" s="133">
        <v>-5419248</v>
      </c>
      <c r="H317" s="133">
        <v>936348</v>
      </c>
      <c r="I317" s="133">
        <v>-4482900</v>
      </c>
      <c r="J317" s="133">
        <v>-2284628</v>
      </c>
      <c r="K317" s="133">
        <v>-59799</v>
      </c>
      <c r="L317" s="133">
        <v>-39110</v>
      </c>
      <c r="M317" s="133">
        <v>0</v>
      </c>
      <c r="N317" s="133">
        <v>-931389</v>
      </c>
      <c r="O317" s="133">
        <v>-218859</v>
      </c>
      <c r="P317" s="133">
        <v>-41645</v>
      </c>
      <c r="Q317" s="133">
        <v>-11757</v>
      </c>
      <c r="R317" s="133">
        <v>0</v>
      </c>
      <c r="S317" s="133">
        <v>-3355</v>
      </c>
      <c r="T317" s="133">
        <v>0</v>
      </c>
      <c r="U317" s="133">
        <v>0</v>
      </c>
      <c r="V317" s="133">
        <v>0</v>
      </c>
      <c r="W317" s="709"/>
      <c r="X317" s="709"/>
      <c r="Y317" s="709"/>
      <c r="Z317" s="133">
        <v>-50649</v>
      </c>
      <c r="AA317" s="133">
        <v>0</v>
      </c>
      <c r="AB317" s="133">
        <v>42446841</v>
      </c>
      <c r="AC317" s="133">
        <v>-1995002</v>
      </c>
      <c r="AD317" s="709"/>
      <c r="AE317" s="710">
        <v>260</v>
      </c>
      <c r="AF317" s="711">
        <v>17</v>
      </c>
      <c r="AG317" s="710">
        <v>26</v>
      </c>
      <c r="AH317" s="710">
        <v>0</v>
      </c>
      <c r="AI317" s="710">
        <v>357</v>
      </c>
      <c r="AJ317" s="710">
        <v>166</v>
      </c>
      <c r="AK317" s="710">
        <v>13</v>
      </c>
      <c r="AL317" s="710">
        <v>15</v>
      </c>
      <c r="AM317" s="710">
        <v>0</v>
      </c>
      <c r="AN317" s="710">
        <v>2</v>
      </c>
      <c r="AO317" s="710">
        <v>0</v>
      </c>
      <c r="AP317" s="711">
        <v>0</v>
      </c>
      <c r="AQ317" s="709"/>
      <c r="AR317" s="709"/>
      <c r="AS317" s="720">
        <v>1205</v>
      </c>
      <c r="AT317" s="710">
        <v>2193</v>
      </c>
      <c r="AU317" s="710">
        <v>2087</v>
      </c>
      <c r="AV317" s="710">
        <v>106</v>
      </c>
      <c r="AW317" s="710">
        <v>1546</v>
      </c>
      <c r="AX317" s="712">
        <v>4989</v>
      </c>
      <c r="AY317" s="683">
        <v>-35886</v>
      </c>
      <c r="AZ317" s="713">
        <v>1426553.4752079993</v>
      </c>
      <c r="BA317" s="714">
        <v>1691181.4752079993</v>
      </c>
      <c r="BB317" s="715">
        <v>15913775</v>
      </c>
      <c r="BC317" s="715">
        <v>0</v>
      </c>
      <c r="BD317" s="716">
        <v>1691181.4752079993</v>
      </c>
      <c r="BE317" s="420"/>
      <c r="BF317" s="717" t="s">
        <v>509</v>
      </c>
      <c r="BG317" s="118" t="b">
        <v>1</v>
      </c>
      <c r="BH317" s="494"/>
      <c r="BI317" s="420"/>
      <c r="BJ317" s="420"/>
      <c r="BK317" s="420"/>
      <c r="BL317" s="420"/>
      <c r="BM317" s="420"/>
      <c r="BN317" s="420"/>
      <c r="BO317" s="420"/>
      <c r="BP317" s="420"/>
      <c r="BQ317" s="420"/>
      <c r="BR317" s="420"/>
      <c r="BS317" s="420"/>
      <c r="BT317" s="420"/>
      <c r="BU317" s="420"/>
      <c r="BV317" s="420"/>
      <c r="BW317" s="420"/>
      <c r="BX317" s="420"/>
      <c r="BY317" s="420"/>
      <c r="BZ317" s="420"/>
      <c r="CA317" s="420"/>
      <c r="CB317" s="420"/>
      <c r="CC317" s="420"/>
      <c r="CD317" s="420"/>
      <c r="CE317" s="420"/>
      <c r="CF317" s="420"/>
      <c r="CG317" s="420"/>
      <c r="CH317" s="420"/>
      <c r="CI317" s="420"/>
      <c r="CJ317" s="420"/>
      <c r="CK317" s="420"/>
      <c r="CL317" s="420"/>
      <c r="CM317" s="420"/>
      <c r="CN317" s="420"/>
      <c r="CO317" s="420"/>
      <c r="CP317" s="420"/>
      <c r="CQ317" s="420"/>
      <c r="CR317" s="420"/>
    </row>
    <row r="318" spans="1:97" s="420" customFormat="1" ht="12.75" x14ac:dyDescent="0.2">
      <c r="A318" s="705">
        <v>312</v>
      </c>
      <c r="B318" s="718" t="s">
        <v>512</v>
      </c>
      <c r="C318" s="719" t="s">
        <v>513</v>
      </c>
      <c r="D318" s="708">
        <v>147810</v>
      </c>
      <c r="E318" s="708">
        <v>70520000</v>
      </c>
      <c r="F318" s="133">
        <v>34564703</v>
      </c>
      <c r="G318" s="133">
        <v>-5053865</v>
      </c>
      <c r="H318" s="133">
        <v>534947</v>
      </c>
      <c r="I318" s="133">
        <v>-4518918</v>
      </c>
      <c r="J318" s="133">
        <v>-2058770</v>
      </c>
      <c r="K318" s="133">
        <v>-29742</v>
      </c>
      <c r="L318" s="133">
        <v>-184</v>
      </c>
      <c r="M318" s="133">
        <v>0</v>
      </c>
      <c r="N318" s="133">
        <v>-541490</v>
      </c>
      <c r="O318" s="133">
        <v>-2821</v>
      </c>
      <c r="P318" s="133">
        <v>-63893</v>
      </c>
      <c r="Q318" s="133">
        <v>0</v>
      </c>
      <c r="R318" s="133">
        <v>0</v>
      </c>
      <c r="S318" s="133">
        <v>0</v>
      </c>
      <c r="T318" s="133">
        <v>0</v>
      </c>
      <c r="U318" s="133">
        <v>0</v>
      </c>
      <c r="V318" s="133">
        <v>0</v>
      </c>
      <c r="W318" s="709"/>
      <c r="X318" s="709"/>
      <c r="Y318" s="709"/>
      <c r="Z318" s="133">
        <v>0</v>
      </c>
      <c r="AA318" s="133">
        <v>0</v>
      </c>
      <c r="AB318" s="133">
        <v>27474823</v>
      </c>
      <c r="AC318" s="133">
        <v>-1291316</v>
      </c>
      <c r="AD318" s="709"/>
      <c r="AE318" s="710">
        <v>161</v>
      </c>
      <c r="AF318" s="711">
        <v>8</v>
      </c>
      <c r="AG318" s="710">
        <v>1</v>
      </c>
      <c r="AH318" s="710">
        <v>0</v>
      </c>
      <c r="AI318" s="710">
        <v>296</v>
      </c>
      <c r="AJ318" s="710">
        <v>2</v>
      </c>
      <c r="AK318" s="710">
        <v>37</v>
      </c>
      <c r="AL318" s="710">
        <v>0</v>
      </c>
      <c r="AM318" s="710">
        <v>0</v>
      </c>
      <c r="AN318" s="710">
        <v>0</v>
      </c>
      <c r="AO318" s="710">
        <v>0</v>
      </c>
      <c r="AP318" s="711">
        <v>0</v>
      </c>
      <c r="AQ318" s="709"/>
      <c r="AR318" s="709"/>
      <c r="AS318" s="720">
        <v>827</v>
      </c>
      <c r="AT318" s="710">
        <v>2068</v>
      </c>
      <c r="AU318" s="710">
        <v>1970</v>
      </c>
      <c r="AV318" s="710">
        <v>98</v>
      </c>
      <c r="AW318" s="710">
        <v>21</v>
      </c>
      <c r="AX318" s="712">
        <v>4109</v>
      </c>
      <c r="AY318" s="683">
        <v>-12010</v>
      </c>
      <c r="AZ318" s="713">
        <v>-1044624</v>
      </c>
      <c r="BA318" s="714">
        <v>-1051226</v>
      </c>
      <c r="BB318" s="715">
        <v>11630325</v>
      </c>
      <c r="BC318" s="715">
        <v>147000</v>
      </c>
      <c r="BD318" s="716">
        <v>-1051222.5299999993</v>
      </c>
      <c r="BF318" s="717" t="s">
        <v>513</v>
      </c>
      <c r="BG318" s="118" t="b">
        <v>1</v>
      </c>
      <c r="BH318" s="494"/>
      <c r="CS318" s="118"/>
    </row>
    <row r="319" spans="1:97" s="420" customFormat="1" ht="12.75" x14ac:dyDescent="0.2">
      <c r="A319" s="705">
        <v>313</v>
      </c>
      <c r="B319" s="718" t="s">
        <v>514</v>
      </c>
      <c r="C319" s="719" t="s">
        <v>515</v>
      </c>
      <c r="D319" s="708">
        <v>131891</v>
      </c>
      <c r="E319" s="708">
        <v>75414000</v>
      </c>
      <c r="F319" s="133">
        <v>36853542</v>
      </c>
      <c r="G319" s="133">
        <v>-3687870</v>
      </c>
      <c r="H319" s="133">
        <v>654633</v>
      </c>
      <c r="I319" s="133">
        <v>-3033237</v>
      </c>
      <c r="J319" s="133">
        <v>-2174954</v>
      </c>
      <c r="K319" s="133">
        <v>-50625</v>
      </c>
      <c r="L319" s="133">
        <v>-10685</v>
      </c>
      <c r="M319" s="133">
        <v>0</v>
      </c>
      <c r="N319" s="133">
        <v>-926554</v>
      </c>
      <c r="O319" s="133">
        <v>-76737</v>
      </c>
      <c r="P319" s="133">
        <v>-126894</v>
      </c>
      <c r="Q319" s="133">
        <v>0</v>
      </c>
      <c r="R319" s="133">
        <v>0</v>
      </c>
      <c r="S319" s="133">
        <v>0</v>
      </c>
      <c r="T319" s="133">
        <v>0</v>
      </c>
      <c r="U319" s="133">
        <v>0</v>
      </c>
      <c r="V319" s="133">
        <v>0</v>
      </c>
      <c r="W319" s="709"/>
      <c r="X319" s="709"/>
      <c r="Y319" s="709"/>
      <c r="Z319" s="133">
        <v>-10685</v>
      </c>
      <c r="AA319" s="133">
        <v>0</v>
      </c>
      <c r="AB319" s="133">
        <v>28676976</v>
      </c>
      <c r="AC319" s="133">
        <v>-1944295</v>
      </c>
      <c r="AD319" s="709"/>
      <c r="AE319" s="710">
        <v>204</v>
      </c>
      <c r="AF319" s="711">
        <v>16</v>
      </c>
      <c r="AG319" s="710">
        <v>6</v>
      </c>
      <c r="AH319" s="710">
        <v>0</v>
      </c>
      <c r="AI319" s="710">
        <v>394</v>
      </c>
      <c r="AJ319" s="710">
        <v>63</v>
      </c>
      <c r="AK319" s="710">
        <v>19</v>
      </c>
      <c r="AL319" s="710">
        <v>0</v>
      </c>
      <c r="AM319" s="710">
        <v>11</v>
      </c>
      <c r="AN319" s="710">
        <v>0</v>
      </c>
      <c r="AO319" s="710">
        <v>0</v>
      </c>
      <c r="AP319" s="711">
        <v>0</v>
      </c>
      <c r="AQ319" s="709"/>
      <c r="AR319" s="709"/>
      <c r="AS319" s="720">
        <v>937</v>
      </c>
      <c r="AT319" s="710">
        <v>1379</v>
      </c>
      <c r="AU319" s="710">
        <v>1307</v>
      </c>
      <c r="AV319" s="710">
        <v>72</v>
      </c>
      <c r="AW319" s="710">
        <v>1167</v>
      </c>
      <c r="AX319" s="712">
        <v>3548</v>
      </c>
      <c r="AY319" s="683">
        <v>-16031</v>
      </c>
      <c r="AZ319" s="713">
        <v>-580482</v>
      </c>
      <c r="BA319" s="714">
        <v>-1167531</v>
      </c>
      <c r="BB319" s="715">
        <v>11690650</v>
      </c>
      <c r="BC319" s="715">
        <v>0</v>
      </c>
      <c r="BD319" s="716">
        <v>-1167532.3999999985</v>
      </c>
      <c r="BF319" s="717" t="s">
        <v>515</v>
      </c>
      <c r="BG319" s="118" t="b">
        <v>1</v>
      </c>
      <c r="BH319" s="494"/>
      <c r="CS319" s="118"/>
    </row>
    <row r="320" spans="1:97" s="420" customFormat="1" ht="13.5" thickBot="1" x14ac:dyDescent="0.25">
      <c r="A320" s="705">
        <v>314</v>
      </c>
      <c r="B320" s="738" t="s">
        <v>597</v>
      </c>
      <c r="C320" s="739" t="s">
        <v>517</v>
      </c>
      <c r="D320" s="708">
        <v>289846</v>
      </c>
      <c r="E320" s="708">
        <v>255274000</v>
      </c>
      <c r="F320" s="133">
        <v>125174112</v>
      </c>
      <c r="G320" s="133">
        <v>-5801702</v>
      </c>
      <c r="H320" s="133">
        <v>2412114</v>
      </c>
      <c r="I320" s="133">
        <v>-3389588</v>
      </c>
      <c r="J320" s="133">
        <v>-11119322</v>
      </c>
      <c r="K320" s="133">
        <v>-45625</v>
      </c>
      <c r="L320" s="133">
        <v>-4113</v>
      </c>
      <c r="M320" s="133">
        <v>-20000</v>
      </c>
      <c r="N320" s="133">
        <v>-2503459</v>
      </c>
      <c r="O320" s="133">
        <v>-57728</v>
      </c>
      <c r="P320" s="133">
        <v>-11862</v>
      </c>
      <c r="Q320" s="133">
        <v>-7699</v>
      </c>
      <c r="R320" s="133">
        <v>0</v>
      </c>
      <c r="S320" s="133">
        <v>-39899</v>
      </c>
      <c r="T320" s="133">
        <v>-6000</v>
      </c>
      <c r="U320" s="133">
        <v>0</v>
      </c>
      <c r="V320" s="133">
        <v>0</v>
      </c>
      <c r="W320" s="740"/>
      <c r="X320" s="740"/>
      <c r="Y320" s="740"/>
      <c r="Z320" s="133">
        <v>-4113</v>
      </c>
      <c r="AA320" s="133">
        <v>-1500</v>
      </c>
      <c r="AB320" s="133">
        <v>104975032</v>
      </c>
      <c r="AC320" s="133">
        <v>-2900000</v>
      </c>
      <c r="AD320" s="740"/>
      <c r="AE320" s="710">
        <v>426</v>
      </c>
      <c r="AF320" s="711">
        <v>12</v>
      </c>
      <c r="AG320" s="710">
        <v>4</v>
      </c>
      <c r="AH320" s="710">
        <v>0</v>
      </c>
      <c r="AI320" s="710">
        <v>240</v>
      </c>
      <c r="AJ320" s="710">
        <v>46</v>
      </c>
      <c r="AK320" s="710">
        <v>2</v>
      </c>
      <c r="AL320" s="710">
        <v>12</v>
      </c>
      <c r="AM320" s="710">
        <v>4</v>
      </c>
      <c r="AN320" s="710">
        <v>11</v>
      </c>
      <c r="AO320" s="710">
        <v>0</v>
      </c>
      <c r="AP320" s="711">
        <v>0</v>
      </c>
      <c r="AQ320" s="740"/>
      <c r="AR320" s="740"/>
      <c r="AS320" s="720">
        <v>1795</v>
      </c>
      <c r="AT320" s="710">
        <v>2138</v>
      </c>
      <c r="AU320" s="710">
        <v>1985</v>
      </c>
      <c r="AV320" s="710">
        <v>153</v>
      </c>
      <c r="AW320" s="710">
        <v>2877</v>
      </c>
      <c r="AX320" s="741">
        <v>6961</v>
      </c>
      <c r="AY320" s="683">
        <v>-40000</v>
      </c>
      <c r="AZ320" s="713">
        <v>4259802</v>
      </c>
      <c r="BA320" s="714">
        <v>2168049</v>
      </c>
      <c r="BB320" s="715">
        <v>28568180</v>
      </c>
      <c r="BC320" s="715">
        <v>168000</v>
      </c>
      <c r="BD320" s="716">
        <v>2168049</v>
      </c>
      <c r="BF320" s="717" t="s">
        <v>517</v>
      </c>
      <c r="BG320" s="118" t="b">
        <v>1</v>
      </c>
      <c r="BH320" s="494"/>
      <c r="CS320" s="118"/>
    </row>
    <row r="321" spans="1:96" s="118" customFormat="1" ht="13.5" thickBot="1" x14ac:dyDescent="0.25">
      <c r="A321" s="742">
        <v>315</v>
      </c>
      <c r="B321" s="743" t="s">
        <v>1198</v>
      </c>
      <c r="C321" s="744" t="s">
        <v>518</v>
      </c>
      <c r="D321" s="745" t="e">
        <v>#N/A</v>
      </c>
      <c r="E321" s="745" t="e">
        <v>#N/A</v>
      </c>
      <c r="F321" s="745" t="e">
        <v>#N/A</v>
      </c>
      <c r="G321" s="745" t="e">
        <v>#N/A</v>
      </c>
      <c r="H321" s="745" t="e">
        <v>#N/A</v>
      </c>
      <c r="I321" s="745" t="e">
        <v>#N/A</v>
      </c>
      <c r="J321" s="745" t="e">
        <v>#N/A</v>
      </c>
      <c r="K321" s="745" t="e">
        <v>#N/A</v>
      </c>
      <c r="L321" s="745" t="e">
        <v>#N/A</v>
      </c>
      <c r="M321" s="745" t="e">
        <v>#N/A</v>
      </c>
      <c r="N321" s="745" t="e">
        <v>#N/A</v>
      </c>
      <c r="O321" s="745" t="e">
        <v>#N/A</v>
      </c>
      <c r="P321" s="745" t="e">
        <v>#N/A</v>
      </c>
      <c r="Q321" s="745" t="e">
        <v>#N/A</v>
      </c>
      <c r="R321" s="745" t="e">
        <v>#N/A</v>
      </c>
      <c r="S321" s="745" t="e">
        <v>#N/A</v>
      </c>
      <c r="T321" s="745" t="e">
        <v>#N/A</v>
      </c>
      <c r="U321" s="745" t="e">
        <v>#N/A</v>
      </c>
      <c r="V321" s="745" t="e">
        <v>#N/A</v>
      </c>
      <c r="W321" s="745" t="e">
        <v>#N/A</v>
      </c>
      <c r="X321" s="745" t="e">
        <v>#N/A</v>
      </c>
      <c r="Y321" s="745" t="e">
        <v>#N/A</v>
      </c>
      <c r="Z321" s="745" t="e">
        <v>#N/A</v>
      </c>
      <c r="AA321" s="745" t="e">
        <v>#N/A</v>
      </c>
      <c r="AB321" s="745" t="e">
        <v>#N/A</v>
      </c>
      <c r="AC321" s="745" t="e">
        <v>#N/A</v>
      </c>
      <c r="AD321" s="745" t="e">
        <v>#N/A</v>
      </c>
      <c r="AE321" s="745" t="e">
        <v>#N/A</v>
      </c>
      <c r="AF321" s="745" t="e">
        <v>#N/A</v>
      </c>
      <c r="AG321" s="745" t="e">
        <v>#N/A</v>
      </c>
      <c r="AH321" s="745" t="e">
        <v>#N/A</v>
      </c>
      <c r="AI321" s="745" t="e">
        <v>#N/A</v>
      </c>
      <c r="AJ321" s="745" t="e">
        <v>#N/A</v>
      </c>
      <c r="AK321" s="745" t="e">
        <v>#N/A</v>
      </c>
      <c r="AL321" s="745" t="e">
        <v>#N/A</v>
      </c>
      <c r="AM321" s="745" t="e">
        <v>#N/A</v>
      </c>
      <c r="AN321" s="745" t="e">
        <v>#N/A</v>
      </c>
      <c r="AO321" s="745" t="e">
        <v>#N/A</v>
      </c>
      <c r="AP321" s="745" t="e">
        <v>#N/A</v>
      </c>
      <c r="AQ321" s="745" t="e">
        <v>#N/A</v>
      </c>
      <c r="AR321" s="745" t="e">
        <v>#N/A</v>
      </c>
      <c r="AS321" s="745" t="e">
        <v>#N/A</v>
      </c>
      <c r="AT321" s="745" t="e">
        <v>#N/A</v>
      </c>
      <c r="AU321" s="745" t="e">
        <v>#N/A</v>
      </c>
      <c r="AV321" s="745" t="e">
        <v>#N/A</v>
      </c>
      <c r="AW321" s="746" t="e">
        <v>#N/A</v>
      </c>
      <c r="AX321" s="745" t="e">
        <v>#N/A</v>
      </c>
      <c r="AY321" s="747" t="e">
        <v>#N/A</v>
      </c>
      <c r="AZ321" s="745" t="e">
        <v>#N/A</v>
      </c>
      <c r="BA321" s="745" t="e">
        <v>#N/A</v>
      </c>
      <c r="BB321" s="748" t="e">
        <v>#N/A</v>
      </c>
      <c r="BC321" s="748" t="e">
        <v>#N/A</v>
      </c>
      <c r="BD321" s="745" t="e">
        <v>#N/A</v>
      </c>
      <c r="BE321" s="420"/>
      <c r="BF321" s="420"/>
      <c r="BG321" s="420"/>
      <c r="BH321" s="420"/>
      <c r="BI321" s="420"/>
      <c r="BJ321" s="420"/>
      <c r="BK321" s="420"/>
      <c r="BL321" s="420"/>
      <c r="BM321" s="420"/>
      <c r="BN321" s="420"/>
      <c r="BO321" s="420"/>
      <c r="BP321" s="420"/>
      <c r="BQ321" s="420"/>
      <c r="BR321" s="420"/>
      <c r="BS321" s="420"/>
      <c r="BT321" s="420"/>
      <c r="BU321" s="420"/>
      <c r="BV321" s="420"/>
      <c r="BW321" s="420"/>
      <c r="BX321" s="420"/>
      <c r="BY321" s="420"/>
      <c r="BZ321" s="420"/>
      <c r="CA321" s="420"/>
      <c r="CB321" s="420"/>
      <c r="CC321" s="420"/>
      <c r="CD321" s="420"/>
      <c r="CE321" s="420"/>
      <c r="CF321" s="420"/>
      <c r="CG321" s="420"/>
      <c r="CH321" s="420"/>
      <c r="CI321" s="420"/>
      <c r="CJ321" s="420"/>
      <c r="CK321" s="420"/>
      <c r="CL321" s="420"/>
      <c r="CM321" s="420"/>
      <c r="CN321" s="420"/>
      <c r="CO321" s="420"/>
      <c r="CP321" s="420"/>
      <c r="CQ321" s="420"/>
      <c r="CR321" s="420"/>
    </row>
    <row r="322" spans="1:96" s="238" customFormat="1" x14ac:dyDescent="0.2">
      <c r="A322" s="298"/>
      <c r="B322" s="298"/>
      <c r="C322" s="298"/>
      <c r="D322" s="298"/>
      <c r="F322" s="683"/>
      <c r="G322" s="683"/>
      <c r="H322" s="683"/>
      <c r="I322" s="683"/>
      <c r="J322" s="683"/>
      <c r="K322" s="683"/>
      <c r="L322" s="683"/>
      <c r="M322" s="683"/>
      <c r="N322" s="683"/>
      <c r="O322" s="683"/>
      <c r="P322" s="683"/>
      <c r="Q322" s="683"/>
      <c r="R322" s="683"/>
      <c r="S322" s="683"/>
      <c r="T322" s="683"/>
      <c r="U322" s="683"/>
      <c r="V322" s="683"/>
      <c r="W322" s="683"/>
      <c r="X322" s="683"/>
      <c r="Y322" s="683"/>
      <c r="Z322" s="683"/>
      <c r="AA322" s="683"/>
      <c r="AB322" s="683"/>
      <c r="AC322" s="683"/>
      <c r="AD322" s="683"/>
      <c r="AE322" s="683"/>
      <c r="AF322" s="683"/>
      <c r="AG322" s="683"/>
      <c r="AH322" s="683"/>
      <c r="AI322" s="683"/>
      <c r="AJ322" s="683"/>
      <c r="AK322" s="683"/>
      <c r="AL322" s="683"/>
      <c r="AM322" s="683"/>
      <c r="AN322" s="683"/>
      <c r="AO322" s="683"/>
      <c r="AP322" s="683"/>
      <c r="AQ322" s="683"/>
      <c r="AR322" s="683"/>
      <c r="AS322" s="683"/>
      <c r="AT322" s="683"/>
      <c r="AU322" s="683"/>
      <c r="AV322" s="683"/>
      <c r="AW322" s="683"/>
      <c r="AX322" s="683"/>
      <c r="AY322" s="683"/>
      <c r="AZ322" s="683"/>
      <c r="BA322" s="133"/>
      <c r="BB322" s="683"/>
      <c r="BC322" s="683"/>
    </row>
    <row r="323" spans="1:96" s="238" customFormat="1" x14ac:dyDescent="0.2">
      <c r="A323" s="298"/>
      <c r="B323" s="298"/>
      <c r="C323" s="298"/>
      <c r="D323" s="298"/>
      <c r="W323" s="749"/>
      <c r="X323" s="749"/>
      <c r="Y323" s="749"/>
      <c r="Z323" s="750"/>
      <c r="AA323" s="750"/>
      <c r="AQ323" s="749"/>
      <c r="AR323" s="749"/>
      <c r="BA323"/>
    </row>
    <row r="324" spans="1:96" s="238" customFormat="1" x14ac:dyDescent="0.2">
      <c r="A324" s="298"/>
      <c r="B324" s="298"/>
      <c r="C324" s="298"/>
      <c r="D324" s="298"/>
      <c r="W324" s="749"/>
      <c r="X324" s="749"/>
      <c r="Y324" s="749"/>
      <c r="Z324" s="750"/>
      <c r="AA324" s="750"/>
      <c r="AQ324" s="749"/>
      <c r="AR324" s="749"/>
      <c r="BA324"/>
    </row>
    <row r="325" spans="1:96" s="238" customFormat="1" x14ac:dyDescent="0.2">
      <c r="A325" s="298"/>
      <c r="B325" s="298"/>
      <c r="C325" s="298"/>
      <c r="D325" s="298"/>
      <c r="W325" s="749"/>
      <c r="X325" s="749"/>
      <c r="Y325" s="749"/>
      <c r="Z325" s="750"/>
      <c r="AA325" s="750"/>
      <c r="AQ325" s="749"/>
      <c r="AR325" s="749"/>
      <c r="BA325"/>
    </row>
    <row r="326" spans="1:96" s="238" customFormat="1" x14ac:dyDescent="0.2">
      <c r="A326" s="298"/>
      <c r="B326" s="298"/>
      <c r="C326" s="298"/>
      <c r="D326" s="298"/>
      <c r="W326" s="749"/>
      <c r="X326" s="749"/>
      <c r="Y326" s="749"/>
      <c r="Z326" s="750"/>
      <c r="AA326" s="750"/>
      <c r="AQ326" s="749"/>
      <c r="AR326" s="749"/>
      <c r="BA326"/>
    </row>
    <row r="327" spans="1:96" s="238" customFormat="1" x14ac:dyDescent="0.2">
      <c r="A327" s="298"/>
      <c r="B327" s="298"/>
      <c r="C327" s="298"/>
      <c r="D327" s="298"/>
      <c r="W327" s="749"/>
      <c r="X327" s="749"/>
      <c r="Y327" s="749"/>
      <c r="Z327" s="750"/>
      <c r="AA327" s="750"/>
      <c r="AQ327" s="749"/>
      <c r="AR327" s="749"/>
      <c r="BA327"/>
    </row>
    <row r="328" spans="1:96" s="238" customFormat="1" x14ac:dyDescent="0.2">
      <c r="A328" s="298"/>
      <c r="B328" s="298"/>
      <c r="C328" s="298"/>
      <c r="D328" s="298"/>
      <c r="W328" s="749"/>
      <c r="X328" s="749"/>
      <c r="Y328" s="749"/>
      <c r="Z328" s="750"/>
      <c r="AA328" s="750"/>
      <c r="AQ328" s="749"/>
      <c r="AR328" s="749"/>
      <c r="BA328"/>
    </row>
    <row r="329" spans="1:96" s="238" customFormat="1" x14ac:dyDescent="0.2">
      <c r="A329" s="298"/>
      <c r="B329" s="298"/>
      <c r="C329" s="298"/>
      <c r="D329" s="298"/>
      <c r="W329" s="749"/>
      <c r="X329" s="749"/>
      <c r="Y329" s="749"/>
      <c r="Z329" s="750"/>
      <c r="AA329" s="750"/>
      <c r="AQ329" s="749"/>
      <c r="AR329" s="749"/>
      <c r="BA329"/>
    </row>
    <row r="330" spans="1:96" s="238" customFormat="1" x14ac:dyDescent="0.2">
      <c r="A330" s="298"/>
      <c r="B330" s="298"/>
      <c r="C330" s="298"/>
      <c r="D330" s="298"/>
      <c r="W330" s="749"/>
      <c r="X330" s="749"/>
      <c r="Y330" s="749"/>
      <c r="Z330" s="750"/>
      <c r="AA330" s="750"/>
      <c r="AQ330" s="749"/>
      <c r="AR330" s="749"/>
      <c r="BA330"/>
    </row>
    <row r="331" spans="1:96" s="238" customFormat="1" x14ac:dyDescent="0.2">
      <c r="A331" s="298"/>
      <c r="B331" s="298"/>
      <c r="C331" s="298"/>
      <c r="D331" s="298"/>
      <c r="W331" s="749"/>
      <c r="X331" s="749"/>
      <c r="Y331" s="749"/>
      <c r="Z331" s="750"/>
      <c r="AA331" s="750"/>
      <c r="AQ331" s="749"/>
      <c r="AR331" s="749"/>
      <c r="BA331"/>
    </row>
    <row r="332" spans="1:96" s="238" customFormat="1" x14ac:dyDescent="0.2">
      <c r="A332" s="298"/>
      <c r="B332" s="298"/>
      <c r="C332" s="298"/>
      <c r="D332" s="298"/>
      <c r="W332" s="749"/>
      <c r="X332" s="749"/>
      <c r="Y332" s="749"/>
      <c r="Z332" s="750"/>
      <c r="AA332" s="750"/>
      <c r="AQ332" s="749"/>
      <c r="AR332" s="749"/>
      <c r="BA332"/>
    </row>
    <row r="333" spans="1:96" s="238" customFormat="1" x14ac:dyDescent="0.2">
      <c r="A333" s="298"/>
      <c r="B333" s="298"/>
      <c r="C333" s="298"/>
      <c r="D333" s="298"/>
      <c r="W333" s="749"/>
      <c r="X333" s="749"/>
      <c r="Y333" s="749"/>
      <c r="Z333" s="750"/>
      <c r="AA333" s="750"/>
      <c r="AQ333" s="749"/>
      <c r="AR333" s="749"/>
      <c r="BA333"/>
    </row>
    <row r="334" spans="1:96" s="238" customFormat="1" x14ac:dyDescent="0.2">
      <c r="A334" s="298"/>
      <c r="B334" s="298"/>
      <c r="C334" s="298"/>
      <c r="D334" s="298"/>
      <c r="W334" s="749"/>
      <c r="X334" s="749"/>
      <c r="Y334" s="749"/>
      <c r="Z334" s="750"/>
      <c r="AA334" s="750"/>
      <c r="AQ334" s="749"/>
      <c r="AR334" s="749"/>
      <c r="BA334"/>
    </row>
    <row r="335" spans="1:96" s="238" customFormat="1" x14ac:dyDescent="0.2">
      <c r="A335" s="298"/>
      <c r="B335" s="298"/>
      <c r="C335" s="298"/>
      <c r="D335" s="298"/>
      <c r="W335" s="749"/>
      <c r="X335" s="749"/>
      <c r="Y335" s="749"/>
      <c r="Z335" s="750"/>
      <c r="AA335" s="750"/>
      <c r="AQ335" s="749"/>
      <c r="AR335" s="749"/>
      <c r="BA335"/>
    </row>
    <row r="336" spans="1:96" s="238" customFormat="1" x14ac:dyDescent="0.2">
      <c r="A336" s="298"/>
      <c r="B336" s="298"/>
      <c r="C336" s="298"/>
      <c r="D336" s="298"/>
      <c r="W336" s="749"/>
      <c r="X336" s="749"/>
      <c r="Y336" s="749"/>
      <c r="Z336" s="750"/>
      <c r="AA336" s="750"/>
      <c r="AQ336" s="749"/>
      <c r="AR336" s="749"/>
      <c r="BA336"/>
    </row>
    <row r="337" spans="1:53" s="238" customFormat="1" x14ac:dyDescent="0.2">
      <c r="A337" s="298"/>
      <c r="B337" s="298"/>
      <c r="C337" s="298"/>
      <c r="D337" s="298"/>
      <c r="W337" s="749"/>
      <c r="X337" s="749"/>
      <c r="Y337" s="749"/>
      <c r="Z337" s="750"/>
      <c r="AA337" s="750"/>
      <c r="AQ337" s="749"/>
      <c r="AR337" s="749"/>
      <c r="BA337"/>
    </row>
    <row r="338" spans="1:53" s="238" customFormat="1" x14ac:dyDescent="0.2">
      <c r="A338" s="298"/>
      <c r="B338" s="298"/>
      <c r="C338" s="298"/>
      <c r="D338" s="298"/>
      <c r="W338" s="749"/>
      <c r="X338" s="749"/>
      <c r="Y338" s="749"/>
      <c r="Z338" s="750"/>
      <c r="AA338" s="750"/>
      <c r="AQ338" s="749"/>
      <c r="AR338" s="749"/>
      <c r="BA338"/>
    </row>
    <row r="339" spans="1:53" s="238" customFormat="1" x14ac:dyDescent="0.2">
      <c r="A339" s="298"/>
      <c r="B339" s="298"/>
      <c r="C339" s="298"/>
      <c r="D339" s="298"/>
      <c r="W339" s="749"/>
      <c r="X339" s="749"/>
      <c r="Y339" s="749"/>
      <c r="Z339" s="750"/>
      <c r="AA339" s="750"/>
      <c r="AQ339" s="749"/>
      <c r="AR339" s="749"/>
      <c r="BA339"/>
    </row>
    <row r="340" spans="1:53" s="238" customFormat="1" x14ac:dyDescent="0.2">
      <c r="A340" s="298"/>
      <c r="B340" s="298"/>
      <c r="C340" s="298"/>
      <c r="D340" s="298"/>
      <c r="W340" s="749"/>
      <c r="X340" s="749"/>
      <c r="Y340" s="749"/>
      <c r="Z340" s="750"/>
      <c r="AA340" s="750"/>
      <c r="AQ340" s="749"/>
      <c r="AR340" s="749"/>
      <c r="BA340"/>
    </row>
    <row r="341" spans="1:53" s="238" customFormat="1" x14ac:dyDescent="0.2">
      <c r="A341" s="298"/>
      <c r="B341" s="298"/>
      <c r="C341" s="298"/>
      <c r="D341" s="298"/>
      <c r="W341" s="749"/>
      <c r="X341" s="749"/>
      <c r="Y341" s="749"/>
      <c r="Z341" s="750"/>
      <c r="AA341" s="750"/>
      <c r="AQ341" s="749"/>
      <c r="AR341" s="749"/>
      <c r="BA341"/>
    </row>
    <row r="342" spans="1:53" s="238" customFormat="1" x14ac:dyDescent="0.2">
      <c r="A342" s="298"/>
      <c r="B342" s="298"/>
      <c r="C342" s="298"/>
      <c r="D342" s="298"/>
      <c r="W342" s="749"/>
      <c r="X342" s="749"/>
      <c r="Y342" s="749"/>
      <c r="Z342" s="750"/>
      <c r="AA342" s="750"/>
      <c r="AQ342" s="749"/>
      <c r="AR342" s="749"/>
      <c r="BA342"/>
    </row>
    <row r="343" spans="1:53" s="238" customFormat="1" x14ac:dyDescent="0.2">
      <c r="A343" s="298"/>
      <c r="B343" s="298"/>
      <c r="C343" s="298"/>
      <c r="D343" s="298"/>
      <c r="W343" s="749"/>
      <c r="X343" s="749"/>
      <c r="Y343" s="749"/>
      <c r="Z343" s="750"/>
      <c r="AA343" s="750"/>
      <c r="AQ343" s="749"/>
      <c r="AR343" s="749"/>
      <c r="BA343"/>
    </row>
    <row r="344" spans="1:53" s="238" customFormat="1" x14ac:dyDescent="0.2">
      <c r="A344" s="298"/>
      <c r="B344" s="298"/>
      <c r="C344" s="298"/>
      <c r="D344" s="298"/>
      <c r="W344" s="749"/>
      <c r="X344" s="749"/>
      <c r="Y344" s="749"/>
      <c r="Z344" s="750"/>
      <c r="AA344" s="750"/>
      <c r="AQ344" s="749"/>
      <c r="AR344" s="749"/>
      <c r="BA344"/>
    </row>
    <row r="345" spans="1:53" s="238" customFormat="1" x14ac:dyDescent="0.2">
      <c r="A345" s="298"/>
      <c r="B345" s="298"/>
      <c r="C345" s="298"/>
      <c r="D345" s="298"/>
      <c r="W345" s="749"/>
      <c r="X345" s="749"/>
      <c r="Y345" s="749"/>
      <c r="Z345" s="750"/>
      <c r="AA345" s="750"/>
      <c r="AQ345" s="749"/>
      <c r="AR345" s="749"/>
      <c r="BA345"/>
    </row>
    <row r="346" spans="1:53" s="238" customFormat="1" x14ac:dyDescent="0.2">
      <c r="A346" s="298"/>
      <c r="B346" s="298"/>
      <c r="C346" s="298"/>
      <c r="D346" s="298"/>
      <c r="W346" s="749"/>
      <c r="X346" s="749"/>
      <c r="Y346" s="749"/>
      <c r="Z346" s="750"/>
      <c r="AA346" s="750"/>
      <c r="AQ346" s="749"/>
      <c r="AR346" s="749"/>
      <c r="BA346"/>
    </row>
    <row r="347" spans="1:53" s="238" customFormat="1" x14ac:dyDescent="0.2">
      <c r="A347" s="298"/>
      <c r="B347" s="298"/>
      <c r="C347" s="298"/>
      <c r="D347" s="298"/>
      <c r="W347" s="749"/>
      <c r="X347" s="749"/>
      <c r="Y347" s="749"/>
      <c r="Z347" s="750"/>
      <c r="AA347" s="750"/>
      <c r="AQ347" s="749"/>
      <c r="AR347" s="749"/>
      <c r="BA347"/>
    </row>
    <row r="348" spans="1:53" s="238" customFormat="1" x14ac:dyDescent="0.2">
      <c r="A348" s="298"/>
      <c r="B348" s="298"/>
      <c r="C348" s="298"/>
      <c r="D348" s="298"/>
      <c r="W348" s="749"/>
      <c r="X348" s="749"/>
      <c r="Y348" s="749"/>
      <c r="Z348" s="750"/>
      <c r="AA348" s="750"/>
      <c r="AQ348" s="749"/>
      <c r="AR348" s="749"/>
      <c r="BA348"/>
    </row>
    <row r="349" spans="1:53" s="238" customFormat="1" x14ac:dyDescent="0.2">
      <c r="A349" s="298"/>
      <c r="B349" s="298"/>
      <c r="C349" s="298"/>
      <c r="D349" s="298"/>
      <c r="W349" s="749"/>
      <c r="X349" s="749"/>
      <c r="Y349" s="749"/>
      <c r="Z349" s="750"/>
      <c r="AA349" s="750"/>
      <c r="AQ349" s="749"/>
      <c r="AR349" s="749"/>
      <c r="BA349"/>
    </row>
    <row r="350" spans="1:53" s="238" customFormat="1" x14ac:dyDescent="0.2">
      <c r="A350" s="298"/>
      <c r="B350" s="298"/>
      <c r="C350" s="298"/>
      <c r="D350" s="298"/>
      <c r="W350" s="749"/>
      <c r="X350" s="749"/>
      <c r="Y350" s="749"/>
      <c r="Z350" s="750"/>
      <c r="AA350" s="750"/>
      <c r="AQ350" s="749"/>
      <c r="AR350" s="749"/>
      <c r="BA350"/>
    </row>
    <row r="351" spans="1:53" s="238" customFormat="1" x14ac:dyDescent="0.2">
      <c r="A351" s="298"/>
      <c r="B351" s="298"/>
      <c r="C351" s="298"/>
      <c r="D351" s="298"/>
      <c r="W351" s="749"/>
      <c r="X351" s="749"/>
      <c r="Y351" s="749"/>
      <c r="Z351" s="750"/>
      <c r="AA351" s="750"/>
      <c r="AQ351" s="749"/>
      <c r="AR351" s="749"/>
      <c r="BA351"/>
    </row>
    <row r="352" spans="1:53" s="238" customFormat="1" x14ac:dyDescent="0.2">
      <c r="A352" s="298"/>
      <c r="B352" s="298"/>
      <c r="C352" s="298"/>
      <c r="D352" s="298"/>
      <c r="W352" s="749"/>
      <c r="X352" s="749"/>
      <c r="Y352" s="749"/>
      <c r="Z352" s="750"/>
      <c r="AA352" s="750"/>
      <c r="AQ352" s="749"/>
      <c r="AR352" s="749"/>
      <c r="BA352"/>
    </row>
    <row r="353" spans="1:53" s="238" customFormat="1" x14ac:dyDescent="0.2">
      <c r="A353" s="298"/>
      <c r="B353" s="298"/>
      <c r="C353" s="298"/>
      <c r="D353" s="298"/>
      <c r="W353" s="749"/>
      <c r="X353" s="749"/>
      <c r="Y353" s="749"/>
      <c r="Z353" s="750"/>
      <c r="AA353" s="750"/>
      <c r="AQ353" s="749"/>
      <c r="AR353" s="749"/>
      <c r="BA353"/>
    </row>
    <row r="354" spans="1:53" s="238" customFormat="1" x14ac:dyDescent="0.2">
      <c r="A354" s="298"/>
      <c r="B354" s="298"/>
      <c r="C354" s="298"/>
      <c r="D354" s="298"/>
      <c r="W354" s="749"/>
      <c r="X354" s="749"/>
      <c r="Y354" s="749"/>
      <c r="Z354" s="750"/>
      <c r="AA354" s="750"/>
      <c r="AQ354" s="749"/>
      <c r="AR354" s="749"/>
      <c r="BA354"/>
    </row>
    <row r="355" spans="1:53" s="238" customFormat="1" x14ac:dyDescent="0.2">
      <c r="A355" s="298"/>
      <c r="B355" s="298"/>
      <c r="C355" s="298"/>
      <c r="D355" s="298"/>
      <c r="W355" s="749"/>
      <c r="X355" s="749"/>
      <c r="Y355" s="749"/>
      <c r="Z355" s="750"/>
      <c r="AA355" s="750"/>
      <c r="AQ355" s="749"/>
      <c r="AR355" s="749"/>
      <c r="BA355"/>
    </row>
    <row r="356" spans="1:53" s="238" customFormat="1" x14ac:dyDescent="0.2">
      <c r="A356" s="298"/>
      <c r="B356" s="298"/>
      <c r="C356" s="298"/>
      <c r="D356" s="298"/>
      <c r="W356" s="749"/>
      <c r="X356" s="749"/>
      <c r="Y356" s="749"/>
      <c r="Z356" s="750"/>
      <c r="AA356" s="750"/>
      <c r="AQ356" s="749"/>
      <c r="AR356" s="749"/>
      <c r="BA356"/>
    </row>
    <row r="357" spans="1:53" s="238" customFormat="1" x14ac:dyDescent="0.2">
      <c r="A357" s="298"/>
      <c r="B357" s="298"/>
      <c r="C357" s="298"/>
      <c r="D357" s="298"/>
      <c r="W357" s="749"/>
      <c r="X357" s="749"/>
      <c r="Y357" s="749"/>
      <c r="Z357" s="750"/>
      <c r="AA357" s="750"/>
      <c r="AQ357" s="749"/>
      <c r="AR357" s="749"/>
      <c r="BA357"/>
    </row>
    <row r="358" spans="1:53" s="238" customFormat="1" x14ac:dyDescent="0.2">
      <c r="A358" s="298"/>
      <c r="B358" s="298"/>
      <c r="C358" s="298"/>
      <c r="D358" s="298"/>
      <c r="W358" s="749"/>
      <c r="X358" s="749"/>
      <c r="Y358" s="749"/>
      <c r="Z358" s="750"/>
      <c r="AA358" s="750"/>
      <c r="AQ358" s="749"/>
      <c r="AR358" s="749"/>
      <c r="BA358"/>
    </row>
    <row r="359" spans="1:53" s="238" customFormat="1" x14ac:dyDescent="0.2">
      <c r="A359" s="298"/>
      <c r="B359" s="298"/>
      <c r="C359" s="298"/>
      <c r="D359" s="298"/>
      <c r="W359" s="749"/>
      <c r="X359" s="749"/>
      <c r="Y359" s="749"/>
      <c r="Z359" s="750"/>
      <c r="AA359" s="750"/>
      <c r="AQ359" s="749"/>
      <c r="AR359" s="749"/>
      <c r="BA359"/>
    </row>
    <row r="360" spans="1:53" s="238" customFormat="1" x14ac:dyDescent="0.2">
      <c r="A360" s="298"/>
      <c r="B360" s="298"/>
      <c r="C360" s="298"/>
      <c r="D360" s="298"/>
      <c r="W360" s="749"/>
      <c r="X360" s="749"/>
      <c r="Y360" s="749"/>
      <c r="Z360" s="750"/>
      <c r="AA360" s="750"/>
      <c r="AQ360" s="749"/>
      <c r="AR360" s="749"/>
      <c r="BA360"/>
    </row>
    <row r="361" spans="1:53" s="238" customFormat="1" x14ac:dyDescent="0.2">
      <c r="A361" s="298"/>
      <c r="B361" s="298"/>
      <c r="C361" s="298"/>
      <c r="D361" s="298"/>
      <c r="W361" s="749"/>
      <c r="X361" s="749"/>
      <c r="Y361" s="749"/>
      <c r="Z361" s="750"/>
      <c r="AA361" s="750"/>
      <c r="AQ361" s="749"/>
      <c r="AR361" s="749"/>
      <c r="BA361"/>
    </row>
    <row r="362" spans="1:53" s="238" customFormat="1" x14ac:dyDescent="0.2">
      <c r="A362" s="298"/>
      <c r="B362" s="298"/>
      <c r="C362" s="298"/>
      <c r="D362" s="298"/>
      <c r="W362" s="749"/>
      <c r="X362" s="749"/>
      <c r="Y362" s="749"/>
      <c r="Z362" s="750"/>
      <c r="AA362" s="750"/>
      <c r="AQ362" s="749"/>
      <c r="AR362" s="749"/>
      <c r="BA362"/>
    </row>
    <row r="363" spans="1:53" s="238" customFormat="1" x14ac:dyDescent="0.2">
      <c r="A363" s="298"/>
      <c r="B363" s="298"/>
      <c r="C363" s="298"/>
      <c r="D363" s="298"/>
      <c r="W363" s="749"/>
      <c r="X363" s="749"/>
      <c r="Y363" s="749"/>
      <c r="Z363" s="750"/>
      <c r="AA363" s="750"/>
      <c r="AQ363" s="749"/>
      <c r="AR363" s="749"/>
      <c r="BA363"/>
    </row>
    <row r="364" spans="1:53" s="238" customFormat="1" x14ac:dyDescent="0.2">
      <c r="A364" s="298"/>
      <c r="B364" s="298"/>
      <c r="C364" s="298"/>
      <c r="D364" s="298"/>
      <c r="W364" s="749"/>
      <c r="X364" s="749"/>
      <c r="Y364" s="749"/>
      <c r="Z364" s="750"/>
      <c r="AA364" s="750"/>
      <c r="AQ364" s="749"/>
      <c r="AR364" s="749"/>
      <c r="BA364"/>
    </row>
    <row r="365" spans="1:53" s="238" customFormat="1" x14ac:dyDescent="0.2">
      <c r="A365" s="298"/>
      <c r="B365" s="298"/>
      <c r="C365" s="298"/>
      <c r="D365" s="298"/>
      <c r="W365" s="749"/>
      <c r="X365" s="749"/>
      <c r="Y365" s="749"/>
      <c r="Z365" s="750"/>
      <c r="AA365" s="750"/>
      <c r="AQ365" s="749"/>
      <c r="AR365" s="749"/>
      <c r="BA365"/>
    </row>
    <row r="366" spans="1:53" s="238" customFormat="1" x14ac:dyDescent="0.2">
      <c r="A366" s="298"/>
      <c r="B366" s="298"/>
      <c r="C366" s="298"/>
      <c r="D366" s="298"/>
      <c r="W366" s="749"/>
      <c r="X366" s="749"/>
      <c r="Y366" s="749"/>
      <c r="Z366" s="750"/>
      <c r="AA366" s="750"/>
      <c r="AQ366" s="749"/>
      <c r="AR366" s="749"/>
      <c r="BA366"/>
    </row>
    <row r="367" spans="1:53" s="238" customFormat="1" x14ac:dyDescent="0.2">
      <c r="A367" s="298"/>
      <c r="B367" s="298"/>
      <c r="C367" s="298"/>
      <c r="D367" s="298"/>
      <c r="W367" s="749"/>
      <c r="X367" s="749"/>
      <c r="Y367" s="749"/>
      <c r="Z367" s="750"/>
      <c r="AA367" s="750"/>
      <c r="AQ367" s="749"/>
      <c r="AR367" s="749"/>
      <c r="BA367"/>
    </row>
    <row r="368" spans="1:53" s="238" customFormat="1" x14ac:dyDescent="0.2">
      <c r="A368" s="298"/>
      <c r="B368" s="298"/>
      <c r="C368" s="298"/>
      <c r="D368" s="298"/>
      <c r="W368" s="749"/>
      <c r="X368" s="749"/>
      <c r="Y368" s="749"/>
      <c r="Z368" s="750"/>
      <c r="AA368" s="750"/>
      <c r="AQ368" s="749"/>
      <c r="AR368" s="749"/>
      <c r="BA368"/>
    </row>
    <row r="369" spans="1:53" s="238" customFormat="1" x14ac:dyDescent="0.2">
      <c r="A369" s="298"/>
      <c r="B369" s="298"/>
      <c r="C369" s="298"/>
      <c r="D369" s="298"/>
      <c r="W369" s="749"/>
      <c r="X369" s="749"/>
      <c r="Y369" s="749"/>
      <c r="Z369" s="750"/>
      <c r="AA369" s="750"/>
      <c r="AQ369" s="749"/>
      <c r="AR369" s="749"/>
      <c r="BA369"/>
    </row>
    <row r="370" spans="1:53" s="238" customFormat="1" x14ac:dyDescent="0.2">
      <c r="A370" s="298"/>
      <c r="B370" s="298"/>
      <c r="C370" s="298"/>
      <c r="D370" s="298"/>
      <c r="W370" s="749"/>
      <c r="X370" s="749"/>
      <c r="Y370" s="749"/>
      <c r="Z370" s="750"/>
      <c r="AA370" s="750"/>
      <c r="AQ370" s="749"/>
      <c r="AR370" s="749"/>
      <c r="BA370"/>
    </row>
    <row r="371" spans="1:53" s="238" customFormat="1" x14ac:dyDescent="0.2">
      <c r="A371" s="298"/>
      <c r="B371" s="298"/>
      <c r="C371" s="298"/>
      <c r="D371" s="298"/>
      <c r="W371" s="749"/>
      <c r="X371" s="749"/>
      <c r="Y371" s="749"/>
      <c r="Z371" s="750"/>
      <c r="AA371" s="750"/>
      <c r="AQ371" s="749"/>
      <c r="AR371" s="749"/>
      <c r="BA371"/>
    </row>
    <row r="372" spans="1:53" s="238" customFormat="1" x14ac:dyDescent="0.2">
      <c r="A372" s="298"/>
      <c r="B372" s="298"/>
      <c r="C372" s="298"/>
      <c r="D372" s="298"/>
      <c r="W372" s="749"/>
      <c r="X372" s="749"/>
      <c r="Y372" s="749"/>
      <c r="Z372" s="750"/>
      <c r="AA372" s="750"/>
      <c r="AQ372" s="749"/>
      <c r="AR372" s="749"/>
      <c r="BA372"/>
    </row>
    <row r="373" spans="1:53" s="238" customFormat="1" x14ac:dyDescent="0.2">
      <c r="A373" s="298"/>
      <c r="B373" s="298"/>
      <c r="C373" s="298"/>
      <c r="D373" s="298"/>
      <c r="W373" s="749"/>
      <c r="X373" s="749"/>
      <c r="Y373" s="749"/>
      <c r="Z373" s="750"/>
      <c r="AA373" s="750"/>
      <c r="AQ373" s="749"/>
      <c r="AR373" s="749"/>
      <c r="BA373"/>
    </row>
    <row r="374" spans="1:53" s="238" customFormat="1" x14ac:dyDescent="0.2">
      <c r="A374" s="298"/>
      <c r="B374" s="298"/>
      <c r="C374" s="298"/>
      <c r="D374" s="298"/>
      <c r="W374" s="749"/>
      <c r="X374" s="749"/>
      <c r="Y374" s="749"/>
      <c r="Z374" s="750"/>
      <c r="AA374" s="750"/>
      <c r="AQ374" s="749"/>
      <c r="AR374" s="749"/>
      <c r="BA374"/>
    </row>
    <row r="375" spans="1:53" s="238" customFormat="1" x14ac:dyDescent="0.2">
      <c r="A375" s="298"/>
      <c r="B375" s="298"/>
      <c r="C375" s="298"/>
      <c r="D375" s="298"/>
      <c r="W375" s="749"/>
      <c r="X375" s="749"/>
      <c r="Y375" s="749"/>
      <c r="Z375" s="750"/>
      <c r="AA375" s="750"/>
      <c r="AQ375" s="749"/>
      <c r="AR375" s="749"/>
      <c r="BA375"/>
    </row>
    <row r="376" spans="1:53" s="238" customFormat="1" x14ac:dyDescent="0.2">
      <c r="A376" s="298"/>
      <c r="B376" s="298"/>
      <c r="C376" s="298"/>
      <c r="D376" s="298"/>
      <c r="W376" s="749"/>
      <c r="X376" s="749"/>
      <c r="Y376" s="749"/>
      <c r="Z376" s="750"/>
      <c r="AA376" s="750"/>
      <c r="AQ376" s="749"/>
      <c r="AR376" s="749"/>
      <c r="BA376"/>
    </row>
    <row r="377" spans="1:53" s="238" customFormat="1" x14ac:dyDescent="0.2">
      <c r="A377" s="298"/>
      <c r="B377" s="298"/>
      <c r="C377" s="298"/>
      <c r="D377" s="298"/>
      <c r="W377" s="749"/>
      <c r="X377" s="749"/>
      <c r="Y377" s="749"/>
      <c r="Z377" s="750"/>
      <c r="AA377" s="750"/>
      <c r="AQ377" s="749"/>
      <c r="AR377" s="749"/>
      <c r="BA377"/>
    </row>
    <row r="378" spans="1:53" s="238" customFormat="1" x14ac:dyDescent="0.2">
      <c r="A378" s="298"/>
      <c r="B378" s="298"/>
      <c r="C378" s="298"/>
      <c r="D378" s="298"/>
      <c r="W378" s="749"/>
      <c r="X378" s="749"/>
      <c r="Y378" s="749"/>
      <c r="Z378" s="750"/>
      <c r="AA378" s="750"/>
      <c r="AQ378" s="749"/>
      <c r="AR378" s="749"/>
      <c r="BA378"/>
    </row>
    <row r="379" spans="1:53" s="238" customFormat="1" x14ac:dyDescent="0.2">
      <c r="A379" s="298"/>
      <c r="B379" s="298"/>
      <c r="C379" s="298"/>
      <c r="D379" s="298"/>
      <c r="W379" s="749"/>
      <c r="X379" s="749"/>
      <c r="Y379" s="749"/>
      <c r="Z379" s="750"/>
      <c r="AA379" s="750"/>
      <c r="AQ379" s="749"/>
      <c r="AR379" s="749"/>
      <c r="BA379"/>
    </row>
    <row r="380" spans="1:53" s="238" customFormat="1" x14ac:dyDescent="0.2">
      <c r="A380" s="298"/>
      <c r="B380" s="298"/>
      <c r="C380" s="298"/>
      <c r="D380" s="298"/>
      <c r="W380" s="749"/>
      <c r="X380" s="749"/>
      <c r="Y380" s="749"/>
      <c r="Z380" s="750"/>
      <c r="AA380" s="750"/>
      <c r="AQ380" s="749"/>
      <c r="AR380" s="749"/>
      <c r="BA380"/>
    </row>
    <row r="381" spans="1:53" s="238" customFormat="1" x14ac:dyDescent="0.2">
      <c r="A381" s="298"/>
      <c r="B381" s="298"/>
      <c r="C381" s="298"/>
      <c r="D381" s="298"/>
      <c r="W381" s="749"/>
      <c r="X381" s="749"/>
      <c r="Y381" s="749"/>
      <c r="Z381" s="750"/>
      <c r="AA381" s="750"/>
      <c r="AQ381" s="749"/>
      <c r="AR381" s="749"/>
      <c r="BA381"/>
    </row>
    <row r="382" spans="1:53" s="238" customFormat="1" x14ac:dyDescent="0.2">
      <c r="A382" s="298"/>
      <c r="B382" s="298"/>
      <c r="C382" s="298"/>
      <c r="D382" s="298"/>
      <c r="W382" s="749"/>
      <c r="X382" s="749"/>
      <c r="Y382" s="749"/>
      <c r="Z382" s="750"/>
      <c r="AA382" s="750"/>
      <c r="AQ382" s="749"/>
      <c r="AR382" s="749"/>
      <c r="BA382"/>
    </row>
    <row r="383" spans="1:53" s="238" customFormat="1" x14ac:dyDescent="0.2">
      <c r="A383" s="298"/>
      <c r="B383" s="298"/>
      <c r="C383" s="298"/>
      <c r="D383" s="298"/>
      <c r="W383" s="749"/>
      <c r="X383" s="749"/>
      <c r="Y383" s="749"/>
      <c r="Z383" s="750"/>
      <c r="AA383" s="750"/>
      <c r="AQ383" s="749"/>
      <c r="AR383" s="749"/>
      <c r="BA383"/>
    </row>
    <row r="384" spans="1:53" s="238" customFormat="1" x14ac:dyDescent="0.2">
      <c r="A384" s="298"/>
      <c r="B384" s="298"/>
      <c r="C384" s="298"/>
      <c r="D384" s="298"/>
      <c r="W384" s="749"/>
      <c r="X384" s="749"/>
      <c r="Y384" s="749"/>
      <c r="Z384" s="750"/>
      <c r="AA384" s="750"/>
      <c r="AQ384" s="749"/>
      <c r="AR384" s="749"/>
      <c r="BA384"/>
    </row>
    <row r="385" spans="1:53" s="238" customFormat="1" x14ac:dyDescent="0.2">
      <c r="A385" s="298"/>
      <c r="B385" s="298"/>
      <c r="C385" s="298"/>
      <c r="D385" s="298"/>
      <c r="W385" s="749"/>
      <c r="X385" s="749"/>
      <c r="Y385" s="749"/>
      <c r="Z385" s="750"/>
      <c r="AA385" s="750"/>
      <c r="AQ385" s="749"/>
      <c r="AR385" s="749"/>
      <c r="BA385"/>
    </row>
    <row r="386" spans="1:53" s="238" customFormat="1" x14ac:dyDescent="0.2">
      <c r="A386" s="298"/>
      <c r="B386" s="298"/>
      <c r="C386" s="298"/>
      <c r="D386" s="298"/>
      <c r="W386" s="749"/>
      <c r="X386" s="749"/>
      <c r="Y386" s="749"/>
      <c r="Z386" s="750"/>
      <c r="AA386" s="750"/>
      <c r="AQ386" s="749"/>
      <c r="AR386" s="749"/>
      <c r="BA386"/>
    </row>
    <row r="387" spans="1:53" s="238" customFormat="1" x14ac:dyDescent="0.2">
      <c r="A387" s="298"/>
      <c r="B387" s="298"/>
      <c r="C387" s="298"/>
      <c r="D387" s="298"/>
      <c r="W387" s="749"/>
      <c r="X387" s="749"/>
      <c r="Y387" s="749"/>
      <c r="Z387" s="750"/>
      <c r="AA387" s="750"/>
      <c r="AQ387" s="749"/>
      <c r="AR387" s="749"/>
      <c r="BA387"/>
    </row>
    <row r="388" spans="1:53" s="238" customFormat="1" x14ac:dyDescent="0.2">
      <c r="A388" s="298"/>
      <c r="B388" s="298"/>
      <c r="C388" s="298"/>
      <c r="D388" s="298"/>
      <c r="W388" s="749"/>
      <c r="X388" s="749"/>
      <c r="Y388" s="749"/>
      <c r="Z388" s="750"/>
      <c r="AA388" s="750"/>
      <c r="AQ388" s="749"/>
      <c r="AR388" s="749"/>
      <c r="BA388"/>
    </row>
    <row r="389" spans="1:53" s="238" customFormat="1" x14ac:dyDescent="0.2">
      <c r="A389" s="298"/>
      <c r="B389" s="298"/>
      <c r="C389" s="298"/>
      <c r="D389" s="298"/>
      <c r="W389" s="749"/>
      <c r="X389" s="749"/>
      <c r="Y389" s="749"/>
      <c r="Z389" s="750"/>
      <c r="AA389" s="750"/>
      <c r="AQ389" s="749"/>
      <c r="AR389" s="749"/>
      <c r="BA389"/>
    </row>
    <row r="390" spans="1:53" s="238" customFormat="1" x14ac:dyDescent="0.2">
      <c r="A390" s="298"/>
      <c r="B390" s="298"/>
      <c r="C390" s="298"/>
      <c r="D390" s="298"/>
      <c r="W390" s="749"/>
      <c r="X390" s="749"/>
      <c r="Y390" s="749"/>
      <c r="Z390" s="750"/>
      <c r="AA390" s="750"/>
      <c r="AQ390" s="749"/>
      <c r="AR390" s="749"/>
      <c r="BA390"/>
    </row>
    <row r="391" spans="1:53" s="238" customFormat="1" x14ac:dyDescent="0.2">
      <c r="A391" s="298"/>
      <c r="B391" s="298"/>
      <c r="C391" s="298"/>
      <c r="D391" s="298"/>
      <c r="W391" s="749"/>
      <c r="X391" s="749"/>
      <c r="Y391" s="749"/>
      <c r="Z391" s="750"/>
      <c r="AA391" s="750"/>
      <c r="AQ391" s="749"/>
      <c r="AR391" s="749"/>
      <c r="BA391"/>
    </row>
    <row r="392" spans="1:53" s="238" customFormat="1" x14ac:dyDescent="0.2">
      <c r="A392" s="298"/>
      <c r="B392" s="298"/>
      <c r="C392" s="298"/>
      <c r="D392" s="298"/>
      <c r="W392" s="749"/>
      <c r="X392" s="749"/>
      <c r="Y392" s="749"/>
      <c r="Z392" s="750"/>
      <c r="AA392" s="750"/>
      <c r="AQ392" s="749"/>
      <c r="AR392" s="749"/>
      <c r="BA392"/>
    </row>
    <row r="393" spans="1:53" s="238" customFormat="1" x14ac:dyDescent="0.2">
      <c r="A393" s="298"/>
      <c r="B393" s="298"/>
      <c r="C393" s="298"/>
      <c r="D393" s="298"/>
      <c r="W393" s="749"/>
      <c r="X393" s="749"/>
      <c r="Y393" s="749"/>
      <c r="Z393" s="750"/>
      <c r="AA393" s="750"/>
      <c r="AQ393" s="749"/>
      <c r="AR393" s="749"/>
      <c r="BA393"/>
    </row>
    <row r="394" spans="1:53" s="238" customFormat="1" x14ac:dyDescent="0.2">
      <c r="A394" s="298"/>
      <c r="B394" s="298"/>
      <c r="C394" s="298"/>
      <c r="D394" s="298"/>
      <c r="W394" s="749"/>
      <c r="X394" s="749"/>
      <c r="Y394" s="749"/>
      <c r="Z394" s="750"/>
      <c r="AA394" s="750"/>
      <c r="AQ394" s="749"/>
      <c r="AR394" s="749"/>
      <c r="BA394"/>
    </row>
    <row r="395" spans="1:53" s="238" customFormat="1" x14ac:dyDescent="0.2">
      <c r="A395" s="298"/>
      <c r="B395" s="298"/>
      <c r="C395" s="298"/>
      <c r="D395" s="298"/>
      <c r="W395" s="749"/>
      <c r="X395" s="749"/>
      <c r="Y395" s="749"/>
      <c r="Z395" s="750"/>
      <c r="AA395" s="750"/>
      <c r="AQ395" s="749"/>
      <c r="AR395" s="749"/>
      <c r="BA395"/>
    </row>
    <row r="396" spans="1:53" s="238" customFormat="1" x14ac:dyDescent="0.2">
      <c r="A396" s="298"/>
      <c r="B396" s="298"/>
      <c r="C396" s="298"/>
      <c r="D396" s="298"/>
      <c r="W396" s="749"/>
      <c r="X396" s="749"/>
      <c r="Y396" s="749"/>
      <c r="Z396" s="750"/>
      <c r="AA396" s="750"/>
      <c r="AQ396" s="749"/>
      <c r="AR396" s="749"/>
      <c r="BA396"/>
    </row>
    <row r="397" spans="1:53" s="238" customFormat="1" x14ac:dyDescent="0.2">
      <c r="A397" s="298"/>
      <c r="B397" s="298"/>
      <c r="C397" s="298"/>
      <c r="D397" s="298"/>
      <c r="W397" s="749"/>
      <c r="X397" s="749"/>
      <c r="Y397" s="749"/>
      <c r="Z397" s="750"/>
      <c r="AA397" s="750"/>
      <c r="AQ397" s="749"/>
      <c r="AR397" s="749"/>
      <c r="BA397"/>
    </row>
    <row r="398" spans="1:53" s="238" customFormat="1" x14ac:dyDescent="0.2">
      <c r="A398" s="298"/>
      <c r="B398" s="298"/>
      <c r="C398" s="298"/>
      <c r="D398" s="298"/>
      <c r="W398" s="749"/>
      <c r="X398" s="749"/>
      <c r="Y398" s="749"/>
      <c r="Z398" s="750"/>
      <c r="AA398" s="750"/>
      <c r="AQ398" s="749"/>
      <c r="AR398" s="749"/>
      <c r="BA398"/>
    </row>
    <row r="399" spans="1:53" s="238" customFormat="1" x14ac:dyDescent="0.2">
      <c r="A399" s="298"/>
      <c r="B399" s="298"/>
      <c r="C399" s="298"/>
      <c r="D399" s="298"/>
      <c r="W399" s="749"/>
      <c r="X399" s="749"/>
      <c r="Y399" s="749"/>
      <c r="Z399" s="750"/>
      <c r="AA399" s="750"/>
      <c r="AQ399" s="749"/>
      <c r="AR399" s="749"/>
      <c r="BA399"/>
    </row>
    <row r="400" spans="1:53" s="238" customFormat="1" x14ac:dyDescent="0.2">
      <c r="A400" s="298"/>
      <c r="B400" s="298"/>
      <c r="C400" s="298"/>
      <c r="D400" s="298"/>
      <c r="W400" s="749"/>
      <c r="X400" s="749"/>
      <c r="Y400" s="749"/>
      <c r="Z400" s="750"/>
      <c r="AA400" s="750"/>
      <c r="AQ400" s="749"/>
      <c r="AR400" s="749"/>
      <c r="BA400"/>
    </row>
    <row r="401" spans="1:53" s="238" customFormat="1" x14ac:dyDescent="0.2">
      <c r="A401" s="298"/>
      <c r="B401" s="298"/>
      <c r="C401" s="298"/>
      <c r="D401" s="298"/>
      <c r="W401" s="749"/>
      <c r="X401" s="749"/>
      <c r="Y401" s="749"/>
      <c r="Z401" s="750"/>
      <c r="AA401" s="750"/>
      <c r="AQ401" s="749"/>
      <c r="AR401" s="749"/>
      <c r="BA401"/>
    </row>
    <row r="402" spans="1:53" s="238" customFormat="1" x14ac:dyDescent="0.2">
      <c r="A402" s="298"/>
      <c r="B402" s="298"/>
      <c r="C402" s="298"/>
      <c r="D402" s="298"/>
      <c r="W402" s="749"/>
      <c r="X402" s="749"/>
      <c r="Y402" s="749"/>
      <c r="Z402" s="750"/>
      <c r="AA402" s="750"/>
      <c r="AQ402" s="749"/>
      <c r="AR402" s="749"/>
      <c r="BA402"/>
    </row>
    <row r="403" spans="1:53" s="238" customFormat="1" x14ac:dyDescent="0.2">
      <c r="A403" s="298"/>
      <c r="B403" s="298"/>
      <c r="C403" s="298"/>
      <c r="D403" s="298"/>
      <c r="W403" s="749"/>
      <c r="X403" s="749"/>
      <c r="Y403" s="749"/>
      <c r="Z403" s="750"/>
      <c r="AA403" s="750"/>
      <c r="AQ403" s="749"/>
      <c r="AR403" s="749"/>
      <c r="BA403"/>
    </row>
    <row r="404" spans="1:53" s="238" customFormat="1" x14ac:dyDescent="0.2">
      <c r="A404" s="298"/>
      <c r="B404" s="298"/>
      <c r="C404" s="298"/>
      <c r="D404" s="298"/>
      <c r="W404" s="749"/>
      <c r="X404" s="749"/>
      <c r="Y404" s="749"/>
      <c r="Z404" s="750"/>
      <c r="AA404" s="750"/>
      <c r="AQ404" s="749"/>
      <c r="AR404" s="749"/>
      <c r="BA404"/>
    </row>
    <row r="405" spans="1:53" s="238" customFormat="1" x14ac:dyDescent="0.2">
      <c r="A405" s="298"/>
      <c r="B405" s="298"/>
      <c r="C405" s="298"/>
      <c r="D405" s="298"/>
      <c r="W405" s="749"/>
      <c r="X405" s="749"/>
      <c r="Y405" s="749"/>
      <c r="Z405" s="750"/>
      <c r="AA405" s="750"/>
      <c r="AQ405" s="749"/>
      <c r="AR405" s="749"/>
      <c r="BA405"/>
    </row>
    <row r="406" spans="1:53" s="238" customFormat="1" x14ac:dyDescent="0.2">
      <c r="A406" s="298"/>
      <c r="B406" s="298"/>
      <c r="C406" s="298"/>
      <c r="D406" s="298"/>
      <c r="W406" s="749"/>
      <c r="X406" s="749"/>
      <c r="Y406" s="749"/>
      <c r="Z406" s="750"/>
      <c r="AA406" s="750"/>
      <c r="AQ406" s="749"/>
      <c r="AR406" s="749"/>
      <c r="BA406"/>
    </row>
    <row r="407" spans="1:53" s="238" customFormat="1" x14ac:dyDescent="0.2">
      <c r="A407" s="298"/>
      <c r="B407" s="298"/>
      <c r="C407" s="298"/>
      <c r="D407" s="298"/>
      <c r="W407" s="749"/>
      <c r="X407" s="749"/>
      <c r="Y407" s="749"/>
      <c r="Z407" s="750"/>
      <c r="AA407" s="750"/>
      <c r="AQ407" s="749"/>
      <c r="AR407" s="749"/>
      <c r="BA407"/>
    </row>
    <row r="408" spans="1:53" s="238" customFormat="1" x14ac:dyDescent="0.2">
      <c r="A408" s="298"/>
      <c r="B408" s="298"/>
      <c r="C408" s="298"/>
      <c r="D408" s="298"/>
      <c r="W408" s="749"/>
      <c r="X408" s="749"/>
      <c r="Y408" s="749"/>
      <c r="Z408" s="750"/>
      <c r="AA408" s="750"/>
      <c r="AQ408" s="749"/>
      <c r="AR408" s="749"/>
      <c r="BA408"/>
    </row>
    <row r="409" spans="1:53" s="238" customFormat="1" x14ac:dyDescent="0.2">
      <c r="A409" s="298"/>
      <c r="B409" s="298"/>
      <c r="C409" s="298"/>
      <c r="D409" s="298"/>
      <c r="W409" s="749"/>
      <c r="X409" s="749"/>
      <c r="Y409" s="749"/>
      <c r="Z409" s="750"/>
      <c r="AA409" s="750"/>
      <c r="AQ409" s="749"/>
      <c r="AR409" s="749"/>
      <c r="BA409"/>
    </row>
    <row r="410" spans="1:53" s="238" customFormat="1" x14ac:dyDescent="0.2">
      <c r="A410" s="298"/>
      <c r="B410" s="298"/>
      <c r="C410" s="298"/>
      <c r="D410" s="298"/>
      <c r="W410" s="749"/>
      <c r="X410" s="749"/>
      <c r="Y410" s="749"/>
      <c r="Z410" s="750"/>
      <c r="AA410" s="750"/>
      <c r="AQ410" s="749"/>
      <c r="AR410" s="749"/>
      <c r="BA410"/>
    </row>
    <row r="411" spans="1:53" s="238" customFormat="1" x14ac:dyDescent="0.2">
      <c r="A411" s="298"/>
      <c r="B411" s="298"/>
      <c r="C411" s="298"/>
      <c r="D411" s="298"/>
      <c r="W411" s="749"/>
      <c r="X411" s="749"/>
      <c r="Y411" s="749"/>
      <c r="Z411" s="750"/>
      <c r="AA411" s="750"/>
      <c r="AQ411" s="749"/>
      <c r="AR411" s="749"/>
      <c r="BA411"/>
    </row>
    <row r="412" spans="1:53" s="238" customFormat="1" x14ac:dyDescent="0.2">
      <c r="A412" s="298"/>
      <c r="B412" s="298"/>
      <c r="C412" s="298"/>
      <c r="D412" s="298"/>
      <c r="W412" s="749"/>
      <c r="X412" s="749"/>
      <c r="Y412" s="749"/>
      <c r="Z412" s="750"/>
      <c r="AA412" s="750"/>
      <c r="AQ412" s="749"/>
      <c r="AR412" s="749"/>
      <c r="BA412"/>
    </row>
    <row r="413" spans="1:53" s="238" customFormat="1" x14ac:dyDescent="0.2">
      <c r="A413" s="298"/>
      <c r="B413" s="298"/>
      <c r="C413" s="298"/>
      <c r="D413" s="298"/>
      <c r="W413" s="749"/>
      <c r="X413" s="749"/>
      <c r="Y413" s="749"/>
      <c r="Z413" s="750"/>
      <c r="AA413" s="750"/>
      <c r="AQ413" s="749"/>
      <c r="AR413" s="749"/>
      <c r="BA413"/>
    </row>
    <row r="414" spans="1:53" s="238" customFormat="1" x14ac:dyDescent="0.2">
      <c r="A414" s="298"/>
      <c r="B414" s="298"/>
      <c r="C414" s="298"/>
      <c r="D414" s="298"/>
      <c r="W414" s="749"/>
      <c r="X414" s="749"/>
      <c r="Y414" s="749"/>
      <c r="Z414" s="750"/>
      <c r="AA414" s="750"/>
      <c r="AQ414" s="749"/>
      <c r="AR414" s="749"/>
      <c r="BA414"/>
    </row>
    <row r="415" spans="1:53" s="238" customFormat="1" x14ac:dyDescent="0.2">
      <c r="A415" s="298"/>
      <c r="B415" s="298"/>
      <c r="C415" s="298"/>
      <c r="D415" s="298"/>
      <c r="W415" s="749"/>
      <c r="X415" s="749"/>
      <c r="Y415" s="749"/>
      <c r="Z415" s="750"/>
      <c r="AA415" s="750"/>
      <c r="AQ415" s="749"/>
      <c r="AR415" s="749"/>
      <c r="BA415"/>
    </row>
    <row r="416" spans="1:53" s="238" customFormat="1" x14ac:dyDescent="0.2">
      <c r="A416" s="298"/>
      <c r="B416" s="298"/>
      <c r="C416" s="298"/>
      <c r="D416" s="298"/>
      <c r="W416" s="749"/>
      <c r="X416" s="749"/>
      <c r="Y416" s="749"/>
      <c r="Z416" s="750"/>
      <c r="AA416" s="750"/>
      <c r="AQ416" s="749"/>
      <c r="AR416" s="749"/>
      <c r="BA416"/>
    </row>
    <row r="417" spans="1:53" s="238" customFormat="1" x14ac:dyDescent="0.2">
      <c r="A417" s="298"/>
      <c r="B417" s="298"/>
      <c r="C417" s="298"/>
      <c r="D417" s="298"/>
      <c r="W417" s="749"/>
      <c r="X417" s="749"/>
      <c r="Y417" s="749"/>
      <c r="Z417" s="750"/>
      <c r="AA417" s="750"/>
      <c r="AQ417" s="749"/>
      <c r="AR417" s="749"/>
      <c r="BA417"/>
    </row>
    <row r="418" spans="1:53" s="238" customFormat="1" x14ac:dyDescent="0.2">
      <c r="A418" s="298"/>
      <c r="B418" s="298"/>
      <c r="C418" s="298"/>
      <c r="D418" s="298"/>
      <c r="W418" s="749"/>
      <c r="X418" s="749"/>
      <c r="Y418" s="749"/>
      <c r="Z418" s="750"/>
      <c r="AA418" s="750"/>
      <c r="AQ418" s="749"/>
      <c r="AR418" s="749"/>
      <c r="BA418"/>
    </row>
    <row r="419" spans="1:53" s="238" customFormat="1" x14ac:dyDescent="0.2">
      <c r="A419" s="298"/>
      <c r="B419" s="298"/>
      <c r="C419" s="298"/>
      <c r="D419" s="298"/>
      <c r="W419" s="749"/>
      <c r="X419" s="749"/>
      <c r="Y419" s="749"/>
      <c r="Z419" s="750"/>
      <c r="AA419" s="750"/>
      <c r="AQ419" s="749"/>
      <c r="AR419" s="749"/>
      <c r="BA419"/>
    </row>
    <row r="420" spans="1:53" s="238" customFormat="1" x14ac:dyDescent="0.2">
      <c r="A420" s="298"/>
      <c r="B420" s="298"/>
      <c r="C420" s="298"/>
      <c r="D420" s="298"/>
      <c r="W420" s="749"/>
      <c r="X420" s="749"/>
      <c r="Y420" s="749"/>
      <c r="Z420" s="750"/>
      <c r="AA420" s="750"/>
      <c r="AQ420" s="749"/>
      <c r="AR420" s="749"/>
      <c r="BA420"/>
    </row>
    <row r="421" spans="1:53" s="238" customFormat="1" x14ac:dyDescent="0.2">
      <c r="A421" s="298"/>
      <c r="B421" s="298"/>
      <c r="C421" s="298"/>
      <c r="D421" s="298"/>
      <c r="W421" s="749"/>
      <c r="X421" s="749"/>
      <c r="Y421" s="749"/>
      <c r="Z421" s="750"/>
      <c r="AA421" s="750"/>
      <c r="AQ421" s="749"/>
      <c r="AR421" s="749"/>
      <c r="BA421"/>
    </row>
    <row r="422" spans="1:53" s="238" customFormat="1" x14ac:dyDescent="0.2">
      <c r="A422" s="298"/>
      <c r="B422" s="298"/>
      <c r="C422" s="298"/>
      <c r="D422" s="298"/>
      <c r="W422" s="749"/>
      <c r="X422" s="749"/>
      <c r="Y422" s="749"/>
      <c r="Z422" s="750"/>
      <c r="AA422" s="750"/>
      <c r="AQ422" s="749"/>
      <c r="AR422" s="749"/>
      <c r="BA422"/>
    </row>
    <row r="423" spans="1:53" s="238" customFormat="1" x14ac:dyDescent="0.2">
      <c r="A423" s="298"/>
      <c r="B423" s="298"/>
      <c r="C423" s="298"/>
      <c r="D423" s="298"/>
      <c r="W423" s="749"/>
      <c r="X423" s="749"/>
      <c r="Y423" s="749"/>
      <c r="Z423" s="750"/>
      <c r="AA423" s="750"/>
      <c r="AQ423" s="749"/>
      <c r="AR423" s="749"/>
      <c r="BA423"/>
    </row>
    <row r="424" spans="1:53" s="238" customFormat="1" x14ac:dyDescent="0.2">
      <c r="A424" s="298"/>
      <c r="B424" s="298"/>
      <c r="C424" s="298"/>
      <c r="D424" s="298"/>
      <c r="W424" s="749"/>
      <c r="X424" s="749"/>
      <c r="Y424" s="749"/>
      <c r="Z424" s="750"/>
      <c r="AA424" s="750"/>
      <c r="AQ424" s="749"/>
      <c r="AR424" s="749"/>
      <c r="BA424"/>
    </row>
    <row r="425" spans="1:53" s="238" customFormat="1" x14ac:dyDescent="0.2">
      <c r="A425" s="298"/>
      <c r="B425" s="298"/>
      <c r="C425" s="298"/>
      <c r="D425" s="298"/>
      <c r="W425" s="749"/>
      <c r="X425" s="749"/>
      <c r="Y425" s="749"/>
      <c r="Z425" s="750"/>
      <c r="AA425" s="750"/>
      <c r="AQ425" s="749"/>
      <c r="AR425" s="749"/>
      <c r="BA425"/>
    </row>
    <row r="426" spans="1:53" s="238" customFormat="1" x14ac:dyDescent="0.2">
      <c r="A426" s="298"/>
      <c r="B426" s="298"/>
      <c r="C426" s="298"/>
      <c r="D426" s="298"/>
      <c r="W426" s="749"/>
      <c r="X426" s="749"/>
      <c r="Y426" s="749"/>
      <c r="Z426" s="750"/>
      <c r="AA426" s="750"/>
      <c r="AQ426" s="749"/>
      <c r="AR426" s="749"/>
      <c r="BA426"/>
    </row>
    <row r="427" spans="1:53" s="238" customFormat="1" x14ac:dyDescent="0.2">
      <c r="A427" s="298"/>
      <c r="B427" s="298"/>
      <c r="C427" s="298"/>
      <c r="D427" s="298"/>
      <c r="W427" s="749"/>
      <c r="X427" s="749"/>
      <c r="Y427" s="749"/>
      <c r="Z427" s="750"/>
      <c r="AA427" s="750"/>
      <c r="AQ427" s="749"/>
      <c r="AR427" s="749"/>
      <c r="BA427"/>
    </row>
    <row r="428" spans="1:53" s="238" customFormat="1" x14ac:dyDescent="0.2">
      <c r="A428" s="298"/>
      <c r="B428" s="298"/>
      <c r="C428" s="298"/>
      <c r="D428" s="298"/>
      <c r="W428" s="749"/>
      <c r="X428" s="749"/>
      <c r="Y428" s="749"/>
      <c r="Z428" s="750"/>
      <c r="AA428" s="750"/>
      <c r="AQ428" s="749"/>
      <c r="AR428" s="749"/>
      <c r="BA428"/>
    </row>
    <row r="429" spans="1:53" s="238" customFormat="1" x14ac:dyDescent="0.2">
      <c r="A429" s="298"/>
      <c r="B429" s="298"/>
      <c r="C429" s="298"/>
      <c r="D429" s="298"/>
      <c r="W429" s="749"/>
      <c r="X429" s="749"/>
      <c r="Y429" s="749"/>
      <c r="Z429" s="750"/>
      <c r="AA429" s="750"/>
      <c r="AQ429" s="749"/>
      <c r="AR429" s="749"/>
      <c r="BA429"/>
    </row>
    <row r="430" spans="1:53" s="238" customFormat="1" x14ac:dyDescent="0.2">
      <c r="A430" s="298"/>
      <c r="B430" s="298"/>
      <c r="C430" s="298"/>
      <c r="D430" s="298"/>
      <c r="W430" s="749"/>
      <c r="X430" s="749"/>
      <c r="Y430" s="749"/>
      <c r="Z430" s="750"/>
      <c r="AA430" s="750"/>
      <c r="AQ430" s="749"/>
      <c r="AR430" s="749"/>
      <c r="BA430"/>
    </row>
    <row r="431" spans="1:53" s="238" customFormat="1" x14ac:dyDescent="0.2">
      <c r="A431" s="298"/>
      <c r="B431" s="298"/>
      <c r="C431" s="298"/>
      <c r="D431" s="298"/>
      <c r="W431" s="749"/>
      <c r="X431" s="749"/>
      <c r="Y431" s="749"/>
      <c r="Z431" s="750"/>
      <c r="AA431" s="750"/>
      <c r="AQ431" s="749"/>
      <c r="AR431" s="749"/>
      <c r="BA431"/>
    </row>
    <row r="432" spans="1:53" s="238" customFormat="1" x14ac:dyDescent="0.2">
      <c r="A432" s="298"/>
      <c r="B432" s="298"/>
      <c r="C432" s="298"/>
      <c r="D432" s="298"/>
      <c r="W432" s="749"/>
      <c r="X432" s="749"/>
      <c r="Y432" s="749"/>
      <c r="Z432" s="750"/>
      <c r="AA432" s="750"/>
      <c r="AQ432" s="749"/>
      <c r="AR432" s="749"/>
      <c r="BA432"/>
    </row>
    <row r="433" spans="1:53" s="238" customFormat="1" x14ac:dyDescent="0.2">
      <c r="A433" s="298"/>
      <c r="B433" s="298"/>
      <c r="C433" s="298"/>
      <c r="D433" s="298"/>
      <c r="W433" s="749"/>
      <c r="X433" s="749"/>
      <c r="Y433" s="749"/>
      <c r="Z433" s="750"/>
      <c r="AA433" s="750"/>
      <c r="AQ433" s="749"/>
      <c r="AR433" s="749"/>
      <c r="BA433"/>
    </row>
    <row r="434" spans="1:53" s="238" customFormat="1" x14ac:dyDescent="0.2">
      <c r="A434" s="298"/>
      <c r="B434" s="298"/>
      <c r="C434" s="298"/>
      <c r="D434" s="298"/>
      <c r="W434" s="749"/>
      <c r="X434" s="749"/>
      <c r="Y434" s="749"/>
      <c r="Z434" s="750"/>
      <c r="AA434" s="750"/>
      <c r="AQ434" s="749"/>
      <c r="AR434" s="749"/>
      <c r="BA434"/>
    </row>
    <row r="435" spans="1:53" s="238" customFormat="1" x14ac:dyDescent="0.2">
      <c r="A435" s="298"/>
      <c r="B435" s="298"/>
      <c r="C435" s="298"/>
      <c r="D435" s="298"/>
      <c r="W435" s="749"/>
      <c r="X435" s="749"/>
      <c r="Y435" s="749"/>
      <c r="Z435" s="750"/>
      <c r="AA435" s="750"/>
      <c r="AQ435" s="749"/>
      <c r="AR435" s="749"/>
      <c r="BA435"/>
    </row>
    <row r="436" spans="1:53" s="238" customFormat="1" x14ac:dyDescent="0.2">
      <c r="A436" s="298"/>
      <c r="B436" s="298"/>
      <c r="C436" s="298"/>
      <c r="D436" s="298"/>
      <c r="W436" s="749"/>
      <c r="X436" s="749"/>
      <c r="Y436" s="749"/>
      <c r="Z436" s="750"/>
      <c r="AA436" s="750"/>
      <c r="AQ436" s="749"/>
      <c r="AR436" s="749"/>
      <c r="BA436"/>
    </row>
    <row r="437" spans="1:53" s="238" customFormat="1" x14ac:dyDescent="0.2">
      <c r="A437" s="298"/>
      <c r="B437" s="298"/>
      <c r="C437" s="298"/>
      <c r="D437" s="298"/>
      <c r="W437" s="749"/>
      <c r="X437" s="749"/>
      <c r="Y437" s="749"/>
      <c r="Z437" s="750"/>
      <c r="AA437" s="750"/>
      <c r="AQ437" s="749"/>
      <c r="AR437" s="749"/>
      <c r="BA437"/>
    </row>
    <row r="438" spans="1:53" s="238" customFormat="1" x14ac:dyDescent="0.2">
      <c r="A438" s="298"/>
      <c r="B438" s="298"/>
      <c r="C438" s="298"/>
      <c r="D438" s="298"/>
      <c r="W438" s="749"/>
      <c r="X438" s="749"/>
      <c r="Y438" s="749"/>
      <c r="Z438" s="750"/>
      <c r="AA438" s="750"/>
      <c r="AQ438" s="749"/>
      <c r="AR438" s="749"/>
      <c r="BA438"/>
    </row>
    <row r="439" spans="1:53" s="238" customFormat="1" x14ac:dyDescent="0.2">
      <c r="A439" s="298"/>
      <c r="B439" s="298"/>
      <c r="C439" s="298"/>
      <c r="D439" s="298"/>
      <c r="W439" s="749"/>
      <c r="X439" s="749"/>
      <c r="Y439" s="749"/>
      <c r="Z439" s="750"/>
      <c r="AA439" s="750"/>
      <c r="AQ439" s="749"/>
      <c r="AR439" s="749"/>
      <c r="BA439"/>
    </row>
    <row r="440" spans="1:53" s="238" customFormat="1" x14ac:dyDescent="0.2">
      <c r="A440" s="298"/>
      <c r="B440" s="298"/>
      <c r="C440" s="298"/>
      <c r="D440" s="298"/>
      <c r="W440" s="749"/>
      <c r="X440" s="749"/>
      <c r="Y440" s="749"/>
      <c r="Z440" s="750"/>
      <c r="AA440" s="750"/>
      <c r="AQ440" s="749"/>
      <c r="AR440" s="749"/>
      <c r="BA440"/>
    </row>
    <row r="441" spans="1:53" s="238" customFormat="1" x14ac:dyDescent="0.2">
      <c r="A441" s="298"/>
      <c r="B441" s="298"/>
      <c r="C441" s="298"/>
      <c r="D441" s="298"/>
      <c r="W441" s="749"/>
      <c r="X441" s="749"/>
      <c r="Y441" s="749"/>
      <c r="Z441" s="750"/>
      <c r="AA441" s="750"/>
      <c r="AQ441" s="749"/>
      <c r="AR441" s="749"/>
      <c r="BA441"/>
    </row>
    <row r="442" spans="1:53" s="238" customFormat="1" x14ac:dyDescent="0.2">
      <c r="A442" s="298"/>
      <c r="B442" s="298"/>
      <c r="C442" s="298"/>
      <c r="D442" s="298"/>
      <c r="W442" s="749"/>
      <c r="X442" s="749"/>
      <c r="Y442" s="749"/>
      <c r="Z442" s="750"/>
      <c r="AA442" s="750"/>
      <c r="AQ442" s="749"/>
      <c r="AR442" s="749"/>
      <c r="BA442"/>
    </row>
    <row r="443" spans="1:53" s="238" customFormat="1" x14ac:dyDescent="0.2">
      <c r="A443" s="298"/>
      <c r="B443" s="298"/>
      <c r="C443" s="298"/>
      <c r="D443" s="298"/>
      <c r="W443" s="749"/>
      <c r="X443" s="749"/>
      <c r="Y443" s="749"/>
      <c r="Z443" s="750"/>
      <c r="AA443" s="750"/>
      <c r="AQ443" s="749"/>
      <c r="AR443" s="749"/>
      <c r="BA443"/>
    </row>
    <row r="444" spans="1:53" s="238" customFormat="1" x14ac:dyDescent="0.2">
      <c r="A444" s="298"/>
      <c r="B444" s="298"/>
      <c r="C444" s="298"/>
      <c r="D444" s="298"/>
      <c r="W444" s="749"/>
      <c r="X444" s="749"/>
      <c r="Y444" s="749"/>
      <c r="Z444" s="750"/>
      <c r="AA444" s="750"/>
      <c r="AQ444" s="749"/>
      <c r="AR444" s="749"/>
      <c r="BA444"/>
    </row>
    <row r="445" spans="1:53" s="238" customFormat="1" x14ac:dyDescent="0.2">
      <c r="A445" s="298"/>
      <c r="B445" s="298"/>
      <c r="C445" s="298"/>
      <c r="D445" s="298"/>
      <c r="W445" s="749"/>
      <c r="X445" s="749"/>
      <c r="Y445" s="749"/>
      <c r="Z445" s="750"/>
      <c r="AA445" s="750"/>
      <c r="AQ445" s="749"/>
      <c r="AR445" s="749"/>
      <c r="BA445"/>
    </row>
    <row r="446" spans="1:53" s="238" customFormat="1" x14ac:dyDescent="0.2">
      <c r="A446" s="298"/>
      <c r="B446" s="298"/>
      <c r="C446" s="298"/>
      <c r="D446" s="298"/>
      <c r="W446" s="749"/>
      <c r="X446" s="749"/>
      <c r="Y446" s="749"/>
      <c r="Z446" s="750"/>
      <c r="AA446" s="750"/>
      <c r="AQ446" s="749"/>
      <c r="AR446" s="749"/>
      <c r="BA446"/>
    </row>
    <row r="447" spans="1:53" s="238" customFormat="1" x14ac:dyDescent="0.2">
      <c r="A447" s="298"/>
      <c r="B447" s="298"/>
      <c r="C447" s="298"/>
      <c r="D447" s="298"/>
      <c r="W447" s="749"/>
      <c r="X447" s="749"/>
      <c r="Y447" s="749"/>
      <c r="Z447" s="750"/>
      <c r="AA447" s="750"/>
      <c r="AQ447" s="749"/>
      <c r="AR447" s="749"/>
      <c r="BA447"/>
    </row>
    <row r="448" spans="1:53" s="238" customFormat="1" x14ac:dyDescent="0.2">
      <c r="A448" s="298"/>
      <c r="B448" s="298"/>
      <c r="C448" s="298"/>
      <c r="D448" s="298"/>
      <c r="W448" s="749"/>
      <c r="X448" s="749"/>
      <c r="Y448" s="749"/>
      <c r="Z448" s="750"/>
      <c r="AA448" s="750"/>
      <c r="AQ448" s="749"/>
      <c r="AR448" s="749"/>
      <c r="BA448"/>
    </row>
    <row r="449" spans="1:53" s="238" customFormat="1" x14ac:dyDescent="0.2">
      <c r="A449" s="298"/>
      <c r="B449" s="298"/>
      <c r="C449" s="298"/>
      <c r="D449" s="298"/>
      <c r="W449" s="749"/>
      <c r="X449" s="749"/>
      <c r="Y449" s="749"/>
      <c r="Z449" s="750"/>
      <c r="AA449" s="750"/>
      <c r="AQ449" s="749"/>
      <c r="AR449" s="749"/>
      <c r="BA449"/>
    </row>
    <row r="450" spans="1:53" s="238" customFormat="1" x14ac:dyDescent="0.2">
      <c r="A450" s="298"/>
      <c r="B450" s="298"/>
      <c r="C450" s="298"/>
      <c r="D450" s="298"/>
      <c r="W450" s="749"/>
      <c r="X450" s="749"/>
      <c r="Y450" s="749"/>
      <c r="Z450" s="750"/>
      <c r="AA450" s="750"/>
      <c r="AQ450" s="749"/>
      <c r="AR450" s="749"/>
      <c r="BA450"/>
    </row>
    <row r="451" spans="1:53" s="238" customFormat="1" x14ac:dyDescent="0.2">
      <c r="A451" s="298"/>
      <c r="B451" s="298"/>
      <c r="C451" s="298"/>
      <c r="D451" s="298"/>
      <c r="W451" s="749"/>
      <c r="X451" s="749"/>
      <c r="Y451" s="749"/>
      <c r="Z451" s="750"/>
      <c r="AA451" s="750"/>
      <c r="AQ451" s="749"/>
      <c r="AR451" s="749"/>
      <c r="BA451"/>
    </row>
    <row r="452" spans="1:53" s="238" customFormat="1" x14ac:dyDescent="0.2">
      <c r="A452" s="298"/>
      <c r="B452" s="298"/>
      <c r="C452" s="298"/>
      <c r="D452" s="298"/>
      <c r="W452" s="749"/>
      <c r="X452" s="749"/>
      <c r="Y452" s="749"/>
      <c r="Z452" s="750"/>
      <c r="AA452" s="750"/>
      <c r="AQ452" s="749"/>
      <c r="AR452" s="749"/>
      <c r="BA452"/>
    </row>
    <row r="453" spans="1:53" s="238" customFormat="1" x14ac:dyDescent="0.2">
      <c r="A453" s="298"/>
      <c r="B453" s="298"/>
      <c r="C453" s="298"/>
      <c r="D453" s="298"/>
      <c r="W453" s="749"/>
      <c r="X453" s="749"/>
      <c r="Y453" s="749"/>
      <c r="Z453" s="750"/>
      <c r="AA453" s="750"/>
      <c r="AQ453" s="749"/>
      <c r="AR453" s="749"/>
      <c r="BA453"/>
    </row>
    <row r="454" spans="1:53" s="238" customFormat="1" x14ac:dyDescent="0.2">
      <c r="A454" s="298"/>
      <c r="B454" s="298"/>
      <c r="C454" s="298"/>
      <c r="D454" s="298"/>
      <c r="W454" s="749"/>
      <c r="X454" s="749"/>
      <c r="Y454" s="749"/>
      <c r="Z454" s="750"/>
      <c r="AA454" s="750"/>
      <c r="AQ454" s="749"/>
      <c r="AR454" s="749"/>
      <c r="BA454"/>
    </row>
    <row r="455" spans="1:53" s="238" customFormat="1" x14ac:dyDescent="0.2">
      <c r="A455" s="298"/>
      <c r="B455" s="298"/>
      <c r="C455" s="298"/>
      <c r="D455" s="298"/>
      <c r="W455" s="749"/>
      <c r="X455" s="749"/>
      <c r="Y455" s="749"/>
      <c r="Z455" s="750"/>
      <c r="AA455" s="750"/>
      <c r="AQ455" s="749"/>
      <c r="AR455" s="749"/>
      <c r="BA455"/>
    </row>
    <row r="456" spans="1:53" s="238" customFormat="1" x14ac:dyDescent="0.2">
      <c r="A456" s="298"/>
      <c r="B456" s="298"/>
      <c r="C456" s="298"/>
      <c r="D456" s="298"/>
      <c r="W456" s="749"/>
      <c r="X456" s="749"/>
      <c r="Y456" s="749"/>
      <c r="Z456" s="750"/>
      <c r="AA456" s="750"/>
      <c r="AQ456" s="749"/>
      <c r="AR456" s="749"/>
      <c r="BA456"/>
    </row>
    <row r="457" spans="1:53" s="238" customFormat="1" x14ac:dyDescent="0.2">
      <c r="A457" s="298"/>
      <c r="B457" s="298"/>
      <c r="C457" s="298"/>
      <c r="D457" s="298"/>
      <c r="W457" s="749"/>
      <c r="X457" s="749"/>
      <c r="Y457" s="749"/>
      <c r="Z457" s="750"/>
      <c r="AA457" s="750"/>
      <c r="AQ457" s="749"/>
      <c r="AR457" s="749"/>
      <c r="BA457"/>
    </row>
    <row r="458" spans="1:53" s="238" customFormat="1" x14ac:dyDescent="0.2">
      <c r="A458" s="298"/>
      <c r="B458" s="298"/>
      <c r="C458" s="298"/>
      <c r="D458" s="298"/>
      <c r="W458" s="749"/>
      <c r="X458" s="749"/>
      <c r="Y458" s="749"/>
      <c r="Z458" s="750"/>
      <c r="AA458" s="750"/>
      <c r="AQ458" s="749"/>
      <c r="AR458" s="749"/>
      <c r="BA458"/>
    </row>
    <row r="459" spans="1:53" s="238" customFormat="1" x14ac:dyDescent="0.2">
      <c r="A459" s="298"/>
      <c r="B459" s="298"/>
      <c r="C459" s="298"/>
      <c r="D459" s="298"/>
      <c r="W459" s="749"/>
      <c r="X459" s="749"/>
      <c r="Y459" s="749"/>
      <c r="Z459" s="750"/>
      <c r="AA459" s="750"/>
      <c r="AQ459" s="749"/>
      <c r="AR459" s="749"/>
      <c r="BA459"/>
    </row>
    <row r="460" spans="1:53" s="238" customFormat="1" x14ac:dyDescent="0.2">
      <c r="A460" s="298"/>
      <c r="B460" s="298"/>
      <c r="C460" s="298"/>
      <c r="D460" s="298"/>
      <c r="W460" s="749"/>
      <c r="X460" s="749"/>
      <c r="Y460" s="749"/>
      <c r="Z460" s="750"/>
      <c r="AA460" s="750"/>
      <c r="AQ460" s="749"/>
      <c r="AR460" s="749"/>
      <c r="BA460"/>
    </row>
    <row r="461" spans="1:53" s="238" customFormat="1" x14ac:dyDescent="0.2">
      <c r="A461" s="298"/>
      <c r="B461" s="298"/>
      <c r="C461" s="298"/>
      <c r="D461" s="298"/>
      <c r="W461" s="749"/>
      <c r="X461" s="749"/>
      <c r="Y461" s="749"/>
      <c r="Z461" s="750"/>
      <c r="AA461" s="750"/>
      <c r="AQ461" s="749"/>
      <c r="AR461" s="749"/>
      <c r="BA461"/>
    </row>
    <row r="462" spans="1:53" s="238" customFormat="1" x14ac:dyDescent="0.2">
      <c r="A462" s="298"/>
      <c r="B462" s="298"/>
      <c r="C462" s="298"/>
      <c r="D462" s="298"/>
      <c r="W462" s="749"/>
      <c r="X462" s="749"/>
      <c r="Y462" s="749"/>
      <c r="Z462" s="750"/>
      <c r="AA462" s="750"/>
      <c r="AQ462" s="749"/>
      <c r="AR462" s="749"/>
      <c r="BA462"/>
    </row>
    <row r="463" spans="1:53" s="238" customFormat="1" x14ac:dyDescent="0.2">
      <c r="A463" s="298"/>
      <c r="B463" s="298"/>
      <c r="C463" s="298"/>
      <c r="D463" s="298"/>
      <c r="W463" s="749"/>
      <c r="X463" s="749"/>
      <c r="Y463" s="749"/>
      <c r="Z463" s="750"/>
      <c r="AA463" s="750"/>
      <c r="AQ463" s="749"/>
      <c r="AR463" s="749"/>
      <c r="BA463"/>
    </row>
    <row r="464" spans="1:53" s="238" customFormat="1" x14ac:dyDescent="0.2">
      <c r="A464" s="298"/>
      <c r="B464" s="298"/>
      <c r="C464" s="298"/>
      <c r="D464" s="298"/>
      <c r="W464" s="749"/>
      <c r="X464" s="749"/>
      <c r="Y464" s="749"/>
      <c r="Z464" s="750"/>
      <c r="AA464" s="750"/>
      <c r="AQ464" s="749"/>
      <c r="AR464" s="749"/>
      <c r="BA464"/>
    </row>
    <row r="465" spans="1:53" s="238" customFormat="1" x14ac:dyDescent="0.2">
      <c r="A465" s="298"/>
      <c r="B465" s="298"/>
      <c r="C465" s="298"/>
      <c r="D465" s="298"/>
      <c r="W465" s="749"/>
      <c r="X465" s="749"/>
      <c r="Y465" s="749"/>
      <c r="Z465" s="750"/>
      <c r="AA465" s="750"/>
      <c r="AQ465" s="749"/>
      <c r="AR465" s="749"/>
      <c r="BA465"/>
    </row>
    <row r="466" spans="1:53" s="238" customFormat="1" x14ac:dyDescent="0.2">
      <c r="A466" s="298"/>
      <c r="B466" s="298"/>
      <c r="C466" s="298"/>
      <c r="D466" s="298"/>
      <c r="W466" s="749"/>
      <c r="X466" s="749"/>
      <c r="Y466" s="749"/>
      <c r="Z466" s="750"/>
      <c r="AA466" s="750"/>
      <c r="AQ466" s="749"/>
      <c r="AR466" s="749"/>
      <c r="BA466"/>
    </row>
    <row r="467" spans="1:53" s="238" customFormat="1" x14ac:dyDescent="0.2">
      <c r="A467" s="298"/>
      <c r="B467" s="298"/>
      <c r="C467" s="298"/>
      <c r="D467" s="298"/>
      <c r="W467" s="749"/>
      <c r="X467" s="749"/>
      <c r="Y467" s="749"/>
      <c r="Z467" s="750"/>
      <c r="AA467" s="750"/>
      <c r="AQ467" s="749"/>
      <c r="AR467" s="749"/>
      <c r="BA467"/>
    </row>
    <row r="468" spans="1:53" s="238" customFormat="1" x14ac:dyDescent="0.2">
      <c r="A468" s="298"/>
      <c r="B468" s="298"/>
      <c r="C468" s="298"/>
      <c r="D468" s="298"/>
      <c r="W468" s="749"/>
      <c r="X468" s="749"/>
      <c r="Y468" s="749"/>
      <c r="Z468" s="750"/>
      <c r="AA468" s="750"/>
      <c r="AQ468" s="749"/>
      <c r="AR468" s="749"/>
      <c r="BA468"/>
    </row>
    <row r="469" spans="1:53" s="238" customFormat="1" x14ac:dyDescent="0.2">
      <c r="A469" s="298"/>
      <c r="B469" s="298"/>
      <c r="C469" s="298"/>
      <c r="D469" s="298"/>
      <c r="W469" s="749"/>
      <c r="X469" s="749"/>
      <c r="Y469" s="749"/>
      <c r="Z469" s="750"/>
      <c r="AA469" s="750"/>
      <c r="AQ469" s="749"/>
      <c r="AR469" s="749"/>
      <c r="BA469"/>
    </row>
    <row r="470" spans="1:53" s="238" customFormat="1" x14ac:dyDescent="0.2">
      <c r="A470" s="298"/>
      <c r="B470" s="298"/>
      <c r="C470" s="298"/>
      <c r="D470" s="298"/>
      <c r="W470" s="749"/>
      <c r="X470" s="749"/>
      <c r="Y470" s="749"/>
      <c r="Z470" s="750"/>
      <c r="AA470" s="750"/>
      <c r="AQ470" s="749"/>
      <c r="AR470" s="749"/>
      <c r="BA470"/>
    </row>
    <row r="471" spans="1:53" s="238" customFormat="1" x14ac:dyDescent="0.2">
      <c r="A471" s="298"/>
      <c r="B471" s="298"/>
      <c r="C471" s="298"/>
      <c r="D471" s="298"/>
      <c r="W471" s="749"/>
      <c r="X471" s="749"/>
      <c r="Y471" s="749"/>
      <c r="Z471" s="750"/>
      <c r="AA471" s="750"/>
      <c r="AQ471" s="749"/>
      <c r="AR471" s="749"/>
      <c r="BA471"/>
    </row>
    <row r="472" spans="1:53" s="238" customFormat="1" x14ac:dyDescent="0.2">
      <c r="A472" s="298"/>
      <c r="B472" s="298"/>
      <c r="C472" s="298"/>
      <c r="D472" s="298"/>
      <c r="W472" s="749"/>
      <c r="X472" s="749"/>
      <c r="Y472" s="749"/>
      <c r="Z472" s="750"/>
      <c r="AA472" s="750"/>
      <c r="AQ472" s="749"/>
      <c r="AR472" s="749"/>
      <c r="BA472"/>
    </row>
    <row r="473" spans="1:53" s="238" customFormat="1" x14ac:dyDescent="0.2">
      <c r="A473" s="298"/>
      <c r="B473" s="298"/>
      <c r="C473" s="298"/>
      <c r="D473" s="298"/>
      <c r="W473" s="749"/>
      <c r="X473" s="749"/>
      <c r="Y473" s="749"/>
      <c r="Z473" s="750"/>
      <c r="AA473" s="750"/>
      <c r="AQ473" s="749"/>
      <c r="AR473" s="749"/>
      <c r="BA473"/>
    </row>
    <row r="474" spans="1:53" s="238" customFormat="1" x14ac:dyDescent="0.2">
      <c r="A474" s="298"/>
      <c r="B474" s="298"/>
      <c r="C474" s="298"/>
      <c r="D474" s="298"/>
      <c r="W474" s="749"/>
      <c r="X474" s="749"/>
      <c r="Y474" s="749"/>
      <c r="Z474" s="750"/>
      <c r="AA474" s="750"/>
      <c r="AQ474" s="749"/>
      <c r="AR474" s="749"/>
      <c r="BA474"/>
    </row>
    <row r="475" spans="1:53" s="238" customFormat="1" x14ac:dyDescent="0.2">
      <c r="A475" s="298"/>
      <c r="B475" s="298"/>
      <c r="C475" s="298"/>
      <c r="D475" s="298"/>
      <c r="W475" s="749"/>
      <c r="X475" s="749"/>
      <c r="Y475" s="749"/>
      <c r="Z475" s="750"/>
      <c r="AA475" s="750"/>
      <c r="AQ475" s="749"/>
      <c r="AR475" s="749"/>
      <c r="BA475"/>
    </row>
    <row r="476" spans="1:53" s="238" customFormat="1" x14ac:dyDescent="0.2">
      <c r="A476" s="298"/>
      <c r="B476" s="298"/>
      <c r="C476" s="298"/>
      <c r="D476" s="298"/>
      <c r="W476" s="749"/>
      <c r="X476" s="749"/>
      <c r="Y476" s="749"/>
      <c r="Z476" s="750"/>
      <c r="AA476" s="750"/>
      <c r="AQ476" s="749"/>
      <c r="AR476" s="749"/>
      <c r="BA476"/>
    </row>
    <row r="477" spans="1:53" s="238" customFormat="1" x14ac:dyDescent="0.2">
      <c r="A477" s="298"/>
      <c r="B477" s="298"/>
      <c r="C477" s="298"/>
      <c r="D477" s="298"/>
      <c r="W477" s="749"/>
      <c r="X477" s="749"/>
      <c r="Y477" s="749"/>
      <c r="Z477" s="750"/>
      <c r="AA477" s="750"/>
      <c r="AQ477" s="749"/>
      <c r="AR477" s="749"/>
      <c r="BA477"/>
    </row>
    <row r="478" spans="1:53" s="238" customFormat="1" x14ac:dyDescent="0.2">
      <c r="A478" s="298"/>
      <c r="B478" s="298"/>
      <c r="C478" s="298"/>
      <c r="D478" s="298"/>
      <c r="W478" s="749"/>
      <c r="X478" s="749"/>
      <c r="Y478" s="749"/>
      <c r="Z478" s="750"/>
      <c r="AA478" s="750"/>
      <c r="AQ478" s="749"/>
      <c r="AR478" s="749"/>
      <c r="BA478"/>
    </row>
    <row r="479" spans="1:53" s="238" customFormat="1" x14ac:dyDescent="0.2">
      <c r="A479" s="298"/>
      <c r="B479" s="298"/>
      <c r="C479" s="298"/>
      <c r="D479" s="298"/>
      <c r="W479" s="749"/>
      <c r="X479" s="749"/>
      <c r="Y479" s="749"/>
      <c r="Z479" s="750"/>
      <c r="AA479" s="750"/>
      <c r="AQ479" s="749"/>
      <c r="AR479" s="749"/>
      <c r="BA479"/>
    </row>
    <row r="480" spans="1:53" s="238" customFormat="1" x14ac:dyDescent="0.2">
      <c r="A480" s="298"/>
      <c r="B480" s="298"/>
      <c r="C480" s="298"/>
      <c r="D480" s="298"/>
      <c r="W480" s="749"/>
      <c r="X480" s="749"/>
      <c r="Y480" s="749"/>
      <c r="Z480" s="750"/>
      <c r="AA480" s="750"/>
      <c r="AQ480" s="749"/>
      <c r="AR480" s="749"/>
      <c r="BA480"/>
    </row>
    <row r="481" spans="1:53" s="238" customFormat="1" x14ac:dyDescent="0.2">
      <c r="A481" s="298"/>
      <c r="B481" s="298"/>
      <c r="C481" s="298"/>
      <c r="D481" s="298"/>
      <c r="W481" s="749"/>
      <c r="X481" s="749"/>
      <c r="Y481" s="749"/>
      <c r="Z481" s="750"/>
      <c r="AA481" s="750"/>
      <c r="AQ481" s="749"/>
      <c r="AR481" s="749"/>
      <c r="BA481"/>
    </row>
    <row r="482" spans="1:53" s="238" customFormat="1" x14ac:dyDescent="0.2">
      <c r="A482" s="298"/>
      <c r="B482" s="298"/>
      <c r="C482" s="298"/>
      <c r="D482" s="298"/>
      <c r="W482" s="749"/>
      <c r="X482" s="749"/>
      <c r="Y482" s="749"/>
      <c r="Z482" s="750"/>
      <c r="AA482" s="750"/>
      <c r="AQ482" s="749"/>
      <c r="AR482" s="749"/>
      <c r="BA482"/>
    </row>
    <row r="483" spans="1:53" s="238" customFormat="1" x14ac:dyDescent="0.2">
      <c r="A483" s="298"/>
      <c r="B483" s="298"/>
      <c r="C483" s="298"/>
      <c r="D483" s="298"/>
      <c r="W483" s="749"/>
      <c r="X483" s="749"/>
      <c r="Y483" s="749"/>
      <c r="Z483" s="750"/>
      <c r="AA483" s="750"/>
      <c r="AQ483" s="749"/>
      <c r="AR483" s="749"/>
      <c r="BA483"/>
    </row>
    <row r="484" spans="1:53" s="238" customFormat="1" x14ac:dyDescent="0.2">
      <c r="A484" s="298"/>
      <c r="B484" s="298"/>
      <c r="C484" s="298"/>
      <c r="D484" s="298"/>
      <c r="W484" s="749"/>
      <c r="X484" s="749"/>
      <c r="Y484" s="749"/>
      <c r="Z484" s="750"/>
      <c r="AA484" s="750"/>
      <c r="AQ484" s="749"/>
      <c r="AR484" s="749"/>
      <c r="BA484"/>
    </row>
    <row r="485" spans="1:53" s="238" customFormat="1" x14ac:dyDescent="0.2">
      <c r="A485" s="298"/>
      <c r="B485" s="298"/>
      <c r="C485" s="298"/>
      <c r="D485" s="298"/>
      <c r="W485" s="749"/>
      <c r="X485" s="749"/>
      <c r="Y485" s="749"/>
      <c r="Z485" s="750"/>
      <c r="AA485" s="750"/>
      <c r="AQ485" s="749"/>
      <c r="AR485" s="749"/>
      <c r="BA485"/>
    </row>
    <row r="486" spans="1:53" s="238" customFormat="1" x14ac:dyDescent="0.2">
      <c r="A486" s="298"/>
      <c r="B486" s="298"/>
      <c r="C486" s="298"/>
      <c r="D486" s="298"/>
      <c r="W486" s="749"/>
      <c r="X486" s="749"/>
      <c r="Y486" s="749"/>
      <c r="Z486" s="750"/>
      <c r="AA486" s="750"/>
      <c r="AQ486" s="749"/>
      <c r="AR486" s="749"/>
      <c r="BA486"/>
    </row>
    <row r="487" spans="1:53" s="238" customFormat="1" x14ac:dyDescent="0.2">
      <c r="A487" s="298"/>
      <c r="B487" s="298"/>
      <c r="C487" s="298"/>
      <c r="D487" s="298"/>
      <c r="W487" s="749"/>
      <c r="X487" s="749"/>
      <c r="Y487" s="749"/>
      <c r="Z487" s="750"/>
      <c r="AA487" s="750"/>
      <c r="AQ487" s="749"/>
      <c r="AR487" s="749"/>
      <c r="BA487"/>
    </row>
    <row r="488" spans="1:53" s="238" customFormat="1" x14ac:dyDescent="0.2">
      <c r="A488" s="298"/>
      <c r="B488" s="298"/>
      <c r="C488" s="298"/>
      <c r="D488" s="298"/>
      <c r="W488" s="749"/>
      <c r="X488" s="749"/>
      <c r="Y488" s="749"/>
      <c r="Z488" s="750"/>
      <c r="AA488" s="750"/>
      <c r="AQ488" s="749"/>
      <c r="AR488" s="749"/>
      <c r="BA488"/>
    </row>
    <row r="489" spans="1:53" s="238" customFormat="1" x14ac:dyDescent="0.2">
      <c r="A489" s="298"/>
      <c r="B489" s="298"/>
      <c r="C489" s="298"/>
      <c r="D489" s="298"/>
      <c r="W489" s="749"/>
      <c r="X489" s="749"/>
      <c r="Y489" s="749"/>
      <c r="Z489" s="750"/>
      <c r="AA489" s="750"/>
      <c r="AQ489" s="749"/>
      <c r="AR489" s="749"/>
      <c r="BA489"/>
    </row>
    <row r="490" spans="1:53" s="238" customFormat="1" x14ac:dyDescent="0.2">
      <c r="A490" s="298"/>
      <c r="B490" s="298"/>
      <c r="C490" s="298"/>
      <c r="D490" s="298"/>
      <c r="W490" s="749"/>
      <c r="X490" s="749"/>
      <c r="Y490" s="749"/>
      <c r="Z490" s="750"/>
      <c r="AA490" s="750"/>
      <c r="AQ490" s="749"/>
      <c r="AR490" s="749"/>
      <c r="BA490"/>
    </row>
    <row r="491" spans="1:53" s="238" customFormat="1" x14ac:dyDescent="0.2">
      <c r="A491" s="298"/>
      <c r="B491" s="298"/>
      <c r="C491" s="298"/>
      <c r="D491" s="298"/>
      <c r="W491" s="749"/>
      <c r="X491" s="749"/>
      <c r="Y491" s="749"/>
      <c r="Z491" s="750"/>
      <c r="AA491" s="750"/>
      <c r="AQ491" s="749"/>
      <c r="AR491" s="749"/>
      <c r="BA491"/>
    </row>
    <row r="492" spans="1:53" s="238" customFormat="1" x14ac:dyDescent="0.2">
      <c r="A492" s="298"/>
      <c r="B492" s="298"/>
      <c r="C492" s="298"/>
      <c r="D492" s="298"/>
      <c r="W492" s="749"/>
      <c r="X492" s="749"/>
      <c r="Y492" s="749"/>
      <c r="Z492" s="750"/>
      <c r="AA492" s="750"/>
      <c r="AQ492" s="749"/>
      <c r="AR492" s="749"/>
      <c r="BA492"/>
    </row>
    <row r="493" spans="1:53" s="238" customFormat="1" x14ac:dyDescent="0.2">
      <c r="A493" s="298"/>
      <c r="B493" s="298"/>
      <c r="C493" s="298"/>
      <c r="D493" s="298"/>
      <c r="W493" s="749"/>
      <c r="X493" s="749"/>
      <c r="Y493" s="749"/>
      <c r="Z493" s="750"/>
      <c r="AA493" s="750"/>
      <c r="AQ493" s="749"/>
      <c r="AR493" s="749"/>
      <c r="BA493"/>
    </row>
    <row r="494" spans="1:53" s="238" customFormat="1" x14ac:dyDescent="0.2">
      <c r="A494" s="298"/>
      <c r="B494" s="298"/>
      <c r="C494" s="298"/>
      <c r="D494" s="298"/>
      <c r="W494" s="749"/>
      <c r="X494" s="749"/>
      <c r="Y494" s="749"/>
      <c r="Z494" s="750"/>
      <c r="AA494" s="750"/>
      <c r="AQ494" s="749"/>
      <c r="AR494" s="749"/>
      <c r="BA494"/>
    </row>
    <row r="495" spans="1:53" s="238" customFormat="1" x14ac:dyDescent="0.2">
      <c r="A495" s="298"/>
      <c r="B495" s="298"/>
      <c r="C495" s="298"/>
      <c r="D495" s="298"/>
      <c r="W495" s="749"/>
      <c r="X495" s="749"/>
      <c r="Y495" s="749"/>
      <c r="Z495" s="750"/>
      <c r="AA495" s="750"/>
      <c r="AQ495" s="749"/>
      <c r="AR495" s="749"/>
      <c r="BA495"/>
    </row>
    <row r="496" spans="1:53" s="238" customFormat="1" x14ac:dyDescent="0.2">
      <c r="A496" s="298"/>
      <c r="B496" s="298"/>
      <c r="C496" s="298"/>
      <c r="D496" s="298"/>
      <c r="W496" s="749"/>
      <c r="X496" s="749"/>
      <c r="Y496" s="749"/>
      <c r="Z496" s="750"/>
      <c r="AA496" s="750"/>
      <c r="AQ496" s="749"/>
      <c r="AR496" s="749"/>
      <c r="BA496"/>
    </row>
    <row r="497" spans="1:53" s="238" customFormat="1" x14ac:dyDescent="0.2">
      <c r="A497" s="298"/>
      <c r="B497" s="298"/>
      <c r="C497" s="298"/>
      <c r="D497" s="298"/>
      <c r="W497" s="749"/>
      <c r="X497" s="749"/>
      <c r="Y497" s="749"/>
      <c r="Z497" s="750"/>
      <c r="AA497" s="750"/>
      <c r="AQ497" s="749"/>
      <c r="AR497" s="749"/>
      <c r="BA497"/>
    </row>
    <row r="498" spans="1:53" s="238" customFormat="1" x14ac:dyDescent="0.2">
      <c r="A498" s="298"/>
      <c r="B498" s="298"/>
      <c r="C498" s="298"/>
      <c r="D498" s="298"/>
      <c r="W498" s="749"/>
      <c r="X498" s="749"/>
      <c r="Y498" s="749"/>
      <c r="Z498" s="750"/>
      <c r="AA498" s="750"/>
      <c r="AQ498" s="749"/>
      <c r="AR498" s="749"/>
      <c r="BA498"/>
    </row>
    <row r="499" spans="1:53" s="238" customFormat="1" x14ac:dyDescent="0.2">
      <c r="A499" s="298"/>
      <c r="B499" s="298"/>
      <c r="C499" s="298"/>
      <c r="D499" s="298"/>
      <c r="W499" s="749"/>
      <c r="X499" s="749"/>
      <c r="Y499" s="749"/>
      <c r="Z499" s="750"/>
      <c r="AA499" s="750"/>
      <c r="AQ499" s="749"/>
      <c r="AR499" s="749"/>
      <c r="BA499"/>
    </row>
    <row r="500" spans="1:53" s="238" customFormat="1" x14ac:dyDescent="0.2">
      <c r="A500" s="298"/>
      <c r="B500" s="298"/>
      <c r="C500" s="298"/>
      <c r="D500" s="298"/>
      <c r="W500" s="749"/>
      <c r="X500" s="749"/>
      <c r="Y500" s="749"/>
      <c r="Z500" s="750"/>
      <c r="AA500" s="750"/>
      <c r="AQ500" s="749"/>
      <c r="AR500" s="749"/>
      <c r="BA500"/>
    </row>
    <row r="501" spans="1:53" s="238" customFormat="1" x14ac:dyDescent="0.2">
      <c r="A501" s="298"/>
      <c r="B501" s="298"/>
      <c r="C501" s="298"/>
      <c r="D501" s="298"/>
      <c r="W501" s="749"/>
      <c r="X501" s="749"/>
      <c r="Y501" s="749"/>
      <c r="Z501" s="750"/>
      <c r="AA501" s="750"/>
      <c r="AQ501" s="749"/>
      <c r="AR501" s="749"/>
      <c r="BA501"/>
    </row>
    <row r="502" spans="1:53" s="238" customFormat="1" x14ac:dyDescent="0.2">
      <c r="A502" s="298"/>
      <c r="B502" s="298"/>
      <c r="C502" s="298"/>
      <c r="D502" s="298"/>
      <c r="W502" s="749"/>
      <c r="X502" s="749"/>
      <c r="Y502" s="749"/>
      <c r="Z502" s="750"/>
      <c r="AA502" s="750"/>
      <c r="AQ502" s="749"/>
      <c r="AR502" s="749"/>
      <c r="BA502"/>
    </row>
    <row r="503" spans="1:53" s="238" customFormat="1" x14ac:dyDescent="0.2">
      <c r="A503" s="298"/>
      <c r="B503" s="298"/>
      <c r="C503" s="298"/>
      <c r="D503" s="298"/>
      <c r="W503" s="749"/>
      <c r="X503" s="749"/>
      <c r="Y503" s="749"/>
      <c r="Z503" s="750"/>
      <c r="AA503" s="750"/>
      <c r="AQ503" s="749"/>
      <c r="AR503" s="749"/>
      <c r="BA503"/>
    </row>
    <row r="504" spans="1:53" s="238" customFormat="1" x14ac:dyDescent="0.2">
      <c r="A504" s="298"/>
      <c r="B504" s="298"/>
      <c r="C504" s="298"/>
      <c r="D504" s="298"/>
      <c r="W504" s="749"/>
      <c r="X504" s="749"/>
      <c r="Y504" s="749"/>
      <c r="Z504" s="750"/>
      <c r="AA504" s="750"/>
      <c r="AQ504" s="749"/>
      <c r="AR504" s="749"/>
      <c r="BA504"/>
    </row>
    <row r="505" spans="1:53" s="238" customFormat="1" x14ac:dyDescent="0.2">
      <c r="A505" s="298"/>
      <c r="B505" s="298"/>
      <c r="C505" s="298"/>
      <c r="D505" s="298"/>
      <c r="W505" s="749"/>
      <c r="X505" s="749"/>
      <c r="Y505" s="749"/>
      <c r="Z505" s="750"/>
      <c r="AA505" s="750"/>
      <c r="AQ505" s="749"/>
      <c r="AR505" s="749"/>
      <c r="BA505"/>
    </row>
    <row r="506" spans="1:53" s="238" customFormat="1" x14ac:dyDescent="0.2">
      <c r="A506" s="298"/>
      <c r="B506" s="298"/>
      <c r="C506" s="298"/>
      <c r="D506" s="298"/>
      <c r="W506" s="749"/>
      <c r="X506" s="749"/>
      <c r="Y506" s="749"/>
      <c r="Z506" s="750"/>
      <c r="AA506" s="750"/>
      <c r="AQ506" s="749"/>
      <c r="AR506" s="749"/>
      <c r="BA506"/>
    </row>
    <row r="507" spans="1:53" s="238" customFormat="1" x14ac:dyDescent="0.2">
      <c r="A507" s="298"/>
      <c r="B507" s="298"/>
      <c r="C507" s="298"/>
      <c r="D507" s="298"/>
      <c r="W507" s="749"/>
      <c r="X507" s="749"/>
      <c r="Y507" s="749"/>
      <c r="Z507" s="750"/>
      <c r="AA507" s="750"/>
      <c r="AQ507" s="749"/>
      <c r="AR507" s="749"/>
      <c r="BA507"/>
    </row>
    <row r="508" spans="1:53" s="238" customFormat="1" x14ac:dyDescent="0.2">
      <c r="A508" s="298"/>
      <c r="B508" s="298"/>
      <c r="C508" s="298"/>
      <c r="D508" s="298"/>
      <c r="W508" s="749"/>
      <c r="X508" s="749"/>
      <c r="Y508" s="749"/>
      <c r="Z508" s="750"/>
      <c r="AA508" s="750"/>
      <c r="AQ508" s="749"/>
      <c r="AR508" s="749"/>
      <c r="BA508"/>
    </row>
    <row r="509" spans="1:53" s="238" customFormat="1" x14ac:dyDescent="0.2">
      <c r="A509" s="298"/>
      <c r="B509" s="298"/>
      <c r="C509" s="298"/>
      <c r="D509" s="298"/>
      <c r="W509" s="749"/>
      <c r="X509" s="749"/>
      <c r="Y509" s="749"/>
      <c r="Z509" s="750"/>
      <c r="AA509" s="750"/>
      <c r="AQ509" s="749"/>
      <c r="AR509" s="749"/>
      <c r="BA509"/>
    </row>
    <row r="510" spans="1:53" s="238" customFormat="1" x14ac:dyDescent="0.2">
      <c r="A510" s="298"/>
      <c r="B510" s="298"/>
      <c r="C510" s="298"/>
      <c r="D510" s="298"/>
      <c r="W510" s="749"/>
      <c r="X510" s="749"/>
      <c r="Y510" s="749"/>
      <c r="Z510" s="750"/>
      <c r="AA510" s="750"/>
      <c r="AQ510" s="749"/>
      <c r="AR510" s="749"/>
      <c r="BA510"/>
    </row>
    <row r="511" spans="1:53" s="238" customFormat="1" x14ac:dyDescent="0.2">
      <c r="A511" s="298"/>
      <c r="B511" s="298"/>
      <c r="C511" s="298"/>
      <c r="D511" s="298"/>
      <c r="W511" s="749"/>
      <c r="X511" s="749"/>
      <c r="Y511" s="749"/>
      <c r="Z511" s="750"/>
      <c r="AA511" s="750"/>
      <c r="AQ511" s="749"/>
      <c r="AR511" s="749"/>
      <c r="BA511"/>
    </row>
    <row r="512" spans="1:53" s="238" customFormat="1" x14ac:dyDescent="0.2">
      <c r="A512" s="298"/>
      <c r="B512" s="298"/>
      <c r="C512" s="298"/>
      <c r="D512" s="298"/>
      <c r="W512" s="749"/>
      <c r="X512" s="749"/>
      <c r="Y512" s="749"/>
      <c r="Z512" s="750"/>
      <c r="AA512" s="750"/>
      <c r="AQ512" s="749"/>
      <c r="AR512" s="749"/>
      <c r="BA512"/>
    </row>
    <row r="513" spans="1:53" s="238" customFormat="1" x14ac:dyDescent="0.2">
      <c r="A513" s="298"/>
      <c r="B513" s="298"/>
      <c r="C513" s="298"/>
      <c r="D513" s="298"/>
      <c r="W513" s="749"/>
      <c r="X513" s="749"/>
      <c r="Y513" s="749"/>
      <c r="Z513" s="750"/>
      <c r="AA513" s="750"/>
      <c r="AQ513" s="749"/>
      <c r="AR513" s="749"/>
      <c r="BA513"/>
    </row>
    <row r="514" spans="1:53" s="238" customFormat="1" x14ac:dyDescent="0.2">
      <c r="A514" s="298"/>
      <c r="B514" s="298"/>
      <c r="C514" s="298"/>
      <c r="D514" s="298"/>
      <c r="W514" s="749"/>
      <c r="X514" s="749"/>
      <c r="Y514" s="749"/>
      <c r="Z514" s="750"/>
      <c r="AA514" s="750"/>
      <c r="AQ514" s="749"/>
      <c r="AR514" s="749"/>
      <c r="BA514"/>
    </row>
    <row r="515" spans="1:53" s="238" customFormat="1" x14ac:dyDescent="0.2">
      <c r="A515" s="298"/>
      <c r="B515" s="298"/>
      <c r="C515" s="298"/>
      <c r="D515" s="298"/>
      <c r="W515" s="749"/>
      <c r="X515" s="749"/>
      <c r="Y515" s="749"/>
      <c r="Z515" s="750"/>
      <c r="AA515" s="750"/>
      <c r="AQ515" s="749"/>
      <c r="AR515" s="749"/>
      <c r="BA515"/>
    </row>
    <row r="516" spans="1:53" s="238" customFormat="1" x14ac:dyDescent="0.2">
      <c r="A516" s="298"/>
      <c r="B516" s="298"/>
      <c r="C516" s="298"/>
      <c r="D516" s="298"/>
      <c r="W516" s="749"/>
      <c r="X516" s="749"/>
      <c r="Y516" s="749"/>
      <c r="Z516" s="750"/>
      <c r="AA516" s="750"/>
      <c r="AQ516" s="749"/>
      <c r="AR516" s="749"/>
      <c r="BA516"/>
    </row>
    <row r="517" spans="1:53" s="238" customFormat="1" x14ac:dyDescent="0.2">
      <c r="A517" s="298"/>
      <c r="B517" s="298"/>
      <c r="C517" s="298"/>
      <c r="D517" s="298"/>
      <c r="W517" s="749"/>
      <c r="X517" s="749"/>
      <c r="Y517" s="749"/>
      <c r="Z517" s="750"/>
      <c r="AA517" s="750"/>
      <c r="AQ517" s="749"/>
      <c r="AR517" s="749"/>
      <c r="BA517"/>
    </row>
    <row r="518" spans="1:53" s="238" customFormat="1" x14ac:dyDescent="0.2">
      <c r="A518" s="298"/>
      <c r="B518" s="298"/>
      <c r="C518" s="298"/>
      <c r="D518" s="298"/>
      <c r="W518" s="749"/>
      <c r="X518" s="749"/>
      <c r="Y518" s="749"/>
      <c r="Z518" s="750"/>
      <c r="AA518" s="750"/>
      <c r="AQ518" s="749"/>
      <c r="AR518" s="749"/>
      <c r="BA518"/>
    </row>
    <row r="519" spans="1:53" s="238" customFormat="1" x14ac:dyDescent="0.2">
      <c r="A519" s="298"/>
      <c r="B519" s="298"/>
      <c r="C519" s="298"/>
      <c r="D519" s="298"/>
      <c r="W519" s="749"/>
      <c r="X519" s="749"/>
      <c r="Y519" s="749"/>
      <c r="Z519" s="750"/>
      <c r="AA519" s="750"/>
      <c r="AQ519" s="749"/>
      <c r="AR519" s="749"/>
      <c r="BA519"/>
    </row>
    <row r="520" spans="1:53" s="238" customFormat="1" x14ac:dyDescent="0.2">
      <c r="A520" s="298"/>
      <c r="B520" s="298"/>
      <c r="C520" s="298"/>
      <c r="D520" s="298"/>
      <c r="W520" s="749"/>
      <c r="X520" s="749"/>
      <c r="Y520" s="749"/>
      <c r="Z520" s="750"/>
      <c r="AA520" s="750"/>
      <c r="AQ520" s="749"/>
      <c r="AR520" s="749"/>
      <c r="BA520"/>
    </row>
    <row r="521" spans="1:53" s="238" customFormat="1" x14ac:dyDescent="0.2">
      <c r="A521" s="298"/>
      <c r="B521" s="298"/>
      <c r="C521" s="298"/>
      <c r="D521" s="298"/>
      <c r="W521" s="749"/>
      <c r="X521" s="749"/>
      <c r="Y521" s="749"/>
      <c r="Z521" s="750"/>
      <c r="AA521" s="750"/>
      <c r="AQ521" s="749"/>
      <c r="AR521" s="749"/>
      <c r="BA521"/>
    </row>
    <row r="522" spans="1:53" s="238" customFormat="1" x14ac:dyDescent="0.2">
      <c r="A522" s="298"/>
      <c r="B522" s="298"/>
      <c r="C522" s="298"/>
      <c r="D522" s="298"/>
      <c r="W522" s="749"/>
      <c r="X522" s="749"/>
      <c r="Y522" s="749"/>
      <c r="Z522" s="750"/>
      <c r="AA522" s="750"/>
      <c r="AQ522" s="749"/>
      <c r="AR522" s="749"/>
      <c r="BA522"/>
    </row>
    <row r="523" spans="1:53" s="238" customFormat="1" x14ac:dyDescent="0.2">
      <c r="A523" s="298"/>
      <c r="B523" s="298"/>
      <c r="C523" s="298"/>
      <c r="D523" s="298"/>
      <c r="W523" s="749"/>
      <c r="X523" s="749"/>
      <c r="Y523" s="749"/>
      <c r="Z523" s="750"/>
      <c r="AA523" s="750"/>
      <c r="AQ523" s="749"/>
      <c r="AR523" s="749"/>
      <c r="BA523"/>
    </row>
    <row r="524" spans="1:53" s="238" customFormat="1" x14ac:dyDescent="0.2">
      <c r="A524" s="298"/>
      <c r="B524" s="298"/>
      <c r="C524" s="298"/>
      <c r="D524" s="298"/>
      <c r="W524" s="749"/>
      <c r="X524" s="749"/>
      <c r="Y524" s="749"/>
      <c r="Z524" s="750"/>
      <c r="AA524" s="750"/>
      <c r="AQ524" s="749"/>
      <c r="AR524" s="749"/>
      <c r="BA524"/>
    </row>
    <row r="525" spans="1:53" s="238" customFormat="1" x14ac:dyDescent="0.2">
      <c r="A525" s="298"/>
      <c r="B525" s="298"/>
      <c r="C525" s="298"/>
      <c r="D525" s="298"/>
      <c r="W525" s="749"/>
      <c r="X525" s="749"/>
      <c r="Y525" s="749"/>
      <c r="Z525" s="750"/>
      <c r="AA525" s="750"/>
      <c r="AQ525" s="749"/>
      <c r="AR525" s="749"/>
      <c r="BA525"/>
    </row>
    <row r="526" spans="1:53" s="238" customFormat="1" x14ac:dyDescent="0.2">
      <c r="A526" s="298"/>
      <c r="B526" s="298"/>
      <c r="C526" s="298"/>
      <c r="D526" s="298"/>
      <c r="W526" s="749"/>
      <c r="X526" s="749"/>
      <c r="Y526" s="749"/>
      <c r="Z526" s="750"/>
      <c r="AA526" s="750"/>
      <c r="AQ526" s="749"/>
      <c r="AR526" s="749"/>
      <c r="BA526"/>
    </row>
    <row r="527" spans="1:53" s="238" customFormat="1" x14ac:dyDescent="0.2">
      <c r="A527" s="298"/>
      <c r="B527" s="298"/>
      <c r="C527" s="298"/>
      <c r="D527" s="298"/>
      <c r="W527" s="749"/>
      <c r="X527" s="749"/>
      <c r="Y527" s="749"/>
      <c r="Z527" s="750"/>
      <c r="AA527" s="750"/>
      <c r="AQ527" s="749"/>
      <c r="AR527" s="749"/>
      <c r="BA527"/>
    </row>
    <row r="528" spans="1:53" s="238" customFormat="1" x14ac:dyDescent="0.2">
      <c r="A528" s="298"/>
      <c r="B528" s="298"/>
      <c r="C528" s="298"/>
      <c r="D528" s="298"/>
      <c r="W528" s="749"/>
      <c r="X528" s="749"/>
      <c r="Y528" s="749"/>
      <c r="Z528" s="750"/>
      <c r="AA528" s="750"/>
      <c r="AQ528" s="749"/>
      <c r="AR528" s="749"/>
      <c r="BA528"/>
    </row>
    <row r="529" spans="1:53" s="238" customFormat="1" x14ac:dyDescent="0.2">
      <c r="A529" s="298"/>
      <c r="B529" s="298"/>
      <c r="C529" s="298"/>
      <c r="D529" s="298"/>
      <c r="W529" s="749"/>
      <c r="X529" s="749"/>
      <c r="Y529" s="749"/>
      <c r="Z529" s="750"/>
      <c r="AA529" s="750"/>
      <c r="AQ529" s="749"/>
      <c r="AR529" s="749"/>
      <c r="BA529"/>
    </row>
    <row r="530" spans="1:53" s="238" customFormat="1" x14ac:dyDescent="0.2">
      <c r="A530" s="298"/>
      <c r="B530" s="298"/>
      <c r="C530" s="298"/>
      <c r="D530" s="298"/>
      <c r="W530" s="749"/>
      <c r="X530" s="749"/>
      <c r="Y530" s="749"/>
      <c r="Z530" s="750"/>
      <c r="AA530" s="750"/>
      <c r="AQ530" s="749"/>
      <c r="AR530" s="749"/>
      <c r="BA530"/>
    </row>
    <row r="531" spans="1:53" s="238" customFormat="1" x14ac:dyDescent="0.2">
      <c r="A531" s="298"/>
      <c r="B531" s="298"/>
      <c r="C531" s="298"/>
      <c r="D531" s="298"/>
      <c r="W531" s="749"/>
      <c r="X531" s="749"/>
      <c r="Y531" s="749"/>
      <c r="Z531" s="750"/>
      <c r="AA531" s="750"/>
      <c r="AQ531" s="749"/>
      <c r="AR531" s="749"/>
      <c r="BA531"/>
    </row>
    <row r="532" spans="1:53" s="238" customFormat="1" x14ac:dyDescent="0.2">
      <c r="A532" s="298"/>
      <c r="B532" s="298"/>
      <c r="C532" s="298"/>
      <c r="D532" s="298"/>
      <c r="W532" s="749"/>
      <c r="X532" s="749"/>
      <c r="Y532" s="749"/>
      <c r="Z532" s="750"/>
      <c r="AA532" s="750"/>
      <c r="AQ532" s="749"/>
      <c r="AR532" s="749"/>
      <c r="BA532"/>
    </row>
    <row r="533" spans="1:53" s="238" customFormat="1" x14ac:dyDescent="0.2">
      <c r="A533" s="298"/>
      <c r="B533" s="298"/>
      <c r="C533" s="298"/>
      <c r="D533" s="298"/>
      <c r="W533" s="749"/>
      <c r="X533" s="749"/>
      <c r="Y533" s="749"/>
      <c r="Z533" s="750"/>
      <c r="AA533" s="750"/>
      <c r="AQ533" s="749"/>
      <c r="AR533" s="749"/>
      <c r="BA533"/>
    </row>
    <row r="534" spans="1:53" s="238" customFormat="1" x14ac:dyDescent="0.2">
      <c r="A534" s="298"/>
      <c r="B534" s="298"/>
      <c r="C534" s="298"/>
      <c r="D534" s="298"/>
      <c r="W534" s="749"/>
      <c r="X534" s="749"/>
      <c r="Y534" s="749"/>
      <c r="Z534" s="750"/>
      <c r="AA534" s="750"/>
      <c r="AQ534" s="749"/>
      <c r="AR534" s="749"/>
      <c r="BA534"/>
    </row>
    <row r="535" spans="1:53" s="238" customFormat="1" x14ac:dyDescent="0.2">
      <c r="A535" s="298"/>
      <c r="B535" s="298"/>
      <c r="C535" s="298"/>
      <c r="D535" s="298"/>
      <c r="W535" s="749"/>
      <c r="X535" s="749"/>
      <c r="Y535" s="749"/>
      <c r="Z535" s="750"/>
      <c r="AA535" s="750"/>
      <c r="AQ535" s="749"/>
      <c r="AR535" s="749"/>
      <c r="BA535"/>
    </row>
    <row r="536" spans="1:53" s="238" customFormat="1" x14ac:dyDescent="0.2">
      <c r="A536" s="298"/>
      <c r="B536" s="298"/>
      <c r="C536" s="298"/>
      <c r="D536" s="298"/>
      <c r="W536" s="749"/>
      <c r="X536" s="749"/>
      <c r="Y536" s="749"/>
      <c r="Z536" s="750"/>
      <c r="AA536" s="750"/>
      <c r="AQ536" s="749"/>
      <c r="AR536" s="749"/>
      <c r="BA536"/>
    </row>
    <row r="537" spans="1:53" s="238" customFormat="1" x14ac:dyDescent="0.2">
      <c r="A537" s="298"/>
      <c r="B537" s="298"/>
      <c r="C537" s="298"/>
      <c r="D537" s="298"/>
      <c r="W537" s="749"/>
      <c r="X537" s="749"/>
      <c r="Y537" s="749"/>
      <c r="Z537" s="750"/>
      <c r="AA537" s="750"/>
      <c r="AQ537" s="749"/>
      <c r="AR537" s="749"/>
      <c r="BA537"/>
    </row>
    <row r="538" spans="1:53" s="238" customFormat="1" x14ac:dyDescent="0.2">
      <c r="A538" s="298"/>
      <c r="B538" s="298"/>
      <c r="C538" s="298"/>
      <c r="D538" s="298"/>
      <c r="W538" s="749"/>
      <c r="X538" s="749"/>
      <c r="Y538" s="749"/>
      <c r="Z538" s="750"/>
      <c r="AA538" s="750"/>
      <c r="AQ538" s="749"/>
      <c r="AR538" s="749"/>
      <c r="BA538"/>
    </row>
    <row r="539" spans="1:53" s="238" customFormat="1" x14ac:dyDescent="0.2">
      <c r="A539" s="298"/>
      <c r="B539" s="298"/>
      <c r="C539" s="298"/>
      <c r="D539" s="298"/>
      <c r="W539" s="749"/>
      <c r="X539" s="749"/>
      <c r="Y539" s="749"/>
      <c r="Z539" s="750"/>
      <c r="AA539" s="750"/>
      <c r="AQ539" s="749"/>
      <c r="AR539" s="749"/>
      <c r="BA539"/>
    </row>
    <row r="540" spans="1:53" s="238" customFormat="1" x14ac:dyDescent="0.2">
      <c r="A540" s="298"/>
      <c r="B540" s="298"/>
      <c r="C540" s="298"/>
      <c r="D540" s="298"/>
      <c r="W540" s="749"/>
      <c r="X540" s="749"/>
      <c r="Y540" s="749"/>
      <c r="Z540" s="750"/>
      <c r="AA540" s="750"/>
      <c r="AQ540" s="749"/>
      <c r="AR540" s="749"/>
      <c r="BA540"/>
    </row>
    <row r="541" spans="1:53" s="238" customFormat="1" x14ac:dyDescent="0.2">
      <c r="A541" s="298"/>
      <c r="B541" s="298"/>
      <c r="C541" s="298"/>
      <c r="D541" s="298"/>
      <c r="W541" s="749"/>
      <c r="X541" s="749"/>
      <c r="Y541" s="749"/>
      <c r="Z541" s="750"/>
      <c r="AA541" s="750"/>
      <c r="AQ541" s="749"/>
      <c r="AR541" s="749"/>
      <c r="BA541"/>
    </row>
    <row r="542" spans="1:53" s="238" customFormat="1" x14ac:dyDescent="0.2">
      <c r="A542" s="298"/>
      <c r="B542" s="298"/>
      <c r="C542" s="298"/>
      <c r="D542" s="298"/>
      <c r="W542" s="749"/>
      <c r="X542" s="749"/>
      <c r="Y542" s="749"/>
      <c r="Z542" s="750"/>
      <c r="AA542" s="750"/>
      <c r="AQ542" s="749"/>
      <c r="AR542" s="749"/>
      <c r="BA542"/>
    </row>
    <row r="543" spans="1:53" s="238" customFormat="1" x14ac:dyDescent="0.2">
      <c r="A543" s="298"/>
      <c r="B543" s="298"/>
      <c r="C543" s="298"/>
      <c r="D543" s="298"/>
      <c r="W543" s="749"/>
      <c r="X543" s="749"/>
      <c r="Y543" s="749"/>
      <c r="Z543" s="750"/>
      <c r="AA543" s="750"/>
      <c r="AQ543" s="749"/>
      <c r="AR543" s="749"/>
      <c r="BA543"/>
    </row>
    <row r="544" spans="1:53" s="238" customFormat="1" x14ac:dyDescent="0.2">
      <c r="A544" s="298"/>
      <c r="B544" s="298"/>
      <c r="C544" s="298"/>
      <c r="D544" s="298"/>
      <c r="W544" s="749"/>
      <c r="X544" s="749"/>
      <c r="Y544" s="749"/>
      <c r="Z544" s="750"/>
      <c r="AA544" s="750"/>
      <c r="AQ544" s="749"/>
      <c r="AR544" s="749"/>
      <c r="BA544"/>
    </row>
    <row r="545" spans="1:53" s="238" customFormat="1" x14ac:dyDescent="0.2">
      <c r="A545" s="298"/>
      <c r="B545" s="298"/>
      <c r="C545" s="298"/>
      <c r="D545" s="298"/>
      <c r="W545" s="749"/>
      <c r="X545" s="749"/>
      <c r="Y545" s="749"/>
      <c r="Z545" s="750"/>
      <c r="AA545" s="750"/>
      <c r="AQ545" s="749"/>
      <c r="AR545" s="749"/>
      <c r="BA545"/>
    </row>
    <row r="546" spans="1:53" s="238" customFormat="1" x14ac:dyDescent="0.2">
      <c r="A546" s="298"/>
      <c r="B546" s="298"/>
      <c r="C546" s="298"/>
      <c r="D546" s="298"/>
      <c r="W546" s="749"/>
      <c r="X546" s="749"/>
      <c r="Y546" s="749"/>
      <c r="Z546" s="750"/>
      <c r="AA546" s="750"/>
      <c r="AQ546" s="749"/>
      <c r="AR546" s="749"/>
      <c r="BA546"/>
    </row>
    <row r="547" spans="1:53" s="238" customFormat="1" x14ac:dyDescent="0.2">
      <c r="A547" s="298"/>
      <c r="B547" s="298"/>
      <c r="C547" s="298"/>
      <c r="D547" s="298"/>
      <c r="W547" s="749"/>
      <c r="X547" s="749"/>
      <c r="Y547" s="749"/>
      <c r="Z547" s="750"/>
      <c r="AA547" s="750"/>
      <c r="AQ547" s="749"/>
      <c r="AR547" s="749"/>
      <c r="BA547"/>
    </row>
    <row r="548" spans="1:53" s="238" customFormat="1" x14ac:dyDescent="0.2">
      <c r="A548" s="298"/>
      <c r="B548" s="298"/>
      <c r="C548" s="298"/>
      <c r="D548" s="298"/>
      <c r="W548" s="749"/>
      <c r="X548" s="749"/>
      <c r="Y548" s="749"/>
      <c r="Z548" s="750"/>
      <c r="AA548" s="750"/>
      <c r="AQ548" s="749"/>
      <c r="AR548" s="749"/>
      <c r="BA548"/>
    </row>
    <row r="549" spans="1:53" s="238" customFormat="1" x14ac:dyDescent="0.2">
      <c r="A549" s="298"/>
      <c r="B549" s="298"/>
      <c r="C549" s="298"/>
      <c r="D549" s="298"/>
      <c r="W549" s="749"/>
      <c r="X549" s="749"/>
      <c r="Y549" s="749"/>
      <c r="Z549" s="750"/>
      <c r="AA549" s="750"/>
      <c r="AQ549" s="749"/>
      <c r="AR549" s="749"/>
      <c r="BA549"/>
    </row>
    <row r="550" spans="1:53" s="238" customFormat="1" x14ac:dyDescent="0.2">
      <c r="A550" s="298"/>
      <c r="B550" s="298"/>
      <c r="C550" s="298"/>
      <c r="D550" s="298"/>
      <c r="W550" s="749"/>
      <c r="X550" s="749"/>
      <c r="Y550" s="749"/>
      <c r="Z550" s="750"/>
      <c r="AA550" s="750"/>
      <c r="AQ550" s="749"/>
      <c r="AR550" s="749"/>
      <c r="BA550"/>
    </row>
    <row r="551" spans="1:53" s="238" customFormat="1" x14ac:dyDescent="0.2">
      <c r="A551" s="298"/>
      <c r="B551" s="298"/>
      <c r="C551" s="298"/>
      <c r="D551" s="298"/>
      <c r="W551" s="749"/>
      <c r="X551" s="749"/>
      <c r="Y551" s="749"/>
      <c r="Z551" s="750"/>
      <c r="AA551" s="750"/>
      <c r="AQ551" s="749"/>
      <c r="AR551" s="749"/>
      <c r="BA551"/>
    </row>
    <row r="552" spans="1:53" s="238" customFormat="1" x14ac:dyDescent="0.2">
      <c r="A552" s="298"/>
      <c r="B552" s="298"/>
      <c r="C552" s="298"/>
      <c r="D552" s="298"/>
      <c r="W552" s="749"/>
      <c r="X552" s="749"/>
      <c r="Y552" s="749"/>
      <c r="Z552" s="750"/>
      <c r="AA552" s="750"/>
      <c r="AQ552" s="749"/>
      <c r="AR552" s="749"/>
      <c r="BA552"/>
    </row>
    <row r="553" spans="1:53" s="238" customFormat="1" x14ac:dyDescent="0.2">
      <c r="A553" s="298"/>
      <c r="B553" s="298"/>
      <c r="C553" s="298"/>
      <c r="D553" s="298"/>
      <c r="W553" s="749"/>
      <c r="X553" s="749"/>
      <c r="Y553" s="749"/>
      <c r="Z553" s="750"/>
      <c r="AA553" s="750"/>
      <c r="AQ553" s="749"/>
      <c r="AR553" s="749"/>
      <c r="BA553"/>
    </row>
    <row r="554" spans="1:53" s="238" customFormat="1" x14ac:dyDescent="0.2">
      <c r="A554" s="298"/>
      <c r="B554" s="298"/>
      <c r="C554" s="298"/>
      <c r="D554" s="298"/>
      <c r="W554" s="749"/>
      <c r="X554" s="749"/>
      <c r="Y554" s="749"/>
      <c r="Z554" s="750"/>
      <c r="AA554" s="750"/>
      <c r="AQ554" s="749"/>
      <c r="AR554" s="749"/>
      <c r="BA554"/>
    </row>
    <row r="555" spans="1:53" s="238" customFormat="1" x14ac:dyDescent="0.2">
      <c r="A555" s="298"/>
      <c r="B555" s="298"/>
      <c r="C555" s="298"/>
      <c r="D555" s="298"/>
      <c r="W555" s="749"/>
      <c r="X555" s="749"/>
      <c r="Y555" s="749"/>
      <c r="Z555" s="750"/>
      <c r="AA555" s="750"/>
      <c r="AQ555" s="749"/>
      <c r="AR555" s="749"/>
      <c r="BA555"/>
    </row>
    <row r="556" spans="1:53" s="238" customFormat="1" x14ac:dyDescent="0.2">
      <c r="A556" s="298"/>
      <c r="B556" s="298"/>
      <c r="C556" s="298"/>
      <c r="D556" s="298"/>
      <c r="W556" s="749"/>
      <c r="X556" s="749"/>
      <c r="Y556" s="749"/>
      <c r="Z556" s="750"/>
      <c r="AA556" s="750"/>
      <c r="AQ556" s="749"/>
      <c r="AR556" s="749"/>
      <c r="BA556"/>
    </row>
    <row r="557" spans="1:53" s="238" customFormat="1" x14ac:dyDescent="0.2">
      <c r="A557" s="298"/>
      <c r="B557" s="298"/>
      <c r="C557" s="298"/>
      <c r="D557" s="298"/>
      <c r="W557" s="749"/>
      <c r="X557" s="749"/>
      <c r="Y557" s="749"/>
      <c r="Z557" s="750"/>
      <c r="AA557" s="750"/>
      <c r="AQ557" s="749"/>
      <c r="AR557" s="749"/>
      <c r="BA557"/>
    </row>
    <row r="558" spans="1:53" s="238" customFormat="1" x14ac:dyDescent="0.2">
      <c r="A558" s="298"/>
      <c r="B558" s="298"/>
      <c r="C558" s="298"/>
      <c r="D558" s="298"/>
      <c r="W558" s="749"/>
      <c r="X558" s="749"/>
      <c r="Y558" s="749"/>
      <c r="Z558" s="750"/>
      <c r="AA558" s="750"/>
      <c r="AQ558" s="749"/>
      <c r="AR558" s="749"/>
      <c r="BA558"/>
    </row>
    <row r="559" spans="1:53" s="238" customFormat="1" x14ac:dyDescent="0.2">
      <c r="A559" s="298"/>
      <c r="B559" s="298"/>
      <c r="C559" s="298"/>
      <c r="D559" s="298"/>
      <c r="W559" s="749"/>
      <c r="X559" s="749"/>
      <c r="Y559" s="749"/>
      <c r="Z559" s="750"/>
      <c r="AA559" s="750"/>
      <c r="AQ559" s="749"/>
      <c r="AR559" s="749"/>
      <c r="BA559"/>
    </row>
    <row r="560" spans="1:53" s="238" customFormat="1" x14ac:dyDescent="0.2">
      <c r="A560" s="298"/>
      <c r="B560" s="298"/>
      <c r="C560" s="298"/>
      <c r="D560" s="298"/>
      <c r="W560" s="749"/>
      <c r="X560" s="749"/>
      <c r="Y560" s="749"/>
      <c r="Z560" s="750"/>
      <c r="AA560" s="750"/>
      <c r="AQ560" s="749"/>
      <c r="AR560" s="749"/>
      <c r="BA560"/>
    </row>
  </sheetData>
  <sortState xmlns:xlrd2="http://schemas.microsoft.com/office/spreadsheetml/2017/richdata2" ref="BF8:BI324">
    <sortCondition ref="BG8:BG324"/>
  </sortState>
  <mergeCells count="4">
    <mergeCell ref="F1:AC1"/>
    <mergeCell ref="D1:E1"/>
    <mergeCell ref="AE1:AW1"/>
    <mergeCell ref="AY1:AZ1"/>
  </mergeCells>
  <phoneticPr fontId="5" type="noConversion"/>
  <conditionalFormatting sqref="BG7:BG320">
    <cfRule type="cellIs" dxfId="0" priority="1" operator="equal">
      <formula>FALSE</formula>
    </cfRule>
  </conditionalFormatting>
  <dataValidations count="1">
    <dataValidation type="custom" allowBlank="1" showInputMessage="1" showErrorMessage="1" sqref="BA1:BD1 BI233:XFD316 BI318:XFD1048576 BO1:BW232 BG3:BH1048576 BI6:BJ232 BK3:BN232 BB7:BD1048576 AY7:AZ1048576 AX321:AX1048576 D7:AW1048576 BE318:BE1048576 D1:AD6 B318:C1048576 AE6:BD6 BE1:BE316 B1:C316 BY1:XFD232 BX2:BX232 BA321:BA1048576 BF1:BF6 A1:A1048576 AY2:BD5 AE1:AX5 BF321:BF1048576" xr:uid="{94BF98FD-A428-4E34-859E-80D5EC696298}">
      <formula1>$BX$1="UNLOCK"</formula1>
    </dataValidation>
  </dataValidations>
  <pageMargins left="0.39370078740157483" right="0.39370078740157483" top="0.39370078740157483" bottom="0.39370078740157483" header="0.51181102362204722" footer="0.51181102362204722"/>
  <pageSetup paperSize="8" scale="63" fitToHeight="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C1"/>
  <sheetViews>
    <sheetView workbookViewId="0">
      <selection activeCell="G376" sqref="G376"/>
    </sheetView>
  </sheetViews>
  <sheetFormatPr defaultRowHeight="12.75" x14ac:dyDescent="0.2"/>
  <sheetData>
    <row r="1" spans="1:3" x14ac:dyDescent="0.2">
      <c r="A1" t="str">
        <f>'Part 1'!L12</f>
        <v>England</v>
      </c>
      <c r="B1" s="118" t="s">
        <v>906</v>
      </c>
      <c r="C1">
        <v>2018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X220"/>
  <sheetViews>
    <sheetView showGridLines="0" zoomScale="90" zoomScaleNormal="90" workbookViewId="0"/>
  </sheetViews>
  <sheetFormatPr defaultColWidth="9.140625" defaultRowHeight="15" x14ac:dyDescent="0.2"/>
  <cols>
    <col min="1" max="1" width="3.140625" style="222" customWidth="1"/>
    <col min="2" max="2" width="1.7109375" style="9" customWidth="1"/>
    <col min="3" max="3" width="13.28515625" style="9" bestFit="1" customWidth="1"/>
    <col min="4" max="8" width="9.140625" style="9"/>
    <col min="9" max="9" width="13" style="9" bestFit="1" customWidth="1"/>
    <col min="10" max="10" width="3.7109375" style="9" customWidth="1"/>
    <col min="11" max="11" width="9.5703125" style="9" customWidth="1"/>
    <col min="12" max="12" width="9" style="9" customWidth="1"/>
    <col min="13" max="13" width="3.7109375" style="9" customWidth="1"/>
    <col min="14" max="15" width="10.28515625" style="9" customWidth="1"/>
    <col min="16" max="16" width="3.7109375" style="9" customWidth="1"/>
    <col min="17" max="18" width="10.28515625" style="9" customWidth="1"/>
    <col min="19" max="19" width="3.7109375" style="9" customWidth="1"/>
    <col min="20" max="21" width="10.28515625" style="9" customWidth="1"/>
    <col min="22" max="22" width="6.140625" style="9" customWidth="1"/>
    <col min="23" max="23" width="9.5703125" style="9" customWidth="1"/>
    <col min="24" max="24" width="9.7109375" style="9" customWidth="1"/>
    <col min="25" max="25" width="1.5703125" style="9" customWidth="1"/>
    <col min="26" max="26" width="8.140625" style="9" customWidth="1"/>
    <col min="27" max="16384" width="9.140625" style="9"/>
  </cols>
  <sheetData>
    <row r="1" spans="1:26" s="335" customFormat="1" ht="21" customHeight="1" x14ac:dyDescent="0.2">
      <c r="A1" s="336"/>
      <c r="B1" s="318"/>
      <c r="C1" s="318"/>
      <c r="D1" s="318"/>
      <c r="E1" s="318"/>
      <c r="F1" s="344">
        <v>315</v>
      </c>
      <c r="G1" s="318"/>
      <c r="H1" s="318"/>
      <c r="I1" s="318"/>
      <c r="J1" s="318"/>
      <c r="K1" s="318"/>
      <c r="L1" s="318"/>
      <c r="M1" s="318"/>
      <c r="N1" s="318"/>
      <c r="O1" s="318"/>
      <c r="P1" s="318"/>
      <c r="Q1" s="318"/>
      <c r="R1" s="891"/>
      <c r="S1" s="891"/>
      <c r="T1" s="318"/>
      <c r="U1" s="318"/>
      <c r="V1" s="318"/>
      <c r="W1" s="318"/>
      <c r="X1" s="318"/>
      <c r="Y1" s="318"/>
      <c r="Z1" s="337"/>
    </row>
    <row r="2" spans="1:26" ht="15.75" x14ac:dyDescent="0.25">
      <c r="A2" s="897" t="s">
        <v>654</v>
      </c>
      <c r="B2" s="898"/>
      <c r="C2" s="898"/>
      <c r="D2" s="898"/>
      <c r="E2" s="898"/>
      <c r="F2" s="898"/>
      <c r="G2" s="898"/>
      <c r="H2" s="898"/>
      <c r="I2" s="898"/>
      <c r="J2" s="898"/>
      <c r="K2" s="898"/>
      <c r="L2" s="898"/>
      <c r="M2" s="898"/>
      <c r="N2" s="898"/>
      <c r="O2" s="898"/>
      <c r="P2" s="898"/>
      <c r="Q2" s="898"/>
      <c r="R2" s="898"/>
      <c r="S2" s="898"/>
      <c r="T2" s="898"/>
      <c r="U2" s="898"/>
      <c r="V2" s="898"/>
      <c r="W2" s="898"/>
      <c r="X2" s="898"/>
      <c r="Y2" s="898"/>
      <c r="Z2" s="899"/>
    </row>
    <row r="3" spans="1:26" ht="15.75" x14ac:dyDescent="0.25">
      <c r="A3" s="897" t="s">
        <v>1119</v>
      </c>
      <c r="B3" s="898"/>
      <c r="C3" s="898"/>
      <c r="D3" s="898"/>
      <c r="E3" s="898"/>
      <c r="F3" s="898"/>
      <c r="G3" s="898"/>
      <c r="H3" s="898"/>
      <c r="I3" s="898"/>
      <c r="J3" s="898"/>
      <c r="K3" s="898"/>
      <c r="L3" s="898"/>
      <c r="M3" s="898"/>
      <c r="N3" s="898"/>
      <c r="O3" s="898"/>
      <c r="P3" s="898"/>
      <c r="Q3" s="898"/>
      <c r="R3" s="898"/>
      <c r="S3" s="898"/>
      <c r="T3" s="898"/>
      <c r="U3" s="898"/>
      <c r="V3" s="898"/>
      <c r="W3" s="898"/>
      <c r="X3" s="898"/>
      <c r="Y3" s="898"/>
      <c r="Z3" s="899"/>
    </row>
    <row r="4" spans="1:26" x14ac:dyDescent="0.2">
      <c r="A4" s="907"/>
      <c r="B4" s="908"/>
      <c r="C4" s="908"/>
      <c r="D4" s="908"/>
      <c r="E4" s="908"/>
      <c r="F4" s="908"/>
      <c r="G4" s="908"/>
      <c r="H4" s="908"/>
      <c r="I4" s="908"/>
      <c r="J4" s="908"/>
      <c r="K4" s="908"/>
      <c r="L4" s="908"/>
      <c r="M4" s="908"/>
      <c r="N4" s="908"/>
      <c r="O4" s="908"/>
      <c r="P4" s="908"/>
      <c r="Q4" s="908"/>
      <c r="R4" s="908"/>
      <c r="S4" s="908"/>
      <c r="T4" s="908"/>
      <c r="U4" s="908"/>
      <c r="V4" s="908"/>
      <c r="W4" s="908"/>
      <c r="X4" s="908"/>
      <c r="Y4" s="908"/>
      <c r="Z4" s="909"/>
    </row>
    <row r="5" spans="1:26" ht="17.25" customHeight="1" x14ac:dyDescent="0.2">
      <c r="A5" s="907"/>
      <c r="B5" s="908"/>
      <c r="C5" s="908"/>
      <c r="D5" s="908"/>
      <c r="E5" s="908"/>
      <c r="F5" s="908"/>
      <c r="G5" s="908"/>
      <c r="H5" s="908"/>
      <c r="I5" s="908"/>
      <c r="J5" s="908"/>
      <c r="K5" s="908"/>
      <c r="L5" s="908"/>
      <c r="M5" s="908"/>
      <c r="N5" s="908"/>
      <c r="O5" s="908"/>
      <c r="P5" s="908"/>
      <c r="Q5" s="908"/>
      <c r="R5" s="908"/>
      <c r="S5" s="908"/>
      <c r="T5" s="908"/>
      <c r="U5" s="908"/>
      <c r="V5" s="908"/>
      <c r="W5" s="908"/>
      <c r="X5" s="908"/>
      <c r="Y5" s="908"/>
      <c r="Z5" s="909"/>
    </row>
    <row r="6" spans="1:26" ht="15.75" thickBot="1" x14ac:dyDescent="0.25">
      <c r="A6" s="902"/>
      <c r="B6" s="903"/>
      <c r="C6" s="903"/>
      <c r="D6" s="903"/>
      <c r="E6" s="903"/>
      <c r="F6" s="903"/>
      <c r="G6" s="903"/>
      <c r="H6" s="903"/>
      <c r="I6" s="903"/>
      <c r="J6" s="903"/>
      <c r="K6" s="903"/>
      <c r="L6" s="903"/>
      <c r="M6" s="903"/>
      <c r="N6" s="903"/>
      <c r="O6" s="903"/>
      <c r="P6" s="903"/>
      <c r="Q6" s="903"/>
      <c r="R6" s="903"/>
      <c r="S6" s="903"/>
      <c r="T6" s="903"/>
      <c r="U6" s="903"/>
      <c r="V6" s="903"/>
      <c r="W6" s="903"/>
      <c r="X6" s="903"/>
      <c r="Y6" s="903"/>
      <c r="Z6" s="904"/>
    </row>
    <row r="7" spans="1:26" s="335" customFormat="1" x14ac:dyDescent="0.2">
      <c r="A7" s="336"/>
      <c r="B7" s="318"/>
      <c r="C7" s="318"/>
      <c r="D7" s="318"/>
      <c r="E7" s="318"/>
      <c r="F7" s="318"/>
      <c r="G7" s="318"/>
      <c r="H7" s="318"/>
      <c r="I7" s="318"/>
      <c r="J7" s="318"/>
      <c r="K7" s="318"/>
      <c r="L7" s="318"/>
      <c r="M7" s="318"/>
      <c r="N7" s="318"/>
      <c r="O7" s="318"/>
      <c r="P7" s="318"/>
      <c r="Q7" s="318"/>
      <c r="R7" s="318"/>
      <c r="S7" s="318"/>
      <c r="T7" s="318"/>
      <c r="U7" s="318"/>
      <c r="V7" s="318"/>
      <c r="W7" s="318"/>
      <c r="X7" s="318"/>
      <c r="Y7" s="318"/>
      <c r="Z7" s="337"/>
    </row>
    <row r="8" spans="1:26" s="335" customFormat="1" x14ac:dyDescent="0.2">
      <c r="A8" s="338"/>
      <c r="B8" s="50"/>
      <c r="C8" s="50"/>
      <c r="D8" s="50"/>
      <c r="E8" s="901" t="s">
        <v>519</v>
      </c>
      <c r="F8" s="901"/>
      <c r="G8" s="901"/>
      <c r="H8" s="901"/>
      <c r="I8" s="901"/>
      <c r="J8" s="901"/>
      <c r="K8" s="50"/>
      <c r="L8" s="46"/>
      <c r="M8" s="46"/>
      <c r="N8" s="46"/>
      <c r="O8" s="47"/>
      <c r="P8" s="50"/>
      <c r="Q8" s="50"/>
      <c r="R8" s="50"/>
      <c r="S8" s="50"/>
      <c r="T8" s="50"/>
      <c r="U8" s="50"/>
      <c r="V8" s="50"/>
      <c r="W8" s="50"/>
      <c r="X8" s="50"/>
      <c r="Y8" s="50"/>
      <c r="Z8" s="339"/>
    </row>
    <row r="9" spans="1:26" s="335" customFormat="1" x14ac:dyDescent="0.2">
      <c r="A9" s="338"/>
      <c r="B9" s="50"/>
      <c r="C9" s="50"/>
      <c r="D9" s="50"/>
      <c r="E9" s="50"/>
      <c r="F9" s="47"/>
      <c r="G9" s="47"/>
      <c r="H9" s="47"/>
      <c r="I9" s="47"/>
      <c r="J9" s="47"/>
      <c r="K9" s="47"/>
      <c r="L9" s="46"/>
      <c r="M9" s="46"/>
      <c r="N9" s="46"/>
      <c r="O9" s="47"/>
      <c r="P9" s="50"/>
      <c r="Q9" s="50"/>
      <c r="R9" s="50"/>
      <c r="S9" s="50"/>
      <c r="T9" s="50"/>
      <c r="U9" s="50"/>
      <c r="V9" s="50"/>
      <c r="W9" s="50"/>
      <c r="X9" s="50"/>
      <c r="Y9" s="50"/>
      <c r="Z9" s="339"/>
    </row>
    <row r="10" spans="1:26" s="335" customFormat="1" x14ac:dyDescent="0.2">
      <c r="A10" s="338"/>
      <c r="B10" s="50"/>
      <c r="C10" s="50"/>
      <c r="D10" s="50"/>
      <c r="E10" s="50"/>
      <c r="F10" s="48"/>
      <c r="G10" s="48"/>
      <c r="H10" s="48"/>
      <c r="I10" s="48"/>
      <c r="J10" s="48"/>
      <c r="K10" s="48"/>
      <c r="L10" s="49"/>
      <c r="M10" s="49"/>
      <c r="N10" s="49"/>
      <c r="O10" s="48"/>
      <c r="P10" s="50"/>
      <c r="Q10" s="50"/>
      <c r="R10" s="50"/>
      <c r="S10" s="50"/>
      <c r="T10" s="50"/>
      <c r="U10" s="50"/>
      <c r="V10" s="50"/>
      <c r="W10" s="50"/>
      <c r="X10" s="50"/>
      <c r="Y10" s="50"/>
      <c r="Z10" s="339"/>
    </row>
    <row r="11" spans="1:26" s="335" customFormat="1" x14ac:dyDescent="0.2">
      <c r="A11" s="338"/>
      <c r="B11" s="50"/>
      <c r="C11" s="50"/>
      <c r="D11" s="50"/>
      <c r="E11" s="50"/>
      <c r="F11" s="48"/>
      <c r="G11" s="48"/>
      <c r="H11" s="48"/>
      <c r="I11" s="48"/>
      <c r="J11" s="48"/>
      <c r="K11" s="48"/>
      <c r="L11" s="49"/>
      <c r="M11" s="49"/>
      <c r="N11" s="49"/>
      <c r="O11" s="48"/>
      <c r="P11" s="50"/>
      <c r="Q11" s="50"/>
      <c r="R11" s="50"/>
      <c r="S11" s="50"/>
      <c r="T11" s="50"/>
      <c r="U11" s="50"/>
      <c r="V11" s="50"/>
      <c r="W11" s="50"/>
      <c r="X11" s="50"/>
      <c r="Y11" s="50"/>
      <c r="Z11" s="339"/>
    </row>
    <row r="12" spans="1:26" s="335" customFormat="1" x14ac:dyDescent="0.2">
      <c r="A12" s="338"/>
      <c r="B12" s="50"/>
      <c r="C12" s="50"/>
      <c r="D12" s="50"/>
      <c r="E12" s="50" t="s">
        <v>627</v>
      </c>
      <c r="F12" s="48"/>
      <c r="G12" s="50"/>
      <c r="H12" s="48"/>
      <c r="I12" s="50"/>
      <c r="J12" s="48"/>
      <c r="K12" s="48"/>
      <c r="L12" s="915" t="str">
        <f>VLOOKUP(F1,datar,2,FALSE)</f>
        <v>England</v>
      </c>
      <c r="M12" s="916"/>
      <c r="N12" s="916"/>
      <c r="O12" s="916"/>
      <c r="P12" s="917"/>
      <c r="Q12" s="50"/>
      <c r="R12" s="50"/>
      <c r="S12" s="50"/>
      <c r="T12" s="50"/>
      <c r="U12" s="50"/>
      <c r="V12" s="50"/>
      <c r="W12" s="50"/>
      <c r="X12" s="50"/>
      <c r="Y12" s="50"/>
      <c r="Z12" s="339"/>
    </row>
    <row r="13" spans="1:26" s="335" customFormat="1" x14ac:dyDescent="0.2">
      <c r="A13" s="338"/>
      <c r="B13" s="50"/>
      <c r="C13" s="50"/>
      <c r="D13" s="50"/>
      <c r="E13" s="50" t="s">
        <v>628</v>
      </c>
      <c r="F13" s="48"/>
      <c r="G13" s="50"/>
      <c r="H13" s="48"/>
      <c r="I13" s="50"/>
      <c r="J13" s="48"/>
      <c r="K13" s="48"/>
      <c r="L13" s="915" t="str">
        <f>VLOOKUP(F1,Data!$A$7:$C$325,3,FALSE)</f>
        <v>EZZZZ</v>
      </c>
      <c r="M13" s="916"/>
      <c r="N13" s="916"/>
      <c r="O13" s="916"/>
      <c r="P13" s="917"/>
      <c r="Q13" s="50"/>
      <c r="R13" s="50"/>
      <c r="S13" s="50"/>
      <c r="T13" s="50"/>
      <c r="U13" s="50"/>
      <c r="V13" s="50"/>
      <c r="W13" s="50"/>
      <c r="X13" s="50"/>
      <c r="Y13" s="50"/>
      <c r="Z13" s="339"/>
    </row>
    <row r="14" spans="1:26" s="335" customFormat="1" x14ac:dyDescent="0.2">
      <c r="A14" s="338"/>
      <c r="B14" s="50"/>
      <c r="C14" s="50"/>
      <c r="D14" s="50"/>
      <c r="E14" s="50"/>
      <c r="F14" s="50"/>
      <c r="G14" s="50"/>
      <c r="H14" s="50"/>
      <c r="I14" s="50"/>
      <c r="J14" s="50"/>
      <c r="K14" s="48"/>
      <c r="L14" s="48"/>
      <c r="M14" s="48"/>
      <c r="N14" s="48"/>
      <c r="O14" s="48"/>
      <c r="P14" s="48"/>
      <c r="Q14" s="48"/>
      <c r="R14" s="50"/>
      <c r="S14" s="50"/>
      <c r="T14" s="50"/>
      <c r="U14" s="50"/>
      <c r="V14" s="50"/>
      <c r="W14" s="50"/>
      <c r="X14" s="50"/>
      <c r="Y14" s="50"/>
      <c r="Z14" s="339"/>
    </row>
    <row r="15" spans="1:26" s="335" customFormat="1" ht="15.75" thickBot="1" x14ac:dyDescent="0.25">
      <c r="A15" s="340"/>
      <c r="B15" s="341"/>
      <c r="C15" s="341"/>
      <c r="D15" s="341"/>
      <c r="E15" s="341"/>
      <c r="F15" s="341"/>
      <c r="G15" s="341"/>
      <c r="H15" s="341"/>
      <c r="I15" s="341"/>
      <c r="J15" s="341"/>
      <c r="K15" s="341"/>
      <c r="L15" s="341"/>
      <c r="M15" s="341"/>
      <c r="N15" s="341"/>
      <c r="O15" s="341"/>
      <c r="P15" s="341"/>
      <c r="Q15" s="341"/>
      <c r="R15" s="341"/>
      <c r="S15" s="341"/>
      <c r="T15" s="341"/>
      <c r="U15" s="341"/>
      <c r="V15" s="341"/>
      <c r="W15" s="342"/>
      <c r="X15" s="500"/>
      <c r="Y15" s="341"/>
      <c r="Z15" s="343"/>
    </row>
    <row r="16" spans="1:26" x14ac:dyDescent="0.2">
      <c r="A16" s="217"/>
      <c r="B16" s="10"/>
      <c r="C16" s="10"/>
      <c r="D16" s="10"/>
      <c r="E16" s="10"/>
      <c r="F16" s="10"/>
      <c r="G16" s="10"/>
      <c r="H16" s="10"/>
      <c r="I16" s="10"/>
      <c r="J16" s="10"/>
      <c r="K16" s="10"/>
      <c r="L16" s="10"/>
      <c r="M16" s="10"/>
      <c r="N16" s="10"/>
      <c r="O16" s="10"/>
      <c r="P16" s="10"/>
      <c r="Q16" s="10"/>
      <c r="R16" s="10"/>
      <c r="S16" s="10"/>
      <c r="T16" s="10"/>
      <c r="U16" s="10"/>
      <c r="V16" s="10"/>
      <c r="W16" s="10"/>
      <c r="X16" s="10"/>
      <c r="Y16" s="10"/>
      <c r="Z16" s="11"/>
    </row>
    <row r="17" spans="1:26" ht="15.75" x14ac:dyDescent="0.25">
      <c r="A17" s="217"/>
      <c r="B17" s="10"/>
      <c r="C17" s="911" t="s">
        <v>34</v>
      </c>
      <c r="D17" s="911"/>
      <c r="E17" s="911"/>
      <c r="F17" s="911"/>
      <c r="G17" s="911"/>
      <c r="H17" s="10"/>
      <c r="I17" s="10"/>
      <c r="J17" s="10"/>
      <c r="K17" s="10"/>
      <c r="L17" s="10"/>
      <c r="M17" s="10"/>
      <c r="N17" s="10"/>
      <c r="O17" s="10"/>
      <c r="P17" s="10"/>
      <c r="Q17" s="10"/>
      <c r="R17" s="10"/>
      <c r="S17" s="10"/>
      <c r="T17" s="10"/>
      <c r="U17" s="10"/>
      <c r="V17" s="10"/>
      <c r="W17" s="10"/>
      <c r="X17" s="10"/>
      <c r="Y17" s="10"/>
      <c r="Z17" s="11"/>
    </row>
    <row r="18" spans="1:26" ht="16.5" thickBot="1" x14ac:dyDescent="0.3">
      <c r="A18" s="217"/>
      <c r="B18" s="10"/>
      <c r="C18" s="96" t="s">
        <v>660</v>
      </c>
      <c r="D18" s="114"/>
      <c r="E18" s="114"/>
      <c r="F18" s="114"/>
      <c r="G18" s="114"/>
      <c r="H18" s="114"/>
      <c r="I18" s="114"/>
      <c r="J18" s="10"/>
      <c r="K18" s="910" t="s">
        <v>624</v>
      </c>
      <c r="L18" s="910"/>
      <c r="M18" s="10"/>
      <c r="N18" s="10"/>
      <c r="O18" s="10"/>
      <c r="P18" s="10"/>
      <c r="Q18" s="10"/>
      <c r="R18" s="14"/>
      <c r="S18" s="10"/>
      <c r="T18" s="10"/>
      <c r="U18" s="10"/>
      <c r="V18" s="10"/>
      <c r="W18" s="10"/>
      <c r="X18" s="10"/>
      <c r="Y18" s="10"/>
      <c r="Z18" s="11"/>
    </row>
    <row r="19" spans="1:26" ht="16.5" thickBot="1" x14ac:dyDescent="0.25">
      <c r="A19" s="217"/>
      <c r="B19" s="10"/>
      <c r="C19" s="905" t="s">
        <v>668</v>
      </c>
      <c r="D19" s="877"/>
      <c r="E19" s="877"/>
      <c r="F19" s="877"/>
      <c r="G19" s="877"/>
      <c r="H19" s="877"/>
      <c r="I19" s="877"/>
      <c r="J19" s="10"/>
      <c r="K19" s="894">
        <f>VLOOKUP($L$13,DataSheet1!$B$8:$EH$322,5,FALSE)</f>
        <v>25922412451.324982</v>
      </c>
      <c r="L19" s="895"/>
      <c r="M19" s="81"/>
      <c r="N19" s="10"/>
      <c r="O19" s="85"/>
      <c r="P19" s="82"/>
      <c r="Q19" s="82"/>
      <c r="R19" s="83"/>
      <c r="S19" s="81"/>
      <c r="T19" s="81"/>
      <c r="U19" s="81"/>
      <c r="V19" s="81"/>
      <c r="W19" s="81"/>
      <c r="X19" s="81"/>
      <c r="Y19" s="10"/>
      <c r="Z19" s="11"/>
    </row>
    <row r="20" spans="1:26" ht="15.75" x14ac:dyDescent="0.2">
      <c r="A20" s="217"/>
      <c r="B20" s="10"/>
      <c r="C20" s="905"/>
      <c r="D20" s="877"/>
      <c r="E20" s="877"/>
      <c r="F20" s="877"/>
      <c r="G20" s="877"/>
      <c r="H20" s="877"/>
      <c r="I20" s="877"/>
      <c r="J20" s="81"/>
      <c r="K20" s="81"/>
      <c r="L20" s="81"/>
      <c r="M20" s="81"/>
      <c r="N20" s="10"/>
      <c r="O20" s="85"/>
      <c r="P20" s="82"/>
      <c r="Q20" s="82"/>
      <c r="R20" s="83"/>
      <c r="S20" s="81"/>
      <c r="T20" s="81"/>
      <c r="U20" s="81"/>
      <c r="V20" s="81"/>
      <c r="W20" s="81"/>
      <c r="X20" s="81"/>
      <c r="Y20" s="10"/>
      <c r="Z20" s="11"/>
    </row>
    <row r="21" spans="1:26" x14ac:dyDescent="0.2">
      <c r="A21" s="217"/>
      <c r="B21" s="10"/>
      <c r="C21" s="877"/>
      <c r="D21" s="877"/>
      <c r="E21" s="877"/>
      <c r="F21" s="877"/>
      <c r="G21" s="877"/>
      <c r="H21" s="877"/>
      <c r="I21" s="877"/>
      <c r="J21" s="10"/>
      <c r="K21" s="81"/>
      <c r="L21" s="81"/>
      <c r="M21" s="81"/>
      <c r="N21" s="81"/>
      <c r="O21" s="85"/>
      <c r="P21" s="82"/>
      <c r="Q21" s="82"/>
      <c r="R21" s="82"/>
      <c r="S21" s="81"/>
      <c r="T21" s="81"/>
      <c r="U21" s="81"/>
      <c r="V21" s="81"/>
      <c r="W21" s="81"/>
      <c r="X21" s="81"/>
      <c r="Y21" s="10"/>
      <c r="Z21" s="11"/>
    </row>
    <row r="22" spans="1:26" x14ac:dyDescent="0.2">
      <c r="A22" s="217"/>
      <c r="B22" s="10"/>
      <c r="C22" s="877"/>
      <c r="D22" s="877"/>
      <c r="E22" s="877"/>
      <c r="F22" s="877"/>
      <c r="G22" s="877"/>
      <c r="H22" s="877"/>
      <c r="I22" s="877"/>
      <c r="J22" s="10"/>
      <c r="K22" s="81"/>
      <c r="L22" s="81"/>
      <c r="M22" s="81"/>
      <c r="N22" s="81"/>
      <c r="O22" s="85"/>
      <c r="P22" s="82"/>
      <c r="Q22" s="82"/>
      <c r="R22" s="82"/>
      <c r="S22" s="81"/>
      <c r="T22" s="81"/>
      <c r="U22" s="81"/>
      <c r="V22" s="81"/>
      <c r="W22" s="81"/>
      <c r="X22" s="81"/>
      <c r="Y22" s="10"/>
      <c r="Z22" s="11"/>
    </row>
    <row r="23" spans="1:26" x14ac:dyDescent="0.2">
      <c r="A23" s="217"/>
      <c r="B23" s="10"/>
      <c r="C23" s="114"/>
      <c r="D23" s="114"/>
      <c r="E23" s="114"/>
      <c r="F23" s="114"/>
      <c r="G23" s="114"/>
      <c r="H23" s="114"/>
      <c r="I23" s="114"/>
      <c r="J23" s="15"/>
      <c r="K23" s="81"/>
      <c r="L23" s="81"/>
      <c r="M23" s="81"/>
      <c r="N23" s="81"/>
      <c r="O23" s="85"/>
      <c r="P23" s="82"/>
      <c r="Q23" s="82"/>
      <c r="R23" s="82"/>
      <c r="S23" s="81"/>
      <c r="T23" s="81"/>
      <c r="U23" s="81"/>
      <c r="V23" s="81"/>
      <c r="W23" s="81"/>
      <c r="X23" s="81"/>
      <c r="Y23" s="10"/>
      <c r="Z23" s="11"/>
    </row>
    <row r="24" spans="1:26" ht="16.5" thickBot="1" x14ac:dyDescent="0.25">
      <c r="A24" s="217"/>
      <c r="B24" s="10"/>
      <c r="C24" s="906" t="s">
        <v>661</v>
      </c>
      <c r="D24" s="906"/>
      <c r="E24" s="906"/>
      <c r="F24" s="906"/>
      <c r="G24" s="906"/>
      <c r="H24" s="906"/>
      <c r="I24" s="906"/>
      <c r="J24" s="10"/>
      <c r="K24" s="81"/>
      <c r="L24" s="81"/>
      <c r="M24" s="81"/>
      <c r="N24" s="81"/>
      <c r="O24" s="85"/>
      <c r="P24" s="82"/>
      <c r="Q24" s="82"/>
      <c r="R24" s="82"/>
      <c r="S24" s="81"/>
      <c r="T24" s="81"/>
      <c r="U24" s="81"/>
      <c r="V24" s="81"/>
      <c r="W24" s="81"/>
      <c r="X24" s="81"/>
      <c r="Y24" s="10"/>
      <c r="Z24" s="11"/>
    </row>
    <row r="25" spans="1:26" ht="16.5" thickBot="1" x14ac:dyDescent="0.25">
      <c r="A25" s="217"/>
      <c r="B25" s="10"/>
      <c r="C25" s="114" t="s">
        <v>625</v>
      </c>
      <c r="D25" s="114"/>
      <c r="E25" s="114"/>
      <c r="F25" s="114"/>
      <c r="G25" s="114"/>
      <c r="H25" s="114"/>
      <c r="I25" s="114"/>
      <c r="J25" s="10"/>
      <c r="K25" s="894">
        <f>VLOOKUP($L$13,DataSheet1!$B$8:$EH$322,6,FALSE)</f>
        <v>78594814.280000001</v>
      </c>
      <c r="L25" s="895"/>
      <c r="M25" s="81"/>
      <c r="N25" s="81"/>
      <c r="O25" s="85"/>
      <c r="P25" s="82"/>
      <c r="Q25" s="82"/>
      <c r="R25" s="82"/>
      <c r="S25" s="81"/>
      <c r="T25" s="81"/>
      <c r="U25" s="81"/>
      <c r="V25" s="81"/>
      <c r="W25" s="81"/>
      <c r="X25" s="81"/>
      <c r="Y25" s="10"/>
      <c r="Z25" s="11"/>
    </row>
    <row r="26" spans="1:26" ht="15.75" thickBot="1" x14ac:dyDescent="0.25">
      <c r="A26" s="217"/>
      <c r="B26" s="10"/>
      <c r="C26" s="114"/>
      <c r="D26" s="114"/>
      <c r="E26" s="114"/>
      <c r="F26" s="114"/>
      <c r="G26" s="114"/>
      <c r="H26" s="114"/>
      <c r="I26" s="114"/>
      <c r="J26" s="10"/>
      <c r="K26" s="81"/>
      <c r="L26" s="81"/>
      <c r="M26" s="81"/>
      <c r="N26" s="81"/>
      <c r="O26" s="85"/>
      <c r="P26" s="82"/>
      <c r="Q26" s="82"/>
      <c r="R26" s="82"/>
      <c r="S26" s="81"/>
      <c r="T26" s="81"/>
      <c r="U26" s="81"/>
      <c r="V26" s="81"/>
      <c r="W26" s="81"/>
      <c r="X26" s="81"/>
      <c r="Y26" s="10"/>
      <c r="Z26" s="11"/>
    </row>
    <row r="27" spans="1:26" ht="16.5" thickBot="1" x14ac:dyDescent="0.25">
      <c r="A27" s="217"/>
      <c r="B27" s="10"/>
      <c r="C27" s="114" t="s">
        <v>626</v>
      </c>
      <c r="D27" s="114"/>
      <c r="E27" s="114"/>
      <c r="F27" s="114"/>
      <c r="G27" s="114"/>
      <c r="H27" s="114"/>
      <c r="I27" s="114"/>
      <c r="J27" s="10"/>
      <c r="K27" s="894">
        <f>VLOOKUP($L$13,DataSheet1!$B$8:$EH$322,7,FALSE)</f>
        <v>128239181.58</v>
      </c>
      <c r="L27" s="895"/>
      <c r="M27" s="81"/>
      <c r="N27" s="81"/>
      <c r="O27" s="85"/>
      <c r="P27" s="82"/>
      <c r="Q27" s="82"/>
      <c r="R27" s="82"/>
      <c r="S27" s="81"/>
      <c r="T27" s="81"/>
      <c r="U27" s="81"/>
      <c r="V27" s="81"/>
      <c r="W27" s="81"/>
      <c r="X27" s="81"/>
      <c r="Y27" s="10"/>
      <c r="Z27" s="11"/>
    </row>
    <row r="28" spans="1:26" x14ac:dyDescent="0.2">
      <c r="A28" s="217"/>
      <c r="B28" s="10"/>
      <c r="C28" s="114"/>
      <c r="D28" s="114"/>
      <c r="E28" s="114"/>
      <c r="F28" s="114"/>
      <c r="G28" s="114"/>
      <c r="H28" s="114"/>
      <c r="I28" s="114"/>
      <c r="J28" s="10"/>
      <c r="K28" s="81"/>
      <c r="L28" s="81"/>
      <c r="M28" s="81"/>
      <c r="N28" s="81"/>
      <c r="O28" s="85"/>
      <c r="P28" s="82"/>
      <c r="Q28" s="82"/>
      <c r="R28" s="82"/>
      <c r="S28" s="81"/>
      <c r="T28" s="81"/>
      <c r="U28" s="81"/>
      <c r="V28" s="81"/>
      <c r="W28" s="81"/>
      <c r="X28" s="81"/>
      <c r="Y28" s="10"/>
      <c r="Z28" s="11"/>
    </row>
    <row r="29" spans="1:26" ht="16.5" thickBot="1" x14ac:dyDescent="0.25">
      <c r="A29" s="217"/>
      <c r="B29" s="10"/>
      <c r="C29" s="96" t="s">
        <v>35</v>
      </c>
      <c r="D29" s="96"/>
      <c r="E29" s="96"/>
      <c r="F29" s="96"/>
      <c r="G29" s="114"/>
      <c r="H29" s="114"/>
      <c r="I29" s="114"/>
      <c r="J29" s="10"/>
      <c r="K29" s="81"/>
      <c r="L29" s="81"/>
      <c r="M29" s="81"/>
      <c r="N29" s="81"/>
      <c r="O29" s="85"/>
      <c r="P29" s="82"/>
      <c r="Q29" s="82"/>
      <c r="R29" s="82"/>
      <c r="S29" s="81"/>
      <c r="T29" s="81"/>
      <c r="U29" s="81"/>
      <c r="V29" s="81"/>
      <c r="W29" s="81"/>
      <c r="X29" s="81"/>
      <c r="Y29" s="10"/>
      <c r="Z29" s="11"/>
    </row>
    <row r="30" spans="1:26" ht="16.5" thickBot="1" x14ac:dyDescent="0.25">
      <c r="A30" s="217"/>
      <c r="B30" s="10"/>
      <c r="C30" s="114" t="s">
        <v>646</v>
      </c>
      <c r="D30" s="114"/>
      <c r="E30" s="114"/>
      <c r="F30" s="114"/>
      <c r="G30" s="114"/>
      <c r="H30" s="114"/>
      <c r="I30" s="114"/>
      <c r="J30" s="10"/>
      <c r="K30" s="892">
        <f>VLOOKUP($L$13,DataSheet1!$B$8:$EH$322,8,FALSE)</f>
        <v>83999998</v>
      </c>
      <c r="L30" s="893"/>
      <c r="M30" s="81"/>
      <c r="N30" s="208"/>
      <c r="O30" s="115"/>
      <c r="P30" s="82"/>
      <c r="Q30" s="82"/>
      <c r="R30" s="82"/>
      <c r="S30" s="81"/>
      <c r="T30" s="81"/>
      <c r="U30" s="81"/>
      <c r="V30" s="81"/>
      <c r="W30" s="81"/>
      <c r="X30" s="81"/>
      <c r="Y30" s="10"/>
      <c r="Z30" s="11"/>
    </row>
    <row r="31" spans="1:26" ht="16.5" thickBot="1" x14ac:dyDescent="0.25">
      <c r="A31" s="217"/>
      <c r="B31" s="10"/>
      <c r="C31" s="114"/>
      <c r="D31" s="114"/>
      <c r="E31" s="114"/>
      <c r="F31" s="114"/>
      <c r="G31" s="114"/>
      <c r="H31" s="114"/>
      <c r="I31" s="114"/>
      <c r="J31" s="10"/>
      <c r="K31" s="116"/>
      <c r="L31" s="81"/>
      <c r="M31" s="81"/>
      <c r="N31" s="81"/>
      <c r="O31" s="85"/>
      <c r="P31" s="82"/>
      <c r="Q31" s="82"/>
      <c r="R31" s="82"/>
      <c r="S31" s="81"/>
      <c r="T31" s="81"/>
      <c r="U31" s="81"/>
      <c r="V31" s="81"/>
      <c r="W31" s="81"/>
      <c r="X31" s="81"/>
      <c r="Y31" s="10"/>
      <c r="Z31" s="11"/>
    </row>
    <row r="32" spans="1:26" ht="16.5" thickBot="1" x14ac:dyDescent="0.25">
      <c r="A32" s="217"/>
      <c r="B32" s="10"/>
      <c r="C32" s="114" t="s">
        <v>644</v>
      </c>
      <c r="D32" s="114"/>
      <c r="E32" s="114"/>
      <c r="F32" s="114"/>
      <c r="G32" s="114"/>
      <c r="H32" s="114"/>
      <c r="I32" s="114"/>
      <c r="J32" s="10"/>
      <c r="K32" s="878">
        <f>VLOOKUP($L$13,DataSheet1!$B$8:$EH$322,9,FALSE)</f>
        <v>23719</v>
      </c>
      <c r="L32" s="879"/>
      <c r="M32" s="81"/>
      <c r="N32" s="81"/>
      <c r="O32" s="85"/>
      <c r="P32" s="82"/>
      <c r="Q32" s="82"/>
      <c r="R32" s="82"/>
      <c r="S32" s="81"/>
      <c r="T32" s="81"/>
      <c r="U32" s="81"/>
      <c r="V32" s="81"/>
      <c r="W32" s="81"/>
      <c r="X32" s="81"/>
      <c r="Y32" s="10"/>
      <c r="Z32" s="11"/>
    </row>
    <row r="33" spans="1:26" ht="16.5" thickBot="1" x14ac:dyDescent="0.25">
      <c r="A33" s="217"/>
      <c r="B33" s="10"/>
      <c r="C33" s="114"/>
      <c r="D33" s="114"/>
      <c r="E33" s="114"/>
      <c r="F33" s="114"/>
      <c r="G33" s="114"/>
      <c r="H33" s="114"/>
      <c r="I33" s="114"/>
      <c r="J33" s="10"/>
      <c r="K33" s="116"/>
      <c r="L33" s="81"/>
      <c r="M33" s="81"/>
      <c r="N33" s="81"/>
      <c r="O33" s="85"/>
      <c r="P33" s="82"/>
      <c r="Q33" s="82"/>
      <c r="R33" s="82"/>
      <c r="S33" s="81"/>
      <c r="T33" s="81"/>
      <c r="U33" s="81"/>
      <c r="V33" s="81"/>
      <c r="W33" s="81"/>
      <c r="X33" s="81"/>
      <c r="Y33" s="10"/>
      <c r="Z33" s="11"/>
    </row>
    <row r="34" spans="1:26" ht="16.5" thickBot="1" x14ac:dyDescent="0.25">
      <c r="A34" s="217"/>
      <c r="B34" s="10"/>
      <c r="C34" s="114" t="s">
        <v>645</v>
      </c>
      <c r="D34" s="114"/>
      <c r="E34" s="114"/>
      <c r="F34" s="114"/>
      <c r="G34" s="114"/>
      <c r="H34" s="114"/>
      <c r="I34" s="114"/>
      <c r="J34" s="10"/>
      <c r="K34" s="920">
        <f>VLOOKUP($L$13,DataSheet1!$B$8:$EH$322,10,FALSE)</f>
        <v>84023717</v>
      </c>
      <c r="L34" s="921"/>
      <c r="M34" s="81"/>
      <c r="N34" s="81"/>
      <c r="O34" s="85"/>
      <c r="P34" s="82"/>
      <c r="Q34" s="82"/>
      <c r="R34" s="82"/>
      <c r="S34" s="81"/>
      <c r="T34" s="81"/>
      <c r="U34" s="81"/>
      <c r="V34" s="81"/>
      <c r="W34" s="81"/>
      <c r="X34" s="81"/>
      <c r="Y34" s="10"/>
      <c r="Z34" s="11"/>
    </row>
    <row r="35" spans="1:26" ht="15.75" x14ac:dyDescent="0.2">
      <c r="A35" s="217"/>
      <c r="B35" s="10"/>
      <c r="C35" s="114"/>
      <c r="D35" s="114"/>
      <c r="E35" s="114"/>
      <c r="F35" s="114"/>
      <c r="G35" s="114"/>
      <c r="H35" s="114"/>
      <c r="I35" s="114"/>
      <c r="J35" s="10"/>
      <c r="K35" s="116"/>
      <c r="L35" s="81"/>
      <c r="M35" s="81"/>
      <c r="N35" s="81"/>
      <c r="O35" s="85"/>
      <c r="P35" s="82"/>
      <c r="Q35" s="82"/>
      <c r="R35" s="82"/>
      <c r="S35" s="81"/>
      <c r="T35" s="81"/>
      <c r="U35" s="81"/>
      <c r="V35" s="81"/>
      <c r="W35" s="81"/>
      <c r="X35" s="81"/>
      <c r="Y35" s="10"/>
      <c r="Z35" s="11"/>
    </row>
    <row r="36" spans="1:26" ht="16.5" thickBot="1" x14ac:dyDescent="0.25">
      <c r="A36" s="217"/>
      <c r="B36" s="10"/>
      <c r="C36" s="96" t="s">
        <v>647</v>
      </c>
      <c r="D36" s="114"/>
      <c r="E36" s="114"/>
      <c r="F36" s="114"/>
      <c r="G36" s="114"/>
      <c r="H36" s="114"/>
      <c r="I36" s="114"/>
      <c r="J36" s="10"/>
      <c r="K36" s="116"/>
      <c r="L36" s="81"/>
      <c r="M36" s="81"/>
      <c r="N36" s="81"/>
      <c r="O36" s="85"/>
      <c r="P36" s="82"/>
      <c r="Q36" s="82"/>
      <c r="R36" s="82"/>
      <c r="S36" s="81"/>
      <c r="T36" s="81"/>
      <c r="U36" s="81"/>
      <c r="V36" s="81"/>
      <c r="W36" s="81"/>
      <c r="X36" s="81"/>
      <c r="Y36" s="10"/>
      <c r="Z36" s="11"/>
    </row>
    <row r="37" spans="1:26" ht="16.5" thickBot="1" x14ac:dyDescent="0.25">
      <c r="A37" s="217"/>
      <c r="B37" s="10"/>
      <c r="C37" s="27" t="str">
        <f>+IF($L$13="E5010","7. City of London Offset","7. City of London Offset : Not applicable for your authority")</f>
        <v>7. City of London Offset : Not applicable for your authority</v>
      </c>
      <c r="D37" s="114"/>
      <c r="E37" s="114"/>
      <c r="F37" s="114"/>
      <c r="G37" s="114"/>
      <c r="H37" s="114"/>
      <c r="I37" s="114"/>
      <c r="J37" s="10"/>
      <c r="K37" s="922">
        <f>VLOOKUP($L$13,DataSheet1!$B$8:$EH$322,11,FALSE)</f>
        <v>12064000</v>
      </c>
      <c r="L37" s="923"/>
      <c r="M37" s="81"/>
      <c r="N37" s="208"/>
      <c r="O37" s="85"/>
      <c r="P37" s="82"/>
      <c r="Q37" s="82"/>
      <c r="R37" s="82"/>
      <c r="S37" s="81"/>
      <c r="T37" s="81"/>
      <c r="U37" s="81"/>
      <c r="V37" s="81"/>
      <c r="W37" s="81"/>
      <c r="X37" s="81"/>
      <c r="Y37" s="10"/>
      <c r="Z37" s="11"/>
    </row>
    <row r="38" spans="1:26" ht="15.75" x14ac:dyDescent="0.2">
      <c r="A38" s="217"/>
      <c r="B38" s="10"/>
      <c r="C38" s="114"/>
      <c r="D38" s="114"/>
      <c r="E38" s="114"/>
      <c r="F38" s="114"/>
      <c r="G38" s="114"/>
      <c r="H38" s="114"/>
      <c r="I38" s="114"/>
      <c r="J38" s="10"/>
      <c r="K38" s="116"/>
      <c r="L38" s="81"/>
      <c r="M38" s="81"/>
      <c r="N38" s="81"/>
      <c r="O38" s="85"/>
      <c r="P38" s="82"/>
      <c r="Q38" s="82"/>
      <c r="R38" s="82"/>
      <c r="S38" s="81"/>
      <c r="T38" s="81"/>
      <c r="U38" s="81"/>
      <c r="V38" s="81"/>
      <c r="W38" s="81"/>
      <c r="X38" s="81"/>
      <c r="Y38" s="10"/>
      <c r="Z38" s="11"/>
    </row>
    <row r="39" spans="1:26" ht="16.5" thickBot="1" x14ac:dyDescent="0.25">
      <c r="A39" s="217"/>
      <c r="B39" s="10"/>
      <c r="C39" s="96" t="s">
        <v>663</v>
      </c>
      <c r="D39" s="114"/>
      <c r="E39" s="114"/>
      <c r="F39" s="114"/>
      <c r="G39" s="114"/>
      <c r="H39" s="114"/>
      <c r="I39" s="114"/>
      <c r="J39" s="10"/>
      <c r="K39" s="81"/>
      <c r="L39" s="81"/>
      <c r="M39" s="81"/>
      <c r="N39" s="81"/>
      <c r="O39" s="85"/>
      <c r="P39" s="82"/>
      <c r="Q39" s="82"/>
      <c r="R39" s="82"/>
      <c r="S39" s="81"/>
      <c r="T39" s="81"/>
      <c r="U39" s="81"/>
      <c r="V39" s="81"/>
      <c r="W39" s="81"/>
      <c r="X39" s="81"/>
      <c r="Y39" s="10"/>
      <c r="Z39" s="11"/>
    </row>
    <row r="40" spans="1:26" ht="16.5" thickBot="1" x14ac:dyDescent="0.25">
      <c r="A40" s="217"/>
      <c r="B40" s="10"/>
      <c r="C40" s="874" t="s">
        <v>902</v>
      </c>
      <c r="D40" s="874"/>
      <c r="E40" s="874"/>
      <c r="F40" s="874"/>
      <c r="G40" s="874"/>
      <c r="H40" s="874"/>
      <c r="I40" s="874"/>
      <c r="J40" s="10"/>
      <c r="K40" s="894">
        <f>VLOOKUP($L$13,DataSheet1!$B$8:$EH$322,12,FALSE)</f>
        <v>88279269.349999994</v>
      </c>
      <c r="L40" s="895"/>
      <c r="M40" s="81"/>
      <c r="N40" s="81"/>
      <c r="O40" s="85"/>
      <c r="P40" s="82"/>
      <c r="Q40" s="82"/>
      <c r="R40" s="82"/>
      <c r="S40" s="81"/>
      <c r="T40" s="81"/>
      <c r="U40" s="81"/>
      <c r="V40" s="81"/>
      <c r="W40" s="81"/>
      <c r="X40" s="81"/>
      <c r="Y40" s="10"/>
      <c r="Z40" s="11"/>
    </row>
    <row r="41" spans="1:26" ht="15.75" thickBot="1" x14ac:dyDescent="0.25">
      <c r="A41" s="217"/>
      <c r="B41" s="10"/>
      <c r="C41" s="874"/>
      <c r="D41" s="874"/>
      <c r="E41" s="874"/>
      <c r="F41" s="874"/>
      <c r="G41" s="874"/>
      <c r="H41" s="874"/>
      <c r="I41" s="874"/>
      <c r="J41" s="10"/>
      <c r="K41" s="81"/>
      <c r="L41" s="81"/>
      <c r="M41" s="81"/>
      <c r="N41" s="81"/>
      <c r="O41" s="85"/>
      <c r="P41" s="82"/>
      <c r="Q41" s="900"/>
      <c r="R41" s="900"/>
      <c r="S41" s="900"/>
      <c r="T41" s="900"/>
      <c r="U41" s="900"/>
      <c r="V41" s="900"/>
      <c r="W41" s="900"/>
      <c r="X41" s="81"/>
      <c r="Y41" s="10"/>
      <c r="Z41" s="11"/>
    </row>
    <row r="42" spans="1:26" ht="16.5" thickBot="1" x14ac:dyDescent="0.25">
      <c r="A42" s="217"/>
      <c r="B42" s="10"/>
      <c r="C42" s="905" t="s">
        <v>827</v>
      </c>
      <c r="D42" s="905"/>
      <c r="E42" s="905"/>
      <c r="F42" s="905"/>
      <c r="G42" s="905"/>
      <c r="H42" s="905"/>
      <c r="I42" s="905"/>
      <c r="J42" s="10"/>
      <c r="K42" s="894">
        <f>VLOOKUP($L$13,DataSheet1!$B$8:$EH$322,13,FALSE)</f>
        <v>72638098</v>
      </c>
      <c r="L42" s="895"/>
      <c r="M42" s="81"/>
      <c r="N42" s="208"/>
      <c r="O42" s="85"/>
      <c r="P42" s="82"/>
      <c r="Q42" s="82"/>
      <c r="R42" s="82"/>
      <c r="S42" s="81"/>
      <c r="T42" s="81"/>
      <c r="U42" s="81"/>
      <c r="V42" s="81"/>
      <c r="W42" s="81"/>
      <c r="X42" s="81"/>
      <c r="Y42" s="10"/>
      <c r="Z42" s="11"/>
    </row>
    <row r="43" spans="1:26" x14ac:dyDescent="0.2">
      <c r="A43" s="217"/>
      <c r="B43" s="10"/>
      <c r="C43" s="905"/>
      <c r="D43" s="905"/>
      <c r="E43" s="905"/>
      <c r="F43" s="905"/>
      <c r="G43" s="905"/>
      <c r="H43" s="905"/>
      <c r="I43" s="905"/>
      <c r="J43" s="10"/>
      <c r="K43" s="81"/>
      <c r="L43" s="81"/>
      <c r="M43" s="81"/>
      <c r="N43" s="81"/>
      <c r="O43" s="85"/>
      <c r="P43" s="82"/>
      <c r="Q43" s="82"/>
      <c r="R43" s="82"/>
      <c r="S43" s="81"/>
      <c r="T43" s="81"/>
      <c r="U43" s="81"/>
      <c r="V43" s="81"/>
      <c r="W43" s="81"/>
      <c r="X43" s="81"/>
      <c r="Y43" s="10"/>
      <c r="Z43" s="11"/>
    </row>
    <row r="44" spans="1:26" ht="15.75" thickBot="1" x14ac:dyDescent="0.25">
      <c r="A44" s="217"/>
      <c r="B44" s="10"/>
      <c r="C44" s="215" t="s">
        <v>38</v>
      </c>
      <c r="D44" s="10"/>
      <c r="E44" s="10"/>
      <c r="F44" s="10"/>
      <c r="G44" s="10"/>
      <c r="H44" s="10"/>
      <c r="I44" s="10"/>
      <c r="J44" s="10"/>
      <c r="K44" s="81"/>
      <c r="L44" s="81"/>
      <c r="M44" s="81"/>
      <c r="N44" s="81"/>
      <c r="O44" s="85"/>
      <c r="P44" s="82"/>
      <c r="Q44" s="82"/>
      <c r="R44" s="82"/>
      <c r="S44" s="81"/>
      <c r="T44" s="81"/>
      <c r="U44" s="81"/>
      <c r="V44" s="81"/>
      <c r="W44" s="81"/>
      <c r="X44" s="81"/>
      <c r="Y44" s="10"/>
      <c r="Z44" s="11"/>
    </row>
    <row r="45" spans="1:26" ht="16.5" thickBot="1" x14ac:dyDescent="0.25">
      <c r="A45" s="217"/>
      <c r="B45" s="10"/>
      <c r="C45" s="27" t="s">
        <v>821</v>
      </c>
      <c r="D45" s="10"/>
      <c r="E45" s="10"/>
      <c r="F45" s="10"/>
      <c r="G45" s="10"/>
      <c r="H45" s="10"/>
      <c r="I45" s="10"/>
      <c r="J45" s="10"/>
      <c r="K45" s="878">
        <f>VLOOKUP($L$13,DataSheet1!$B$8:$EH$322,14,FALSE)</f>
        <v>68738505</v>
      </c>
      <c r="L45" s="879"/>
      <c r="M45" s="81"/>
      <c r="N45" s="208"/>
      <c r="O45" s="85"/>
      <c r="P45" s="82"/>
      <c r="Q45" s="82"/>
      <c r="R45" s="82"/>
      <c r="S45" s="81"/>
      <c r="T45" s="81"/>
      <c r="U45" s="81"/>
      <c r="V45" s="81"/>
      <c r="W45" s="81"/>
      <c r="X45" s="81"/>
      <c r="Y45" s="10"/>
      <c r="Z45" s="11"/>
    </row>
    <row r="46" spans="1:26" ht="16.5" thickBot="1" x14ac:dyDescent="0.25">
      <c r="A46" s="217"/>
      <c r="B46" s="10"/>
      <c r="C46" s="10"/>
      <c r="D46" s="10"/>
      <c r="E46" s="10"/>
      <c r="F46" s="10"/>
      <c r="G46" s="10"/>
      <c r="H46" s="10"/>
      <c r="I46" s="10"/>
      <c r="J46" s="10"/>
      <c r="K46" s="291"/>
      <c r="L46" s="291"/>
      <c r="M46" s="291"/>
      <c r="N46" s="291"/>
      <c r="O46" s="291"/>
      <c r="P46" s="291"/>
      <c r="Q46" s="291"/>
      <c r="R46" s="291"/>
      <c r="S46" s="291"/>
      <c r="T46" s="291"/>
      <c r="U46" s="291"/>
      <c r="V46" s="81"/>
      <c r="W46" s="81"/>
      <c r="X46" s="81"/>
      <c r="Y46" s="10"/>
      <c r="Z46" s="11"/>
    </row>
    <row r="47" spans="1:26" ht="16.5" thickBot="1" x14ac:dyDescent="0.25">
      <c r="A47" s="217"/>
      <c r="B47" s="10"/>
      <c r="C47" s="27" t="s">
        <v>822</v>
      </c>
      <c r="D47" s="10"/>
      <c r="E47" s="10"/>
      <c r="F47" s="10"/>
      <c r="G47" s="10"/>
      <c r="H47" s="10"/>
      <c r="I47" s="10"/>
      <c r="J47" s="10"/>
      <c r="K47" s="880">
        <f>VLOOKUP($L$13,DataSheet1!$B$8:$EH$322,15,FALSE)</f>
        <v>3899592</v>
      </c>
      <c r="L47" s="881"/>
      <c r="M47" s="81"/>
      <c r="N47" s="208"/>
      <c r="O47" s="85"/>
      <c r="P47" s="82"/>
      <c r="Q47" s="82"/>
      <c r="R47" s="82"/>
      <c r="S47" s="81"/>
      <c r="T47" s="81"/>
      <c r="U47" s="81"/>
      <c r="V47" s="81"/>
      <c r="W47" s="81"/>
      <c r="X47" s="81"/>
      <c r="Y47" s="10"/>
      <c r="Z47" s="11"/>
    </row>
    <row r="48" spans="1:26" ht="16.5" thickBot="1" x14ac:dyDescent="0.25">
      <c r="A48" s="217"/>
      <c r="B48" s="10"/>
      <c r="C48" s="10"/>
      <c r="D48" s="10"/>
      <c r="E48" s="10"/>
      <c r="F48" s="10"/>
      <c r="G48" s="10"/>
      <c r="H48" s="10"/>
      <c r="I48" s="10"/>
      <c r="J48" s="10"/>
      <c r="K48" s="912"/>
      <c r="L48" s="913"/>
      <c r="M48" s="913"/>
      <c r="N48" s="913"/>
      <c r="O48" s="913"/>
      <c r="P48" s="913"/>
      <c r="Q48" s="913"/>
      <c r="R48" s="913"/>
      <c r="S48" s="913"/>
      <c r="T48" s="913"/>
      <c r="U48" s="913"/>
      <c r="V48" s="913"/>
      <c r="W48" s="913"/>
      <c r="X48" s="81"/>
      <c r="Y48" s="10"/>
      <c r="Z48" s="11"/>
    </row>
    <row r="49" spans="1:90" ht="16.5" thickBot="1" x14ac:dyDescent="0.25">
      <c r="A49" s="217"/>
      <c r="B49" s="10"/>
      <c r="C49" s="10" t="s">
        <v>1157</v>
      </c>
      <c r="D49" s="10"/>
      <c r="E49" s="10"/>
      <c r="F49" s="10"/>
      <c r="G49" s="10"/>
      <c r="H49" s="10"/>
      <c r="I49" s="10"/>
      <c r="J49" s="10"/>
      <c r="K49" s="889">
        <f>VLOOKUP($L$13,DataSheet1!$B$8:$EH$322,16,FALSE)</f>
        <v>26368</v>
      </c>
      <c r="L49" s="890"/>
      <c r="M49" s="521"/>
      <c r="N49" s="521"/>
      <c r="O49" s="521"/>
      <c r="P49" s="521"/>
      <c r="Q49" s="521"/>
      <c r="R49" s="521"/>
      <c r="S49" s="521"/>
      <c r="T49" s="521"/>
      <c r="U49" s="521"/>
      <c r="V49" s="521"/>
      <c r="W49" s="521"/>
      <c r="X49" s="81"/>
      <c r="Y49" s="10"/>
      <c r="Z49" s="11"/>
    </row>
    <row r="50" spans="1:90" ht="15.75" x14ac:dyDescent="0.2">
      <c r="A50" s="217"/>
      <c r="B50" s="10"/>
      <c r="C50" s="10"/>
      <c r="D50" s="10"/>
      <c r="E50" s="10"/>
      <c r="F50" s="10"/>
      <c r="G50" s="10"/>
      <c r="H50" s="10"/>
      <c r="I50" s="10"/>
      <c r="J50" s="10"/>
      <c r="K50" s="506"/>
      <c r="L50" s="521"/>
      <c r="M50" s="521"/>
      <c r="N50" s="521"/>
      <c r="O50" s="521"/>
      <c r="P50" s="521"/>
      <c r="Q50" s="521"/>
      <c r="R50" s="521"/>
      <c r="S50" s="521"/>
      <c r="T50" s="521"/>
      <c r="U50" s="521"/>
      <c r="V50" s="521"/>
      <c r="W50" s="521"/>
      <c r="X50" s="81"/>
      <c r="Y50" s="10"/>
      <c r="Z50" s="11"/>
    </row>
    <row r="51" spans="1:90" ht="16.5" thickBot="1" x14ac:dyDescent="0.3">
      <c r="A51" s="217"/>
      <c r="B51" s="10"/>
      <c r="C51" s="16" t="s">
        <v>662</v>
      </c>
      <c r="D51" s="16"/>
      <c r="E51" s="16"/>
      <c r="F51" s="16"/>
      <c r="G51" s="16"/>
      <c r="H51" s="10"/>
      <c r="I51" s="10"/>
      <c r="J51" s="10"/>
      <c r="K51" s="81"/>
      <c r="L51" s="81"/>
      <c r="M51" s="81"/>
      <c r="N51" s="81"/>
      <c r="O51" s="85"/>
      <c r="P51" s="82"/>
      <c r="Q51" s="82"/>
      <c r="R51" s="82"/>
      <c r="S51" s="81"/>
      <c r="T51" s="81"/>
      <c r="U51" s="81"/>
      <c r="V51" s="81"/>
      <c r="W51" s="81"/>
      <c r="X51" s="81"/>
      <c r="Y51" s="10"/>
      <c r="Z51" s="11"/>
    </row>
    <row r="52" spans="1:90" ht="16.5" thickBot="1" x14ac:dyDescent="0.25">
      <c r="A52" s="217"/>
      <c r="B52" s="10"/>
      <c r="C52" s="10" t="s">
        <v>1133</v>
      </c>
      <c r="D52" s="10"/>
      <c r="E52" s="10"/>
      <c r="F52" s="10"/>
      <c r="G52" s="10"/>
      <c r="H52" s="10"/>
      <c r="I52" s="10"/>
      <c r="J52" s="10"/>
      <c r="K52" s="875">
        <f>VLOOKUP($L$13,DataSheet1!$B$8:$EH$322,17,FALSE)</f>
        <v>25615736633</v>
      </c>
      <c r="L52" s="876"/>
      <c r="M52" s="81"/>
      <c r="N52" s="896"/>
      <c r="O52" s="896"/>
      <c r="P52" s="914"/>
      <c r="Q52" s="914"/>
      <c r="R52" s="914"/>
      <c r="S52" s="115"/>
      <c r="T52" s="86"/>
      <c r="U52" s="86"/>
      <c r="V52" s="86"/>
      <c r="W52" s="86"/>
      <c r="X52" s="81"/>
      <c r="Y52" s="10"/>
      <c r="Z52" s="11"/>
    </row>
    <row r="53" spans="1:90" x14ac:dyDescent="0.2">
      <c r="A53" s="218"/>
      <c r="B53" s="97"/>
      <c r="C53" s="97"/>
      <c r="D53" s="97"/>
      <c r="E53" s="97"/>
      <c r="F53" s="97"/>
      <c r="G53" s="97"/>
      <c r="H53" s="97"/>
      <c r="I53" s="97"/>
      <c r="J53" s="97"/>
      <c r="K53" s="97"/>
      <c r="L53" s="97"/>
      <c r="M53" s="97"/>
      <c r="N53" s="97"/>
      <c r="O53" s="98"/>
      <c r="P53" s="99"/>
      <c r="Q53" s="99"/>
      <c r="R53" s="99"/>
      <c r="S53" s="100"/>
      <c r="T53" s="101"/>
      <c r="U53" s="101"/>
      <c r="V53" s="101"/>
      <c r="W53" s="101"/>
      <c r="X53" s="102"/>
      <c r="Y53" s="10"/>
      <c r="Z53" s="11"/>
    </row>
    <row r="54" spans="1:90" x14ac:dyDescent="0.2">
      <c r="A54" s="219"/>
      <c r="B54" s="103"/>
      <c r="C54" s="103"/>
      <c r="D54" s="103"/>
      <c r="E54" s="103"/>
      <c r="F54" s="103"/>
      <c r="G54" s="103"/>
      <c r="H54" s="103"/>
      <c r="I54" s="103"/>
      <c r="J54" s="103"/>
      <c r="K54" s="103"/>
      <c r="L54" s="103"/>
      <c r="M54" s="103"/>
      <c r="N54" s="103"/>
      <c r="O54" s="104"/>
      <c r="P54" s="105"/>
      <c r="Q54" s="105"/>
      <c r="R54" s="105"/>
      <c r="S54" s="106"/>
      <c r="T54" s="107"/>
      <c r="U54" s="107"/>
      <c r="V54" s="107"/>
      <c r="W54" s="107"/>
      <c r="X54" s="108"/>
      <c r="Y54" s="103"/>
      <c r="Z54" s="112"/>
    </row>
    <row r="55" spans="1:90" ht="15.75" thickBot="1" x14ac:dyDescent="0.25">
      <c r="A55" s="220"/>
      <c r="B55" s="93"/>
      <c r="C55" s="93"/>
      <c r="D55" s="93"/>
      <c r="E55" s="93"/>
      <c r="F55" s="93"/>
      <c r="G55" s="93"/>
      <c r="H55" s="93"/>
      <c r="I55" s="93"/>
      <c r="J55" s="93"/>
      <c r="K55" s="93"/>
      <c r="L55" s="93"/>
      <c r="M55" s="93"/>
      <c r="N55" s="93"/>
      <c r="O55" s="109"/>
      <c r="P55" s="110"/>
      <c r="Q55" s="110"/>
      <c r="R55" s="110"/>
      <c r="S55" s="111"/>
      <c r="T55" s="110"/>
      <c r="U55" s="110"/>
      <c r="V55" s="110"/>
      <c r="W55" s="110"/>
      <c r="X55" s="110"/>
      <c r="Y55" s="93"/>
      <c r="Z55" s="113"/>
    </row>
    <row r="56" spans="1:90" s="91" customFormat="1" ht="15.75" thickBot="1" x14ac:dyDescent="0.25">
      <c r="A56" s="217"/>
      <c r="B56" s="10"/>
      <c r="C56" s="10"/>
      <c r="D56" s="10"/>
      <c r="E56" s="10"/>
      <c r="F56" s="10"/>
      <c r="G56" s="10"/>
      <c r="H56" s="10"/>
      <c r="I56" s="10"/>
      <c r="J56" s="10"/>
      <c r="K56" s="10"/>
      <c r="L56" s="10"/>
      <c r="M56" s="10"/>
      <c r="N56" s="10"/>
      <c r="O56" s="86"/>
      <c r="P56" s="81"/>
      <c r="Q56" s="81"/>
      <c r="R56" s="81"/>
      <c r="S56" s="115"/>
      <c r="T56" s="81"/>
      <c r="U56" s="81"/>
      <c r="V56" s="81"/>
      <c r="W56" s="81"/>
      <c r="X56" s="81"/>
      <c r="Y56" s="10"/>
      <c r="Z56" s="11"/>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row>
    <row r="57" spans="1:90" s="92" customFormat="1" ht="15.75" x14ac:dyDescent="0.25">
      <c r="A57" s="217"/>
      <c r="B57" s="10"/>
      <c r="C57" s="910" t="str">
        <f>+CONCATENATE("Local Authority : ",+'Part 1'!$L$12)</f>
        <v>Local Authority : England</v>
      </c>
      <c r="D57" s="910"/>
      <c r="E57" s="910"/>
      <c r="F57" s="910"/>
      <c r="G57" s="910"/>
      <c r="H57" s="10"/>
      <c r="I57" s="10"/>
      <c r="J57" s="10"/>
      <c r="K57" s="10"/>
      <c r="L57" s="10"/>
      <c r="M57" s="10"/>
      <c r="N57" s="10"/>
      <c r="O57" s="86"/>
      <c r="P57" s="81"/>
      <c r="Q57" s="81"/>
      <c r="R57" s="81"/>
      <c r="S57" s="115"/>
      <c r="T57" s="81"/>
      <c r="U57" s="81"/>
      <c r="V57" s="81"/>
      <c r="W57" s="326"/>
      <c r="X57" s="567"/>
      <c r="Y57" s="10"/>
      <c r="Z57" s="11"/>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row>
    <row r="58" spans="1:90" ht="15.75" x14ac:dyDescent="0.25">
      <c r="A58" s="217"/>
      <c r="B58" s="10"/>
      <c r="C58" s="12"/>
      <c r="D58" s="10"/>
      <c r="E58" s="10"/>
      <c r="F58" s="10"/>
      <c r="G58" s="10"/>
      <c r="H58" s="10"/>
      <c r="I58" s="10"/>
      <c r="J58" s="10"/>
      <c r="K58" s="81"/>
      <c r="L58" s="81"/>
      <c r="M58" s="81"/>
      <c r="N58" s="81"/>
      <c r="O58" s="86"/>
      <c r="P58" s="81"/>
      <c r="Q58" s="81"/>
      <c r="R58" s="81"/>
      <c r="S58" s="115"/>
      <c r="T58" s="81"/>
      <c r="U58" s="81"/>
      <c r="V58" s="81"/>
      <c r="W58" s="81"/>
      <c r="X58" s="81"/>
      <c r="Y58" s="10"/>
      <c r="Z58" s="11"/>
    </row>
    <row r="59" spans="1:90" ht="15.75" x14ac:dyDescent="0.25">
      <c r="A59" s="217"/>
      <c r="B59" s="10"/>
      <c r="C59" s="13" t="s">
        <v>256</v>
      </c>
      <c r="D59" s="13"/>
      <c r="E59" s="13"/>
      <c r="F59" s="13"/>
      <c r="G59" s="10"/>
      <c r="H59" s="10"/>
      <c r="I59" s="10"/>
      <c r="J59" s="10"/>
      <c r="K59" s="81"/>
      <c r="L59" s="81"/>
      <c r="M59" s="81"/>
      <c r="N59" s="81"/>
      <c r="O59" s="81"/>
      <c r="P59" s="81"/>
      <c r="Q59" s="81"/>
      <c r="R59" s="81"/>
      <c r="S59" s="81"/>
      <c r="T59" s="81"/>
      <c r="U59" s="81"/>
      <c r="V59" s="81"/>
      <c r="W59" s="81"/>
      <c r="X59" s="81"/>
      <c r="Y59" s="10"/>
      <c r="Z59" s="11"/>
    </row>
    <row r="60" spans="1:90" ht="15.75" x14ac:dyDescent="0.25">
      <c r="A60" s="217"/>
      <c r="B60" s="10"/>
      <c r="C60" s="159"/>
      <c r="D60" s="10"/>
      <c r="E60" s="10"/>
      <c r="F60" s="10"/>
      <c r="G60" s="10"/>
      <c r="H60" s="10"/>
      <c r="I60" s="10"/>
      <c r="J60" s="10"/>
      <c r="K60" s="81"/>
      <c r="L60" s="81"/>
      <c r="M60" s="81"/>
      <c r="N60" s="81"/>
      <c r="O60" s="81"/>
      <c r="P60" s="81"/>
      <c r="Q60" s="81"/>
      <c r="R60" s="81"/>
      <c r="S60" s="81"/>
      <c r="T60" s="81"/>
      <c r="U60" s="81"/>
      <c r="V60" s="81"/>
      <c r="W60" s="81"/>
      <c r="X60" s="81"/>
      <c r="Y60" s="10"/>
      <c r="Z60" s="11"/>
    </row>
    <row r="61" spans="1:90" ht="15.75" x14ac:dyDescent="0.25">
      <c r="A61" s="217"/>
      <c r="B61" s="10"/>
      <c r="C61" s="10" t="s">
        <v>1573</v>
      </c>
      <c r="D61" s="10"/>
      <c r="E61" s="10"/>
      <c r="F61" s="10"/>
      <c r="G61" s="10"/>
      <c r="H61" s="10"/>
      <c r="I61" s="10"/>
      <c r="J61" s="10"/>
      <c r="K61" s="81"/>
      <c r="L61" s="81"/>
      <c r="M61" s="81"/>
      <c r="N61" s="81"/>
      <c r="O61" s="81"/>
      <c r="P61" s="81"/>
      <c r="Q61" s="81"/>
      <c r="R61" s="81"/>
      <c r="S61" s="81"/>
      <c r="T61" s="81"/>
      <c r="U61" s="81"/>
      <c r="V61" s="81"/>
      <c r="W61" s="81"/>
      <c r="X61" s="81"/>
      <c r="Y61" s="10"/>
      <c r="Z61" s="11"/>
    </row>
    <row r="62" spans="1:90" x14ac:dyDescent="0.2">
      <c r="A62" s="217"/>
      <c r="B62" s="10"/>
      <c r="C62" s="10"/>
      <c r="D62" s="10" t="s">
        <v>637</v>
      </c>
      <c r="E62" s="10"/>
      <c r="F62" s="10"/>
      <c r="G62" s="10"/>
      <c r="H62" s="10"/>
      <c r="I62" s="10"/>
      <c r="J62" s="10"/>
      <c r="K62" s="81"/>
      <c r="L62" s="81"/>
      <c r="M62" s="81"/>
      <c r="N62" s="81"/>
      <c r="O62" s="81"/>
      <c r="P62" s="81"/>
      <c r="Q62" s="81"/>
      <c r="R62" s="81"/>
      <c r="S62" s="81"/>
      <c r="T62" s="81"/>
      <c r="U62" s="81"/>
      <c r="V62" s="81"/>
      <c r="W62" s="81"/>
      <c r="X62" s="81"/>
      <c r="Y62" s="10"/>
      <c r="Z62" s="11"/>
    </row>
    <row r="63" spans="1:90" x14ac:dyDescent="0.2">
      <c r="A63" s="217"/>
      <c r="B63" s="10"/>
      <c r="C63" s="10"/>
      <c r="D63" s="10" t="s">
        <v>638</v>
      </c>
      <c r="E63" s="10"/>
      <c r="F63" s="10"/>
      <c r="G63" s="10"/>
      <c r="H63" s="10"/>
      <c r="I63" s="10"/>
      <c r="J63" s="10"/>
      <c r="K63" s="81"/>
      <c r="L63" s="81"/>
      <c r="M63" s="81"/>
      <c r="N63" s="81"/>
      <c r="O63" s="81"/>
      <c r="P63" s="81"/>
      <c r="Q63" s="81"/>
      <c r="R63" s="81"/>
      <c r="S63" s="81"/>
      <c r="T63" s="81"/>
      <c r="U63" s="81"/>
      <c r="V63" s="81"/>
      <c r="W63" s="81"/>
      <c r="X63" s="81"/>
      <c r="Y63" s="10"/>
      <c r="Z63" s="11"/>
    </row>
    <row r="64" spans="1:90" x14ac:dyDescent="0.2">
      <c r="A64" s="217"/>
      <c r="B64" s="10"/>
      <c r="C64" s="10"/>
      <c r="D64" s="10" t="s">
        <v>639</v>
      </c>
      <c r="E64" s="10"/>
      <c r="F64" s="10"/>
      <c r="G64" s="10"/>
      <c r="H64" s="10"/>
      <c r="I64" s="10"/>
      <c r="J64" s="10"/>
      <c r="K64" s="81"/>
      <c r="L64" s="81"/>
      <c r="M64" s="81"/>
      <c r="N64" s="81"/>
      <c r="O64" s="81"/>
      <c r="P64" s="81"/>
      <c r="Q64" s="81"/>
      <c r="R64" s="81"/>
      <c r="S64" s="81"/>
      <c r="T64" s="81"/>
      <c r="U64" s="81"/>
      <c r="V64" s="81"/>
      <c r="W64" s="81"/>
      <c r="X64" s="81"/>
      <c r="Y64" s="10"/>
      <c r="Z64" s="11"/>
    </row>
    <row r="65" spans="1:26" x14ac:dyDescent="0.2">
      <c r="A65" s="217"/>
      <c r="B65" s="10"/>
      <c r="C65" s="10" t="s">
        <v>640</v>
      </c>
      <c r="D65" s="10"/>
      <c r="E65" s="10"/>
      <c r="F65" s="10"/>
      <c r="G65" s="10"/>
      <c r="H65" s="10"/>
      <c r="I65" s="10"/>
      <c r="J65" s="10"/>
      <c r="K65" s="81"/>
      <c r="L65" s="81"/>
      <c r="M65" s="81"/>
      <c r="N65" s="81"/>
      <c r="O65" s="81"/>
      <c r="P65" s="81"/>
      <c r="Q65" s="81"/>
      <c r="R65" s="81"/>
      <c r="S65" s="81"/>
      <c r="T65" s="81"/>
      <c r="U65" s="81"/>
      <c r="V65" s="81"/>
      <c r="W65" s="81"/>
      <c r="X65" s="81"/>
      <c r="Y65" s="10"/>
      <c r="Z65" s="11"/>
    </row>
    <row r="66" spans="1:26" x14ac:dyDescent="0.2">
      <c r="A66" s="217"/>
      <c r="B66" s="10"/>
      <c r="C66" s="10"/>
      <c r="D66" s="10"/>
      <c r="E66" s="10"/>
      <c r="F66" s="10"/>
      <c r="G66" s="10"/>
      <c r="H66" s="10"/>
      <c r="I66" s="10"/>
      <c r="J66" s="10"/>
      <c r="K66" s="81"/>
      <c r="L66" s="81"/>
      <c r="M66" s="81"/>
      <c r="N66" s="81"/>
      <c r="O66" s="81"/>
      <c r="P66" s="81"/>
      <c r="Q66" s="81"/>
      <c r="R66" s="81"/>
      <c r="S66" s="81"/>
      <c r="T66" s="81"/>
      <c r="U66" s="81"/>
      <c r="V66" s="81"/>
      <c r="W66" s="81"/>
      <c r="X66" s="81"/>
      <c r="Y66" s="10"/>
      <c r="Z66" s="11"/>
    </row>
    <row r="67" spans="1:26" x14ac:dyDescent="0.2">
      <c r="A67" s="217"/>
      <c r="B67" s="10"/>
      <c r="C67" s="10"/>
      <c r="D67" s="10"/>
      <c r="E67" s="10"/>
      <c r="F67" s="10"/>
      <c r="G67" s="10"/>
      <c r="H67" s="10"/>
      <c r="I67" s="10"/>
      <c r="J67" s="10"/>
      <c r="K67" s="855" t="s">
        <v>629</v>
      </c>
      <c r="L67" s="855"/>
      <c r="M67" s="81"/>
      <c r="N67" s="855" t="s">
        <v>630</v>
      </c>
      <c r="O67" s="855"/>
      <c r="P67" s="87"/>
      <c r="Q67" s="855" t="s">
        <v>631</v>
      </c>
      <c r="R67" s="855"/>
      <c r="S67" s="87"/>
      <c r="T67" s="855" t="s">
        <v>632</v>
      </c>
      <c r="U67" s="855"/>
      <c r="V67" s="87"/>
      <c r="W67" s="855" t="s">
        <v>648</v>
      </c>
      <c r="X67" s="855"/>
      <c r="Y67" s="10"/>
      <c r="Z67" s="11"/>
    </row>
    <row r="68" spans="1:26" ht="15.75" x14ac:dyDescent="0.2">
      <c r="A68" s="217"/>
      <c r="B68" s="10"/>
      <c r="C68" s="10"/>
      <c r="D68" s="10"/>
      <c r="E68" s="10"/>
      <c r="F68" s="10"/>
      <c r="G68" s="10"/>
      <c r="H68" s="10"/>
      <c r="I68" s="10"/>
      <c r="J68" s="10"/>
      <c r="K68" s="860" t="s">
        <v>36</v>
      </c>
      <c r="L68" s="877"/>
      <c r="M68" s="212"/>
      <c r="N68" s="860" t="str">
        <f>+L12</f>
        <v>England</v>
      </c>
      <c r="O68" s="877"/>
      <c r="P68" s="213"/>
      <c r="Q68" s="860" t="str">
        <f>VLOOKUP($L$13,DataSheet1!$B$8:$EH$322,136,FALSE)</f>
        <v>County/GLA</v>
      </c>
      <c r="R68" s="877"/>
      <c r="S68" s="213"/>
      <c r="T68" s="860" t="str">
        <f>VLOOKUP($L$13,DataSheet1!$B$8:$EH$322,137,FALSE)</f>
        <v>Fire</v>
      </c>
      <c r="U68" s="877"/>
      <c r="V68" s="212"/>
      <c r="W68" s="860" t="s">
        <v>641</v>
      </c>
      <c r="X68" s="860"/>
      <c r="Y68" s="10"/>
      <c r="Z68" s="11"/>
    </row>
    <row r="69" spans="1:26" ht="15.75" x14ac:dyDescent="0.2">
      <c r="A69" s="217"/>
      <c r="B69" s="10"/>
      <c r="C69" s="10"/>
      <c r="D69" s="10"/>
      <c r="E69" s="10"/>
      <c r="F69" s="10"/>
      <c r="G69" s="10"/>
      <c r="H69" s="10"/>
      <c r="I69" s="10"/>
      <c r="J69" s="10"/>
      <c r="K69" s="860"/>
      <c r="L69" s="877"/>
      <c r="M69" s="212"/>
      <c r="N69" s="860"/>
      <c r="O69" s="877"/>
      <c r="P69" s="213"/>
      <c r="Q69" s="860"/>
      <c r="R69" s="877"/>
      <c r="S69" s="213"/>
      <c r="T69" s="860"/>
      <c r="U69" s="877"/>
      <c r="V69" s="212"/>
      <c r="W69" s="212"/>
      <c r="X69" s="212"/>
      <c r="Y69" s="10"/>
      <c r="Z69" s="11"/>
    </row>
    <row r="70" spans="1:26" ht="15.75" customHeight="1" x14ac:dyDescent="0.2">
      <c r="A70" s="217"/>
      <c r="B70" s="10"/>
      <c r="C70" s="10"/>
      <c r="D70" s="10"/>
      <c r="E70" s="10"/>
      <c r="F70" s="10"/>
      <c r="G70" s="10"/>
      <c r="H70" s="10"/>
      <c r="I70" s="10"/>
      <c r="J70" s="10"/>
      <c r="K70" s="877"/>
      <c r="L70" s="877"/>
      <c r="M70" s="212"/>
      <c r="N70" s="877"/>
      <c r="O70" s="877"/>
      <c r="P70" s="213"/>
      <c r="Q70" s="877"/>
      <c r="R70" s="877"/>
      <c r="S70" s="213"/>
      <c r="T70" s="877"/>
      <c r="U70" s="877"/>
      <c r="V70" s="213"/>
      <c r="W70" s="213"/>
      <c r="X70" s="213"/>
      <c r="Y70" s="10"/>
      <c r="Z70" s="11"/>
    </row>
    <row r="71" spans="1:26" ht="15" customHeight="1" thickBot="1" x14ac:dyDescent="0.3">
      <c r="A71" s="217"/>
      <c r="B71" s="10"/>
      <c r="C71" s="26" t="s">
        <v>40</v>
      </c>
      <c r="D71" s="10"/>
      <c r="E71" s="10"/>
      <c r="F71" s="10"/>
      <c r="G71" s="10"/>
      <c r="H71" s="10"/>
      <c r="I71" s="10"/>
      <c r="J71" s="226"/>
      <c r="K71" s="858" t="s">
        <v>624</v>
      </c>
      <c r="L71" s="858"/>
      <c r="M71" s="224"/>
      <c r="N71" s="858" t="s">
        <v>624</v>
      </c>
      <c r="O71" s="858"/>
      <c r="P71" s="225"/>
      <c r="Q71" s="858" t="s">
        <v>624</v>
      </c>
      <c r="R71" s="858"/>
      <c r="S71" s="225"/>
      <c r="T71" s="858" t="s">
        <v>624</v>
      </c>
      <c r="U71" s="858"/>
      <c r="V71" s="224"/>
      <c r="W71" s="858" t="s">
        <v>624</v>
      </c>
      <c r="X71" s="858"/>
      <c r="Y71" s="226"/>
      <c r="Z71" s="11"/>
    </row>
    <row r="72" spans="1:26" ht="15" customHeight="1" thickBot="1" x14ac:dyDescent="0.25">
      <c r="A72" s="217"/>
      <c r="B72" s="10"/>
      <c r="C72" s="10"/>
      <c r="D72" s="918" t="s">
        <v>1574</v>
      </c>
      <c r="E72" s="919"/>
      <c r="F72" s="919"/>
      <c r="G72" s="919"/>
      <c r="H72" s="919"/>
      <c r="I72" s="919"/>
      <c r="J72" s="226"/>
      <c r="K72" s="872">
        <f>VLOOKUP($L$13,DataSheet1!$B$8:$EH$322,18,FALSE)</f>
        <v>0</v>
      </c>
      <c r="L72" s="873"/>
      <c r="M72" s="228"/>
      <c r="N72" s="872">
        <f>VLOOKUP($L$13,DataSheet1!$B$8:$EH$322,19,FALSE)</f>
        <v>0</v>
      </c>
      <c r="O72" s="873"/>
      <c r="P72" s="228"/>
      <c r="Q72" s="864">
        <f>VLOOKUP($L$13,DataSheet1!$B$8:$EH$322,20,FALSE)</f>
        <v>0</v>
      </c>
      <c r="R72" s="865"/>
      <c r="S72" s="228"/>
      <c r="T72" s="864">
        <f>VLOOKUP($L$13,DataSheet1!$B$8:$EH$322,21,FALSE)</f>
        <v>0</v>
      </c>
      <c r="U72" s="865"/>
      <c r="V72" s="225"/>
      <c r="W72" s="864">
        <f>VLOOKUP($L$13,DataSheet1!$B$8:$EH$322,22,FALSE)</f>
        <v>0</v>
      </c>
      <c r="X72" s="865"/>
      <c r="Y72" s="226"/>
      <c r="Z72" s="11"/>
    </row>
    <row r="73" spans="1:26" ht="15" customHeight="1" x14ac:dyDescent="0.2">
      <c r="A73" s="217"/>
      <c r="B73" s="10"/>
      <c r="C73" s="10"/>
      <c r="D73" s="919"/>
      <c r="E73" s="919"/>
      <c r="F73" s="919"/>
      <c r="G73" s="919"/>
      <c r="H73" s="919"/>
      <c r="I73" s="919"/>
      <c r="J73" s="226"/>
      <c r="K73" s="227"/>
      <c r="L73" s="227"/>
      <c r="M73" s="224"/>
      <c r="N73" s="227"/>
      <c r="O73" s="227"/>
      <c r="P73" s="225"/>
      <c r="Q73" s="227"/>
      <c r="R73" s="227"/>
      <c r="S73" s="225"/>
      <c r="T73" s="227"/>
      <c r="U73" s="227"/>
      <c r="V73" s="224"/>
      <c r="W73" s="227"/>
      <c r="X73" s="227"/>
      <c r="Y73" s="226"/>
      <c r="Z73" s="11"/>
    </row>
    <row r="74" spans="1:26" ht="15" customHeight="1" x14ac:dyDescent="0.2">
      <c r="A74" s="217"/>
      <c r="B74" s="10"/>
      <c r="C74" s="10"/>
      <c r="D74" s="10"/>
      <c r="E74" s="10"/>
      <c r="F74" s="10"/>
      <c r="G74" s="10"/>
      <c r="H74" s="10"/>
      <c r="I74" s="10"/>
      <c r="J74" s="226"/>
      <c r="K74" s="227"/>
      <c r="L74" s="227"/>
      <c r="M74" s="224"/>
      <c r="N74" s="227"/>
      <c r="O74" s="227"/>
      <c r="P74" s="225"/>
      <c r="Q74" s="227"/>
      <c r="R74" s="227"/>
      <c r="S74" s="225"/>
      <c r="T74" s="227"/>
      <c r="U74" s="227"/>
      <c r="V74" s="224"/>
      <c r="W74" s="227"/>
      <c r="X74" s="227"/>
      <c r="Y74" s="226"/>
      <c r="Z74" s="11"/>
    </row>
    <row r="75" spans="1:26" ht="16.5" thickBot="1" x14ac:dyDescent="0.3">
      <c r="A75" s="217"/>
      <c r="B75" s="10"/>
      <c r="C75" s="13" t="s">
        <v>1575</v>
      </c>
      <c r="D75" s="10"/>
      <c r="E75" s="10"/>
      <c r="F75" s="10"/>
      <c r="G75" s="10"/>
      <c r="H75" s="10"/>
      <c r="I75" s="10"/>
      <c r="J75" s="226"/>
      <c r="K75" s="225"/>
      <c r="L75" s="225"/>
      <c r="M75" s="225"/>
      <c r="N75" s="225"/>
      <c r="O75" s="225"/>
      <c r="P75" s="225"/>
      <c r="Q75" s="225"/>
      <c r="R75" s="225"/>
      <c r="S75" s="225"/>
      <c r="T75" s="225"/>
      <c r="U75" s="225"/>
      <c r="V75" s="225"/>
      <c r="W75" s="225"/>
      <c r="X75" s="225"/>
      <c r="Y75" s="226"/>
      <c r="Z75" s="11"/>
    </row>
    <row r="76" spans="1:26" ht="16.5" thickBot="1" x14ac:dyDescent="0.25">
      <c r="A76" s="217"/>
      <c r="B76" s="10"/>
      <c r="C76" s="10"/>
      <c r="D76" s="918" t="s">
        <v>1134</v>
      </c>
      <c r="E76" s="918"/>
      <c r="F76" s="918"/>
      <c r="G76" s="918"/>
      <c r="H76" s="918"/>
      <c r="I76" s="918"/>
      <c r="J76" s="226"/>
      <c r="K76" s="840">
        <f>VLOOKUP($L$13,DataSheet1!$B$8:$EH$322,23,FALSE)</f>
        <v>9755964105</v>
      </c>
      <c r="L76" s="841"/>
      <c r="M76" s="239"/>
      <c r="N76" s="840">
        <f>VLOOKUP($L$13,DataSheet1!$B$8:$EH$322,24,FALSE)</f>
        <v>11755458709</v>
      </c>
      <c r="O76" s="841"/>
      <c r="P76" s="239"/>
      <c r="Q76" s="840">
        <f>VLOOKUP($L$13,DataSheet1!$B$8:$EH$322,25,FALSE)</f>
        <v>3969450371</v>
      </c>
      <c r="R76" s="841"/>
      <c r="S76" s="239"/>
      <c r="T76" s="840">
        <f>VLOOKUP($L$13,DataSheet1!$B$8:$EH$322,26,FALSE)</f>
        <v>134863448</v>
      </c>
      <c r="U76" s="841"/>
      <c r="V76" s="239"/>
      <c r="W76" s="840">
        <f>VLOOKUP($L$13,DataSheet1!$B$8:$EH$322,27,FALSE)</f>
        <v>25615736633</v>
      </c>
      <c r="X76" s="841"/>
      <c r="Y76" s="226"/>
      <c r="Z76" s="55"/>
    </row>
    <row r="77" spans="1:26" x14ac:dyDescent="0.2">
      <c r="A77" s="217"/>
      <c r="B77" s="10"/>
      <c r="C77" s="10"/>
      <c r="D77" s="918"/>
      <c r="E77" s="918"/>
      <c r="F77" s="918"/>
      <c r="G77" s="918"/>
      <c r="H77" s="918"/>
      <c r="I77" s="918"/>
      <c r="J77" s="226"/>
      <c r="K77" s="239"/>
      <c r="L77" s="239"/>
      <c r="M77" s="239"/>
      <c r="N77" s="239"/>
      <c r="O77" s="239"/>
      <c r="P77" s="239"/>
      <c r="Q77" s="239"/>
      <c r="R77" s="239"/>
      <c r="S77" s="239"/>
      <c r="T77" s="239"/>
      <c r="U77" s="239"/>
      <c r="V77" s="239"/>
      <c r="W77" s="239"/>
      <c r="X77" s="239"/>
      <c r="Y77" s="226"/>
      <c r="Z77" s="11"/>
    </row>
    <row r="78" spans="1:26" ht="15.75" thickBot="1" x14ac:dyDescent="0.25">
      <c r="A78" s="217"/>
      <c r="B78" s="10"/>
      <c r="C78" s="10"/>
      <c r="D78" s="10"/>
      <c r="E78" s="10"/>
      <c r="F78" s="10"/>
      <c r="G78" s="10"/>
      <c r="H78" s="10"/>
      <c r="I78" s="10"/>
      <c r="J78" s="226"/>
      <c r="K78" s="239"/>
      <c r="L78" s="239"/>
      <c r="M78" s="239"/>
      <c r="N78" s="239"/>
      <c r="O78" s="239"/>
      <c r="P78" s="239"/>
      <c r="Q78" s="239"/>
      <c r="R78" s="239"/>
      <c r="S78" s="239"/>
      <c r="T78" s="239"/>
      <c r="U78" s="239"/>
      <c r="V78" s="239"/>
      <c r="W78" s="239"/>
      <c r="X78" s="239"/>
      <c r="Y78" s="226"/>
      <c r="Z78" s="11"/>
    </row>
    <row r="79" spans="1:26" ht="16.5" thickBot="1" x14ac:dyDescent="0.25">
      <c r="A79" s="217"/>
      <c r="B79" s="10"/>
      <c r="C79" s="10"/>
      <c r="D79" s="10" t="s">
        <v>1135</v>
      </c>
      <c r="E79" s="10"/>
      <c r="F79" s="10"/>
      <c r="G79" s="10"/>
      <c r="H79" s="10"/>
      <c r="I79" s="10"/>
      <c r="J79" s="226"/>
      <c r="K79" s="840">
        <f>VLOOKUP($L$13,DataSheet1!$B$8:$EH$322,28,FALSE)</f>
        <v>16643052</v>
      </c>
      <c r="L79" s="841"/>
      <c r="M79" s="239"/>
      <c r="N79" s="840">
        <f>VLOOKUP($L$13,DataSheet1!$B$8:$EH$322,29,FALSE)</f>
        <v>0</v>
      </c>
      <c r="O79" s="841"/>
      <c r="P79" s="239"/>
      <c r="Q79" s="840">
        <f>VLOOKUP($L$13,DataSheet1!$B$8:$EH$322,30,FALSE)</f>
        <v>0</v>
      </c>
      <c r="R79" s="841"/>
      <c r="S79" s="239"/>
      <c r="T79" s="840">
        <f>VLOOKUP($L$13,DataSheet1!$B$8:$EH$322,31,FALSE)</f>
        <v>0</v>
      </c>
      <c r="U79" s="841"/>
      <c r="V79" s="239"/>
      <c r="W79" s="840">
        <f>VLOOKUP($L$13,DataSheet1!$B$8:$EH$322,32,FALSE)</f>
        <v>16643052</v>
      </c>
      <c r="X79" s="841"/>
      <c r="Y79" s="226"/>
      <c r="Z79" s="11"/>
    </row>
    <row r="80" spans="1:26" ht="16.5" thickBot="1" x14ac:dyDescent="0.25">
      <c r="A80" s="217"/>
      <c r="B80" s="10"/>
      <c r="C80" s="10"/>
      <c r="D80" s="27"/>
      <c r="E80" s="10"/>
      <c r="F80" s="10"/>
      <c r="G80" s="10"/>
      <c r="H80" s="10"/>
      <c r="I80" s="10"/>
      <c r="J80" s="226"/>
      <c r="K80" s="277"/>
      <c r="L80" s="277"/>
      <c r="M80" s="239"/>
      <c r="N80" s="277"/>
      <c r="O80" s="277"/>
      <c r="P80" s="239"/>
      <c r="Q80" s="277"/>
      <c r="R80" s="277"/>
      <c r="S80" s="239"/>
      <c r="T80" s="277"/>
      <c r="U80" s="277"/>
      <c r="V80" s="239"/>
      <c r="W80" s="277"/>
      <c r="X80" s="277"/>
      <c r="Y80" s="226"/>
      <c r="Z80" s="11"/>
    </row>
    <row r="81" spans="1:26" ht="16.5" thickBot="1" x14ac:dyDescent="0.3">
      <c r="A81" s="217"/>
      <c r="B81" s="10"/>
      <c r="C81" s="10"/>
      <c r="D81" s="15">
        <v>17</v>
      </c>
      <c r="E81" s="10"/>
      <c r="F81" s="10"/>
      <c r="G81" s="10"/>
      <c r="H81" s="10"/>
      <c r="I81" s="233" t="s">
        <v>669</v>
      </c>
      <c r="J81" s="231"/>
      <c r="K81" s="840">
        <f>VLOOKUP($L$13,DataSheet1!$B$8:$EH$322,33,FALSE)</f>
        <v>9739321053</v>
      </c>
      <c r="L81" s="841"/>
      <c r="M81" s="239"/>
      <c r="N81" s="840">
        <f>VLOOKUP($L$13,DataSheet1!$B$8:$EH$322,34,FALSE)</f>
        <v>11755458709</v>
      </c>
      <c r="O81" s="841"/>
      <c r="P81" s="240"/>
      <c r="Q81" s="840">
        <f>VLOOKUP($L$13,DataSheet1!$B$8:$EH$322,35,FALSE)</f>
        <v>3969450371</v>
      </c>
      <c r="R81" s="841"/>
      <c r="S81" s="240"/>
      <c r="T81" s="840">
        <f>VLOOKUP($L$13,DataSheet1!$B$8:$EH$322,36,FALSE)</f>
        <v>134863448</v>
      </c>
      <c r="U81" s="841"/>
      <c r="V81" s="239"/>
      <c r="W81" s="840">
        <f>VLOOKUP($L$13,DataSheet1!$B$8:$EH$322,37,FALSE)</f>
        <v>25599093581</v>
      </c>
      <c r="X81" s="841"/>
      <c r="Y81" s="226"/>
      <c r="Z81" s="11"/>
    </row>
    <row r="82" spans="1:26" x14ac:dyDescent="0.2">
      <c r="A82" s="217"/>
      <c r="B82" s="10"/>
      <c r="C82" s="10"/>
      <c r="D82" s="10"/>
      <c r="E82" s="10"/>
      <c r="F82" s="10"/>
      <c r="G82" s="10"/>
      <c r="H82" s="10"/>
      <c r="I82" s="10"/>
      <c r="J82" s="226"/>
      <c r="K82" s="239"/>
      <c r="L82" s="239"/>
      <c r="M82" s="239"/>
      <c r="N82" s="239"/>
      <c r="O82" s="239"/>
      <c r="P82" s="239"/>
      <c r="Q82" s="239"/>
      <c r="R82" s="239"/>
      <c r="S82" s="239"/>
      <c r="T82" s="239"/>
      <c r="U82" s="239"/>
      <c r="V82" s="239"/>
      <c r="W82" s="239"/>
      <c r="X82" s="239"/>
      <c r="Y82" s="226"/>
      <c r="Z82" s="11"/>
    </row>
    <row r="83" spans="1:26" ht="16.5" thickBot="1" x14ac:dyDescent="0.3">
      <c r="A83" s="217"/>
      <c r="B83" s="10"/>
      <c r="C83" s="13" t="s">
        <v>1115</v>
      </c>
      <c r="D83" s="10"/>
      <c r="E83" s="10"/>
      <c r="F83" s="10"/>
      <c r="G83" s="10"/>
      <c r="H83" s="10"/>
      <c r="I83" s="10"/>
      <c r="J83" s="226"/>
      <c r="K83" s="239"/>
      <c r="L83" s="239"/>
      <c r="M83" s="239"/>
      <c r="N83" s="239"/>
      <c r="O83" s="239"/>
      <c r="P83" s="239"/>
      <c r="Q83" s="239"/>
      <c r="R83" s="239"/>
      <c r="S83" s="239"/>
      <c r="T83" s="239"/>
      <c r="U83" s="239"/>
      <c r="V83" s="239"/>
      <c r="W83" s="239"/>
      <c r="X83" s="239"/>
      <c r="Y83" s="226"/>
      <c r="Z83" s="11"/>
    </row>
    <row r="84" spans="1:26" ht="16.5" thickBot="1" x14ac:dyDescent="0.25">
      <c r="A84" s="217"/>
      <c r="B84" s="10"/>
      <c r="C84" s="10"/>
      <c r="D84" s="10" t="s">
        <v>1136</v>
      </c>
      <c r="E84" s="10"/>
      <c r="F84" s="10"/>
      <c r="G84" s="10"/>
      <c r="H84" s="10"/>
      <c r="I84" s="10"/>
      <c r="J84" s="226"/>
      <c r="K84" s="239"/>
      <c r="L84" s="239"/>
      <c r="M84" s="239"/>
      <c r="N84" s="840">
        <f>VLOOKUP($L$13,DataSheet1!$B$8:$EH$322,38,FALSE)</f>
        <v>84023717</v>
      </c>
      <c r="O84" s="841"/>
      <c r="P84" s="239"/>
      <c r="Q84" s="239"/>
      <c r="R84" s="239"/>
      <c r="S84" s="239"/>
      <c r="T84" s="239"/>
      <c r="U84" s="239"/>
      <c r="V84" s="239"/>
      <c r="W84" s="840">
        <f>VLOOKUP($L$13,DataSheet1!$B$8:$EH$322,39,FALSE)</f>
        <v>84023717</v>
      </c>
      <c r="X84" s="841"/>
      <c r="Y84" s="226"/>
      <c r="Z84" s="55"/>
    </row>
    <row r="85" spans="1:26" ht="15.75" thickBot="1" x14ac:dyDescent="0.25">
      <c r="A85" s="217"/>
      <c r="B85" s="10"/>
      <c r="C85" s="10"/>
      <c r="D85" s="10"/>
      <c r="E85" s="10"/>
      <c r="F85" s="10"/>
      <c r="G85" s="10"/>
      <c r="H85" s="10"/>
      <c r="I85" s="10"/>
      <c r="J85" s="226"/>
      <c r="K85" s="239"/>
      <c r="L85" s="239"/>
      <c r="M85" s="239"/>
      <c r="N85" s="239"/>
      <c r="O85" s="239"/>
      <c r="P85" s="239"/>
      <c r="Q85" s="239"/>
      <c r="R85" s="239"/>
      <c r="S85" s="239"/>
      <c r="T85" s="239"/>
      <c r="U85" s="239"/>
      <c r="V85" s="239"/>
      <c r="W85" s="239"/>
      <c r="X85" s="239"/>
      <c r="Y85" s="226"/>
      <c r="Z85" s="11"/>
    </row>
    <row r="86" spans="1:26" ht="16.5" thickBot="1" x14ac:dyDescent="0.25">
      <c r="A86" s="217"/>
      <c r="B86" s="10"/>
      <c r="C86" s="10"/>
      <c r="D86" s="10" t="s">
        <v>1137</v>
      </c>
      <c r="E86" s="10"/>
      <c r="F86" s="10"/>
      <c r="G86" s="10"/>
      <c r="H86" s="10"/>
      <c r="I86" s="10"/>
      <c r="J86" s="226"/>
      <c r="K86" s="239"/>
      <c r="L86" s="239"/>
      <c r="M86" s="239"/>
      <c r="N86" s="840">
        <f>VLOOKUP($L$13,DataSheet1!$B$8:$EH$322,40,FALSE)</f>
        <v>88279269.349999994</v>
      </c>
      <c r="O86" s="841"/>
      <c r="P86" s="239"/>
      <c r="Q86" s="239"/>
      <c r="R86" s="239"/>
      <c r="S86" s="239"/>
      <c r="T86" s="239"/>
      <c r="U86" s="239"/>
      <c r="V86" s="239"/>
      <c r="W86" s="840">
        <f>VLOOKUP($L$13,DataSheet1!$B$8:$EH$322,41,FALSE)</f>
        <v>88279269.349999994</v>
      </c>
      <c r="X86" s="841"/>
      <c r="Y86" s="226"/>
      <c r="Z86" s="55"/>
    </row>
    <row r="87" spans="1:26" ht="15.75" thickBot="1" x14ac:dyDescent="0.25">
      <c r="A87" s="217"/>
      <c r="B87" s="10"/>
      <c r="C87" s="10"/>
      <c r="D87" s="10"/>
      <c r="E87" s="10"/>
      <c r="F87" s="10"/>
      <c r="G87" s="10"/>
      <c r="H87" s="10"/>
      <c r="I87" s="10"/>
      <c r="J87" s="226"/>
      <c r="K87" s="239"/>
      <c r="L87" s="239"/>
      <c r="M87" s="239"/>
      <c r="N87" s="239"/>
      <c r="O87" s="239"/>
      <c r="P87" s="239"/>
      <c r="Q87" s="239"/>
      <c r="R87" s="239"/>
      <c r="S87" s="239"/>
      <c r="T87" s="239"/>
      <c r="U87" s="239"/>
      <c r="V87" s="239"/>
      <c r="W87" s="239"/>
      <c r="X87" s="239"/>
      <c r="Y87" s="226"/>
      <c r="Z87" s="11"/>
    </row>
    <row r="88" spans="1:26" ht="16.5" thickBot="1" x14ac:dyDescent="0.25">
      <c r="A88" s="217"/>
      <c r="B88" s="10"/>
      <c r="C88" s="10"/>
      <c r="D88" s="10" t="s">
        <v>1138</v>
      </c>
      <c r="E88" s="10"/>
      <c r="F88" s="10"/>
      <c r="G88" s="10"/>
      <c r="H88" s="10"/>
      <c r="I88" s="10"/>
      <c r="J88" s="226"/>
      <c r="K88" s="239"/>
      <c r="L88" s="239"/>
      <c r="M88" s="239"/>
      <c r="N88" s="840">
        <f>VLOOKUP($L$13,DataSheet1!$B$8:$EH$322,42,FALSE)</f>
        <v>68738505</v>
      </c>
      <c r="O88" s="841"/>
      <c r="P88" s="239"/>
      <c r="Q88" s="840">
        <f>VLOOKUP($L$13,DataSheet1!$B$8:$EH$322,43,FALSE)</f>
        <v>3899592</v>
      </c>
      <c r="R88" s="841"/>
      <c r="S88" s="239"/>
      <c r="T88" s="239"/>
      <c r="U88" s="239"/>
      <c r="V88" s="239"/>
      <c r="W88" s="840">
        <f>VLOOKUP($L$13,DataSheet1!$B$8:$EH$322,44,FALSE)</f>
        <v>72638098</v>
      </c>
      <c r="X88" s="841"/>
      <c r="Y88" s="226"/>
      <c r="Z88" s="55"/>
    </row>
    <row r="89" spans="1:26" ht="15.75" thickBot="1" x14ac:dyDescent="0.25">
      <c r="A89" s="217"/>
      <c r="B89" s="10"/>
      <c r="C89" s="10"/>
      <c r="D89" s="10"/>
      <c r="E89" s="10"/>
      <c r="F89" s="10"/>
      <c r="G89" s="10"/>
      <c r="H89" s="10"/>
      <c r="I89" s="10"/>
      <c r="J89" s="226"/>
      <c r="K89" s="239"/>
      <c r="L89" s="239"/>
      <c r="M89" s="239"/>
      <c r="N89" s="239"/>
      <c r="O89" s="239"/>
      <c r="P89" s="239"/>
      <c r="Q89" s="239"/>
      <c r="R89" s="239"/>
      <c r="S89" s="239"/>
      <c r="T89" s="239"/>
      <c r="U89" s="239"/>
      <c r="V89" s="239"/>
      <c r="W89" s="239"/>
      <c r="X89" s="239"/>
      <c r="Y89" s="226"/>
      <c r="Z89" s="11"/>
    </row>
    <row r="90" spans="1:26" ht="16.5" thickBot="1" x14ac:dyDescent="0.25">
      <c r="A90" s="217"/>
      <c r="B90" s="10"/>
      <c r="C90" s="10"/>
      <c r="D90" s="10" t="s">
        <v>1139</v>
      </c>
      <c r="E90" s="10"/>
      <c r="F90" s="10"/>
      <c r="G90" s="10"/>
      <c r="H90" s="10"/>
      <c r="I90" s="10"/>
      <c r="J90" s="226"/>
      <c r="K90" s="239"/>
      <c r="L90" s="239"/>
      <c r="M90" s="239"/>
      <c r="N90" s="887">
        <f>VLOOKUP($L$13,DataSheet1!$B$8:$EH$322,45,FALSE)</f>
        <v>10547.2</v>
      </c>
      <c r="O90" s="888"/>
      <c r="P90" s="239"/>
      <c r="Q90" s="885">
        <f>VLOOKUP($L$13,DataSheet1!$B$8:$EH$322,46,FALSE)</f>
        <v>15557.119999999999</v>
      </c>
      <c r="R90" s="886"/>
      <c r="S90" s="239"/>
      <c r="T90" s="885">
        <f>VLOOKUP($L$13,DataSheet1!$B$8:$EH$322,47,FALSE)</f>
        <v>263.68</v>
      </c>
      <c r="U90" s="886"/>
      <c r="V90" s="239"/>
      <c r="W90" s="840">
        <f>VLOOKUP($L$13,DataSheet1!$B$8:$EH$322,48,FALSE)</f>
        <v>26368</v>
      </c>
      <c r="X90" s="841"/>
      <c r="Y90" s="226"/>
      <c r="Z90" s="512"/>
    </row>
    <row r="91" spans="1:26" ht="15.75" thickBot="1" x14ac:dyDescent="0.25">
      <c r="A91" s="217"/>
      <c r="B91" s="10"/>
      <c r="C91" s="10"/>
      <c r="D91" s="10"/>
      <c r="E91" s="10"/>
      <c r="F91" s="10"/>
      <c r="G91" s="10"/>
      <c r="H91" s="10"/>
      <c r="I91" s="10"/>
      <c r="J91" s="226"/>
      <c r="K91" s="239"/>
      <c r="L91" s="239"/>
      <c r="M91" s="239"/>
      <c r="N91" s="239"/>
      <c r="O91" s="239"/>
      <c r="P91" s="239"/>
      <c r="Q91" s="239"/>
      <c r="R91" s="239"/>
      <c r="S91" s="239"/>
      <c r="T91" s="239"/>
      <c r="U91" s="239"/>
      <c r="V91" s="239"/>
      <c r="W91" s="239"/>
      <c r="X91" s="239"/>
      <c r="Y91" s="226"/>
      <c r="Z91" s="512"/>
    </row>
    <row r="92" spans="1:26" ht="16.5" thickBot="1" x14ac:dyDescent="0.25">
      <c r="A92" s="217"/>
      <c r="B92" s="10"/>
      <c r="C92" s="10"/>
      <c r="D92" s="10" t="s">
        <v>1140</v>
      </c>
      <c r="E92" s="10"/>
      <c r="F92" s="10"/>
      <c r="G92" s="10"/>
      <c r="H92" s="10"/>
      <c r="I92" s="10"/>
      <c r="J92" s="226"/>
      <c r="K92" s="239"/>
      <c r="L92" s="239"/>
      <c r="M92" s="239"/>
      <c r="N92" s="882">
        <f>VLOOKUP($L$13,DataSheet1!$B$8:$EH$322,49,FALSE)</f>
        <v>10803059</v>
      </c>
      <c r="O92" s="883"/>
      <c r="P92" s="239"/>
      <c r="Q92" s="840">
        <f>VLOOKUP($L$13,DataSheet1!$B$8:$EH$322,50,FALSE)</f>
        <v>146250</v>
      </c>
      <c r="R92" s="841"/>
      <c r="S92" s="239"/>
      <c r="T92" s="840">
        <f>VLOOKUP($L$13,DataSheet1!$B$8:$EH$322,51,FALSE)</f>
        <v>17202</v>
      </c>
      <c r="U92" s="841"/>
      <c r="V92" s="239"/>
      <c r="W92" s="840">
        <f>VLOOKUP($L$13,DataSheet1!$B$8:$EH$322,52,FALSE)</f>
        <v>10966511</v>
      </c>
      <c r="X92" s="841"/>
      <c r="Y92" s="226"/>
      <c r="Z92" s="55"/>
    </row>
    <row r="93" spans="1:26" ht="16.5" thickBot="1" x14ac:dyDescent="0.25">
      <c r="A93" s="217"/>
      <c r="B93" s="10"/>
      <c r="C93" s="10"/>
      <c r="D93" s="10"/>
      <c r="E93" s="10"/>
      <c r="F93" s="10"/>
      <c r="G93" s="10"/>
      <c r="H93" s="10"/>
      <c r="I93" s="10"/>
      <c r="J93" s="226"/>
      <c r="K93" s="225"/>
      <c r="L93" s="225"/>
      <c r="M93" s="225"/>
      <c r="N93" s="228"/>
      <c r="O93" s="225"/>
      <c r="P93" s="225"/>
      <c r="Q93" s="228"/>
      <c r="R93" s="225"/>
      <c r="S93" s="225"/>
      <c r="T93" s="228"/>
      <c r="U93" s="225"/>
      <c r="V93" s="225"/>
      <c r="W93" s="225"/>
      <c r="X93" s="225"/>
      <c r="Y93" s="226"/>
      <c r="Z93" s="11"/>
    </row>
    <row r="94" spans="1:26" ht="16.5" thickBot="1" x14ac:dyDescent="0.25">
      <c r="A94" s="217"/>
      <c r="B94" s="10"/>
      <c r="C94" s="10"/>
      <c r="D94" s="10" t="s">
        <v>1141</v>
      </c>
      <c r="E94" s="10"/>
      <c r="F94" s="10"/>
      <c r="G94" s="10"/>
      <c r="H94" s="10"/>
      <c r="I94" s="10"/>
      <c r="J94" s="226"/>
      <c r="K94" s="225"/>
      <c r="L94" s="225"/>
      <c r="M94" s="225"/>
      <c r="N94" s="840">
        <f>VLOOKUP($L$13,DataSheet1!$B$8:$EH$322,53,FALSE)</f>
        <v>12064000</v>
      </c>
      <c r="O94" s="841"/>
      <c r="P94" s="239"/>
      <c r="Q94" s="239"/>
      <c r="R94" s="239"/>
      <c r="S94" s="239"/>
      <c r="T94" s="239"/>
      <c r="U94" s="239"/>
      <c r="V94" s="239"/>
      <c r="W94" s="840">
        <f>VLOOKUP($L$13,DataSheet1!$B$8:$EH$322,54,FALSE)</f>
        <v>12064000</v>
      </c>
      <c r="X94" s="841"/>
      <c r="Y94" s="226"/>
      <c r="Z94" s="55"/>
    </row>
    <row r="95" spans="1:26" ht="15.75" thickBot="1" x14ac:dyDescent="0.25">
      <c r="A95" s="217"/>
      <c r="B95" s="10"/>
      <c r="C95" s="10"/>
      <c r="D95" s="27"/>
      <c r="E95" s="10"/>
      <c r="F95" s="10"/>
      <c r="G95" s="10"/>
      <c r="H95" s="10"/>
      <c r="I95" s="10"/>
      <c r="J95" s="226"/>
      <c r="K95" s="225"/>
      <c r="L95" s="225"/>
      <c r="M95" s="225"/>
      <c r="N95" s="225"/>
      <c r="O95" s="225"/>
      <c r="P95" s="225"/>
      <c r="Q95" s="225"/>
      <c r="R95" s="225"/>
      <c r="S95" s="225"/>
      <c r="T95" s="225"/>
      <c r="U95" s="225"/>
      <c r="V95" s="225"/>
      <c r="W95" s="225"/>
      <c r="X95" s="225"/>
      <c r="Y95" s="226"/>
      <c r="Z95" s="11"/>
    </row>
    <row r="96" spans="1:26" ht="16.5" thickBot="1" x14ac:dyDescent="0.25">
      <c r="A96" s="217"/>
      <c r="B96" s="10"/>
      <c r="C96" s="10"/>
      <c r="D96" s="10" t="s">
        <v>1142</v>
      </c>
      <c r="E96" s="10"/>
      <c r="F96" s="10"/>
      <c r="G96" s="10"/>
      <c r="H96" s="10"/>
      <c r="I96" s="10"/>
      <c r="J96" s="226"/>
      <c r="K96" s="347"/>
      <c r="L96" s="347"/>
      <c r="M96" s="225"/>
      <c r="N96" s="848">
        <f>VLOOKUP($L$13,DataSheet1!$B$8:$EH$322,55,FALSE)</f>
        <v>4979351</v>
      </c>
      <c r="O96" s="861"/>
      <c r="P96" s="239"/>
      <c r="Q96" s="848">
        <f>VLOOKUP($L$13,DataSheet1!$B$8:$EH$322,56,FALSE)</f>
        <v>0</v>
      </c>
      <c r="R96" s="861"/>
      <c r="S96" s="239"/>
      <c r="T96" s="848">
        <f>VLOOKUP($L$13,DataSheet1!$B$8:$EH$322,57,FALSE)</f>
        <v>0</v>
      </c>
      <c r="U96" s="861"/>
      <c r="V96" s="239"/>
      <c r="W96" s="848">
        <f>VLOOKUP($L$13,DataSheet1!$B$8:$EH$322,58,FALSE)</f>
        <v>4979351</v>
      </c>
      <c r="X96" s="861"/>
      <c r="Y96" s="226"/>
      <c r="Z96" s="11"/>
    </row>
    <row r="97" spans="1:26" ht="16.5" thickBot="1" x14ac:dyDescent="0.25">
      <c r="A97" s="217"/>
      <c r="B97" s="10"/>
      <c r="C97" s="10"/>
      <c r="D97" s="10"/>
      <c r="E97" s="10"/>
      <c r="F97" s="10"/>
      <c r="G97" s="10"/>
      <c r="H97" s="10"/>
      <c r="I97" s="10"/>
      <c r="J97" s="226"/>
      <c r="K97" s="225"/>
      <c r="L97" s="225"/>
      <c r="M97" s="225"/>
      <c r="N97" s="228"/>
      <c r="O97" s="225"/>
      <c r="P97" s="225"/>
      <c r="Q97" s="228"/>
      <c r="R97" s="225"/>
      <c r="S97" s="225"/>
      <c r="T97" s="228"/>
      <c r="U97" s="225"/>
      <c r="V97" s="225"/>
      <c r="W97" s="228"/>
      <c r="X97" s="225"/>
      <c r="Y97" s="226"/>
      <c r="Z97" s="11"/>
    </row>
    <row r="98" spans="1:26" ht="16.5" thickBot="1" x14ac:dyDescent="0.25">
      <c r="A98" s="217"/>
      <c r="B98" s="10"/>
      <c r="C98" s="10"/>
      <c r="D98" s="10" t="s">
        <v>1143</v>
      </c>
      <c r="E98" s="10"/>
      <c r="F98" s="10"/>
      <c r="G98" s="10"/>
      <c r="H98" s="10"/>
      <c r="I98" s="10"/>
      <c r="J98" s="226"/>
      <c r="K98" s="225"/>
      <c r="L98" s="225"/>
      <c r="M98" s="225"/>
      <c r="N98" s="848">
        <f>VLOOKUP($L$13,DataSheet1!$B$8:$EH$322,59,FALSE)</f>
        <v>697190</v>
      </c>
      <c r="O98" s="861"/>
      <c r="P98" s="239"/>
      <c r="Q98" s="853"/>
      <c r="R98" s="853"/>
      <c r="S98" s="239"/>
      <c r="T98" s="853"/>
      <c r="U98" s="853"/>
      <c r="V98" s="239"/>
      <c r="W98" s="848">
        <f>VLOOKUP($L$13,DataSheet1!$B$8:$EH$322,60,FALSE)</f>
        <v>697190</v>
      </c>
      <c r="X98" s="861"/>
      <c r="Y98" s="226"/>
      <c r="Z98" s="11"/>
    </row>
    <row r="99" spans="1:26" ht="15.75" x14ac:dyDescent="0.2">
      <c r="A99" s="217"/>
      <c r="B99" s="10"/>
      <c r="C99" s="10"/>
      <c r="D99" s="10"/>
      <c r="E99" s="10"/>
      <c r="F99" s="10"/>
      <c r="G99" s="10"/>
      <c r="H99" s="10"/>
      <c r="I99" s="10"/>
      <c r="J99" s="226"/>
      <c r="K99" s="225"/>
      <c r="L99" s="225"/>
      <c r="M99" s="225"/>
      <c r="N99" s="228"/>
      <c r="O99" s="225"/>
      <c r="P99" s="225"/>
      <c r="Q99" s="228"/>
      <c r="R99" s="225"/>
      <c r="S99" s="225"/>
      <c r="T99" s="228"/>
      <c r="U99" s="225"/>
      <c r="V99" s="225"/>
      <c r="W99" s="228"/>
      <c r="X99" s="225"/>
      <c r="Y99" s="226"/>
      <c r="Z99" s="11"/>
    </row>
    <row r="100" spans="1:26" ht="15.75" x14ac:dyDescent="0.25">
      <c r="A100" s="217"/>
      <c r="B100" s="10"/>
      <c r="C100" s="13" t="s">
        <v>37</v>
      </c>
      <c r="D100" s="10"/>
      <c r="E100" s="10"/>
      <c r="F100" s="10"/>
      <c r="G100" s="10"/>
      <c r="H100" s="10"/>
      <c r="I100" s="10"/>
      <c r="J100" s="226"/>
      <c r="K100" s="858" t="s">
        <v>624</v>
      </c>
      <c r="L100" s="858"/>
      <c r="M100" s="224"/>
      <c r="N100" s="858" t="s">
        <v>624</v>
      </c>
      <c r="O100" s="858"/>
      <c r="P100" s="225"/>
      <c r="Q100" s="858" t="s">
        <v>624</v>
      </c>
      <c r="R100" s="858"/>
      <c r="S100" s="225"/>
      <c r="T100" s="858" t="s">
        <v>624</v>
      </c>
      <c r="U100" s="858"/>
      <c r="V100" s="224"/>
      <c r="W100" s="858" t="s">
        <v>624</v>
      </c>
      <c r="X100" s="858"/>
      <c r="Y100" s="226"/>
      <c r="Z100" s="11"/>
    </row>
    <row r="101" spans="1:26" ht="15.75" x14ac:dyDescent="0.25">
      <c r="A101" s="217"/>
      <c r="B101" s="10"/>
      <c r="C101" s="13"/>
      <c r="D101" s="10"/>
      <c r="E101" s="10"/>
      <c r="F101" s="10"/>
      <c r="G101" s="10"/>
      <c r="H101" s="10"/>
      <c r="I101" s="10"/>
      <c r="J101" s="226"/>
      <c r="K101" s="505"/>
      <c r="L101" s="505"/>
      <c r="M101" s="224"/>
      <c r="N101" s="505"/>
      <c r="O101" s="505"/>
      <c r="P101" s="225"/>
      <c r="Q101" s="505"/>
      <c r="R101" s="505"/>
      <c r="S101" s="225"/>
      <c r="T101" s="505"/>
      <c r="U101" s="505"/>
      <c r="V101" s="224"/>
      <c r="W101" s="505"/>
      <c r="X101" s="505"/>
      <c r="Y101" s="226"/>
      <c r="Z101" s="512"/>
    </row>
    <row r="102" spans="1:26" ht="15.75" x14ac:dyDescent="0.25">
      <c r="A102" s="217"/>
      <c r="B102" s="10"/>
      <c r="C102" s="13"/>
      <c r="D102" s="513" t="s">
        <v>1144</v>
      </c>
      <c r="E102" s="10"/>
      <c r="F102" s="10"/>
      <c r="G102" s="10"/>
      <c r="H102" s="10"/>
      <c r="I102" s="10"/>
      <c r="J102" s="226"/>
      <c r="K102" s="505"/>
      <c r="L102" s="505"/>
      <c r="M102" s="224"/>
      <c r="N102" s="505"/>
      <c r="O102" s="505"/>
      <c r="P102" s="225"/>
      <c r="Q102" s="505"/>
      <c r="R102" s="505"/>
      <c r="S102" s="225"/>
      <c r="T102" s="505"/>
      <c r="U102" s="505"/>
      <c r="V102" s="224"/>
      <c r="W102" s="505"/>
      <c r="X102" s="505"/>
      <c r="Y102" s="226"/>
      <c r="Z102" s="512"/>
    </row>
    <row r="103" spans="1:26" ht="16.5" thickBot="1" x14ac:dyDescent="0.3">
      <c r="A103" s="217"/>
      <c r="B103" s="10"/>
      <c r="C103" s="13"/>
      <c r="D103" s="513"/>
      <c r="E103" s="10"/>
      <c r="F103" s="10"/>
      <c r="G103" s="10"/>
      <c r="H103" s="10"/>
      <c r="I103" s="10"/>
      <c r="J103" s="226"/>
      <c r="K103" s="505"/>
      <c r="L103" s="505"/>
      <c r="M103" s="224"/>
      <c r="N103" s="505"/>
      <c r="O103" s="505"/>
      <c r="P103" s="225"/>
      <c r="Q103" s="505"/>
      <c r="R103" s="505"/>
      <c r="S103" s="225"/>
      <c r="T103" s="505"/>
      <c r="U103" s="505"/>
      <c r="V103" s="224"/>
      <c r="W103" s="505"/>
      <c r="X103" s="505"/>
      <c r="Y103" s="226"/>
      <c r="Z103" s="512"/>
    </row>
    <row r="104" spans="1:26" ht="15" customHeight="1" thickBot="1" x14ac:dyDescent="0.25">
      <c r="A104" s="217"/>
      <c r="B104" s="10"/>
      <c r="C104" s="10"/>
      <c r="D104" s="884" t="s">
        <v>1616</v>
      </c>
      <c r="E104" s="884"/>
      <c r="F104" s="884"/>
      <c r="G104" s="884"/>
      <c r="H104" s="884"/>
      <c r="I104" s="884"/>
      <c r="J104" s="226"/>
      <c r="K104" s="872">
        <f>VLOOKUP($L$13,DataSheet1!$B$8:$EH$322,61,FALSE)</f>
        <v>0</v>
      </c>
      <c r="L104" s="873"/>
      <c r="M104" s="831"/>
      <c r="N104" s="872">
        <f>VLOOKUP($L$13,DataSheet1!$B$8:$EH$322,62,FALSE)</f>
        <v>0</v>
      </c>
      <c r="O104" s="873"/>
      <c r="P104" s="831"/>
      <c r="Q104" s="864">
        <f>VLOOKUP($L$13,DataSheet1!$B$8:$EH$322,63,FALSE)</f>
        <v>0</v>
      </c>
      <c r="R104" s="865"/>
      <c r="S104" s="831"/>
      <c r="T104" s="864">
        <f>VLOOKUP($L$13,DataSheet1!$B$8:$EH$322,64,FALSE)</f>
        <v>0</v>
      </c>
      <c r="U104" s="865"/>
      <c r="V104" s="832"/>
      <c r="W104" s="864">
        <f>VLOOKUP($L$13,DataSheet1!$B$8:$EH$322,65,FALSE)</f>
        <v>0</v>
      </c>
      <c r="X104" s="865"/>
      <c r="Y104" s="226"/>
      <c r="Z104" s="11"/>
    </row>
    <row r="105" spans="1:26" ht="15" customHeight="1" thickBot="1" x14ac:dyDescent="0.25">
      <c r="A105" s="217"/>
      <c r="B105" s="10"/>
      <c r="C105" s="10"/>
      <c r="D105" s="884"/>
      <c r="E105" s="884"/>
      <c r="F105" s="884"/>
      <c r="G105" s="884"/>
      <c r="H105" s="884"/>
      <c r="I105" s="884"/>
      <c r="J105" s="226"/>
      <c r="K105" s="524"/>
      <c r="L105" s="524"/>
      <c r="M105" s="288"/>
      <c r="N105" s="524"/>
      <c r="O105" s="524"/>
      <c r="P105" s="288"/>
      <c r="Q105" s="525"/>
      <c r="R105" s="525"/>
      <c r="S105" s="288"/>
      <c r="T105" s="525"/>
      <c r="U105" s="525"/>
      <c r="V105" s="517"/>
      <c r="W105" s="526"/>
      <c r="X105" s="526"/>
      <c r="Y105" s="226"/>
      <c r="Z105" s="512"/>
    </row>
    <row r="106" spans="1:26" ht="15" customHeight="1" thickBot="1" x14ac:dyDescent="0.25">
      <c r="A106" s="217"/>
      <c r="B106" s="10"/>
      <c r="C106" s="10"/>
      <c r="D106" s="870" t="s">
        <v>1163</v>
      </c>
      <c r="E106" s="870"/>
      <c r="F106" s="870"/>
      <c r="G106" s="870"/>
      <c r="H106" s="870"/>
      <c r="I106" s="870"/>
      <c r="J106" s="226"/>
      <c r="K106" s="862">
        <f>VLOOKUP($L$13,DataSheet1!$B$8:$EH$322,66,FALSE)</f>
        <v>113923473.99999997</v>
      </c>
      <c r="L106" s="863"/>
      <c r="M106" s="518"/>
      <c r="N106" s="862">
        <f>VLOOKUP($L$13,DataSheet1!$B$8:$EH$322,67,FALSE)</f>
        <v>189995286</v>
      </c>
      <c r="O106" s="863"/>
      <c r="P106" s="517"/>
      <c r="Q106" s="862">
        <f>VLOOKUP($L$13,DataSheet1!$B$8:$EH$322,68,FALSE)</f>
        <v>83790872</v>
      </c>
      <c r="R106" s="863"/>
      <c r="S106" s="517"/>
      <c r="T106" s="862">
        <f>VLOOKUP($L$13,DataSheet1!$B$8:$EH$322,69,FALSE)</f>
        <v>1516074</v>
      </c>
      <c r="U106" s="866"/>
      <c r="V106" s="519"/>
      <c r="W106" s="848">
        <f>VLOOKUP($L$13,DataSheet1!$B$8:$EH$322,70,FALSE)</f>
        <v>389225706</v>
      </c>
      <c r="X106" s="869"/>
      <c r="Y106" s="833" t="str">
        <f>IF($L$13="E2234","(R)","")</f>
        <v/>
      </c>
      <c r="Z106" s="11"/>
    </row>
    <row r="107" spans="1:26" ht="15" customHeight="1" thickBot="1" x14ac:dyDescent="0.25">
      <c r="A107" s="217"/>
      <c r="B107" s="10"/>
      <c r="C107" s="10"/>
      <c r="D107" s="550"/>
      <c r="E107" s="550"/>
      <c r="F107" s="550"/>
      <c r="G107" s="550"/>
      <c r="H107" s="550"/>
      <c r="I107" s="550"/>
      <c r="J107" s="226"/>
      <c r="K107" s="514"/>
      <c r="L107" s="515"/>
      <c r="M107" s="489"/>
      <c r="N107" s="514"/>
      <c r="O107" s="515"/>
      <c r="P107" s="490"/>
      <c r="Q107" s="514"/>
      <c r="R107" s="515"/>
      <c r="S107" s="490"/>
      <c r="T107" s="516"/>
      <c r="U107" s="516"/>
      <c r="V107" s="489"/>
      <c r="W107" s="867"/>
      <c r="X107" s="868"/>
      <c r="Y107" s="226"/>
      <c r="Z107" s="512"/>
    </row>
    <row r="108" spans="1:26" ht="15" customHeight="1" thickBot="1" x14ac:dyDescent="0.25">
      <c r="A108" s="217"/>
      <c r="B108" s="10"/>
      <c r="C108" s="10"/>
      <c r="D108" s="871" t="s">
        <v>1617</v>
      </c>
      <c r="E108" s="871"/>
      <c r="F108" s="871"/>
      <c r="G108" s="871"/>
      <c r="H108" s="871"/>
      <c r="I108" s="871"/>
      <c r="J108" s="226"/>
      <c r="K108" s="872">
        <f>VLOOKUP($L$13,DataSheet1!$B$8:$EH$322,71,FALSE)</f>
        <v>0</v>
      </c>
      <c r="L108" s="873"/>
      <c r="M108" s="831"/>
      <c r="N108" s="872">
        <f>VLOOKUP($L$13,DataSheet1!$B$8:$EH$322,72,FALSE)</f>
        <v>0</v>
      </c>
      <c r="O108" s="873"/>
      <c r="P108" s="831"/>
      <c r="Q108" s="864">
        <f>VLOOKUP($L$13,DataSheet1!$B$8:$EH$322,73,FALSE)</f>
        <v>0</v>
      </c>
      <c r="R108" s="865"/>
      <c r="S108" s="831"/>
      <c r="T108" s="864">
        <f>VLOOKUP($L$13,DataSheet1!$B$8:$EH$322,74,FALSE)</f>
        <v>0</v>
      </c>
      <c r="U108" s="865"/>
      <c r="V108" s="832"/>
      <c r="W108" s="864">
        <f>VLOOKUP($L$13,DataSheet1!$B$8:$EH$322,75,FALSE)</f>
        <v>0</v>
      </c>
      <c r="X108" s="865"/>
      <c r="Y108" s="226"/>
      <c r="Z108" s="512"/>
    </row>
    <row r="109" spans="1:26" ht="15" customHeight="1" thickBot="1" x14ac:dyDescent="0.25">
      <c r="A109" s="217"/>
      <c r="B109" s="10"/>
      <c r="C109" s="10"/>
      <c r="D109" s="871"/>
      <c r="E109" s="871"/>
      <c r="F109" s="871"/>
      <c r="G109" s="871"/>
      <c r="H109" s="871"/>
      <c r="I109" s="871"/>
      <c r="J109" s="226"/>
      <c r="K109" s="527"/>
      <c r="L109" s="527"/>
      <c r="M109" s="288"/>
      <c r="N109" s="527"/>
      <c r="O109" s="527"/>
      <c r="P109" s="288"/>
      <c r="Q109" s="526"/>
      <c r="R109" s="526"/>
      <c r="S109" s="288"/>
      <c r="T109" s="526"/>
      <c r="U109" s="526"/>
      <c r="V109" s="517"/>
      <c r="W109" s="525"/>
      <c r="X109" s="525"/>
      <c r="Y109" s="226"/>
      <c r="Z109" s="512"/>
    </row>
    <row r="110" spans="1:26" ht="15" customHeight="1" thickBot="1" x14ac:dyDescent="0.25">
      <c r="A110" s="217"/>
      <c r="B110" s="10"/>
      <c r="C110" s="10"/>
      <c r="D110" s="870" t="s">
        <v>1164</v>
      </c>
      <c r="E110" s="870"/>
      <c r="F110" s="870"/>
      <c r="G110" s="870"/>
      <c r="H110" s="870"/>
      <c r="I110" s="870"/>
      <c r="J110" s="226"/>
      <c r="K110" s="848">
        <f>VLOOKUP($L$13,DataSheet1!$B$8:$EH$322,76,FALSE)</f>
        <v>-9226551.4356806781</v>
      </c>
      <c r="L110" s="869"/>
      <c r="M110" s="519"/>
      <c r="N110" s="848">
        <f>VLOOKUP($L$13,DataSheet1!$B$8:$EH$322,77,FALSE)</f>
        <v>-10863509.390000001</v>
      </c>
      <c r="O110" s="861"/>
      <c r="P110" s="517"/>
      <c r="Q110" s="848">
        <f>VLOOKUP($L$13,DataSheet1!$B$8:$EH$322,78,FALSE)</f>
        <v>-8903960</v>
      </c>
      <c r="R110" s="861"/>
      <c r="S110" s="517"/>
      <c r="T110" s="848">
        <f>VLOOKUP($L$13,DataSheet1!$B$8:$EH$322,79,FALSE)</f>
        <v>116861</v>
      </c>
      <c r="U110" s="861"/>
      <c r="V110" s="519"/>
      <c r="W110" s="862">
        <f>VLOOKUP($L$13,DataSheet1!$B$8:$EH$322,80,FALSE)</f>
        <v>-28877159.825680681</v>
      </c>
      <c r="X110" s="863"/>
      <c r="Y110" s="833" t="str">
        <f>IF($L$13="E2234","(R)","")</f>
        <v/>
      </c>
      <c r="Z110" s="11"/>
    </row>
    <row r="111" spans="1:26" ht="15" customHeight="1" thickBot="1" x14ac:dyDescent="0.25">
      <c r="A111" s="217"/>
      <c r="B111" s="10"/>
      <c r="C111" s="10"/>
      <c r="D111" s="550"/>
      <c r="E111" s="550"/>
      <c r="F111" s="550"/>
      <c r="G111" s="550"/>
      <c r="H111" s="550"/>
      <c r="I111" s="550"/>
      <c r="J111" s="226"/>
      <c r="K111" s="507"/>
      <c r="L111" s="508"/>
      <c r="M111" s="489"/>
      <c r="N111" s="507"/>
      <c r="O111" s="508"/>
      <c r="P111" s="490"/>
      <c r="Q111" s="507"/>
      <c r="R111" s="508"/>
      <c r="S111" s="490"/>
      <c r="T111" s="509"/>
      <c r="U111" s="509"/>
      <c r="V111" s="489"/>
      <c r="W111" s="507"/>
      <c r="X111" s="508"/>
      <c r="Y111" s="226"/>
      <c r="Z111" s="512"/>
    </row>
    <row r="112" spans="1:26" s="209" customFormat="1" ht="16.5" thickBot="1" x14ac:dyDescent="0.25">
      <c r="A112" s="217"/>
      <c r="B112" s="502"/>
      <c r="C112" s="502"/>
      <c r="D112" s="10" t="s">
        <v>1555</v>
      </c>
      <c r="E112" s="10"/>
      <c r="F112" s="10"/>
      <c r="G112" s="10"/>
      <c r="H112" s="10"/>
      <c r="I112" s="10"/>
      <c r="J112" s="503"/>
      <c r="K112" s="840">
        <f>VLOOKUP($L$13,DataSheet1!$B$8:$EH$322,81,FALSE)</f>
        <v>104696931</v>
      </c>
      <c r="L112" s="841"/>
      <c r="M112" s="240"/>
      <c r="N112" s="840">
        <f>VLOOKUP($L$13,DataSheet1!$B$8:$EH$322,82,FALSE)</f>
        <v>179131775.61000001</v>
      </c>
      <c r="O112" s="841"/>
      <c r="P112" s="240"/>
      <c r="Q112" s="840">
        <f>VLOOKUP($L$13,DataSheet1!$B$8:$EH$322,83,FALSE)</f>
        <v>74886909</v>
      </c>
      <c r="R112" s="841"/>
      <c r="S112" s="240"/>
      <c r="T112" s="840">
        <f>VLOOKUP($L$13,DataSheet1!$B$8:$EH$322,84,FALSE)</f>
        <v>1632932</v>
      </c>
      <c r="U112" s="841"/>
      <c r="V112" s="240"/>
      <c r="W112" s="840">
        <f>VLOOKUP($L$13,DataSheet1!$B$8:$EH$322,85,FALSE)</f>
        <v>360348546.17431927</v>
      </c>
      <c r="X112" s="841"/>
      <c r="Y112" s="833" t="str">
        <f>IF($L$13="E2234","(R)","")</f>
        <v/>
      </c>
      <c r="Z112" s="504"/>
    </row>
    <row r="113" spans="1:232" ht="15.75" thickBot="1" x14ac:dyDescent="0.25">
      <c r="A113" s="217"/>
      <c r="B113" s="10"/>
      <c r="C113" s="10"/>
      <c r="D113" s="10"/>
      <c r="E113" s="10"/>
      <c r="F113" s="10"/>
      <c r="G113" s="10"/>
      <c r="H113" s="10"/>
      <c r="I113" s="10"/>
      <c r="J113" s="226"/>
      <c r="K113" s="239"/>
      <c r="L113" s="239"/>
      <c r="M113" s="239"/>
      <c r="N113" s="239"/>
      <c r="O113" s="239"/>
      <c r="P113" s="239"/>
      <c r="Q113" s="239"/>
      <c r="R113" s="239"/>
      <c r="S113" s="239"/>
      <c r="T113" s="239"/>
      <c r="U113" s="239"/>
      <c r="V113" s="239"/>
      <c r="W113" s="239"/>
      <c r="X113" s="239"/>
      <c r="Y113" s="226"/>
      <c r="Z113" s="11"/>
    </row>
    <row r="114" spans="1:232" x14ac:dyDescent="0.2">
      <c r="A114" s="217"/>
      <c r="B114" s="17"/>
      <c r="C114" s="18"/>
      <c r="D114" s="18"/>
      <c r="E114" s="18"/>
      <c r="F114" s="18"/>
      <c r="G114" s="18"/>
      <c r="H114" s="18"/>
      <c r="I114" s="18"/>
      <c r="J114" s="232"/>
      <c r="K114" s="241"/>
      <c r="L114" s="241"/>
      <c r="M114" s="241"/>
      <c r="N114" s="241"/>
      <c r="O114" s="241"/>
      <c r="P114" s="241"/>
      <c r="Q114" s="241"/>
      <c r="R114" s="241"/>
      <c r="S114" s="241"/>
      <c r="T114" s="241"/>
      <c r="U114" s="241"/>
      <c r="V114" s="241"/>
      <c r="W114" s="241"/>
      <c r="X114" s="241"/>
      <c r="Y114" s="229"/>
      <c r="Z114" s="11"/>
    </row>
    <row r="115" spans="1:232" ht="16.5" thickBot="1" x14ac:dyDescent="0.3">
      <c r="A115" s="217"/>
      <c r="B115" s="19"/>
      <c r="C115" s="20" t="s">
        <v>642</v>
      </c>
      <c r="D115" s="8"/>
      <c r="E115" s="8"/>
      <c r="F115" s="8"/>
      <c r="G115" s="8"/>
      <c r="H115" s="8"/>
      <c r="I115" s="8"/>
      <c r="J115" s="226"/>
      <c r="K115" s="853" t="s">
        <v>624</v>
      </c>
      <c r="L115" s="853"/>
      <c r="M115" s="239"/>
      <c r="N115" s="853" t="s">
        <v>624</v>
      </c>
      <c r="O115" s="853"/>
      <c r="P115" s="239"/>
      <c r="Q115" s="853" t="s">
        <v>624</v>
      </c>
      <c r="R115" s="853"/>
      <c r="S115" s="239"/>
      <c r="T115" s="853" t="s">
        <v>624</v>
      </c>
      <c r="U115" s="853"/>
      <c r="V115" s="239"/>
      <c r="W115" s="853" t="s">
        <v>624</v>
      </c>
      <c r="X115" s="853"/>
      <c r="Y115" s="230"/>
      <c r="Z115" s="11"/>
    </row>
    <row r="116" spans="1:232" ht="16.5" thickBot="1" x14ac:dyDescent="0.25">
      <c r="A116" s="217"/>
      <c r="B116" s="19"/>
      <c r="C116" s="8" t="s">
        <v>1146</v>
      </c>
      <c r="D116" s="8"/>
      <c r="E116" s="8"/>
      <c r="F116" s="8"/>
      <c r="G116" s="8"/>
      <c r="H116" s="8"/>
      <c r="I116" s="8"/>
      <c r="J116" s="226"/>
      <c r="K116" s="840">
        <f>VLOOKUP($L$13,DataSheet1!$B$8:$EH$322,86,FALSE)</f>
        <v>9844017984</v>
      </c>
      <c r="L116" s="841"/>
      <c r="M116" s="239"/>
      <c r="N116" s="840">
        <f>VLOOKUP($L$13,DataSheet1!$B$8:$EH$322,87,FALSE)</f>
        <v>12204186123</v>
      </c>
      <c r="O116" s="841"/>
      <c r="P116" s="239"/>
      <c r="Q116" s="840">
        <f>VLOOKUP($L$13,DataSheet1!$B$8:$EH$322,88,FALSE)</f>
        <v>4048398679</v>
      </c>
      <c r="R116" s="841"/>
      <c r="S116" s="239"/>
      <c r="T116" s="840">
        <f>VLOOKUP($L$13,DataSheet1!$B$8:$EH$322,89,FALSE)</f>
        <v>136513846</v>
      </c>
      <c r="U116" s="841"/>
      <c r="V116" s="239"/>
      <c r="W116" s="840">
        <f>VLOOKUP($L$13,DataSheet1!$B$8:$EH$322,90,FALSE)</f>
        <v>26233116638</v>
      </c>
      <c r="X116" s="841"/>
      <c r="Y116" s="230"/>
      <c r="Z116" s="55"/>
    </row>
    <row r="117" spans="1:232" s="533" customFormat="1" ht="15.75" thickBot="1" x14ac:dyDescent="0.25">
      <c r="A117" s="217"/>
      <c r="B117" s="528"/>
      <c r="C117" s="529"/>
      <c r="D117" s="529"/>
      <c r="E117" s="529"/>
      <c r="F117" s="529"/>
      <c r="G117" s="529"/>
      <c r="H117" s="529"/>
      <c r="I117" s="529"/>
      <c r="J117" s="530"/>
      <c r="K117" s="530"/>
      <c r="L117" s="530"/>
      <c r="M117" s="530"/>
      <c r="N117" s="530"/>
      <c r="O117" s="530"/>
      <c r="P117" s="530"/>
      <c r="Q117" s="530"/>
      <c r="R117" s="530"/>
      <c r="S117" s="530"/>
      <c r="T117" s="530"/>
      <c r="U117" s="530"/>
      <c r="V117" s="530"/>
      <c r="W117" s="530"/>
      <c r="X117" s="530"/>
      <c r="Y117" s="531"/>
      <c r="Z117" s="532"/>
    </row>
    <row r="118" spans="1:232" s="533" customFormat="1" x14ac:dyDescent="0.2">
      <c r="A118" s="217"/>
      <c r="B118" s="534"/>
      <c r="C118" s="534"/>
      <c r="D118" s="534"/>
      <c r="E118" s="534"/>
      <c r="F118" s="534"/>
      <c r="G118" s="534"/>
      <c r="H118" s="534"/>
      <c r="I118" s="534"/>
      <c r="J118" s="534"/>
      <c r="K118" s="534"/>
      <c r="L118" s="534"/>
      <c r="M118" s="534"/>
      <c r="N118" s="534"/>
      <c r="O118" s="534"/>
      <c r="P118" s="534"/>
      <c r="Q118" s="534"/>
      <c r="R118" s="534"/>
      <c r="S118" s="534"/>
      <c r="T118" s="534"/>
      <c r="U118" s="534"/>
      <c r="V118" s="534"/>
      <c r="W118" s="534"/>
      <c r="X118" s="534"/>
      <c r="Y118" s="534"/>
      <c r="Z118" s="532"/>
    </row>
    <row r="119" spans="1:232" s="533" customFormat="1" x14ac:dyDescent="0.2">
      <c r="A119" s="219"/>
      <c r="B119" s="535"/>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6"/>
    </row>
    <row r="120" spans="1:232" ht="15.75" thickBot="1" x14ac:dyDescent="0.25">
      <c r="A120" s="220"/>
      <c r="B120" s="93"/>
      <c r="C120" s="852"/>
      <c r="D120" s="852"/>
      <c r="E120" s="852"/>
      <c r="F120" s="852"/>
      <c r="G120" s="852"/>
      <c r="H120" s="852"/>
      <c r="I120" s="852"/>
      <c r="J120" s="93"/>
      <c r="K120" s="93"/>
      <c r="L120" s="93"/>
      <c r="M120" s="93"/>
      <c r="N120" s="93"/>
      <c r="O120" s="93"/>
      <c r="P120" s="93"/>
      <c r="Q120" s="93"/>
      <c r="R120" s="93"/>
      <c r="S120" s="93"/>
      <c r="T120" s="93"/>
      <c r="U120" s="93"/>
      <c r="V120" s="93"/>
      <c r="W120" s="93"/>
      <c r="X120" s="93"/>
      <c r="Y120" s="93"/>
      <c r="Z120" s="113"/>
    </row>
    <row r="121" spans="1:232" x14ac:dyDescent="0.2">
      <c r="A121" s="271"/>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3"/>
    </row>
    <row r="122" spans="1:232" ht="15.75" x14ac:dyDescent="0.25">
      <c r="A122" s="221"/>
      <c r="B122" s="2"/>
      <c r="C122" s="12" t="str">
        <f>+CONCATENATE("Local Authority : ",+'Part 1'!$L$12)</f>
        <v>Local Authority : England</v>
      </c>
      <c r="D122" s="2"/>
      <c r="E122" s="2"/>
      <c r="F122" s="2"/>
      <c r="G122" s="2"/>
      <c r="H122" s="2"/>
      <c r="I122" s="2"/>
      <c r="J122" s="2"/>
      <c r="K122" s="2"/>
      <c r="L122" s="2"/>
      <c r="M122" s="2"/>
      <c r="N122" s="2"/>
      <c r="O122" s="2"/>
      <c r="P122" s="2"/>
      <c r="Q122" s="2"/>
      <c r="R122" s="2"/>
      <c r="S122" s="2"/>
      <c r="T122" s="2"/>
      <c r="U122" s="2"/>
      <c r="V122" s="2"/>
      <c r="W122" s="326">
        <f>+W15</f>
        <v>0</v>
      </c>
      <c r="X122" s="568">
        <f>+X57</f>
        <v>0</v>
      </c>
      <c r="Y122" s="2"/>
      <c r="Z122" s="11"/>
    </row>
    <row r="123" spans="1:232" ht="15.75" x14ac:dyDescent="0.25">
      <c r="A123" s="221"/>
      <c r="B123" s="2"/>
      <c r="C123" s="12"/>
      <c r="D123" s="2"/>
      <c r="E123" s="2"/>
      <c r="F123" s="2"/>
      <c r="G123" s="2"/>
      <c r="H123" s="2"/>
      <c r="I123" s="2"/>
      <c r="J123" s="2"/>
      <c r="K123" s="2"/>
      <c r="L123" s="2"/>
      <c r="M123" s="2"/>
      <c r="N123" s="2"/>
      <c r="O123" s="2"/>
      <c r="P123" s="2"/>
      <c r="Q123" s="2"/>
      <c r="R123" s="2"/>
      <c r="S123" s="2"/>
      <c r="T123" s="2"/>
      <c r="U123" s="2"/>
      <c r="V123" s="2"/>
      <c r="W123" s="2"/>
      <c r="X123" s="2"/>
      <c r="Y123" s="2"/>
      <c r="Z123" s="11"/>
    </row>
    <row r="124" spans="1:232" ht="15.75" x14ac:dyDescent="0.25">
      <c r="A124" s="221"/>
      <c r="B124" s="2"/>
      <c r="C124" s="13" t="s">
        <v>1166</v>
      </c>
      <c r="D124" s="2"/>
      <c r="E124" s="2"/>
      <c r="F124" s="2"/>
      <c r="G124" s="2"/>
      <c r="H124" s="2"/>
      <c r="I124" s="2"/>
      <c r="J124" s="2"/>
      <c r="K124" s="2"/>
      <c r="L124" s="2"/>
      <c r="M124" s="2"/>
      <c r="N124" s="2"/>
      <c r="O124" s="2"/>
      <c r="P124" s="2"/>
      <c r="Q124" s="2"/>
      <c r="R124" s="2"/>
      <c r="S124" s="2"/>
      <c r="T124" s="2"/>
      <c r="U124" s="2"/>
      <c r="V124" s="2"/>
      <c r="W124" s="2"/>
      <c r="X124" s="2"/>
      <c r="Y124" s="2"/>
      <c r="Z124" s="11"/>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298"/>
      <c r="BN124" s="298"/>
      <c r="BO124" s="298"/>
      <c r="BP124" s="298"/>
      <c r="BQ124" s="298"/>
      <c r="BR124" s="298"/>
      <c r="BS124" s="298"/>
      <c r="BT124" s="298"/>
      <c r="BU124" s="298"/>
      <c r="BV124" s="298"/>
      <c r="BW124" s="298"/>
      <c r="BX124" s="298"/>
      <c r="BY124" s="298"/>
      <c r="BZ124" s="298"/>
      <c r="CA124" s="298"/>
      <c r="CB124" s="298"/>
      <c r="CC124" s="298"/>
      <c r="CD124" s="298"/>
      <c r="CE124" s="298"/>
      <c r="CF124" s="298"/>
      <c r="CG124" s="298"/>
      <c r="CH124" s="298"/>
      <c r="CI124" s="298"/>
      <c r="CJ124" s="298"/>
      <c r="CK124" s="298"/>
      <c r="CL124" s="298"/>
      <c r="CM124" s="298"/>
      <c r="CN124" s="298"/>
      <c r="CO124" s="298"/>
      <c r="CP124" s="298"/>
      <c r="CQ124" s="298"/>
      <c r="CR124" s="298"/>
      <c r="CS124" s="298"/>
      <c r="CT124" s="298"/>
      <c r="CU124" s="298"/>
      <c r="CV124" s="298"/>
      <c r="CW124" s="298"/>
      <c r="CX124" s="298"/>
      <c r="CY124" s="298"/>
      <c r="CZ124" s="298"/>
      <c r="DA124" s="298"/>
      <c r="DB124" s="298"/>
      <c r="DC124" s="298"/>
      <c r="DD124" s="298"/>
      <c r="DE124" s="298"/>
      <c r="DF124" s="298"/>
      <c r="DG124" s="298"/>
      <c r="DH124" s="298"/>
      <c r="DI124" s="298"/>
      <c r="DJ124" s="298"/>
      <c r="DK124" s="298"/>
      <c r="DL124" s="298"/>
      <c r="DM124" s="298"/>
      <c r="DN124" s="298"/>
      <c r="DO124" s="298"/>
      <c r="DP124" s="298"/>
      <c r="DQ124" s="298"/>
      <c r="DR124" s="298"/>
      <c r="DS124" s="298"/>
      <c r="DT124" s="298"/>
      <c r="DU124" s="298"/>
      <c r="DV124" s="298"/>
      <c r="DW124" s="298"/>
      <c r="DX124" s="298"/>
      <c r="DY124" s="298"/>
      <c r="DZ124" s="298"/>
      <c r="EA124" s="298"/>
      <c r="EB124" s="298"/>
      <c r="EC124" s="298"/>
      <c r="ED124" s="298"/>
      <c r="EE124" s="298"/>
      <c r="EF124" s="298"/>
      <c r="EG124" s="298"/>
      <c r="EH124" s="298"/>
      <c r="EI124" s="298"/>
      <c r="EJ124" s="298"/>
      <c r="EK124" s="298"/>
      <c r="EL124" s="298"/>
      <c r="EM124" s="298"/>
      <c r="EN124" s="298"/>
      <c r="EO124" s="298"/>
      <c r="EP124" s="298"/>
      <c r="EQ124" s="298"/>
      <c r="ER124" s="298"/>
      <c r="ES124" s="298"/>
      <c r="ET124" s="298"/>
      <c r="EU124" s="298"/>
      <c r="EV124" s="298"/>
      <c r="EW124" s="298"/>
      <c r="EX124" s="298"/>
      <c r="EY124" s="298"/>
      <c r="EZ124" s="298"/>
      <c r="FA124" s="298"/>
      <c r="FB124" s="298"/>
      <c r="FC124" s="298"/>
      <c r="FD124" s="298"/>
      <c r="FE124" s="298"/>
      <c r="FF124" s="298"/>
    </row>
    <row r="125" spans="1:232" ht="15.75" x14ac:dyDescent="0.25">
      <c r="A125" s="274"/>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275"/>
      <c r="AA125" s="297"/>
      <c r="AB125" s="297"/>
      <c r="AC125" s="297"/>
      <c r="AD125" s="297"/>
      <c r="AE125" s="297"/>
      <c r="AF125" s="297"/>
      <c r="AG125" s="297"/>
      <c r="AH125" s="297"/>
      <c r="AI125" s="297"/>
      <c r="AJ125" s="297"/>
      <c r="AK125" s="297"/>
      <c r="AL125" s="297"/>
      <c r="AM125" s="297"/>
      <c r="AN125" s="297"/>
      <c r="AO125" s="297"/>
      <c r="AP125" s="297"/>
      <c r="AQ125" s="297"/>
      <c r="AR125" s="297"/>
      <c r="AS125" s="297"/>
      <c r="AT125" s="297"/>
      <c r="AU125" s="297"/>
      <c r="AV125" s="297"/>
      <c r="AW125" s="297"/>
      <c r="AX125" s="297"/>
      <c r="AY125" s="297"/>
      <c r="AZ125" s="297"/>
      <c r="BA125" s="297"/>
      <c r="BB125" s="297"/>
      <c r="BC125" s="297"/>
      <c r="BD125" s="297"/>
      <c r="BE125" s="297"/>
      <c r="BF125" s="297"/>
      <c r="BG125" s="297"/>
      <c r="BH125" s="297"/>
      <c r="BI125" s="297"/>
      <c r="BJ125" s="297"/>
      <c r="BK125" s="297"/>
      <c r="BL125" s="297"/>
      <c r="BM125" s="297"/>
      <c r="BN125" s="297"/>
      <c r="BO125" s="297"/>
      <c r="BP125" s="297"/>
      <c r="BQ125" s="297"/>
      <c r="BR125" s="297"/>
      <c r="BS125" s="297"/>
      <c r="BT125" s="297"/>
      <c r="BU125" s="297"/>
      <c r="BV125" s="297"/>
      <c r="BW125" s="297"/>
      <c r="BX125" s="297"/>
      <c r="BY125" s="297"/>
      <c r="BZ125" s="297"/>
      <c r="CA125" s="297"/>
      <c r="CB125" s="297"/>
      <c r="CC125" s="297"/>
      <c r="CD125" s="297"/>
      <c r="CE125" s="297"/>
      <c r="CF125" s="297"/>
      <c r="CG125" s="297"/>
      <c r="CH125" s="297"/>
      <c r="CI125" s="297"/>
      <c r="CJ125" s="297"/>
      <c r="CK125" s="297"/>
      <c r="CL125" s="297"/>
      <c r="CM125" s="297"/>
      <c r="CN125" s="297"/>
      <c r="CO125" s="297"/>
      <c r="CP125" s="297"/>
      <c r="CQ125" s="297"/>
      <c r="CR125" s="297"/>
      <c r="CS125" s="297"/>
      <c r="CT125" s="297"/>
      <c r="CU125" s="297"/>
      <c r="CV125" s="297"/>
      <c r="CW125" s="297"/>
      <c r="CX125" s="297"/>
      <c r="CY125" s="297"/>
      <c r="CZ125" s="297"/>
      <c r="DA125" s="297"/>
      <c r="DB125" s="297"/>
      <c r="DC125" s="297"/>
      <c r="DD125" s="297"/>
      <c r="DE125" s="297"/>
      <c r="DF125" s="297"/>
      <c r="DG125" s="297"/>
      <c r="DH125" s="297"/>
      <c r="DI125" s="297"/>
      <c r="DJ125" s="297"/>
      <c r="DK125" s="297"/>
      <c r="DL125" s="297"/>
      <c r="DM125" s="297"/>
      <c r="DN125" s="297"/>
      <c r="DO125" s="297"/>
      <c r="DP125" s="297"/>
      <c r="DQ125" s="297"/>
      <c r="DR125" s="297"/>
      <c r="DS125" s="297"/>
      <c r="DT125" s="297"/>
      <c r="DU125" s="297"/>
      <c r="DV125" s="297"/>
      <c r="DW125" s="297"/>
      <c r="DX125" s="297"/>
      <c r="DY125" s="297"/>
      <c r="DZ125" s="297"/>
      <c r="EA125" s="297"/>
      <c r="EB125" s="297"/>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G125" s="159"/>
      <c r="FH125" s="159"/>
      <c r="FI125" s="159"/>
      <c r="FJ125" s="159"/>
      <c r="FK125" s="159"/>
      <c r="FL125" s="159"/>
      <c r="FM125" s="159"/>
      <c r="FN125" s="159"/>
      <c r="FO125" s="159"/>
      <c r="FP125" s="159"/>
      <c r="FQ125" s="159"/>
      <c r="FR125" s="159"/>
      <c r="FS125" s="159"/>
      <c r="FT125" s="159"/>
      <c r="FU125" s="159"/>
      <c r="FV125" s="159"/>
      <c r="FW125" s="159"/>
      <c r="FX125" s="159"/>
      <c r="FY125" s="159"/>
      <c r="FZ125" s="159"/>
      <c r="GA125" s="159"/>
      <c r="GB125" s="159"/>
      <c r="GC125" s="159"/>
      <c r="GD125" s="159"/>
      <c r="GE125" s="159"/>
      <c r="GF125" s="159"/>
      <c r="GG125" s="159"/>
      <c r="GH125" s="159"/>
      <c r="GI125" s="159"/>
      <c r="GJ125" s="159"/>
      <c r="GK125" s="159"/>
      <c r="GL125" s="159"/>
      <c r="GM125" s="159"/>
      <c r="GN125" s="159"/>
      <c r="GO125" s="159"/>
      <c r="GP125" s="159"/>
      <c r="GQ125" s="159"/>
      <c r="GR125" s="159"/>
      <c r="GS125" s="159"/>
      <c r="GT125" s="159"/>
      <c r="GU125" s="159"/>
      <c r="GV125" s="159"/>
      <c r="GW125" s="159"/>
      <c r="GX125" s="159"/>
      <c r="GY125" s="159"/>
      <c r="GZ125" s="159"/>
      <c r="HA125" s="159"/>
      <c r="HB125" s="159"/>
      <c r="HC125" s="159"/>
      <c r="HD125" s="159"/>
      <c r="HE125" s="159"/>
      <c r="HF125" s="159"/>
      <c r="HG125" s="159"/>
      <c r="HH125" s="159"/>
      <c r="HI125" s="159"/>
      <c r="HJ125" s="159"/>
      <c r="HK125" s="159"/>
      <c r="HL125" s="159"/>
      <c r="HM125" s="159"/>
      <c r="HN125" s="159"/>
      <c r="HO125" s="159"/>
      <c r="HP125" s="159"/>
      <c r="HQ125" s="159"/>
      <c r="HR125" s="159"/>
      <c r="HS125" s="159"/>
      <c r="HT125" s="159"/>
      <c r="HU125" s="159"/>
      <c r="HV125" s="159"/>
      <c r="HW125" s="159"/>
      <c r="HX125" s="159"/>
    </row>
    <row r="126" spans="1:232" ht="15" customHeight="1" x14ac:dyDescent="0.2">
      <c r="A126" s="221"/>
      <c r="B126" s="2"/>
      <c r="C126" s="854" t="s">
        <v>1171</v>
      </c>
      <c r="D126" s="854"/>
      <c r="E126" s="854"/>
      <c r="F126" s="854"/>
      <c r="G126" s="854"/>
      <c r="H126" s="854"/>
      <c r="I126" s="854"/>
      <c r="J126" s="854"/>
      <c r="K126" s="854"/>
      <c r="L126" s="854"/>
      <c r="M126" s="854"/>
      <c r="N126" s="854"/>
      <c r="O126" s="854"/>
      <c r="P126" s="854"/>
      <c r="Q126" s="854"/>
      <c r="R126" s="854"/>
      <c r="S126" s="854"/>
      <c r="T126" s="854"/>
      <c r="U126" s="854"/>
      <c r="V126" s="854"/>
      <c r="W126" s="854"/>
      <c r="X126" s="854"/>
      <c r="Y126" s="2"/>
      <c r="Z126" s="11"/>
      <c r="AA126" s="298"/>
      <c r="AB126" s="298"/>
      <c r="AC126" s="298"/>
      <c r="AD126" s="298"/>
      <c r="AE126" s="298"/>
      <c r="AF126" s="298"/>
      <c r="AG126" s="298"/>
      <c r="AH126" s="298"/>
      <c r="AI126" s="298"/>
      <c r="AJ126" s="298"/>
      <c r="AK126" s="298"/>
      <c r="AL126" s="298"/>
      <c r="AM126" s="298"/>
      <c r="AN126" s="298"/>
      <c r="AO126" s="298"/>
      <c r="AP126" s="298"/>
      <c r="AQ126" s="298"/>
      <c r="AR126" s="298"/>
      <c r="AS126" s="298"/>
      <c r="AT126" s="298"/>
      <c r="AU126" s="298"/>
      <c r="AV126" s="298"/>
      <c r="AW126" s="298"/>
      <c r="AX126" s="298"/>
      <c r="AY126" s="298"/>
      <c r="AZ126" s="298"/>
      <c r="BA126" s="298"/>
      <c r="BB126" s="298"/>
      <c r="BC126" s="298"/>
      <c r="BD126" s="298"/>
      <c r="BE126" s="298"/>
      <c r="BF126" s="298"/>
      <c r="BG126" s="298"/>
      <c r="BH126" s="298"/>
      <c r="BI126" s="298"/>
      <c r="BJ126" s="298"/>
      <c r="BK126" s="298"/>
      <c r="BL126" s="298"/>
      <c r="BM126" s="298"/>
      <c r="BN126" s="298"/>
      <c r="BO126" s="298"/>
      <c r="BP126" s="298"/>
      <c r="BQ126" s="298"/>
      <c r="BR126" s="298"/>
      <c r="BS126" s="298"/>
      <c r="BT126" s="298"/>
      <c r="BU126" s="298"/>
      <c r="BV126" s="298"/>
      <c r="BW126" s="298"/>
      <c r="BX126" s="298"/>
      <c r="BY126" s="298"/>
      <c r="BZ126" s="298"/>
      <c r="CA126" s="298"/>
      <c r="CB126" s="298"/>
      <c r="CC126" s="298"/>
      <c r="CD126" s="298"/>
      <c r="CE126" s="298"/>
      <c r="CF126" s="298"/>
      <c r="CG126" s="298"/>
      <c r="CH126" s="298"/>
      <c r="CI126" s="298"/>
      <c r="CJ126" s="298"/>
      <c r="CK126" s="298"/>
      <c r="CL126" s="298"/>
      <c r="CM126" s="298"/>
      <c r="CN126" s="298"/>
      <c r="CO126" s="298"/>
      <c r="CP126" s="298"/>
      <c r="CQ126" s="298"/>
      <c r="CR126" s="298"/>
      <c r="CS126" s="298"/>
      <c r="CT126" s="298"/>
      <c r="CU126" s="298"/>
      <c r="CV126" s="298"/>
      <c r="CW126" s="298"/>
      <c r="CX126" s="298"/>
      <c r="CY126" s="298"/>
      <c r="CZ126" s="298"/>
      <c r="DA126" s="298"/>
      <c r="DB126" s="298"/>
      <c r="DC126" s="298"/>
      <c r="DD126" s="298"/>
      <c r="DE126" s="298"/>
      <c r="DF126" s="298"/>
      <c r="DG126" s="298"/>
      <c r="DH126" s="298"/>
      <c r="DI126" s="298"/>
      <c r="DJ126" s="298"/>
      <c r="DK126" s="298"/>
      <c r="DL126" s="298"/>
      <c r="DM126" s="298"/>
      <c r="DN126" s="298"/>
      <c r="DO126" s="298"/>
      <c r="DP126" s="298"/>
      <c r="DQ126" s="298"/>
      <c r="DR126" s="298"/>
      <c r="DS126" s="298"/>
      <c r="DT126" s="298"/>
      <c r="DU126" s="298"/>
      <c r="DV126" s="298"/>
      <c r="DW126" s="298"/>
      <c r="DX126" s="298"/>
      <c r="DY126" s="298"/>
      <c r="DZ126" s="298"/>
      <c r="EA126" s="298"/>
      <c r="EB126" s="298"/>
      <c r="EC126" s="298"/>
      <c r="ED126" s="298"/>
      <c r="EE126" s="298"/>
      <c r="EF126" s="298"/>
      <c r="EG126" s="298"/>
      <c r="EH126" s="298"/>
      <c r="EI126" s="298"/>
      <c r="EJ126" s="298"/>
      <c r="EK126" s="298"/>
      <c r="EL126" s="298"/>
      <c r="EM126" s="298"/>
      <c r="EN126" s="298"/>
      <c r="EO126" s="298"/>
      <c r="EP126" s="298"/>
      <c r="EQ126" s="298"/>
      <c r="ER126" s="298"/>
      <c r="ES126" s="298"/>
      <c r="ET126" s="298"/>
      <c r="EU126" s="298"/>
      <c r="EV126" s="298"/>
      <c r="EW126" s="298"/>
      <c r="EX126" s="298"/>
      <c r="EY126" s="298"/>
      <c r="EZ126" s="298"/>
      <c r="FA126" s="298"/>
      <c r="FB126" s="298"/>
      <c r="FC126" s="298"/>
      <c r="FD126" s="298"/>
      <c r="FE126" s="298"/>
      <c r="FF126" s="298"/>
    </row>
    <row r="127" spans="1:232" x14ac:dyDescent="0.2">
      <c r="A127" s="221"/>
      <c r="B127" s="2"/>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2"/>
      <c r="Z127" s="11"/>
    </row>
    <row r="128" spans="1:232" x14ac:dyDescent="0.2">
      <c r="A128" s="221"/>
      <c r="B128" s="2"/>
      <c r="C128" s="2"/>
      <c r="D128" s="2"/>
      <c r="E128" s="2"/>
      <c r="F128" s="2"/>
      <c r="G128" s="2"/>
      <c r="H128" s="2"/>
      <c r="I128" s="2"/>
      <c r="J128" s="2"/>
      <c r="K128" s="2"/>
      <c r="L128" s="2"/>
      <c r="M128" s="2"/>
      <c r="N128" s="855" t="s">
        <v>630</v>
      </c>
      <c r="O128" s="855"/>
      <c r="P128" s="87"/>
      <c r="Q128" s="855" t="s">
        <v>631</v>
      </c>
      <c r="R128" s="855"/>
      <c r="S128" s="87"/>
      <c r="T128" s="855" t="s">
        <v>632</v>
      </c>
      <c r="U128" s="855"/>
      <c r="V128" s="87"/>
      <c r="W128" s="855" t="s">
        <v>648</v>
      </c>
      <c r="X128" s="855"/>
      <c r="Y128" s="2"/>
      <c r="Z128" s="11"/>
    </row>
    <row r="129" spans="1:26" ht="15.75" customHeight="1" x14ac:dyDescent="0.2">
      <c r="A129" s="221"/>
      <c r="B129" s="2"/>
      <c r="C129" s="2"/>
      <c r="D129" s="2"/>
      <c r="E129" s="2"/>
      <c r="F129" s="2"/>
      <c r="G129" s="2"/>
      <c r="H129" s="2"/>
      <c r="I129" s="2"/>
      <c r="J129" s="2"/>
      <c r="K129" s="2"/>
      <c r="L129" s="2"/>
      <c r="M129" s="2"/>
      <c r="N129" s="860" t="str">
        <f>+N68</f>
        <v>England</v>
      </c>
      <c r="O129" s="860"/>
      <c r="P129" s="81"/>
      <c r="Q129" s="860" t="str">
        <f>+Q68</f>
        <v>County/GLA</v>
      </c>
      <c r="R129" s="860"/>
      <c r="S129" s="81"/>
      <c r="T129" s="860" t="str">
        <f>+T68</f>
        <v>Fire</v>
      </c>
      <c r="U129" s="860"/>
      <c r="V129" s="264"/>
      <c r="W129" s="859" t="s">
        <v>641</v>
      </c>
      <c r="X129" s="859"/>
      <c r="Y129" s="2"/>
      <c r="Z129" s="11"/>
    </row>
    <row r="130" spans="1:26" ht="15.75" customHeight="1" x14ac:dyDescent="0.2">
      <c r="A130" s="221"/>
      <c r="B130" s="2"/>
      <c r="C130" s="2"/>
      <c r="D130" s="2"/>
      <c r="E130" s="2"/>
      <c r="F130" s="2"/>
      <c r="G130" s="2"/>
      <c r="H130" s="2"/>
      <c r="I130" s="2"/>
      <c r="J130" s="2"/>
      <c r="K130" s="2"/>
      <c r="L130" s="2"/>
      <c r="M130" s="2"/>
      <c r="N130" s="860"/>
      <c r="O130" s="860"/>
      <c r="P130" s="81"/>
      <c r="Q130" s="860"/>
      <c r="R130" s="860"/>
      <c r="S130" s="81"/>
      <c r="T130" s="860"/>
      <c r="U130" s="860"/>
      <c r="V130" s="81"/>
      <c r="W130" s="81"/>
      <c r="X130" s="81"/>
      <c r="Y130" s="2"/>
      <c r="Z130" s="11"/>
    </row>
    <row r="131" spans="1:26" ht="15.75" customHeight="1" x14ac:dyDescent="0.2">
      <c r="A131" s="221"/>
      <c r="B131" s="2"/>
      <c r="C131" s="2"/>
      <c r="D131" s="2"/>
      <c r="E131" s="2"/>
      <c r="F131" s="2"/>
      <c r="G131" s="2"/>
      <c r="H131" s="2"/>
      <c r="I131" s="2"/>
      <c r="J131" s="2"/>
      <c r="K131" s="2"/>
      <c r="L131" s="2"/>
      <c r="M131" s="2"/>
      <c r="N131" s="860"/>
      <c r="O131" s="860"/>
      <c r="P131" s="81"/>
      <c r="Q131" s="860"/>
      <c r="R131" s="860"/>
      <c r="S131" s="81"/>
      <c r="T131" s="860"/>
      <c r="U131" s="860"/>
      <c r="V131" s="81"/>
      <c r="W131" s="81"/>
      <c r="X131" s="81"/>
      <c r="Y131" s="2"/>
      <c r="Z131" s="11"/>
    </row>
    <row r="132" spans="1:26" ht="16.5" thickBot="1" x14ac:dyDescent="0.3">
      <c r="A132" s="221"/>
      <c r="B132" s="2"/>
      <c r="C132" s="13" t="s">
        <v>1104</v>
      </c>
      <c r="D132" s="13"/>
      <c r="E132" s="2"/>
      <c r="F132" s="2"/>
      <c r="G132" s="2"/>
      <c r="H132" s="2"/>
      <c r="I132" s="2"/>
      <c r="J132" s="2"/>
      <c r="K132" s="2"/>
      <c r="L132" s="2"/>
      <c r="M132" s="150"/>
      <c r="N132" s="858" t="s">
        <v>624</v>
      </c>
      <c r="O132" s="858"/>
      <c r="P132" s="225"/>
      <c r="Q132" s="858" t="s">
        <v>624</v>
      </c>
      <c r="R132" s="858"/>
      <c r="S132" s="225"/>
      <c r="T132" s="858" t="s">
        <v>624</v>
      </c>
      <c r="U132" s="858"/>
      <c r="V132" s="224"/>
      <c r="W132" s="858" t="s">
        <v>624</v>
      </c>
      <c r="X132" s="858"/>
      <c r="Y132" s="150"/>
      <c r="Z132" s="11"/>
    </row>
    <row r="133" spans="1:26" ht="16.5" thickBot="1" x14ac:dyDescent="0.25">
      <c r="A133" s="221"/>
      <c r="B133" s="2"/>
      <c r="C133" s="10"/>
      <c r="D133" s="493" t="s">
        <v>1156</v>
      </c>
      <c r="E133" s="10"/>
      <c r="F133" s="10"/>
      <c r="G133" s="10"/>
      <c r="H133" s="10"/>
      <c r="I133" s="10"/>
      <c r="J133" s="10"/>
      <c r="K133" s="10"/>
      <c r="L133" s="278"/>
      <c r="M133" s="279"/>
      <c r="N133" s="840">
        <f>VLOOKUP($L$13,DataSheet1!$B$8:$EH$322,91,FALSE)</f>
        <v>478598420</v>
      </c>
      <c r="O133" s="841"/>
      <c r="P133" s="225"/>
      <c r="Q133" s="840">
        <f>VLOOKUP($L$13,DataSheet1!$B$8:$EH$322,92,FALSE)</f>
        <v>159258997</v>
      </c>
      <c r="R133" s="841"/>
      <c r="S133" s="225"/>
      <c r="T133" s="840">
        <f>VLOOKUP($L$13,DataSheet1!$B$8:$EH$322,93,FALSE)</f>
        <v>5406047</v>
      </c>
      <c r="U133" s="841"/>
      <c r="V133" s="225"/>
      <c r="W133" s="840">
        <f>VLOOKUP($L$13,DataSheet1!$B$8:$EH$322,94,FALSE)</f>
        <v>643263464</v>
      </c>
      <c r="X133" s="841"/>
      <c r="Y133" s="150"/>
      <c r="Z133" s="55"/>
    </row>
    <row r="134" spans="1:26" x14ac:dyDescent="0.2">
      <c r="A134" s="221"/>
      <c r="B134" s="2"/>
      <c r="C134" s="10"/>
      <c r="D134" s="10"/>
      <c r="E134" s="216"/>
      <c r="F134" s="216"/>
      <c r="G134" s="216"/>
      <c r="H134" s="216"/>
      <c r="I134" s="216"/>
      <c r="J134" s="216"/>
      <c r="K134" s="10"/>
      <c r="L134" s="2"/>
      <c r="M134" s="150"/>
      <c r="N134" s="234"/>
      <c r="O134" s="234"/>
      <c r="P134" s="234"/>
      <c r="Q134" s="234"/>
      <c r="R134" s="234"/>
      <c r="S134" s="234"/>
      <c r="T134" s="234"/>
      <c r="U134" s="234"/>
      <c r="V134" s="234"/>
      <c r="W134" s="234"/>
      <c r="X134" s="234"/>
      <c r="Y134" s="150"/>
      <c r="Z134" s="11"/>
    </row>
    <row r="135" spans="1:26" ht="16.5" thickBot="1" x14ac:dyDescent="0.3">
      <c r="A135" s="221"/>
      <c r="B135" s="2"/>
      <c r="C135" s="13" t="s">
        <v>633</v>
      </c>
      <c r="D135" s="10"/>
      <c r="E135" s="216"/>
      <c r="F135" s="216"/>
      <c r="G135" s="216"/>
      <c r="H135" s="216"/>
      <c r="I135" s="216"/>
      <c r="J135" s="216"/>
      <c r="K135" s="10"/>
      <c r="L135" s="2"/>
      <c r="M135" s="150"/>
      <c r="N135" s="234"/>
      <c r="O135" s="234"/>
      <c r="P135" s="234"/>
      <c r="Q135" s="234"/>
      <c r="R135" s="234"/>
      <c r="S135" s="234"/>
      <c r="T135" s="234"/>
      <c r="U135" s="234"/>
      <c r="V135" s="234"/>
      <c r="W135" s="234"/>
      <c r="X135" s="234"/>
      <c r="Y135" s="150"/>
      <c r="Z135" s="11"/>
    </row>
    <row r="136" spans="1:26" ht="16.5" thickBot="1" x14ac:dyDescent="0.3">
      <c r="A136" s="221"/>
      <c r="B136" s="2"/>
      <c r="C136" s="10"/>
      <c r="D136" s="10" t="s">
        <v>1618</v>
      </c>
      <c r="E136" s="10"/>
      <c r="F136" s="10"/>
      <c r="G136" s="10"/>
      <c r="H136" s="10"/>
      <c r="I136" s="10"/>
      <c r="J136" s="159"/>
      <c r="K136" s="10"/>
      <c r="L136" s="278"/>
      <c r="M136" s="279"/>
      <c r="N136" s="840">
        <f>VLOOKUP($L$13,DataSheet1!$B$8:$EH$322,95,FALSE)</f>
        <v>736010810</v>
      </c>
      <c r="O136" s="841"/>
      <c r="P136" s="280"/>
      <c r="Q136" s="840">
        <f>VLOOKUP($L$13,DataSheet1!$B$8:$EH$322,96,FALSE)</f>
        <v>124864673</v>
      </c>
      <c r="R136" s="841"/>
      <c r="S136" s="280"/>
      <c r="T136" s="840">
        <f>VLOOKUP($L$13,DataSheet1!$B$8:$EH$322,97,FALSE)</f>
        <v>9917942</v>
      </c>
      <c r="U136" s="841"/>
      <c r="V136" s="225"/>
      <c r="W136" s="840">
        <f>VLOOKUP($L$13,DataSheet1!$B$8:$EH$322,98,FALSE)</f>
        <v>870793425</v>
      </c>
      <c r="X136" s="841"/>
      <c r="Y136" s="833" t="str">
        <f>IF(OR($L$13="E4602",$L$13="E4210",$L$13="E4703",$L$13="E2001",$L$13="E1733",$L$13="E2343",$L$13="E1835",$L$13="E3031",$L$13="E3035",$L$13="E3731",$L$13="E2338"),"(R)","")</f>
        <v/>
      </c>
      <c r="Z136" s="55"/>
    </row>
    <row r="137" spans="1:26" ht="16.5" thickBot="1" x14ac:dyDescent="0.3">
      <c r="A137" s="221"/>
      <c r="B137" s="2"/>
      <c r="C137" s="13"/>
      <c r="D137" s="10"/>
      <c r="E137" s="216"/>
      <c r="F137" s="216"/>
      <c r="G137" s="216"/>
      <c r="H137" s="216"/>
      <c r="I137" s="216"/>
      <c r="J137" s="216"/>
      <c r="K137" s="10"/>
      <c r="L137" s="2"/>
      <c r="M137" s="150"/>
      <c r="N137" s="540"/>
      <c r="O137" s="540"/>
      <c r="P137" s="540"/>
      <c r="Q137" s="540"/>
      <c r="R137" s="540"/>
      <c r="S137" s="540"/>
      <c r="T137" s="540"/>
      <c r="U137" s="540"/>
      <c r="V137" s="540"/>
      <c r="W137" s="541"/>
      <c r="X137" s="540"/>
      <c r="Y137" s="150"/>
      <c r="Z137" s="11"/>
    </row>
    <row r="138" spans="1:26" ht="16.5" thickBot="1" x14ac:dyDescent="0.3">
      <c r="A138" s="221"/>
      <c r="B138" s="2"/>
      <c r="C138" s="13"/>
      <c r="D138" s="10" t="s">
        <v>1155</v>
      </c>
      <c r="E138" s="216"/>
      <c r="F138" s="216"/>
      <c r="G138" s="216"/>
      <c r="H138" s="216"/>
      <c r="I138" s="216"/>
      <c r="J138" s="216"/>
      <c r="K138" s="10"/>
      <c r="L138" s="2"/>
      <c r="M138" s="150"/>
      <c r="N138" s="840">
        <f>VLOOKUP($L$13,DataSheet1!$B$8:$EH$322,99,FALSE)</f>
        <v>45664162</v>
      </c>
      <c r="O138" s="841"/>
      <c r="P138" s="495"/>
      <c r="Q138" s="856">
        <f>VLOOKUP($L$13,DataSheet1!$B$8:$EH$322,100,FALSE)</f>
        <v>9060877</v>
      </c>
      <c r="R138" s="857"/>
      <c r="S138" s="495"/>
      <c r="T138" s="856">
        <f>VLOOKUP($L$13,DataSheet1!$B$8:$EH$322,101,FALSE)</f>
        <v>593144</v>
      </c>
      <c r="U138" s="857"/>
      <c r="V138" s="495"/>
      <c r="W138" s="856">
        <f>VLOOKUP($L$13,DataSheet1!$B$8:$EH$322,102,FALSE)</f>
        <v>55318183</v>
      </c>
      <c r="X138" s="857"/>
      <c r="Y138" s="150"/>
      <c r="Z138" s="512"/>
    </row>
    <row r="139" spans="1:26" ht="16.5" thickBot="1" x14ac:dyDescent="0.3">
      <c r="A139" s="221"/>
      <c r="B139" s="2"/>
      <c r="C139" s="13"/>
      <c r="D139" s="10"/>
      <c r="E139" s="216"/>
      <c r="F139" s="216"/>
      <c r="G139" s="216"/>
      <c r="H139" s="216"/>
      <c r="I139" s="216"/>
      <c r="J139" s="216"/>
      <c r="K139" s="10"/>
      <c r="L139" s="2"/>
      <c r="M139" s="150"/>
      <c r="N139" s="495"/>
      <c r="O139" s="495"/>
      <c r="P139" s="495"/>
      <c r="Q139" s="495"/>
      <c r="R139" s="495"/>
      <c r="S139" s="495"/>
      <c r="T139" s="495"/>
      <c r="U139" s="495"/>
      <c r="V139" s="495"/>
      <c r="W139" s="496"/>
      <c r="X139" s="495"/>
      <c r="Y139" s="150"/>
      <c r="Z139" s="512"/>
    </row>
    <row r="140" spans="1:26" ht="16.5" thickBot="1" x14ac:dyDescent="0.25">
      <c r="A140" s="221"/>
      <c r="B140" s="2"/>
      <c r="C140" s="10"/>
      <c r="D140" s="10" t="s">
        <v>1147</v>
      </c>
      <c r="E140" s="216"/>
      <c r="F140" s="216"/>
      <c r="G140" s="216"/>
      <c r="H140" s="216"/>
      <c r="I140" s="216"/>
      <c r="J140" s="216"/>
      <c r="K140" s="216"/>
      <c r="L140" s="2"/>
      <c r="M140" s="150"/>
      <c r="N140" s="840">
        <f>VLOOKUP($L$13,DataSheet1!$B$8:$EH$322,103,FALSE)</f>
        <v>1735310</v>
      </c>
      <c r="O140" s="841"/>
      <c r="P140" s="225"/>
      <c r="Q140" s="840">
        <f>VLOOKUP($L$13,DataSheet1!$B$8:$EH$322,104,FALSE)</f>
        <v>193201</v>
      </c>
      <c r="R140" s="841"/>
      <c r="S140" s="225"/>
      <c r="T140" s="840">
        <f>VLOOKUP($L$13,DataSheet1!$B$8:$EH$322,105,FALSE)</f>
        <v>26833</v>
      </c>
      <c r="U140" s="841"/>
      <c r="V140" s="225"/>
      <c r="W140" s="840">
        <f>VLOOKUP($L$13,DataSheet1!$B$8:$EH$322,106,FALSE)</f>
        <v>1955344</v>
      </c>
      <c r="X140" s="841"/>
      <c r="Y140" s="150"/>
      <c r="Z140" s="55"/>
    </row>
    <row r="141" spans="1:26" x14ac:dyDescent="0.2">
      <c r="A141" s="221"/>
      <c r="B141" s="2"/>
      <c r="C141" s="10"/>
      <c r="D141" s="10"/>
      <c r="E141" s="216"/>
      <c r="F141" s="216"/>
      <c r="G141" s="216"/>
      <c r="H141" s="216"/>
      <c r="I141" s="216"/>
      <c r="J141" s="216"/>
      <c r="K141" s="216"/>
      <c r="L141" s="2"/>
      <c r="M141" s="150"/>
      <c r="N141" s="234"/>
      <c r="O141" s="234"/>
      <c r="P141" s="234"/>
      <c r="Q141" s="234"/>
      <c r="R141" s="234"/>
      <c r="S141" s="234"/>
      <c r="T141" s="234"/>
      <c r="U141" s="234"/>
      <c r="V141" s="234"/>
      <c r="W141" s="234"/>
      <c r="X141" s="234"/>
      <c r="Y141" s="150"/>
      <c r="Z141" s="11"/>
    </row>
    <row r="142" spans="1:26" ht="16.5" thickBot="1" x14ac:dyDescent="0.3">
      <c r="A142" s="221"/>
      <c r="B142" s="2"/>
      <c r="C142" s="13" t="s">
        <v>903</v>
      </c>
      <c r="D142" s="10"/>
      <c r="E142" s="216"/>
      <c r="F142" s="216"/>
      <c r="G142" s="216"/>
      <c r="H142" s="216"/>
      <c r="I142" s="216"/>
      <c r="J142" s="216"/>
      <c r="K142" s="216"/>
      <c r="L142" s="2"/>
      <c r="M142" s="150"/>
      <c r="N142" s="234"/>
      <c r="O142" s="234"/>
      <c r="P142" s="234"/>
      <c r="Q142" s="234"/>
      <c r="R142" s="234"/>
      <c r="S142" s="234"/>
      <c r="T142" s="234"/>
      <c r="U142" s="234"/>
      <c r="V142" s="234"/>
      <c r="W142" s="234"/>
      <c r="X142" s="234"/>
      <c r="Y142" s="150"/>
      <c r="Z142" s="11"/>
    </row>
    <row r="143" spans="1:26" ht="16.5" thickBot="1" x14ac:dyDescent="0.25">
      <c r="A143" s="221"/>
      <c r="B143" s="2"/>
      <c r="C143" s="10"/>
      <c r="D143" s="10" t="s">
        <v>1148</v>
      </c>
      <c r="E143" s="216"/>
      <c r="F143" s="216"/>
      <c r="G143" s="216"/>
      <c r="H143" s="216"/>
      <c r="I143" s="216"/>
      <c r="J143" s="216"/>
      <c r="K143" s="216"/>
      <c r="L143" s="2"/>
      <c r="M143" s="150"/>
      <c r="N143" s="840">
        <f>VLOOKUP($L$13,DataSheet1!$B$8:$EH$322,107,FALSE)</f>
        <v>2053119</v>
      </c>
      <c r="O143" s="841"/>
      <c r="P143" s="225"/>
      <c r="Q143" s="840">
        <f>VLOOKUP($L$13,DataSheet1!$B$8:$EH$322,108,FALSE)</f>
        <v>327353</v>
      </c>
      <c r="R143" s="841"/>
      <c r="S143" s="225"/>
      <c r="T143" s="840">
        <f>VLOOKUP($L$13,DataSheet1!$B$8:$EH$322,109,FALSE)</f>
        <v>28275</v>
      </c>
      <c r="U143" s="841"/>
      <c r="V143" s="225"/>
      <c r="W143" s="840">
        <f>VLOOKUP($L$13,DataSheet1!$B$8:$EH$322,110,FALSE)</f>
        <v>2408747</v>
      </c>
      <c r="X143" s="841"/>
      <c r="Y143" s="150"/>
      <c r="Z143" s="55"/>
    </row>
    <row r="144" spans="1:26" x14ac:dyDescent="0.2">
      <c r="A144" s="221"/>
      <c r="B144" s="2"/>
      <c r="C144" s="10"/>
      <c r="D144" s="10"/>
      <c r="E144" s="10"/>
      <c r="F144" s="10"/>
      <c r="G144" s="10"/>
      <c r="H144" s="10"/>
      <c r="I144" s="10"/>
      <c r="J144" s="10"/>
      <c r="K144" s="10"/>
      <c r="L144" s="2"/>
      <c r="M144" s="150"/>
      <c r="N144" s="234"/>
      <c r="O144" s="234"/>
      <c r="P144" s="234"/>
      <c r="Q144" s="234"/>
      <c r="R144" s="234"/>
      <c r="S144" s="234"/>
      <c r="T144" s="234"/>
      <c r="U144" s="234"/>
      <c r="V144" s="234"/>
      <c r="W144" s="234"/>
      <c r="X144" s="234"/>
      <c r="Y144" s="150"/>
      <c r="Z144" s="11"/>
    </row>
    <row r="145" spans="1:26" ht="16.5" thickBot="1" x14ac:dyDescent="0.3">
      <c r="A145" s="221"/>
      <c r="B145" s="2"/>
      <c r="C145" s="13" t="s">
        <v>1094</v>
      </c>
      <c r="D145" s="10"/>
      <c r="E145" s="10"/>
      <c r="F145" s="10"/>
      <c r="G145" s="10"/>
      <c r="H145" s="10"/>
      <c r="I145" s="10"/>
      <c r="J145" s="10"/>
      <c r="K145" s="10"/>
      <c r="L145" s="278"/>
      <c r="M145" s="150"/>
      <c r="N145" s="234"/>
      <c r="O145" s="234"/>
      <c r="P145" s="234"/>
      <c r="Q145" s="234"/>
      <c r="R145" s="234"/>
      <c r="S145" s="234"/>
      <c r="T145" s="234"/>
      <c r="U145" s="234"/>
      <c r="V145" s="234"/>
      <c r="W145" s="234"/>
      <c r="X145" s="234"/>
      <c r="Y145" s="150"/>
      <c r="Z145" s="11"/>
    </row>
    <row r="146" spans="1:26" ht="16.5" thickBot="1" x14ac:dyDescent="0.25">
      <c r="A146" s="221"/>
      <c r="B146" s="2"/>
      <c r="C146" s="10"/>
      <c r="D146" s="10" t="s">
        <v>1101</v>
      </c>
      <c r="E146" s="216"/>
      <c r="F146" s="216"/>
      <c r="G146" s="216"/>
      <c r="H146" s="216"/>
      <c r="I146" s="216"/>
      <c r="J146" s="216"/>
      <c r="K146" s="216"/>
      <c r="L146" s="278"/>
      <c r="M146" s="150"/>
      <c r="N146" s="840">
        <f>VLOOKUP($L$13,DataSheet1!$B$8:$EH$322,111,FALSE)</f>
        <v>7155159</v>
      </c>
      <c r="O146" s="841"/>
      <c r="P146" s="225"/>
      <c r="Q146" s="840">
        <f>VLOOKUP($L$13,DataSheet1!$B$8:$EH$322,112,FALSE)</f>
        <v>2304629</v>
      </c>
      <c r="R146" s="841"/>
      <c r="S146" s="225"/>
      <c r="T146" s="840">
        <f>VLOOKUP($L$13,DataSheet1!$B$8:$EH$322,113,FALSE)</f>
        <v>82552</v>
      </c>
      <c r="U146" s="841"/>
      <c r="V146" s="225"/>
      <c r="W146" s="840">
        <f>VLOOKUP($L$13,DataSheet1!$B$8:$EH$322,114,FALSE)</f>
        <v>9542340</v>
      </c>
      <c r="X146" s="841"/>
      <c r="Y146" s="150"/>
      <c r="Z146" s="55"/>
    </row>
    <row r="147" spans="1:26" x14ac:dyDescent="0.2">
      <c r="A147" s="221"/>
      <c r="B147" s="2"/>
      <c r="C147" s="10"/>
      <c r="D147" s="10"/>
      <c r="E147" s="216"/>
      <c r="F147" s="216"/>
      <c r="G147" s="216"/>
      <c r="H147" s="216"/>
      <c r="I147" s="216"/>
      <c r="J147" s="216"/>
      <c r="K147" s="216"/>
      <c r="L147" s="278"/>
      <c r="M147" s="150"/>
      <c r="N147" s="234"/>
      <c r="O147" s="234"/>
      <c r="P147" s="234"/>
      <c r="Q147" s="234"/>
      <c r="R147" s="234"/>
      <c r="S147" s="234"/>
      <c r="T147" s="234"/>
      <c r="U147" s="234"/>
      <c r="V147" s="234"/>
      <c r="W147" s="234"/>
      <c r="X147" s="234"/>
      <c r="Y147" s="150"/>
      <c r="Z147" s="11"/>
    </row>
    <row r="148" spans="1:26" ht="16.5" thickBot="1" x14ac:dyDescent="0.3">
      <c r="A148" s="221"/>
      <c r="B148" s="2"/>
      <c r="C148" s="13" t="s">
        <v>1105</v>
      </c>
      <c r="D148" s="10"/>
      <c r="E148" s="10"/>
      <c r="F148" s="10"/>
      <c r="G148" s="10"/>
      <c r="H148" s="10"/>
      <c r="I148" s="10"/>
      <c r="J148" s="10"/>
      <c r="K148" s="10"/>
      <c r="L148" s="278"/>
      <c r="M148" s="279"/>
      <c r="N148" s="284"/>
      <c r="O148" s="284"/>
      <c r="P148" s="284"/>
      <c r="Q148" s="284"/>
      <c r="R148" s="284"/>
      <c r="S148" s="284"/>
      <c r="T148" s="284"/>
      <c r="U148" s="284"/>
      <c r="V148" s="284"/>
      <c r="W148" s="284"/>
      <c r="X148" s="284"/>
      <c r="Y148" s="150"/>
      <c r="Z148" s="11"/>
    </row>
    <row r="149" spans="1:26" ht="16.5" thickBot="1" x14ac:dyDescent="0.25">
      <c r="A149" s="221"/>
      <c r="B149" s="2"/>
      <c r="C149" s="10"/>
      <c r="D149" s="10" t="s">
        <v>1110</v>
      </c>
      <c r="E149" s="216"/>
      <c r="F149" s="216"/>
      <c r="G149" s="216"/>
      <c r="H149" s="216"/>
      <c r="I149" s="216"/>
      <c r="J149" s="216"/>
      <c r="K149" s="216"/>
      <c r="L149" s="278"/>
      <c r="M149" s="279"/>
      <c r="N149" s="840">
        <f>VLOOKUP($L$13,DataSheet1!$B$8:$EH$322,115,FALSE)</f>
        <v>1998368</v>
      </c>
      <c r="O149" s="841"/>
      <c r="P149" s="225"/>
      <c r="Q149" s="840">
        <f>VLOOKUP($L$13,DataSheet1!$B$8:$EH$322,116,FALSE)</f>
        <v>847269</v>
      </c>
      <c r="R149" s="841"/>
      <c r="S149" s="225"/>
      <c r="T149" s="840">
        <f>VLOOKUP($L$13,DataSheet1!$B$8:$EH$322,117,FALSE)</f>
        <v>19918</v>
      </c>
      <c r="U149" s="841"/>
      <c r="V149" s="225"/>
      <c r="W149" s="840">
        <f>VLOOKUP($L$13,DataSheet1!$B$8:$EH$322,118,FALSE)</f>
        <v>2865555</v>
      </c>
      <c r="X149" s="841"/>
      <c r="Y149" s="150"/>
      <c r="Z149" s="55"/>
    </row>
    <row r="150" spans="1:26" ht="15.75" x14ac:dyDescent="0.2">
      <c r="A150" s="221"/>
      <c r="B150" s="2"/>
      <c r="C150" s="10"/>
      <c r="D150" s="10"/>
      <c r="E150" s="216"/>
      <c r="F150" s="216"/>
      <c r="G150" s="216"/>
      <c r="H150" s="216"/>
      <c r="I150" s="216"/>
      <c r="J150" s="216"/>
      <c r="K150" s="216"/>
      <c r="L150" s="278"/>
      <c r="M150" s="279"/>
      <c r="N150" s="228"/>
      <c r="O150" s="228"/>
      <c r="P150" s="225"/>
      <c r="Q150" s="228"/>
      <c r="R150" s="228"/>
      <c r="S150" s="225"/>
      <c r="T150" s="228"/>
      <c r="U150" s="228"/>
      <c r="V150" s="225"/>
      <c r="W150" s="228"/>
      <c r="X150" s="228"/>
      <c r="Y150" s="150"/>
      <c r="Z150" s="55"/>
    </row>
    <row r="151" spans="1:26" ht="16.5" thickBot="1" x14ac:dyDescent="0.3">
      <c r="A151" s="221"/>
      <c r="B151" s="2"/>
      <c r="C151" s="13" t="s">
        <v>1165</v>
      </c>
      <c r="D151" s="10"/>
      <c r="E151" s="216"/>
      <c r="F151" s="216"/>
      <c r="G151" s="216"/>
      <c r="H151" s="216"/>
      <c r="I151" s="216"/>
      <c r="J151" s="216"/>
      <c r="K151" s="216"/>
      <c r="L151" s="278"/>
      <c r="M151" s="279"/>
      <c r="N151" s="839"/>
      <c r="O151" s="839"/>
      <c r="P151" s="548"/>
      <c r="Q151" s="839"/>
      <c r="R151" s="839"/>
      <c r="S151" s="548"/>
      <c r="T151" s="839"/>
      <c r="U151" s="839"/>
      <c r="V151" s="548"/>
      <c r="W151" s="839"/>
      <c r="X151" s="839"/>
      <c r="Y151" s="150"/>
      <c r="Z151" s="11"/>
    </row>
    <row r="152" spans="1:26" ht="16.5" thickBot="1" x14ac:dyDescent="0.25">
      <c r="A152" s="221"/>
      <c r="B152" s="2"/>
      <c r="C152" s="10"/>
      <c r="D152" s="10" t="s">
        <v>1116</v>
      </c>
      <c r="E152" s="216"/>
      <c r="F152" s="216"/>
      <c r="G152" s="216"/>
      <c r="H152" s="216"/>
      <c r="I152" s="216"/>
      <c r="J152" s="216"/>
      <c r="K152" s="216"/>
      <c r="L152" s="278"/>
      <c r="M152" s="279"/>
      <c r="N152" s="840">
        <f>VLOOKUP($L$13,DataSheet1!$B$8:$EH$322,119,FALSE)</f>
        <v>4610518.3000000007</v>
      </c>
      <c r="O152" s="841"/>
      <c r="P152" s="225"/>
      <c r="Q152" s="840">
        <f>VLOOKUP($L$13,DataSheet1!$B$8:$EH$322,120,FALSE)</f>
        <v>0</v>
      </c>
      <c r="R152" s="841"/>
      <c r="S152" s="225"/>
      <c r="T152" s="840">
        <f>VLOOKUP($L$13,DataSheet1!$B$8:$EH$322,121,FALSE)</f>
        <v>2106.7000000000003</v>
      </c>
      <c r="U152" s="841"/>
      <c r="V152" s="225"/>
      <c r="W152" s="840">
        <f>VLOOKUP($L$13,DataSheet1!$B$8:$EH$322,122,FALSE)</f>
        <v>4612625</v>
      </c>
      <c r="X152" s="841"/>
      <c r="Y152" s="150"/>
      <c r="Z152" s="55"/>
    </row>
    <row r="153" spans="1:26" ht="15.75" x14ac:dyDescent="0.2">
      <c r="A153" s="221"/>
      <c r="B153" s="2"/>
      <c r="C153" s="10"/>
      <c r="D153" s="10"/>
      <c r="E153" s="216"/>
      <c r="F153" s="216"/>
      <c r="G153" s="216"/>
      <c r="H153" s="216"/>
      <c r="I153" s="216"/>
      <c r="J153" s="216"/>
      <c r="K153" s="216"/>
      <c r="L153" s="278"/>
      <c r="M153" s="279"/>
      <c r="N153" s="228"/>
      <c r="O153" s="228"/>
      <c r="P153" s="225"/>
      <c r="Q153" s="228"/>
      <c r="R153" s="228"/>
      <c r="S153" s="225"/>
      <c r="T153" s="228"/>
      <c r="U153" s="228"/>
      <c r="V153" s="225"/>
      <c r="W153" s="228"/>
      <c r="X153" s="228"/>
      <c r="Y153" s="150"/>
      <c r="Z153" s="55"/>
    </row>
    <row r="154" spans="1:26" ht="16.5" thickBot="1" x14ac:dyDescent="0.3">
      <c r="A154" s="221"/>
      <c r="B154" s="2"/>
      <c r="C154" s="13" t="s">
        <v>1161</v>
      </c>
      <c r="D154" s="10"/>
      <c r="E154" s="216"/>
      <c r="F154" s="216"/>
      <c r="G154" s="216"/>
      <c r="H154" s="216"/>
      <c r="I154" s="216"/>
      <c r="J154" s="216"/>
      <c r="K154" s="216"/>
      <c r="L154" s="278"/>
      <c r="M154" s="279"/>
      <c r="N154" s="228"/>
      <c r="O154" s="228"/>
      <c r="P154" s="225"/>
      <c r="Q154" s="228"/>
      <c r="R154" s="228"/>
      <c r="S154" s="225"/>
      <c r="T154" s="228"/>
      <c r="U154" s="228"/>
      <c r="V154" s="225"/>
      <c r="W154" s="228"/>
      <c r="X154" s="228"/>
      <c r="Y154" s="150"/>
      <c r="Z154" s="55"/>
    </row>
    <row r="155" spans="1:26" ht="16.5" thickBot="1" x14ac:dyDescent="0.25">
      <c r="A155" s="221"/>
      <c r="B155" s="2"/>
      <c r="C155" s="10"/>
      <c r="D155" s="10" t="s">
        <v>1149</v>
      </c>
      <c r="E155" s="216"/>
      <c r="F155" s="216"/>
      <c r="G155" s="216"/>
      <c r="H155" s="216"/>
      <c r="I155" s="216"/>
      <c r="J155" s="216"/>
      <c r="K155" s="216"/>
      <c r="L155" s="278"/>
      <c r="M155" s="279"/>
      <c r="N155" s="848">
        <f>VLOOKUP($L$13,DataSheet1!$B$8:$EH$322,123,FALSE)</f>
        <v>139427</v>
      </c>
      <c r="O155" s="849"/>
      <c r="P155" s="225"/>
      <c r="Q155" s="848">
        <f>VLOOKUP($L$13,DataSheet1!$B$8:$EH$322,124,FALSE)</f>
        <v>30104</v>
      </c>
      <c r="R155" s="849"/>
      <c r="S155" s="225"/>
      <c r="T155" s="848">
        <f>VLOOKUP($L$13,DataSheet1!$B$8:$EH$322,125,FALSE)</f>
        <v>1747</v>
      </c>
      <c r="U155" s="849"/>
      <c r="V155" s="225"/>
      <c r="W155" s="848">
        <f>VLOOKUP($L$13,DataSheet1!$B$8:$EH$322,126,FALSE)</f>
        <v>171278</v>
      </c>
      <c r="X155" s="849"/>
      <c r="Y155" s="150"/>
      <c r="Z155" s="55"/>
    </row>
    <row r="156" spans="1:26" ht="15.75" x14ac:dyDescent="0.25">
      <c r="A156" s="221"/>
      <c r="B156" s="2"/>
      <c r="C156" s="10"/>
      <c r="D156" s="10"/>
      <c r="E156" s="216"/>
      <c r="F156" s="216"/>
      <c r="G156" s="216"/>
      <c r="H156" s="216"/>
      <c r="I156" s="216"/>
      <c r="J156" s="216"/>
      <c r="K156" s="216"/>
      <c r="L156" s="278"/>
      <c r="M156" s="279"/>
      <c r="N156" s="228"/>
      <c r="O156" s="498"/>
      <c r="P156" s="225"/>
      <c r="Q156" s="228"/>
      <c r="R156" s="228"/>
      <c r="S156" s="225"/>
      <c r="T156" s="228"/>
      <c r="U156" s="228"/>
      <c r="V156" s="225"/>
      <c r="W156" s="498"/>
      <c r="X156" s="498"/>
      <c r="Y156" s="150"/>
      <c r="Z156" s="499"/>
    </row>
    <row r="157" spans="1:26" ht="16.5" thickBot="1" x14ac:dyDescent="0.3">
      <c r="A157" s="221"/>
      <c r="B157" s="2"/>
      <c r="C157" s="13" t="s">
        <v>1160</v>
      </c>
      <c r="D157" s="10"/>
      <c r="E157" s="216"/>
      <c r="F157" s="216"/>
      <c r="G157" s="216"/>
      <c r="H157" s="216"/>
      <c r="I157" s="216"/>
      <c r="J157" s="216"/>
      <c r="K157" s="216"/>
      <c r="L157" s="278"/>
      <c r="M157" s="279"/>
      <c r="N157" s="228"/>
      <c r="O157" s="498"/>
      <c r="P157" s="225"/>
      <c r="Q157" s="228"/>
      <c r="R157" s="228"/>
      <c r="S157" s="225"/>
      <c r="T157" s="228"/>
      <c r="U157" s="228"/>
      <c r="V157" s="225"/>
      <c r="W157" s="498"/>
      <c r="X157" s="498"/>
      <c r="Y157" s="150"/>
      <c r="Z157" s="499"/>
    </row>
    <row r="158" spans="1:26" ht="16.5" thickBot="1" x14ac:dyDescent="0.25">
      <c r="A158" s="221"/>
      <c r="B158" s="2"/>
      <c r="C158" s="10"/>
      <c r="D158" s="10" t="s">
        <v>1159</v>
      </c>
      <c r="E158" s="216"/>
      <c r="F158" s="216"/>
      <c r="G158" s="216"/>
      <c r="H158" s="216"/>
      <c r="I158" s="216"/>
      <c r="J158" s="216"/>
      <c r="K158" s="216"/>
      <c r="L158" s="278"/>
      <c r="M158" s="279"/>
      <c r="N158" s="840">
        <f>VLOOKUP($L$13,DataSheet1!$B$8:$EH$322,127,FALSE)</f>
        <v>241178190</v>
      </c>
      <c r="O158" s="841"/>
      <c r="P158" s="225"/>
      <c r="Q158" s="840">
        <f>VLOOKUP($L$13,DataSheet1!$B$8:$EH$322,128,FALSE)</f>
        <v>68696916</v>
      </c>
      <c r="R158" s="841"/>
      <c r="S158" s="225"/>
      <c r="T158" s="840">
        <f>VLOOKUP($L$13,DataSheet1!$B$8:$EH$322,129,FALSE)</f>
        <v>2890577</v>
      </c>
      <c r="U158" s="841"/>
      <c r="V158" s="225"/>
      <c r="W158" s="840">
        <f>VLOOKUP($L$13,DataSheet1!$B$8:$EH$322,130,FALSE)</f>
        <v>312765683</v>
      </c>
      <c r="X158" s="841"/>
      <c r="Y158" s="150"/>
      <c r="Z158" s="499"/>
    </row>
    <row r="159" spans="1:26" ht="16.5" thickBot="1" x14ac:dyDescent="0.25">
      <c r="A159" s="221"/>
      <c r="B159" s="2"/>
      <c r="C159" s="10"/>
      <c r="D159" s="10"/>
      <c r="E159" s="216"/>
      <c r="F159" s="216"/>
      <c r="G159" s="216"/>
      <c r="H159" s="216"/>
      <c r="I159" s="216"/>
      <c r="J159" s="216"/>
      <c r="K159" s="216"/>
      <c r="L159" s="278"/>
      <c r="M159" s="279"/>
      <c r="N159" s="228"/>
      <c r="O159" s="228"/>
      <c r="P159" s="225"/>
      <c r="Q159" s="228"/>
      <c r="R159" s="228"/>
      <c r="S159" s="225"/>
      <c r="T159" s="228"/>
      <c r="U159" s="228"/>
      <c r="V159" s="225"/>
      <c r="W159" s="228"/>
      <c r="X159" s="228"/>
      <c r="Y159" s="150"/>
      <c r="Z159" s="499"/>
    </row>
    <row r="160" spans="1:26" x14ac:dyDescent="0.2">
      <c r="A160" s="221"/>
      <c r="B160" s="17"/>
      <c r="C160" s="18"/>
      <c r="D160" s="18"/>
      <c r="E160" s="18"/>
      <c r="F160" s="18"/>
      <c r="G160" s="18"/>
      <c r="H160" s="18"/>
      <c r="I160" s="18"/>
      <c r="J160" s="18"/>
      <c r="K160" s="84"/>
      <c r="L160" s="84"/>
      <c r="M160" s="761"/>
      <c r="N160" s="761"/>
      <c r="O160" s="761"/>
      <c r="P160" s="761"/>
      <c r="Q160" s="761"/>
      <c r="R160" s="761"/>
      <c r="S160" s="761"/>
      <c r="T160" s="761"/>
      <c r="U160" s="761"/>
      <c r="V160" s="761"/>
      <c r="W160" s="761"/>
      <c r="X160" s="761"/>
      <c r="Y160" s="760"/>
      <c r="Z160" s="499"/>
    </row>
    <row r="161" spans="1:26" ht="16.5" thickBot="1" x14ac:dyDescent="0.3">
      <c r="A161" s="221"/>
      <c r="B161" s="19"/>
      <c r="C161" s="20" t="s">
        <v>642</v>
      </c>
      <c r="D161" s="8"/>
      <c r="E161" s="8"/>
      <c r="F161" s="8"/>
      <c r="G161" s="8"/>
      <c r="H161" s="8"/>
      <c r="I161" s="8"/>
      <c r="J161" s="8"/>
      <c r="K161" s="8"/>
      <c r="L161" s="8"/>
      <c r="M161" s="755"/>
      <c r="N161" s="755"/>
      <c r="O161" s="755"/>
      <c r="P161" s="755"/>
      <c r="Q161" s="755"/>
      <c r="R161" s="755"/>
      <c r="S161" s="755"/>
      <c r="T161" s="755"/>
      <c r="U161" s="755"/>
      <c r="V161" s="755"/>
      <c r="W161" s="755"/>
      <c r="X161" s="755"/>
      <c r="Y161" s="759"/>
      <c r="Z161" s="499"/>
    </row>
    <row r="162" spans="1:26" ht="16.5" thickBot="1" x14ac:dyDescent="0.25">
      <c r="A162" s="221"/>
      <c r="B162" s="19"/>
      <c r="C162" s="8" t="s">
        <v>1576</v>
      </c>
      <c r="D162" s="8"/>
      <c r="E162" s="8"/>
      <c r="F162" s="8"/>
      <c r="G162" s="8"/>
      <c r="H162" s="8"/>
      <c r="I162" s="8"/>
      <c r="J162" s="8"/>
      <c r="K162" s="117"/>
      <c r="L162" s="117"/>
      <c r="M162" s="755"/>
      <c r="N162" s="850">
        <f>VLOOKUP($L$13,DataSheet1!$B$8:$EH$322,131,FALSE)</f>
        <v>1519143483.3</v>
      </c>
      <c r="O162" s="851"/>
      <c r="P162" s="756"/>
      <c r="Q162" s="850">
        <f>VLOOKUP($L$13,DataSheet1!$B$8:$EH$322,132,FALSE)</f>
        <v>365584019</v>
      </c>
      <c r="R162" s="851"/>
      <c r="S162" s="756"/>
      <c r="T162" s="850">
        <f>VLOOKUP($L$13,DataSheet1!$B$8:$EH$322,133,FALSE)</f>
        <v>18969141.699999999</v>
      </c>
      <c r="U162" s="851"/>
      <c r="V162" s="756"/>
      <c r="W162" s="850">
        <f>VLOOKUP($L$13,DataSheet1!$B$8:$EH$322,134,FALSE)</f>
        <v>1903696644</v>
      </c>
      <c r="X162" s="851"/>
      <c r="Y162" s="759"/>
      <c r="Z162" s="499"/>
    </row>
    <row r="163" spans="1:26" ht="15.75" thickBot="1" x14ac:dyDescent="0.25">
      <c r="A163" s="221"/>
      <c r="B163" s="21"/>
      <c r="C163" s="22"/>
      <c r="D163" s="22"/>
      <c r="E163" s="22"/>
      <c r="F163" s="22"/>
      <c r="G163" s="22"/>
      <c r="H163" s="22"/>
      <c r="I163" s="22"/>
      <c r="J163" s="22"/>
      <c r="K163" s="22"/>
      <c r="L163" s="22"/>
      <c r="M163" s="757"/>
      <c r="N163" s="757"/>
      <c r="O163" s="757"/>
      <c r="P163" s="757"/>
      <c r="Q163" s="757"/>
      <c r="R163" s="757"/>
      <c r="S163" s="757"/>
      <c r="T163" s="757"/>
      <c r="U163" s="757"/>
      <c r="V163" s="757"/>
      <c r="W163" s="757"/>
      <c r="X163" s="757"/>
      <c r="Y163" s="758"/>
      <c r="Z163" s="11"/>
    </row>
    <row r="164" spans="1:26" x14ac:dyDescent="0.2">
      <c r="A164" s="217"/>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1"/>
    </row>
    <row r="165" spans="1:26" ht="18.75" customHeight="1" x14ac:dyDescent="0.2">
      <c r="A165" s="217"/>
      <c r="B165" s="10"/>
      <c r="C165" s="842" t="s">
        <v>1619</v>
      </c>
      <c r="D165" s="843"/>
      <c r="E165" s="843"/>
      <c r="F165" s="843"/>
      <c r="G165" s="843"/>
      <c r="H165" s="843"/>
      <c r="I165" s="843"/>
      <c r="J165" s="843"/>
      <c r="K165" s="843"/>
      <c r="L165" s="843"/>
      <c r="M165" s="843"/>
      <c r="N165" s="843"/>
      <c r="O165" s="843"/>
      <c r="P165" s="843"/>
      <c r="Q165" s="843"/>
      <c r="R165" s="843"/>
      <c r="S165" s="843"/>
      <c r="T165" s="843"/>
      <c r="U165" s="843"/>
      <c r="V165" s="843"/>
      <c r="W165" s="843"/>
      <c r="X165" s="844"/>
      <c r="Y165" s="10"/>
      <c r="Z165" s="11"/>
    </row>
    <row r="166" spans="1:26" ht="18.75" customHeight="1" x14ac:dyDescent="0.2">
      <c r="A166" s="217"/>
      <c r="B166" s="10"/>
      <c r="C166" s="845"/>
      <c r="D166" s="846"/>
      <c r="E166" s="846"/>
      <c r="F166" s="846"/>
      <c r="G166" s="846"/>
      <c r="H166" s="846"/>
      <c r="I166" s="846"/>
      <c r="J166" s="846"/>
      <c r="K166" s="846"/>
      <c r="L166" s="846"/>
      <c r="M166" s="846"/>
      <c r="N166" s="846"/>
      <c r="O166" s="846"/>
      <c r="P166" s="846"/>
      <c r="Q166" s="846"/>
      <c r="R166" s="846"/>
      <c r="S166" s="846"/>
      <c r="T166" s="846"/>
      <c r="U166" s="846"/>
      <c r="V166" s="846"/>
      <c r="W166" s="846"/>
      <c r="X166" s="847"/>
      <c r="Y166" s="10"/>
      <c r="Z166" s="11"/>
    </row>
    <row r="167" spans="1:26" x14ac:dyDescent="0.2">
      <c r="A167" s="217"/>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1"/>
    </row>
    <row r="168" spans="1:26" s="424" customFormat="1" x14ac:dyDescent="0.2"/>
    <row r="169" spans="1:26" s="424" customFormat="1" x14ac:dyDescent="0.2"/>
    <row r="170" spans="1:26" s="424" customFormat="1" x14ac:dyDescent="0.2"/>
    <row r="171" spans="1:26" s="424" customFormat="1" x14ac:dyDescent="0.2"/>
    <row r="172" spans="1:26" s="424" customFormat="1" x14ac:dyDescent="0.2"/>
    <row r="173" spans="1:26" s="424" customFormat="1" x14ac:dyDescent="0.2"/>
    <row r="174" spans="1:26" s="298" customFormat="1" x14ac:dyDescent="0.2">
      <c r="A174" s="424"/>
    </row>
    <row r="175" spans="1:26" s="298" customFormat="1" x14ac:dyDescent="0.2">
      <c r="A175" s="424"/>
    </row>
    <row r="176" spans="1:26" s="298" customFormat="1" x14ac:dyDescent="0.2">
      <c r="A176" s="424"/>
    </row>
    <row r="177" spans="1:1" s="298" customFormat="1" x14ac:dyDescent="0.2">
      <c r="A177" s="424"/>
    </row>
    <row r="178" spans="1:1" s="298" customFormat="1" x14ac:dyDescent="0.2">
      <c r="A178" s="424"/>
    </row>
    <row r="179" spans="1:1" s="298" customFormat="1" x14ac:dyDescent="0.2">
      <c r="A179" s="424"/>
    </row>
    <row r="180" spans="1:1" s="298" customFormat="1" x14ac:dyDescent="0.2">
      <c r="A180" s="424"/>
    </row>
    <row r="181" spans="1:1" s="298" customFormat="1" x14ac:dyDescent="0.2">
      <c r="A181" s="424"/>
    </row>
    <row r="182" spans="1:1" s="298" customFormat="1" x14ac:dyDescent="0.2">
      <c r="A182" s="424"/>
    </row>
    <row r="183" spans="1:1" s="298" customFormat="1" x14ac:dyDescent="0.2">
      <c r="A183" s="424"/>
    </row>
    <row r="184" spans="1:1" s="298" customFormat="1" x14ac:dyDescent="0.2">
      <c r="A184" s="424"/>
    </row>
    <row r="185" spans="1:1" s="298" customFormat="1" x14ac:dyDescent="0.2">
      <c r="A185" s="424"/>
    </row>
    <row r="186" spans="1:1" s="298" customFormat="1" x14ac:dyDescent="0.2">
      <c r="A186" s="424"/>
    </row>
    <row r="187" spans="1:1" s="298" customFormat="1" x14ac:dyDescent="0.2">
      <c r="A187" s="424"/>
    </row>
    <row r="188" spans="1:1" s="298" customFormat="1" x14ac:dyDescent="0.2">
      <c r="A188" s="424"/>
    </row>
    <row r="189" spans="1:1" s="298" customFormat="1" x14ac:dyDescent="0.2">
      <c r="A189" s="424"/>
    </row>
    <row r="190" spans="1:1" s="298" customFormat="1" x14ac:dyDescent="0.2">
      <c r="A190" s="424"/>
    </row>
    <row r="191" spans="1:1" s="298" customFormat="1" x14ac:dyDescent="0.2">
      <c r="A191" s="424"/>
    </row>
    <row r="192" spans="1:1" s="298" customFormat="1" x14ac:dyDescent="0.2">
      <c r="A192" s="424"/>
    </row>
    <row r="193" spans="1:1" s="298" customFormat="1" x14ac:dyDescent="0.2">
      <c r="A193" s="424"/>
    </row>
    <row r="194" spans="1:1" s="298" customFormat="1" x14ac:dyDescent="0.2">
      <c r="A194" s="424"/>
    </row>
    <row r="195" spans="1:1" s="298" customFormat="1" x14ac:dyDescent="0.2">
      <c r="A195" s="424"/>
    </row>
    <row r="196" spans="1:1" s="298" customFormat="1" x14ac:dyDescent="0.2">
      <c r="A196" s="424"/>
    </row>
    <row r="197" spans="1:1" s="298" customFormat="1" x14ac:dyDescent="0.2">
      <c r="A197" s="424"/>
    </row>
    <row r="198" spans="1:1" s="298" customFormat="1" x14ac:dyDescent="0.2">
      <c r="A198" s="424"/>
    </row>
    <row r="199" spans="1:1" s="298" customFormat="1" x14ac:dyDescent="0.2">
      <c r="A199" s="424"/>
    </row>
    <row r="200" spans="1:1" s="298" customFormat="1" x14ac:dyDescent="0.2">
      <c r="A200" s="424"/>
    </row>
    <row r="201" spans="1:1" s="298" customFormat="1" x14ac:dyDescent="0.2">
      <c r="A201" s="424"/>
    </row>
    <row r="202" spans="1:1" s="298" customFormat="1" x14ac:dyDescent="0.2">
      <c r="A202" s="424"/>
    </row>
    <row r="203" spans="1:1" s="298" customFormat="1" x14ac:dyDescent="0.2">
      <c r="A203" s="424"/>
    </row>
    <row r="204" spans="1:1" s="298" customFormat="1" x14ac:dyDescent="0.2">
      <c r="A204" s="424"/>
    </row>
    <row r="205" spans="1:1" s="298" customFormat="1" x14ac:dyDescent="0.2">
      <c r="A205" s="424"/>
    </row>
    <row r="206" spans="1:1" s="298" customFormat="1" x14ac:dyDescent="0.2">
      <c r="A206" s="424"/>
    </row>
    <row r="207" spans="1:1" s="298" customFormat="1" x14ac:dyDescent="0.2">
      <c r="A207" s="424"/>
    </row>
    <row r="208" spans="1:1" s="298" customFormat="1" x14ac:dyDescent="0.2">
      <c r="A208" s="424"/>
    </row>
    <row r="209" spans="1:1" s="298" customFormat="1" x14ac:dyDescent="0.2">
      <c r="A209" s="424"/>
    </row>
    <row r="210" spans="1:1" s="298" customFormat="1" x14ac:dyDescent="0.2">
      <c r="A210" s="424"/>
    </row>
    <row r="211" spans="1:1" s="298" customFormat="1" x14ac:dyDescent="0.2">
      <c r="A211" s="424"/>
    </row>
    <row r="212" spans="1:1" s="298" customFormat="1" x14ac:dyDescent="0.2">
      <c r="A212" s="424"/>
    </row>
    <row r="213" spans="1:1" s="298" customFormat="1" x14ac:dyDescent="0.2">
      <c r="A213" s="424"/>
    </row>
    <row r="214" spans="1:1" s="298" customFormat="1" x14ac:dyDescent="0.2">
      <c r="A214" s="424"/>
    </row>
    <row r="215" spans="1:1" s="298" customFormat="1" x14ac:dyDescent="0.2">
      <c r="A215" s="424"/>
    </row>
    <row r="216" spans="1:1" s="298" customFormat="1" x14ac:dyDescent="0.2">
      <c r="A216" s="424"/>
    </row>
    <row r="217" spans="1:1" s="298" customFormat="1" x14ac:dyDescent="0.2">
      <c r="A217" s="424"/>
    </row>
    <row r="218" spans="1:1" s="298" customFormat="1" x14ac:dyDescent="0.2">
      <c r="A218" s="424"/>
    </row>
    <row r="219" spans="1:1" s="298" customFormat="1" x14ac:dyDescent="0.2">
      <c r="A219" s="424"/>
    </row>
    <row r="220" spans="1:1" s="298" customFormat="1" x14ac:dyDescent="0.2">
      <c r="A220" s="424"/>
    </row>
  </sheetData>
  <dataConsolidate/>
  <mergeCells count="203">
    <mergeCell ref="N86:O86"/>
    <mergeCell ref="K81:L81"/>
    <mergeCell ref="K72:L72"/>
    <mergeCell ref="D72:I73"/>
    <mergeCell ref="K76:L76"/>
    <mergeCell ref="N98:O98"/>
    <mergeCell ref="N79:O79"/>
    <mergeCell ref="N81:O81"/>
    <mergeCell ref="N76:O76"/>
    <mergeCell ref="C57:G57"/>
    <mergeCell ref="T96:U96"/>
    <mergeCell ref="K79:L79"/>
    <mergeCell ref="K32:L32"/>
    <mergeCell ref="K34:L34"/>
    <mergeCell ref="D76:I77"/>
    <mergeCell ref="C42:I43"/>
    <mergeCell ref="K37:L37"/>
    <mergeCell ref="K40:L40"/>
    <mergeCell ref="K42:L42"/>
    <mergeCell ref="N84:O84"/>
    <mergeCell ref="W71:X71"/>
    <mergeCell ref="K67:L67"/>
    <mergeCell ref="K68:L70"/>
    <mergeCell ref="W96:X96"/>
    <mergeCell ref="Q68:R70"/>
    <mergeCell ref="T68:U70"/>
    <mergeCell ref="Q71:R71"/>
    <mergeCell ref="Q72:R72"/>
    <mergeCell ref="W88:X88"/>
    <mergeCell ref="T81:U81"/>
    <mergeCell ref="W76:X76"/>
    <mergeCell ref="W86:X86"/>
    <mergeCell ref="W79:X79"/>
    <mergeCell ref="W81:X81"/>
    <mergeCell ref="Q104:R104"/>
    <mergeCell ref="T104:U104"/>
    <mergeCell ref="W104:X104"/>
    <mergeCell ref="W116:X116"/>
    <mergeCell ref="W115:X115"/>
    <mergeCell ref="T116:U116"/>
    <mergeCell ref="T79:U79"/>
    <mergeCell ref="T115:U115"/>
    <mergeCell ref="Q100:R100"/>
    <mergeCell ref="T100:U100"/>
    <mergeCell ref="W90:X90"/>
    <mergeCell ref="R1:S1"/>
    <mergeCell ref="K30:L30"/>
    <mergeCell ref="K27:L27"/>
    <mergeCell ref="K19:L19"/>
    <mergeCell ref="N52:O52"/>
    <mergeCell ref="N67:O67"/>
    <mergeCell ref="Q67:R67"/>
    <mergeCell ref="A2:Z2"/>
    <mergeCell ref="A3:Z3"/>
    <mergeCell ref="Q41:W41"/>
    <mergeCell ref="K25:L25"/>
    <mergeCell ref="E8:J8"/>
    <mergeCell ref="A6:Z6"/>
    <mergeCell ref="C19:I22"/>
    <mergeCell ref="C24:I24"/>
    <mergeCell ref="A4:Z4"/>
    <mergeCell ref="K18:L18"/>
    <mergeCell ref="C17:G17"/>
    <mergeCell ref="K48:W48"/>
    <mergeCell ref="P52:R52"/>
    <mergeCell ref="W67:X67"/>
    <mergeCell ref="A5:Z5"/>
    <mergeCell ref="L12:P12"/>
    <mergeCell ref="L13:P13"/>
    <mergeCell ref="T71:U71"/>
    <mergeCell ref="N72:O72"/>
    <mergeCell ref="W84:X84"/>
    <mergeCell ref="Q76:R76"/>
    <mergeCell ref="W68:X68"/>
    <mergeCell ref="K71:L71"/>
    <mergeCell ref="K49:L49"/>
    <mergeCell ref="T67:U67"/>
    <mergeCell ref="Q81:R81"/>
    <mergeCell ref="W72:X72"/>
    <mergeCell ref="Q79:R79"/>
    <mergeCell ref="T72:U72"/>
    <mergeCell ref="T76:U76"/>
    <mergeCell ref="Q88:R88"/>
    <mergeCell ref="Q98:R98"/>
    <mergeCell ref="T98:U98"/>
    <mergeCell ref="K100:L100"/>
    <mergeCell ref="N100:O100"/>
    <mergeCell ref="K104:L104"/>
    <mergeCell ref="N104:O104"/>
    <mergeCell ref="T90:U90"/>
    <mergeCell ref="N90:O90"/>
    <mergeCell ref="Q90:R90"/>
    <mergeCell ref="N96:O96"/>
    <mergeCell ref="Q96:R96"/>
    <mergeCell ref="D110:I110"/>
    <mergeCell ref="D108:I109"/>
    <mergeCell ref="K108:L108"/>
    <mergeCell ref="N108:O108"/>
    <mergeCell ref="K106:L106"/>
    <mergeCell ref="N110:O110"/>
    <mergeCell ref="N106:O106"/>
    <mergeCell ref="K112:L112"/>
    <mergeCell ref="C40:I41"/>
    <mergeCell ref="K52:L52"/>
    <mergeCell ref="N68:O70"/>
    <mergeCell ref="N71:O71"/>
    <mergeCell ref="K45:L45"/>
    <mergeCell ref="K47:L47"/>
    <mergeCell ref="N94:O94"/>
    <mergeCell ref="N92:O92"/>
    <mergeCell ref="N88:O88"/>
    <mergeCell ref="N112:O112"/>
    <mergeCell ref="K110:L110"/>
    <mergeCell ref="D104:I105"/>
    <mergeCell ref="D106:I106"/>
    <mergeCell ref="Q129:R131"/>
    <mergeCell ref="N129:O131"/>
    <mergeCell ref="N132:O132"/>
    <mergeCell ref="Q132:R132"/>
    <mergeCell ref="W92:X92"/>
    <mergeCell ref="W100:X100"/>
    <mergeCell ref="W112:X112"/>
    <mergeCell ref="W98:X98"/>
    <mergeCell ref="W110:X110"/>
    <mergeCell ref="Q112:R112"/>
    <mergeCell ref="T112:U112"/>
    <mergeCell ref="T110:U110"/>
    <mergeCell ref="Q108:R108"/>
    <mergeCell ref="T108:U108"/>
    <mergeCell ref="T106:U106"/>
    <mergeCell ref="Q110:R110"/>
    <mergeCell ref="Q106:R106"/>
    <mergeCell ref="W108:X108"/>
    <mergeCell ref="W107:X107"/>
    <mergeCell ref="W106:X106"/>
    <mergeCell ref="W94:X94"/>
    <mergeCell ref="Q92:R92"/>
    <mergeCell ref="T92:U92"/>
    <mergeCell ref="C120:I120"/>
    <mergeCell ref="N116:O116"/>
    <mergeCell ref="N115:O115"/>
    <mergeCell ref="C126:X127"/>
    <mergeCell ref="N128:O128"/>
    <mergeCell ref="Q128:R128"/>
    <mergeCell ref="T128:U128"/>
    <mergeCell ref="W128:X128"/>
    <mergeCell ref="W138:X138"/>
    <mergeCell ref="T138:U138"/>
    <mergeCell ref="Q138:R138"/>
    <mergeCell ref="T132:U132"/>
    <mergeCell ref="W129:X129"/>
    <mergeCell ref="W133:X133"/>
    <mergeCell ref="N133:O133"/>
    <mergeCell ref="T129:U131"/>
    <mergeCell ref="Q133:R133"/>
    <mergeCell ref="T133:U133"/>
    <mergeCell ref="W132:X132"/>
    <mergeCell ref="N138:O138"/>
    <mergeCell ref="Q116:R116"/>
    <mergeCell ref="Q115:R115"/>
    <mergeCell ref="K116:L116"/>
    <mergeCell ref="K115:L115"/>
    <mergeCell ref="C165:X166"/>
    <mergeCell ref="Q152:R152"/>
    <mergeCell ref="T155:U155"/>
    <mergeCell ref="W143:X143"/>
    <mergeCell ref="W149:X149"/>
    <mergeCell ref="W152:X152"/>
    <mergeCell ref="T162:U162"/>
    <mergeCell ref="W162:X162"/>
    <mergeCell ref="W155:X155"/>
    <mergeCell ref="Q155:R155"/>
    <mergeCell ref="N162:O162"/>
    <mergeCell ref="Q162:R162"/>
    <mergeCell ref="N158:O158"/>
    <mergeCell ref="Q158:R158"/>
    <mergeCell ref="N155:O155"/>
    <mergeCell ref="T158:U158"/>
    <mergeCell ref="W158:X158"/>
    <mergeCell ref="N149:O149"/>
    <mergeCell ref="Q149:R149"/>
    <mergeCell ref="T149:U149"/>
    <mergeCell ref="N152:O152"/>
    <mergeCell ref="T152:U152"/>
    <mergeCell ref="N151:O151"/>
    <mergeCell ref="N146:O146"/>
    <mergeCell ref="T151:U151"/>
    <mergeCell ref="W151:X151"/>
    <mergeCell ref="N140:O140"/>
    <mergeCell ref="N143:O143"/>
    <mergeCell ref="Q143:R143"/>
    <mergeCell ref="T143:U143"/>
    <mergeCell ref="W136:X136"/>
    <mergeCell ref="N136:O136"/>
    <mergeCell ref="Q136:R136"/>
    <mergeCell ref="T136:U136"/>
    <mergeCell ref="T140:U140"/>
    <mergeCell ref="W140:X140"/>
    <mergeCell ref="Q140:R140"/>
    <mergeCell ref="Q146:R146"/>
    <mergeCell ref="T146:U146"/>
    <mergeCell ref="W146:X146"/>
    <mergeCell ref="Q151:R151"/>
  </mergeCells>
  <phoneticPr fontId="5" type="noConversion"/>
  <printOptions horizontalCentered="1"/>
  <pageMargins left="0.39370078740157483" right="0.39370078740157483" top="0.59055118110236227" bottom="0.59055118110236227" header="0.51181102362204722" footer="0.51181102362204722"/>
  <pageSetup paperSize="9" scale="49" fitToHeight="2" orientation="portrait" r:id="rId1"/>
  <headerFooter alignWithMargins="0"/>
  <rowBreaks count="2" manualBreakCount="2">
    <brk id="55" max="25" man="1"/>
    <brk id="12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2053" r:id="rId4" name="List Box 5">
              <controlPr locked="0" defaultSize="0" autoFill="0" autoLine="0" autoPict="0">
                <anchor moveWithCells="1">
                  <from>
                    <xdr:col>10</xdr:col>
                    <xdr:colOff>561975</xdr:colOff>
                    <xdr:row>6</xdr:row>
                    <xdr:rowOff>85725</xdr:rowOff>
                  </from>
                  <to>
                    <xdr:col>14</xdr:col>
                    <xdr:colOff>609600</xdr:colOff>
                    <xdr:row>10</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89"/>
  <sheetViews>
    <sheetView showGridLines="0" zoomScale="90" zoomScaleNormal="90" workbookViewId="0"/>
  </sheetViews>
  <sheetFormatPr defaultRowHeight="12.75" x14ac:dyDescent="0.2"/>
  <cols>
    <col min="1" max="2" width="1.7109375" customWidth="1"/>
    <col min="5" max="5" width="9.140625" customWidth="1"/>
    <col min="6" max="6" width="8.5703125" customWidth="1"/>
    <col min="7" max="7" width="14.28515625" customWidth="1"/>
    <col min="8" max="9" width="3.85546875" customWidth="1"/>
    <col min="10" max="11" width="11.42578125" customWidth="1"/>
    <col min="12" max="13" width="2.7109375" customWidth="1"/>
    <col min="14" max="15" width="11.42578125" customWidth="1"/>
    <col min="16" max="17" width="2.7109375" customWidth="1"/>
    <col min="18" max="19" width="11.42578125" customWidth="1"/>
    <col min="20" max="21" width="1.7109375" customWidth="1"/>
  </cols>
  <sheetData>
    <row r="1" spans="1:21" ht="15" x14ac:dyDescent="0.2">
      <c r="A1" s="73"/>
      <c r="B1" s="74"/>
      <c r="C1" s="74"/>
      <c r="D1" s="74"/>
      <c r="E1" s="74"/>
      <c r="F1" s="74"/>
      <c r="G1" s="74"/>
      <c r="H1" s="74"/>
      <c r="I1" s="74"/>
      <c r="J1" s="74"/>
      <c r="K1" s="74"/>
      <c r="L1" s="74"/>
      <c r="M1" s="74"/>
      <c r="N1" s="74"/>
      <c r="O1" s="74"/>
      <c r="P1" s="74"/>
      <c r="Q1" s="74"/>
      <c r="R1" s="74"/>
      <c r="S1" s="74"/>
      <c r="T1" s="74"/>
      <c r="U1" s="75"/>
    </row>
    <row r="2" spans="1:21" ht="15.75" x14ac:dyDescent="0.25">
      <c r="A2" s="897" t="s">
        <v>654</v>
      </c>
      <c r="B2" s="937"/>
      <c r="C2" s="937"/>
      <c r="D2" s="937"/>
      <c r="E2" s="937"/>
      <c r="F2" s="937"/>
      <c r="G2" s="937"/>
      <c r="H2" s="937"/>
      <c r="I2" s="937"/>
      <c r="J2" s="937"/>
      <c r="K2" s="937"/>
      <c r="L2" s="937"/>
      <c r="M2" s="937"/>
      <c r="N2" s="937"/>
      <c r="O2" s="937"/>
      <c r="P2" s="937"/>
      <c r="Q2" s="937"/>
      <c r="R2" s="937"/>
      <c r="S2" s="937"/>
      <c r="T2" s="937"/>
      <c r="U2" s="938"/>
    </row>
    <row r="3" spans="1:21" ht="15.75" x14ac:dyDescent="0.25">
      <c r="A3" s="897" t="s">
        <v>1577</v>
      </c>
      <c r="B3" s="939"/>
      <c r="C3" s="939"/>
      <c r="D3" s="939"/>
      <c r="E3" s="939"/>
      <c r="F3" s="939"/>
      <c r="G3" s="939"/>
      <c r="H3" s="939"/>
      <c r="I3" s="939"/>
      <c r="J3" s="939"/>
      <c r="K3" s="939"/>
      <c r="L3" s="939"/>
      <c r="M3" s="939"/>
      <c r="N3" s="939"/>
      <c r="O3" s="939"/>
      <c r="P3" s="939"/>
      <c r="Q3" s="939"/>
      <c r="R3" s="939"/>
      <c r="S3" s="939"/>
      <c r="T3" s="939"/>
      <c r="U3" s="940"/>
    </row>
    <row r="4" spans="1:21" ht="15" x14ac:dyDescent="0.2">
      <c r="A4" s="907"/>
      <c r="B4" s="908"/>
      <c r="C4" s="908"/>
      <c r="D4" s="908"/>
      <c r="E4" s="908"/>
      <c r="F4" s="908"/>
      <c r="G4" s="908"/>
      <c r="H4" s="908"/>
      <c r="I4" s="908"/>
      <c r="J4" s="908"/>
      <c r="K4" s="908"/>
      <c r="L4" s="908"/>
      <c r="M4" s="908"/>
      <c r="N4" s="908"/>
      <c r="O4" s="908"/>
      <c r="P4" s="908"/>
      <c r="Q4" s="908"/>
      <c r="R4" s="908"/>
      <c r="S4" s="908"/>
      <c r="T4" s="908"/>
      <c r="U4" s="909"/>
    </row>
    <row r="5" spans="1:21" ht="15.75" thickBot="1" x14ac:dyDescent="0.25">
      <c r="A5" s="76"/>
      <c r="B5" s="77"/>
      <c r="C5" s="77"/>
      <c r="D5" s="77"/>
      <c r="E5" s="77"/>
      <c r="F5" s="77"/>
      <c r="G5" s="77"/>
      <c r="H5" s="77"/>
      <c r="I5" s="77"/>
      <c r="J5" s="77"/>
      <c r="K5" s="77"/>
      <c r="L5" s="77"/>
      <c r="M5" s="77"/>
      <c r="N5" s="77"/>
      <c r="O5" s="77"/>
      <c r="P5" s="77"/>
      <c r="Q5" s="77"/>
      <c r="R5" s="325"/>
      <c r="S5" s="501"/>
      <c r="T5" s="77"/>
      <c r="U5" s="78"/>
    </row>
    <row r="6" spans="1:21" x14ac:dyDescent="0.2">
      <c r="A6" s="52"/>
      <c r="B6" s="53"/>
      <c r="C6" s="945"/>
      <c r="D6" s="945"/>
      <c r="E6" s="945"/>
      <c r="F6" s="945"/>
      <c r="G6" s="945"/>
      <c r="H6" s="945"/>
      <c r="I6" s="53"/>
      <c r="J6" s="53"/>
      <c r="K6" s="53"/>
      <c r="L6" s="53"/>
      <c r="M6" s="53"/>
      <c r="N6" s="53"/>
      <c r="O6" s="53"/>
      <c r="P6" s="53"/>
      <c r="Q6" s="53"/>
      <c r="R6" s="53"/>
      <c r="S6" s="53"/>
      <c r="T6" s="53"/>
      <c r="U6" s="54"/>
    </row>
    <row r="7" spans="1:21" s="37" customFormat="1" ht="18" x14ac:dyDescent="0.25">
      <c r="A7" s="45"/>
      <c r="B7" s="27"/>
      <c r="C7" s="79" t="str">
        <f>+CONCATENATE("Local Authority : ",+'Part 1'!L12)</f>
        <v>Local Authority : England</v>
      </c>
      <c r="D7" s="79"/>
      <c r="E7" s="79"/>
      <c r="F7" s="245"/>
      <c r="G7" s="245"/>
      <c r="H7" s="245"/>
      <c r="I7" s="27"/>
      <c r="J7" s="27"/>
      <c r="K7" s="27"/>
      <c r="L7" s="27"/>
      <c r="M7" s="27"/>
      <c r="N7" s="27"/>
      <c r="O7" s="27"/>
      <c r="P7" s="27"/>
      <c r="Q7" s="27"/>
      <c r="R7" s="27"/>
      <c r="S7" s="27"/>
      <c r="T7" s="27"/>
      <c r="U7" s="28"/>
    </row>
    <row r="8" spans="1:21" s="37" customFormat="1" ht="18" x14ac:dyDescent="0.25">
      <c r="A8" s="45"/>
      <c r="B8" s="27"/>
      <c r="C8" s="79"/>
      <c r="D8" s="79"/>
      <c r="E8" s="79"/>
      <c r="F8" s="245"/>
      <c r="G8" s="245"/>
      <c r="H8" s="245"/>
      <c r="I8" s="27"/>
      <c r="J8" s="27"/>
      <c r="K8" s="27"/>
      <c r="L8" s="27"/>
      <c r="M8" s="27"/>
      <c r="N8" s="27"/>
      <c r="O8" s="27"/>
      <c r="P8" s="27"/>
      <c r="Q8" s="27"/>
      <c r="R8" s="27"/>
      <c r="S8" s="27"/>
      <c r="T8" s="27"/>
      <c r="U8" s="28"/>
    </row>
    <row r="9" spans="1:21" ht="15.75" x14ac:dyDescent="0.25">
      <c r="A9" s="23"/>
      <c r="B9" s="2"/>
      <c r="C9" s="970" t="s">
        <v>257</v>
      </c>
      <c r="D9" s="970"/>
      <c r="E9" s="970"/>
      <c r="F9" s="970"/>
      <c r="G9" s="970"/>
      <c r="H9" s="970"/>
      <c r="I9" s="27"/>
      <c r="J9" s="934"/>
      <c r="K9" s="934"/>
      <c r="L9" s="62"/>
      <c r="M9" s="27"/>
      <c r="N9" s="934"/>
      <c r="O9" s="934"/>
      <c r="P9" s="27"/>
      <c r="Q9" s="27"/>
      <c r="R9" s="934"/>
      <c r="S9" s="934"/>
      <c r="T9" s="1"/>
      <c r="U9" s="55"/>
    </row>
    <row r="10" spans="1:21" ht="15.75" customHeight="1" x14ac:dyDescent="0.2">
      <c r="A10" s="23"/>
      <c r="B10" s="2"/>
      <c r="C10" s="977"/>
      <c r="D10" s="977"/>
      <c r="E10" s="977"/>
      <c r="F10" s="977"/>
      <c r="G10" s="977"/>
      <c r="H10" s="977"/>
      <c r="I10" s="27"/>
      <c r="J10" s="934" t="s">
        <v>629</v>
      </c>
      <c r="K10" s="934"/>
      <c r="L10" s="62"/>
      <c r="M10" s="27"/>
      <c r="N10" s="934" t="s">
        <v>630</v>
      </c>
      <c r="O10" s="934"/>
      <c r="P10" s="27"/>
      <c r="Q10" s="27"/>
      <c r="R10" s="934" t="s">
        <v>631</v>
      </c>
      <c r="S10" s="934"/>
      <c r="T10" s="3"/>
      <c r="U10" s="55"/>
    </row>
    <row r="11" spans="1:21" ht="15.75" x14ac:dyDescent="0.25">
      <c r="A11" s="23"/>
      <c r="B11" s="2"/>
      <c r="C11" s="933"/>
      <c r="D11" s="933"/>
      <c r="E11" s="27"/>
      <c r="F11" s="27"/>
      <c r="G11" s="27"/>
      <c r="H11" s="27"/>
      <c r="I11" s="27"/>
      <c r="J11" s="930" t="s">
        <v>790</v>
      </c>
      <c r="K11" s="931"/>
      <c r="L11" s="246"/>
      <c r="M11" s="27"/>
      <c r="N11" s="930" t="s">
        <v>791</v>
      </c>
      <c r="O11" s="931"/>
      <c r="P11" s="27"/>
      <c r="Q11" s="27"/>
      <c r="R11" s="930" t="s">
        <v>33</v>
      </c>
      <c r="S11" s="931"/>
      <c r="T11" s="2"/>
      <c r="U11" s="55"/>
    </row>
    <row r="12" spans="1:21" ht="15.75" x14ac:dyDescent="0.25">
      <c r="A12" s="23"/>
      <c r="B12" s="2"/>
      <c r="C12" s="27"/>
      <c r="D12" s="27"/>
      <c r="E12" s="27"/>
      <c r="F12" s="27"/>
      <c r="G12" s="27"/>
      <c r="H12" s="27"/>
      <c r="I12" s="27"/>
      <c r="J12" s="931"/>
      <c r="K12" s="931"/>
      <c r="L12" s="246"/>
      <c r="M12" s="27"/>
      <c r="N12" s="931"/>
      <c r="O12" s="931"/>
      <c r="P12" s="27"/>
      <c r="Q12" s="27"/>
      <c r="R12" s="931"/>
      <c r="S12" s="931"/>
      <c r="T12" s="2"/>
      <c r="U12" s="55"/>
    </row>
    <row r="13" spans="1:21" ht="30" customHeight="1" x14ac:dyDescent="0.25">
      <c r="A13" s="23"/>
      <c r="B13" s="2"/>
      <c r="C13" s="966" t="s">
        <v>1167</v>
      </c>
      <c r="D13" s="966"/>
      <c r="E13" s="966"/>
      <c r="F13" s="966"/>
      <c r="G13" s="966"/>
      <c r="H13" s="966"/>
      <c r="I13" s="27"/>
      <c r="J13" s="932"/>
      <c r="K13" s="932"/>
      <c r="L13" s="246"/>
      <c r="M13" s="27"/>
      <c r="N13" s="933"/>
      <c r="O13" s="933"/>
      <c r="P13" s="27"/>
      <c r="Q13" s="27"/>
      <c r="R13" s="933"/>
      <c r="S13" s="933"/>
      <c r="T13" s="2"/>
      <c r="U13" s="55"/>
    </row>
    <row r="14" spans="1:21" ht="16.5" customHeight="1" thickBot="1" x14ac:dyDescent="0.3">
      <c r="A14" s="23"/>
      <c r="B14" s="2"/>
      <c r="C14" s="966"/>
      <c r="D14" s="966"/>
      <c r="E14" s="966"/>
      <c r="F14" s="966"/>
      <c r="G14" s="966"/>
      <c r="H14" s="966"/>
      <c r="I14" s="27"/>
      <c r="J14" s="978" t="s">
        <v>624</v>
      </c>
      <c r="K14" s="978"/>
      <c r="L14" s="27"/>
      <c r="M14" s="27"/>
      <c r="N14" s="978" t="s">
        <v>624</v>
      </c>
      <c r="O14" s="978"/>
      <c r="P14" s="27"/>
      <c r="Q14" s="157"/>
      <c r="R14" s="960" t="s">
        <v>624</v>
      </c>
      <c r="S14" s="960"/>
      <c r="T14" s="150"/>
      <c r="U14" s="55"/>
    </row>
    <row r="15" spans="1:21" ht="16.5" thickBot="1" x14ac:dyDescent="0.25">
      <c r="A15" s="23"/>
      <c r="B15" s="2"/>
      <c r="C15" s="27" t="s">
        <v>657</v>
      </c>
      <c r="D15" s="27"/>
      <c r="E15" s="27"/>
      <c r="F15" s="971"/>
      <c r="G15" s="972"/>
      <c r="H15" s="27"/>
      <c r="I15" s="27"/>
      <c r="J15" s="878">
        <f>VLOOKUP('Part 1'!L13,DataSheet2!$B$8:$DV$322,6,FALSE)</f>
        <v>63406446799</v>
      </c>
      <c r="K15" s="879"/>
      <c r="L15" s="63"/>
      <c r="M15" s="27"/>
      <c r="N15" s="878">
        <f>VLOOKUP('Part 1'!L13,DataSheet2!$B$8:$DV$322,7,FALSE)</f>
        <v>664944769</v>
      </c>
      <c r="O15" s="879"/>
      <c r="P15" s="27"/>
      <c r="Q15" s="145"/>
      <c r="R15" s="926">
        <f>VLOOKUP('Part 1'!L13,DataSheet2!$B$8:$DV$322,8,FALSE)</f>
        <v>64071391568</v>
      </c>
      <c r="S15" s="927"/>
      <c r="T15" s="150"/>
      <c r="U15" s="55"/>
    </row>
    <row r="16" spans="1:21" ht="15.75" thickBot="1" x14ac:dyDescent="0.25">
      <c r="A16" s="23"/>
      <c r="B16" s="2"/>
      <c r="C16" s="27"/>
      <c r="D16" s="27"/>
      <c r="E16" s="27"/>
      <c r="F16" s="62"/>
      <c r="G16" s="27"/>
      <c r="H16" s="27"/>
      <c r="I16" s="62"/>
      <c r="J16" s="63"/>
      <c r="K16" s="63"/>
      <c r="L16" s="63"/>
      <c r="M16" s="27"/>
      <c r="N16" s="63"/>
      <c r="O16" s="63"/>
      <c r="P16" s="27"/>
      <c r="Q16" s="145"/>
      <c r="R16" s="145"/>
      <c r="S16" s="145"/>
      <c r="T16" s="150"/>
      <c r="U16" s="55"/>
    </row>
    <row r="17" spans="1:21" ht="16.5" thickBot="1" x14ac:dyDescent="0.3">
      <c r="A17" s="23"/>
      <c r="B17" s="2"/>
      <c r="C17" s="918" t="s">
        <v>1583</v>
      </c>
      <c r="D17" s="941"/>
      <c r="E17" s="941"/>
      <c r="F17" s="941"/>
      <c r="G17" s="539">
        <f>49.9</f>
        <v>49.9</v>
      </c>
      <c r="H17" s="159"/>
      <c r="I17" s="27"/>
      <c r="J17" s="63"/>
      <c r="K17" s="63"/>
      <c r="L17" s="63"/>
      <c r="M17" s="27"/>
      <c r="N17" s="63"/>
      <c r="O17" s="63"/>
      <c r="P17" s="27"/>
      <c r="Q17" s="145"/>
      <c r="R17" s="145"/>
      <c r="S17" s="145"/>
      <c r="T17" s="150"/>
      <c r="U17" s="55"/>
    </row>
    <row r="18" spans="1:21" ht="15.75" thickBot="1" x14ac:dyDescent="0.25">
      <c r="A18" s="23"/>
      <c r="B18" s="2"/>
      <c r="C18" s="941"/>
      <c r="D18" s="941"/>
      <c r="E18" s="941"/>
      <c r="F18" s="941"/>
      <c r="G18" s="10"/>
      <c r="H18" s="27"/>
      <c r="I18" s="27"/>
      <c r="J18" s="63"/>
      <c r="K18" s="63"/>
      <c r="L18" s="63"/>
      <c r="M18" s="63"/>
      <c r="N18" s="63"/>
      <c r="O18" s="63"/>
      <c r="P18" s="63"/>
      <c r="Q18" s="145"/>
      <c r="R18" s="145"/>
      <c r="S18" s="145"/>
      <c r="T18" s="150"/>
      <c r="U18" s="55"/>
    </row>
    <row r="19" spans="1:21" ht="15.75" thickBot="1" x14ac:dyDescent="0.25">
      <c r="A19" s="23"/>
      <c r="B19" s="2"/>
      <c r="C19" s="10"/>
      <c r="D19" s="10"/>
      <c r="E19" s="10"/>
      <c r="F19" s="10"/>
      <c r="G19" s="10"/>
      <c r="H19" s="27"/>
      <c r="I19" s="174"/>
      <c r="J19" s="175"/>
      <c r="K19" s="175"/>
      <c r="L19" s="176"/>
      <c r="M19" s="175"/>
      <c r="N19" s="175"/>
      <c r="O19" s="175"/>
      <c r="P19" s="176"/>
      <c r="Q19" s="177"/>
      <c r="R19" s="177"/>
      <c r="S19" s="177"/>
      <c r="T19" s="178"/>
      <c r="U19" s="55"/>
    </row>
    <row r="20" spans="1:21" ht="16.5" thickBot="1" x14ac:dyDescent="0.25">
      <c r="A20" s="23"/>
      <c r="B20" s="2"/>
      <c r="C20" s="10" t="s">
        <v>1584</v>
      </c>
      <c r="D20" s="10"/>
      <c r="E20" s="10"/>
      <c r="F20" s="10"/>
      <c r="G20" s="10"/>
      <c r="H20" s="27"/>
      <c r="I20" s="179"/>
      <c r="J20" s="935">
        <f>VLOOKUP('Part 1'!L13,DataSheet2!$B$8:$DV$322,10,FALSE)</f>
        <v>31639816959</v>
      </c>
      <c r="K20" s="936"/>
      <c r="L20" s="65"/>
      <c r="M20" s="27"/>
      <c r="N20" s="935">
        <f>VLOOKUP('Part 1'!L13,DataSheet2!$B$8:$DV$322,11,FALSE)</f>
        <v>331807441</v>
      </c>
      <c r="O20" s="936"/>
      <c r="P20" s="65"/>
      <c r="Q20" s="145"/>
      <c r="R20" s="145"/>
      <c r="S20" s="145"/>
      <c r="T20" s="180"/>
      <c r="U20" s="55"/>
    </row>
    <row r="21" spans="1:21" ht="16.5" thickBot="1" x14ac:dyDescent="0.25">
      <c r="A21" s="23"/>
      <c r="B21" s="2"/>
      <c r="C21" s="10"/>
      <c r="D21" s="10"/>
      <c r="E21" s="10"/>
      <c r="F21" s="10"/>
      <c r="G21" s="10"/>
      <c r="H21" s="27"/>
      <c r="I21" s="179"/>
      <c r="J21" s="64"/>
      <c r="K21" s="63"/>
      <c r="L21" s="65"/>
      <c r="M21" s="27"/>
      <c r="N21" s="64"/>
      <c r="O21" s="63"/>
      <c r="P21" s="65"/>
      <c r="Q21" s="145"/>
      <c r="R21" s="145"/>
      <c r="S21" s="145"/>
      <c r="T21" s="180"/>
      <c r="U21" s="55"/>
    </row>
    <row r="22" spans="1:21" ht="16.5" thickBot="1" x14ac:dyDescent="0.25">
      <c r="A22" s="23"/>
      <c r="B22" s="2"/>
      <c r="C22" s="10" t="s">
        <v>649</v>
      </c>
      <c r="D22" s="10"/>
      <c r="E22" s="10"/>
      <c r="F22" s="10"/>
      <c r="G22" s="10"/>
      <c r="H22" s="27"/>
      <c r="I22" s="179"/>
      <c r="J22" s="878">
        <f>VLOOKUP('Part 1'!L13,DataSheet2!$B$8:$DV$322,12,FALSE)</f>
        <v>135937912</v>
      </c>
      <c r="K22" s="879"/>
      <c r="L22" s="65"/>
      <c r="M22" s="27"/>
      <c r="N22" s="878">
        <f>VLOOKUP('Part 1'!L13,DataSheet2!$B$8:$DV$322,13,FALSE)</f>
        <v>20642995</v>
      </c>
      <c r="O22" s="879"/>
      <c r="P22" s="65"/>
      <c r="Q22" s="145"/>
      <c r="R22" s="145"/>
      <c r="S22" s="145"/>
      <c r="T22" s="180"/>
      <c r="U22" s="55"/>
    </row>
    <row r="23" spans="1:21" ht="15.75" x14ac:dyDescent="0.2">
      <c r="A23" s="23"/>
      <c r="B23" s="2"/>
      <c r="C23" s="10" t="s">
        <v>823</v>
      </c>
      <c r="D23" s="10"/>
      <c r="E23" s="10"/>
      <c r="F23" s="10"/>
      <c r="G23" s="10"/>
      <c r="H23" s="27"/>
      <c r="I23" s="179"/>
      <c r="J23" s="64"/>
      <c r="K23" s="63"/>
      <c r="L23" s="65"/>
      <c r="M23" s="27"/>
      <c r="N23" s="64"/>
      <c r="O23" s="63"/>
      <c r="P23" s="65"/>
      <c r="Q23" s="145"/>
      <c r="R23" s="244"/>
      <c r="S23" s="145"/>
      <c r="T23" s="180"/>
      <c r="U23" s="55"/>
    </row>
    <row r="24" spans="1:21" ht="16.5" thickBot="1" x14ac:dyDescent="0.25">
      <c r="A24" s="23"/>
      <c r="B24" s="2"/>
      <c r="C24" s="10"/>
      <c r="D24" s="10"/>
      <c r="E24" s="10"/>
      <c r="F24" s="10"/>
      <c r="G24" s="10"/>
      <c r="H24" s="27"/>
      <c r="I24" s="179"/>
      <c r="J24" s="64"/>
      <c r="K24" s="63"/>
      <c r="L24" s="65"/>
      <c r="M24" s="27"/>
      <c r="N24" s="64"/>
      <c r="O24" s="63"/>
      <c r="P24" s="65"/>
      <c r="Q24" s="145"/>
      <c r="R24" s="244"/>
      <c r="S24" s="145"/>
      <c r="T24" s="180"/>
      <c r="U24" s="55"/>
    </row>
    <row r="25" spans="1:21" ht="16.5" thickBot="1" x14ac:dyDescent="0.25">
      <c r="A25" s="23"/>
      <c r="B25" s="2"/>
      <c r="C25" s="10" t="s">
        <v>1585</v>
      </c>
      <c r="D25" s="10"/>
      <c r="E25" s="10"/>
      <c r="F25" s="10"/>
      <c r="G25" s="10"/>
      <c r="H25" s="27"/>
      <c r="I25" s="179"/>
      <c r="J25" s="935">
        <f>VLOOKUP('Part 1'!L13,DataSheet2!$B$8:$DV$322,14,FALSE)</f>
        <v>31775754871</v>
      </c>
      <c r="K25" s="936"/>
      <c r="L25" s="65"/>
      <c r="M25" s="27"/>
      <c r="N25" s="935">
        <f>VLOOKUP('Part 1'!L13,DataSheet2!$B$8:$DV$322,15,FALSE)</f>
        <v>352450436</v>
      </c>
      <c r="O25" s="936"/>
      <c r="P25" s="65"/>
      <c r="Q25" s="145"/>
      <c r="R25" s="926">
        <f>VLOOKUP('Part 1'!L13,DataSheet2!$B$8:$DV$322,16,FALSE)</f>
        <v>32128205307</v>
      </c>
      <c r="S25" s="927"/>
      <c r="T25" s="180"/>
      <c r="U25" s="55"/>
    </row>
    <row r="26" spans="1:21" ht="16.5" thickBot="1" x14ac:dyDescent="0.25">
      <c r="A26" s="23"/>
      <c r="B26" s="6"/>
      <c r="C26" s="27"/>
      <c r="D26" s="27"/>
      <c r="E26" s="27"/>
      <c r="F26" s="27"/>
      <c r="G26" s="27"/>
      <c r="H26" s="27"/>
      <c r="I26" s="181"/>
      <c r="J26" s="182"/>
      <c r="K26" s="183"/>
      <c r="L26" s="184"/>
      <c r="M26" s="182"/>
      <c r="N26" s="182"/>
      <c r="O26" s="183"/>
      <c r="P26" s="184"/>
      <c r="Q26" s="185"/>
      <c r="R26" s="186"/>
      <c r="S26" s="185"/>
      <c r="T26" s="187"/>
      <c r="U26" s="55"/>
    </row>
    <row r="27" spans="1:21" ht="15.75" x14ac:dyDescent="0.2">
      <c r="A27" s="23"/>
      <c r="B27" s="349"/>
      <c r="C27" s="349"/>
      <c r="D27" s="349"/>
      <c r="E27" s="349"/>
      <c r="F27" s="349"/>
      <c r="G27" s="349"/>
      <c r="H27" s="349"/>
      <c r="I27" s="349"/>
      <c r="J27" s="349"/>
      <c r="K27" s="349"/>
      <c r="L27" s="349"/>
      <c r="M27" s="349"/>
      <c r="N27" s="349"/>
      <c r="O27" s="349"/>
      <c r="P27" s="349"/>
      <c r="Q27" s="327"/>
      <c r="R27" s="328"/>
      <c r="S27" s="327"/>
      <c r="T27" s="150"/>
      <c r="U27" s="55"/>
    </row>
    <row r="28" spans="1:21" ht="16.5" customHeight="1" thickBot="1" x14ac:dyDescent="0.3">
      <c r="A28" s="23"/>
      <c r="B28" s="349"/>
      <c r="C28" s="350" t="s">
        <v>1168</v>
      </c>
      <c r="D28" s="351"/>
      <c r="E28" s="351"/>
      <c r="F28" s="351"/>
      <c r="G28" s="351"/>
      <c r="H28" s="351"/>
      <c r="I28" s="351"/>
      <c r="J28" s="351"/>
      <c r="K28" s="351"/>
      <c r="L28" s="351"/>
      <c r="M28" s="351"/>
      <c r="N28" s="352"/>
      <c r="O28" s="353"/>
      <c r="P28" s="351"/>
      <c r="Q28" s="327"/>
      <c r="R28" s="328"/>
      <c r="S28" s="327"/>
      <c r="T28" s="150"/>
      <c r="U28" s="55"/>
    </row>
    <row r="29" spans="1:21" ht="16.5" thickBot="1" x14ac:dyDescent="0.25">
      <c r="A29" s="23"/>
      <c r="B29" s="349"/>
      <c r="C29" s="968" t="s">
        <v>824</v>
      </c>
      <c r="D29" s="968"/>
      <c r="E29" s="968"/>
      <c r="F29" s="968"/>
      <c r="G29" s="968"/>
      <c r="H29" s="351"/>
      <c r="I29" s="351"/>
      <c r="J29" s="928">
        <f>VLOOKUP('Part 1'!L13,DataSheet2!$B$8:$DV$322,17,FALSE)</f>
        <v>-163459235.72999999</v>
      </c>
      <c r="K29" s="929"/>
      <c r="L29" s="353"/>
      <c r="M29" s="351"/>
      <c r="N29" s="928">
        <f>VLOOKUP('Part 1'!L13,DataSheet2!$B$8:$DV$322,18,FALSE)</f>
        <v>-968194</v>
      </c>
      <c r="O29" s="929"/>
      <c r="P29" s="351"/>
      <c r="Q29" s="327"/>
      <c r="R29" s="924">
        <f>VLOOKUP('Part 1'!L13,DataSheet2!$B$8:$DV$322,19,FALSE)</f>
        <v>-164427429.72999999</v>
      </c>
      <c r="S29" s="925"/>
      <c r="T29" s="150"/>
      <c r="U29" s="55"/>
    </row>
    <row r="30" spans="1:21" ht="15.75" customHeight="1" x14ac:dyDescent="0.2">
      <c r="A30" s="23"/>
      <c r="B30" s="349"/>
      <c r="C30" s="969"/>
      <c r="D30" s="969"/>
      <c r="E30" s="969"/>
      <c r="F30" s="969"/>
      <c r="G30" s="969"/>
      <c r="H30" s="351"/>
      <c r="I30" s="351"/>
      <c r="J30" s="351"/>
      <c r="K30" s="351"/>
      <c r="L30" s="351"/>
      <c r="M30" s="351"/>
      <c r="N30" s="351"/>
      <c r="O30" s="351"/>
      <c r="P30" s="351"/>
      <c r="Q30" s="327"/>
      <c r="R30" s="328"/>
      <c r="S30" s="327"/>
      <c r="T30" s="150"/>
      <c r="U30" s="55"/>
    </row>
    <row r="31" spans="1:21" ht="16.5" customHeight="1" thickBot="1" x14ac:dyDescent="0.25">
      <c r="A31" s="23"/>
      <c r="B31" s="349"/>
      <c r="C31" s="351"/>
      <c r="D31" s="351"/>
      <c r="E31" s="351"/>
      <c r="F31" s="351"/>
      <c r="G31" s="351"/>
      <c r="H31" s="351"/>
      <c r="I31" s="351"/>
      <c r="J31" s="351"/>
      <c r="K31" s="351"/>
      <c r="L31" s="351"/>
      <c r="M31" s="351"/>
      <c r="N31" s="351"/>
      <c r="O31" s="351"/>
      <c r="P31" s="351"/>
      <c r="Q31" s="327"/>
      <c r="R31" s="328"/>
      <c r="S31" s="327"/>
      <c r="T31" s="150"/>
      <c r="U31" s="55"/>
    </row>
    <row r="32" spans="1:21" ht="16.5" customHeight="1" thickBot="1" x14ac:dyDescent="0.25">
      <c r="A32" s="23"/>
      <c r="B32" s="349"/>
      <c r="C32" s="975" t="s">
        <v>828</v>
      </c>
      <c r="D32" s="976"/>
      <c r="E32" s="976"/>
      <c r="F32" s="976"/>
      <c r="G32" s="976"/>
      <c r="H32" s="351"/>
      <c r="I32" s="351"/>
      <c r="J32" s="928">
        <f>VLOOKUP('Part 1'!L13,DataSheet2!$B$8:$DV$322,20,FALSE)</f>
        <v>212398435.21000001</v>
      </c>
      <c r="K32" s="929"/>
      <c r="L32" s="353"/>
      <c r="M32" s="351"/>
      <c r="N32" s="928">
        <f>VLOOKUP('Part 1'!L13,DataSheet2!$B$8:$DV$322,21,FALSE)</f>
        <v>2872197</v>
      </c>
      <c r="O32" s="929"/>
      <c r="P32" s="351"/>
      <c r="Q32" s="327"/>
      <c r="R32" s="924">
        <f>VLOOKUP('Part 1'!L13,DataSheet2!$B$8:$DV$322,22,FALSE)</f>
        <v>215270632.21000001</v>
      </c>
      <c r="S32" s="925"/>
      <c r="T32" s="150"/>
      <c r="U32" s="55"/>
    </row>
    <row r="33" spans="1:21" ht="15.75" customHeight="1" x14ac:dyDescent="0.2">
      <c r="A33" s="23"/>
      <c r="B33" s="349"/>
      <c r="C33" s="976"/>
      <c r="D33" s="976"/>
      <c r="E33" s="976"/>
      <c r="F33" s="976"/>
      <c r="G33" s="976"/>
      <c r="H33" s="351"/>
      <c r="I33" s="351"/>
      <c r="J33" s="353"/>
      <c r="K33" s="353"/>
      <c r="L33" s="353"/>
      <c r="M33" s="353"/>
      <c r="N33" s="353"/>
      <c r="O33" s="353"/>
      <c r="P33" s="353"/>
      <c r="Q33" s="327"/>
      <c r="R33" s="327"/>
      <c r="S33" s="327"/>
      <c r="T33" s="150"/>
      <c r="U33" s="55"/>
    </row>
    <row r="34" spans="1:21" ht="15.75" customHeight="1" thickBot="1" x14ac:dyDescent="0.25">
      <c r="A34" s="23"/>
      <c r="B34" s="349"/>
      <c r="C34" s="976"/>
      <c r="D34" s="976"/>
      <c r="E34" s="976"/>
      <c r="F34" s="976"/>
      <c r="G34" s="976"/>
      <c r="H34" s="351"/>
      <c r="I34" s="354"/>
      <c r="J34" s="355"/>
      <c r="K34" s="355"/>
      <c r="L34" s="355"/>
      <c r="M34" s="355"/>
      <c r="N34" s="355"/>
      <c r="O34" s="355"/>
      <c r="P34" s="355"/>
      <c r="Q34" s="329"/>
      <c r="R34" s="329"/>
      <c r="S34" s="329"/>
      <c r="T34" s="235"/>
      <c r="U34" s="55"/>
    </row>
    <row r="35" spans="1:21" ht="15.75" customHeight="1" thickBot="1" x14ac:dyDescent="0.25">
      <c r="A35" s="23"/>
      <c r="B35" s="349"/>
      <c r="C35" s="356"/>
      <c r="D35" s="356"/>
      <c r="E35" s="356"/>
      <c r="F35" s="356"/>
      <c r="G35" s="356"/>
      <c r="H35" s="351"/>
      <c r="I35" s="357"/>
      <c r="J35" s="353"/>
      <c r="K35" s="353"/>
      <c r="L35" s="358"/>
      <c r="M35" s="353"/>
      <c r="N35" s="353"/>
      <c r="O35" s="353"/>
      <c r="P35" s="358"/>
      <c r="Q35" s="327"/>
      <c r="R35" s="327"/>
      <c r="S35" s="327"/>
      <c r="T35" s="194"/>
      <c r="U35" s="55"/>
    </row>
    <row r="36" spans="1:21" ht="16.5" thickBot="1" x14ac:dyDescent="0.25">
      <c r="A36" s="23"/>
      <c r="B36" s="349"/>
      <c r="C36" s="356" t="s">
        <v>665</v>
      </c>
      <c r="D36" s="356"/>
      <c r="E36" s="356"/>
      <c r="F36" s="356"/>
      <c r="G36" s="356"/>
      <c r="H36" s="351"/>
      <c r="I36" s="357"/>
      <c r="J36" s="942">
        <f>VLOOKUP('Part 1'!L13,DataSheet2!$B$8:$DV$322,23,FALSE)</f>
        <v>48939199.480000004</v>
      </c>
      <c r="K36" s="943"/>
      <c r="L36" s="358"/>
      <c r="M36" s="351"/>
      <c r="N36" s="942">
        <f>VLOOKUP('Part 1'!L13,DataSheet2!$B$8:$DV$322,24,FALSE)</f>
        <v>1904003</v>
      </c>
      <c r="O36" s="943"/>
      <c r="P36" s="358"/>
      <c r="Q36" s="327"/>
      <c r="R36" s="327"/>
      <c r="S36" s="327"/>
      <c r="T36" s="194"/>
      <c r="U36" s="55"/>
    </row>
    <row r="37" spans="1:21" ht="16.5" customHeight="1" thickBot="1" x14ac:dyDescent="0.25">
      <c r="A37" s="23"/>
      <c r="B37" s="349"/>
      <c r="C37" s="356"/>
      <c r="D37" s="356"/>
      <c r="E37" s="356"/>
      <c r="F37" s="356"/>
      <c r="G37" s="356"/>
      <c r="H37" s="351"/>
      <c r="I37" s="357"/>
      <c r="J37" s="352"/>
      <c r="K37" s="353"/>
      <c r="L37" s="358"/>
      <c r="M37" s="351"/>
      <c r="N37" s="352"/>
      <c r="O37" s="353"/>
      <c r="P37" s="358"/>
      <c r="Q37" s="327"/>
      <c r="R37" s="327"/>
      <c r="S37" s="327"/>
      <c r="T37" s="194"/>
      <c r="U37" s="55"/>
    </row>
    <row r="38" spans="1:21" ht="16.5" thickBot="1" x14ac:dyDescent="0.25">
      <c r="A38" s="23"/>
      <c r="B38" s="349"/>
      <c r="C38" s="967" t="s">
        <v>832</v>
      </c>
      <c r="D38" s="968"/>
      <c r="E38" s="968"/>
      <c r="F38" s="968"/>
      <c r="G38" s="968"/>
      <c r="H38" s="351"/>
      <c r="I38" s="357"/>
      <c r="J38" s="928">
        <f>VLOOKUP('Part 1'!L13,DataSheet2!$B$8:$DV$322,25,FALSE)</f>
        <v>-589312.17999999993</v>
      </c>
      <c r="K38" s="929"/>
      <c r="L38" s="358"/>
      <c r="M38" s="351"/>
      <c r="N38" s="928">
        <f>VLOOKUP('Part 1'!L13,DataSheet2!$B$8:$DV$322,26,FALSE)</f>
        <v>-609523</v>
      </c>
      <c r="O38" s="929"/>
      <c r="P38" s="358"/>
      <c r="Q38" s="327"/>
      <c r="R38" s="327"/>
      <c r="S38" s="327"/>
      <c r="T38" s="194"/>
      <c r="U38" s="55"/>
    </row>
    <row r="39" spans="1:21" ht="15.75" customHeight="1" x14ac:dyDescent="0.2">
      <c r="A39" s="23"/>
      <c r="B39" s="349"/>
      <c r="C39" s="968"/>
      <c r="D39" s="968"/>
      <c r="E39" s="968"/>
      <c r="F39" s="968"/>
      <c r="G39" s="968"/>
      <c r="H39" s="351"/>
      <c r="I39" s="357"/>
      <c r="J39" s="352"/>
      <c r="K39" s="353"/>
      <c r="L39" s="358"/>
      <c r="M39" s="351"/>
      <c r="N39" s="352"/>
      <c r="O39" s="353"/>
      <c r="P39" s="358"/>
      <c r="Q39" s="327"/>
      <c r="R39" s="328"/>
      <c r="S39" s="327"/>
      <c r="T39" s="194"/>
      <c r="U39" s="55"/>
    </row>
    <row r="40" spans="1:21" ht="15.75" customHeight="1" x14ac:dyDescent="0.2">
      <c r="A40" s="23"/>
      <c r="B40" s="349"/>
      <c r="C40" s="969"/>
      <c r="D40" s="969"/>
      <c r="E40" s="969"/>
      <c r="F40" s="969"/>
      <c r="G40" s="969"/>
      <c r="H40" s="351"/>
      <c r="I40" s="357"/>
      <c r="J40" s="352"/>
      <c r="K40" s="353"/>
      <c r="L40" s="358"/>
      <c r="M40" s="351"/>
      <c r="N40" s="352"/>
      <c r="O40" s="353"/>
      <c r="P40" s="358"/>
      <c r="Q40" s="327"/>
      <c r="R40" s="328"/>
      <c r="S40" s="327"/>
      <c r="T40" s="194"/>
      <c r="U40" s="55"/>
    </row>
    <row r="41" spans="1:21" ht="16.5" thickBot="1" x14ac:dyDescent="0.25">
      <c r="A41" s="23"/>
      <c r="B41" s="349"/>
      <c r="C41" s="359"/>
      <c r="D41" s="359"/>
      <c r="E41" s="359"/>
      <c r="F41" s="359"/>
      <c r="G41" s="359"/>
      <c r="H41" s="351"/>
      <c r="I41" s="357"/>
      <c r="J41" s="352"/>
      <c r="K41" s="353"/>
      <c r="L41" s="358"/>
      <c r="M41" s="351"/>
      <c r="N41" s="352"/>
      <c r="O41" s="353"/>
      <c r="P41" s="358"/>
      <c r="Q41" s="327"/>
      <c r="R41" s="328"/>
      <c r="S41" s="327"/>
      <c r="T41" s="194"/>
      <c r="U41" s="55"/>
    </row>
    <row r="42" spans="1:21" ht="16.5" thickBot="1" x14ac:dyDescent="0.25">
      <c r="A42" s="23"/>
      <c r="B42" s="349"/>
      <c r="C42" s="356" t="s">
        <v>666</v>
      </c>
      <c r="D42" s="356"/>
      <c r="E42" s="356"/>
      <c r="F42" s="356"/>
      <c r="G42" s="356"/>
      <c r="H42" s="351"/>
      <c r="I42" s="357"/>
      <c r="J42" s="942">
        <f>VLOOKUP('Part 1'!L13,DataSheet2!$B$8:$DV$322,27,FALSE)</f>
        <v>48349887.300000004</v>
      </c>
      <c r="K42" s="943"/>
      <c r="L42" s="358"/>
      <c r="M42" s="351"/>
      <c r="N42" s="942">
        <f>VLOOKUP('Part 1'!L13,DataSheet2!$B$8:$DV$322,28,FALSE)</f>
        <v>1294480</v>
      </c>
      <c r="O42" s="943"/>
      <c r="P42" s="358"/>
      <c r="Q42" s="327"/>
      <c r="R42" s="924">
        <f>VLOOKUP('Part 1'!L13,DataSheet2!$B$8:$DV$322,29,FALSE)</f>
        <v>49644367.300000004</v>
      </c>
      <c r="S42" s="925"/>
      <c r="T42" s="194"/>
      <c r="U42" s="55"/>
    </row>
    <row r="43" spans="1:21" ht="16.5" thickBot="1" x14ac:dyDescent="0.25">
      <c r="A43" s="23"/>
      <c r="B43" s="349"/>
      <c r="C43" s="349"/>
      <c r="D43" s="349"/>
      <c r="E43" s="349"/>
      <c r="F43" s="349"/>
      <c r="G43" s="349"/>
      <c r="H43" s="351"/>
      <c r="I43" s="360"/>
      <c r="J43" s="361"/>
      <c r="K43" s="355"/>
      <c r="L43" s="362"/>
      <c r="M43" s="361"/>
      <c r="N43" s="361"/>
      <c r="O43" s="355"/>
      <c r="P43" s="363"/>
      <c r="Q43" s="329"/>
      <c r="R43" s="330"/>
      <c r="S43" s="329"/>
      <c r="T43" s="201"/>
      <c r="U43" s="55"/>
    </row>
    <row r="44" spans="1:21" ht="16.5" thickBot="1" x14ac:dyDescent="0.25">
      <c r="A44" s="23"/>
      <c r="B44" s="349"/>
      <c r="C44" s="351"/>
      <c r="D44" s="351"/>
      <c r="E44" s="351"/>
      <c r="F44" s="351"/>
      <c r="G44" s="351"/>
      <c r="H44" s="351"/>
      <c r="I44" s="351"/>
      <c r="J44" s="352"/>
      <c r="K44" s="353"/>
      <c r="L44" s="353"/>
      <c r="M44" s="353"/>
      <c r="N44" s="353"/>
      <c r="O44" s="353"/>
      <c r="P44" s="353"/>
      <c r="Q44" s="327"/>
      <c r="R44" s="328"/>
      <c r="S44" s="327"/>
      <c r="T44" s="150"/>
      <c r="U44" s="55"/>
    </row>
    <row r="45" spans="1:21" ht="15.75" x14ac:dyDescent="0.2">
      <c r="A45" s="23"/>
      <c r="B45" s="364"/>
      <c r="C45" s="365"/>
      <c r="D45" s="365"/>
      <c r="E45" s="365"/>
      <c r="F45" s="365"/>
      <c r="G45" s="365"/>
      <c r="H45" s="365"/>
      <c r="I45" s="365"/>
      <c r="J45" s="366"/>
      <c r="K45" s="367"/>
      <c r="L45" s="367"/>
      <c r="M45" s="367"/>
      <c r="N45" s="367"/>
      <c r="O45" s="367"/>
      <c r="P45" s="367"/>
      <c r="Q45" s="331"/>
      <c r="R45" s="332"/>
      <c r="S45" s="331"/>
      <c r="T45" s="165"/>
      <c r="U45" s="55"/>
    </row>
    <row r="46" spans="1:21" ht="16.5" thickBot="1" x14ac:dyDescent="0.3">
      <c r="A46" s="23"/>
      <c r="B46" s="368"/>
      <c r="C46" s="350" t="s">
        <v>1169</v>
      </c>
      <c r="D46" s="369"/>
      <c r="E46" s="369"/>
      <c r="F46" s="369"/>
      <c r="G46" s="369"/>
      <c r="H46" s="351"/>
      <c r="I46" s="351"/>
      <c r="J46" s="352"/>
      <c r="K46" s="353"/>
      <c r="L46" s="353"/>
      <c r="M46" s="353"/>
      <c r="N46" s="353"/>
      <c r="O46" s="353"/>
      <c r="P46" s="353"/>
      <c r="Q46" s="327"/>
      <c r="R46" s="328"/>
      <c r="S46" s="327"/>
      <c r="T46" s="166"/>
      <c r="U46" s="55"/>
    </row>
    <row r="47" spans="1:21" ht="16.5" thickBot="1" x14ac:dyDescent="0.25">
      <c r="A47" s="23"/>
      <c r="B47" s="368"/>
      <c r="C47" s="370" t="s">
        <v>667</v>
      </c>
      <c r="D47" s="369"/>
      <c r="E47" s="369"/>
      <c r="F47" s="369"/>
      <c r="G47" s="369"/>
      <c r="H47" s="351"/>
      <c r="I47" s="351"/>
      <c r="J47" s="942">
        <f>VLOOKUP('Part 1'!L13,DataSheet2!$B$8:$DV$322,30,FALSE)</f>
        <v>-48349887.300000004</v>
      </c>
      <c r="K47" s="943"/>
      <c r="L47" s="353"/>
      <c r="M47" s="353"/>
      <c r="N47" s="942">
        <f>VLOOKUP('Part 1'!L13,DataSheet2!$B$8:$DV$322,31,FALSE)</f>
        <v>-1294480</v>
      </c>
      <c r="O47" s="943"/>
      <c r="P47" s="353"/>
      <c r="Q47" s="327"/>
      <c r="R47" s="924">
        <f>VLOOKUP('Part 1'!L13,DataSheet2!$B$8:$DV$322,32,FALSE)</f>
        <v>-49644367.300000004</v>
      </c>
      <c r="S47" s="925"/>
      <c r="T47" s="166"/>
      <c r="U47" s="55"/>
    </row>
    <row r="48" spans="1:21" ht="16.5" thickBot="1" x14ac:dyDescent="0.3">
      <c r="A48" s="23"/>
      <c r="B48" s="371"/>
      <c r="C48" s="372"/>
      <c r="D48" s="373"/>
      <c r="E48" s="373"/>
      <c r="F48" s="373"/>
      <c r="G48" s="373"/>
      <c r="H48" s="373"/>
      <c r="I48" s="373"/>
      <c r="J48" s="374"/>
      <c r="K48" s="375"/>
      <c r="L48" s="375"/>
      <c r="M48" s="375"/>
      <c r="N48" s="375"/>
      <c r="O48" s="375"/>
      <c r="P48" s="375"/>
      <c r="Q48" s="333"/>
      <c r="R48" s="334"/>
      <c r="S48" s="333"/>
      <c r="T48" s="167"/>
      <c r="U48" s="55"/>
    </row>
    <row r="49" spans="1:21" ht="15" x14ac:dyDescent="0.2">
      <c r="A49" s="23"/>
      <c r="B49" s="2"/>
      <c r="C49" s="2"/>
      <c r="D49" s="2"/>
      <c r="E49" s="2"/>
      <c r="F49" s="2"/>
      <c r="G49" s="2"/>
      <c r="H49" s="2"/>
      <c r="I49" s="2"/>
      <c r="J49" s="2"/>
      <c r="K49" s="2"/>
      <c r="L49" s="2"/>
      <c r="M49" s="27"/>
      <c r="N49" s="2"/>
      <c r="O49" s="2"/>
      <c r="P49" s="2"/>
      <c r="Q49" s="150"/>
      <c r="R49" s="150"/>
      <c r="S49" s="150"/>
      <c r="T49" s="150"/>
      <c r="U49" s="55"/>
    </row>
    <row r="50" spans="1:21" ht="15.75" customHeight="1" x14ac:dyDescent="0.25">
      <c r="A50" s="80"/>
      <c r="B50" s="63"/>
      <c r="C50" s="16" t="s">
        <v>833</v>
      </c>
      <c r="D50" s="16"/>
      <c r="E50" s="16"/>
      <c r="F50" s="16"/>
      <c r="G50" s="16"/>
      <c r="H50" s="16"/>
      <c r="I50" s="63"/>
      <c r="J50" s="63"/>
      <c r="K50" s="63"/>
      <c r="L50" s="63"/>
      <c r="M50" s="27"/>
      <c r="N50" s="63"/>
      <c r="O50" s="63"/>
      <c r="P50" s="63"/>
      <c r="Q50" s="145"/>
      <c r="R50" s="145"/>
      <c r="S50" s="145"/>
      <c r="T50" s="150"/>
      <c r="U50" s="55"/>
    </row>
    <row r="51" spans="1:21" ht="15" x14ac:dyDescent="0.2">
      <c r="A51" s="23"/>
      <c r="B51" s="2"/>
      <c r="C51" s="10"/>
      <c r="D51" s="27"/>
      <c r="E51" s="27"/>
      <c r="F51" s="27"/>
      <c r="G51" s="27"/>
      <c r="H51" s="27"/>
      <c r="I51" s="27"/>
      <c r="J51" s="63"/>
      <c r="K51" s="63"/>
      <c r="L51" s="63"/>
      <c r="M51" s="27"/>
      <c r="N51" s="63"/>
      <c r="O51" s="63"/>
      <c r="P51" s="63"/>
      <c r="Q51" s="145"/>
      <c r="R51" s="145"/>
      <c r="S51" s="145"/>
      <c r="T51" s="150"/>
      <c r="U51" s="55"/>
    </row>
    <row r="52" spans="1:21" ht="16.5" thickBot="1" x14ac:dyDescent="0.3">
      <c r="A52" s="23"/>
      <c r="B52" s="2"/>
      <c r="C52" s="13" t="s">
        <v>633</v>
      </c>
      <c r="D52" s="10"/>
      <c r="E52" s="10"/>
      <c r="F52" s="10"/>
      <c r="G52" s="10"/>
      <c r="H52" s="27"/>
      <c r="I52" s="27"/>
      <c r="J52" s="63"/>
      <c r="K52" s="63"/>
      <c r="L52" s="63"/>
      <c r="M52" s="27"/>
      <c r="N52" s="63"/>
      <c r="O52" s="63"/>
      <c r="P52" s="63"/>
      <c r="Q52" s="145"/>
      <c r="R52" s="145"/>
      <c r="S52" s="145"/>
      <c r="T52" s="150"/>
      <c r="U52" s="55"/>
    </row>
    <row r="53" spans="1:21" ht="16.5" thickBot="1" x14ac:dyDescent="0.25">
      <c r="A53" s="23"/>
      <c r="B53" s="2"/>
      <c r="C53" s="10" t="s">
        <v>1582</v>
      </c>
      <c r="D53" s="10"/>
      <c r="E53" s="10"/>
      <c r="F53" s="10"/>
      <c r="G53" s="10"/>
      <c r="H53" s="27"/>
      <c r="I53" s="27"/>
      <c r="J53" s="878">
        <f>VLOOKUP('Part 1'!L13,DataSheet2!$B$8:$DV$322,33,FALSE)</f>
        <v>-2008672964.1700001</v>
      </c>
      <c r="K53" s="879"/>
      <c r="L53" s="63"/>
      <c r="M53" s="27"/>
      <c r="N53" s="878">
        <f>VLOOKUP('Part 1'!L13,DataSheet2!$B$8:$DV$322,34,FALSE)</f>
        <v>-7246535</v>
      </c>
      <c r="O53" s="879"/>
      <c r="P53" s="63"/>
      <c r="Q53" s="145"/>
      <c r="R53" s="926">
        <f>VLOOKUP('Part 1'!L13,DataSheet2!$B$8:$DV$322,35,FALSE)</f>
        <v>-2015919499.1700001</v>
      </c>
      <c r="S53" s="927"/>
      <c r="T53" s="150"/>
      <c r="U53" s="55"/>
    </row>
    <row r="54" spans="1:21" ht="16.5" thickBot="1" x14ac:dyDescent="0.3">
      <c r="A54" s="23"/>
      <c r="B54" s="2"/>
      <c r="C54" s="10"/>
      <c r="D54" s="10"/>
      <c r="E54" s="10"/>
      <c r="F54" s="10"/>
      <c r="G54" s="10"/>
      <c r="H54" s="27"/>
      <c r="I54" s="27"/>
      <c r="J54" s="292">
        <f>+IF(OR(J55&lt;J53,N55&lt;N53),1,0)</f>
        <v>0</v>
      </c>
      <c r="K54" s="287"/>
      <c r="L54" s="287"/>
      <c r="M54" s="159"/>
      <c r="N54" s="292">
        <f>+IF(OR(N55&lt;N53,R55&lt;R53),1,0)</f>
        <v>0</v>
      </c>
      <c r="O54" s="287"/>
      <c r="P54" s="287" t="s">
        <v>841</v>
      </c>
      <c r="Q54" s="288"/>
      <c r="R54" s="288"/>
      <c r="S54" s="288"/>
      <c r="T54" s="150"/>
      <c r="U54" s="55"/>
    </row>
    <row r="55" spans="1:21" ht="16.5" thickBot="1" x14ac:dyDescent="0.25">
      <c r="A55" s="23"/>
      <c r="B55" s="2"/>
      <c r="C55" s="918" t="s">
        <v>656</v>
      </c>
      <c r="D55" s="918"/>
      <c r="E55" s="918"/>
      <c r="F55" s="918"/>
      <c r="G55" s="918"/>
      <c r="H55" s="27"/>
      <c r="I55" s="27"/>
      <c r="J55" s="878">
        <f>VLOOKUP('Part 1'!L13,DataSheet2!$B$8:$DV$322,36,FALSE)</f>
        <v>-3235123.5</v>
      </c>
      <c r="K55" s="879"/>
      <c r="L55" s="63"/>
      <c r="M55" s="27"/>
      <c r="N55" s="878">
        <f>VLOOKUP('Part 1'!L13,DataSheet2!$B$8:$DV$322,37,FALSE)</f>
        <v>-43454</v>
      </c>
      <c r="O55" s="879"/>
      <c r="P55" s="63"/>
      <c r="Q55" s="145"/>
      <c r="R55" s="926">
        <f>VLOOKUP('Part 1'!L13,DataSheet2!$B$8:$DV$322,38,FALSE)</f>
        <v>-3278577.5</v>
      </c>
      <c r="S55" s="927"/>
      <c r="T55" s="150"/>
      <c r="U55" s="55"/>
    </row>
    <row r="56" spans="1:21" ht="15.75" x14ac:dyDescent="0.2">
      <c r="A56" s="23"/>
      <c r="B56" s="2"/>
      <c r="C56" s="918"/>
      <c r="D56" s="918"/>
      <c r="E56" s="918"/>
      <c r="F56" s="918"/>
      <c r="G56" s="918"/>
      <c r="H56" s="27"/>
      <c r="I56" s="27"/>
      <c r="J56" s="291"/>
      <c r="K56" s="290"/>
      <c r="L56" s="290"/>
      <c r="M56" s="290"/>
      <c r="N56" s="291"/>
      <c r="O56" s="290"/>
      <c r="P56" s="63"/>
      <c r="Q56" s="145"/>
      <c r="R56" s="289"/>
      <c r="S56" s="145"/>
      <c r="T56" s="150"/>
      <c r="U56" s="55"/>
    </row>
    <row r="57" spans="1:21" ht="16.5" thickBot="1" x14ac:dyDescent="0.25">
      <c r="A57" s="23"/>
      <c r="B57" s="2"/>
      <c r="C57" s="10"/>
      <c r="D57" s="10"/>
      <c r="E57" s="10"/>
      <c r="F57" s="10"/>
      <c r="G57" s="10"/>
      <c r="H57" s="27"/>
      <c r="I57" s="27"/>
      <c r="J57" s="64"/>
      <c r="K57" s="63"/>
      <c r="L57" s="63"/>
      <c r="M57" s="27"/>
      <c r="N57" s="64"/>
      <c r="O57" s="63"/>
      <c r="P57" s="63"/>
      <c r="Q57" s="145"/>
      <c r="R57" s="244"/>
      <c r="S57" s="145"/>
      <c r="T57" s="150"/>
      <c r="U57" s="55"/>
    </row>
    <row r="58" spans="1:21" ht="16.5" thickBot="1" x14ac:dyDescent="0.25">
      <c r="A58" s="23"/>
      <c r="B58" s="2"/>
      <c r="C58" s="918" t="s">
        <v>825</v>
      </c>
      <c r="D58" s="918"/>
      <c r="E58" s="918"/>
      <c r="F58" s="918"/>
      <c r="G58" s="918"/>
      <c r="H58" s="27"/>
      <c r="I58" s="27"/>
      <c r="J58" s="878">
        <f>VLOOKUP('Part 1'!L13,DataSheet2!$B$8:$DV$322,39,FALSE)</f>
        <v>629933645.66999996</v>
      </c>
      <c r="K58" s="879"/>
      <c r="L58" s="63"/>
      <c r="M58" s="27"/>
      <c r="N58" s="878">
        <f>VLOOKUP('Part 1'!L13,DataSheet2!$B$8:$DV$322,40,FALSE)</f>
        <v>7306048.5</v>
      </c>
      <c r="O58" s="879"/>
      <c r="P58" s="63"/>
      <c r="Q58" s="145"/>
      <c r="R58" s="926">
        <f>VLOOKUP('Part 1'!L13,DataSheet2!$B$8:$DV$322,41,FALSE)</f>
        <v>637239694.16999996</v>
      </c>
      <c r="S58" s="927"/>
      <c r="T58" s="150"/>
      <c r="U58" s="55"/>
    </row>
    <row r="59" spans="1:21" ht="15.75" customHeight="1" x14ac:dyDescent="0.2">
      <c r="A59" s="23"/>
      <c r="B59" s="2"/>
      <c r="C59" s="941"/>
      <c r="D59" s="941"/>
      <c r="E59" s="941"/>
      <c r="F59" s="941"/>
      <c r="G59" s="941"/>
      <c r="H59" s="27"/>
      <c r="I59" s="27"/>
      <c r="J59" s="64"/>
      <c r="K59" s="63"/>
      <c r="L59" s="63"/>
      <c r="M59" s="27"/>
      <c r="N59" s="64"/>
      <c r="O59" s="63"/>
      <c r="P59" s="63"/>
      <c r="Q59" s="145"/>
      <c r="R59" s="244"/>
      <c r="S59" s="145"/>
      <c r="T59" s="150"/>
      <c r="U59" s="55"/>
    </row>
    <row r="60" spans="1:21" ht="16.5" thickBot="1" x14ac:dyDescent="0.25">
      <c r="A60" s="23"/>
      <c r="B60" s="2"/>
      <c r="C60" s="285"/>
      <c r="D60" s="285"/>
      <c r="E60" s="285"/>
      <c r="F60" s="285"/>
      <c r="G60" s="285"/>
      <c r="H60" s="27"/>
      <c r="I60" s="27"/>
      <c r="J60" s="64"/>
      <c r="K60" s="63"/>
      <c r="L60" s="63"/>
      <c r="M60" s="27"/>
      <c r="N60" s="64"/>
      <c r="O60" s="63"/>
      <c r="P60" s="63"/>
      <c r="Q60" s="145"/>
      <c r="R60" s="244"/>
      <c r="S60" s="145"/>
      <c r="T60" s="150"/>
      <c r="U60" s="55"/>
    </row>
    <row r="61" spans="1:21" ht="16.5" thickBot="1" x14ac:dyDescent="0.25">
      <c r="A61" s="23"/>
      <c r="B61" s="2"/>
      <c r="C61" s="10" t="s">
        <v>854</v>
      </c>
      <c r="D61" s="10"/>
      <c r="E61" s="10"/>
      <c r="F61" s="10"/>
      <c r="G61" s="10"/>
      <c r="H61" s="27"/>
      <c r="I61" s="27"/>
      <c r="J61" s="935">
        <f>VLOOKUP('Part 1'!L13,DataSheet2!$B$8:$DV$322,42,FALSE)</f>
        <v>-1378739318.5</v>
      </c>
      <c r="K61" s="936"/>
      <c r="L61" s="63"/>
      <c r="M61" s="27"/>
      <c r="N61" s="935">
        <f>VLOOKUP('Part 1'!L13,DataSheet2!$B$8:$DV$322,43,FALSE)</f>
        <v>59513.5</v>
      </c>
      <c r="O61" s="936"/>
      <c r="P61" s="63"/>
      <c r="Q61" s="145"/>
      <c r="R61" s="926">
        <f>VLOOKUP('Part 1'!L13,DataSheet2!$B$8:$DV$322,44,FALSE)</f>
        <v>-1378679805</v>
      </c>
      <c r="S61" s="927"/>
      <c r="T61" s="150"/>
      <c r="U61" s="55"/>
    </row>
    <row r="62" spans="1:21" ht="15" x14ac:dyDescent="0.2">
      <c r="A62" s="23"/>
      <c r="B62" s="2"/>
      <c r="C62" s="10"/>
      <c r="D62" s="10"/>
      <c r="E62" s="10"/>
      <c r="F62" s="10"/>
      <c r="G62" s="10"/>
      <c r="H62" s="27"/>
      <c r="I62" s="27"/>
      <c r="J62" s="63"/>
      <c r="K62" s="63"/>
      <c r="L62" s="63"/>
      <c r="M62" s="27"/>
      <c r="N62" s="63"/>
      <c r="O62" s="63"/>
      <c r="P62" s="63"/>
      <c r="Q62" s="145"/>
      <c r="R62" s="145"/>
      <c r="S62" s="145"/>
      <c r="T62" s="150"/>
      <c r="U62" s="55"/>
    </row>
    <row r="63" spans="1:21" ht="16.5" thickBot="1" x14ac:dyDescent="0.3">
      <c r="A63" s="23"/>
      <c r="B63" s="2"/>
      <c r="C63" s="13" t="s">
        <v>650</v>
      </c>
      <c r="D63" s="10"/>
      <c r="E63" s="10"/>
      <c r="F63" s="10"/>
      <c r="G63" s="10"/>
      <c r="H63" s="27"/>
      <c r="I63" s="27"/>
      <c r="J63" s="63"/>
      <c r="K63" s="63"/>
      <c r="L63" s="63"/>
      <c r="M63" s="27"/>
      <c r="N63" s="63"/>
      <c r="O63" s="63"/>
      <c r="P63" s="63"/>
      <c r="Q63" s="145"/>
      <c r="R63" s="145"/>
      <c r="S63" s="145"/>
      <c r="T63" s="150"/>
      <c r="U63" s="55"/>
    </row>
    <row r="64" spans="1:21" ht="16.5" thickBot="1" x14ac:dyDescent="0.25">
      <c r="A64" s="23"/>
      <c r="B64" s="2"/>
      <c r="C64" s="10" t="s">
        <v>1581</v>
      </c>
      <c r="D64" s="10"/>
      <c r="E64" s="10"/>
      <c r="F64" s="10"/>
      <c r="G64" s="10"/>
      <c r="H64" s="27"/>
      <c r="I64" s="27"/>
      <c r="J64" s="878">
        <f>VLOOKUP('Part 1'!L13,DataSheet2!$B$8:$DV$322,45,FALSE)</f>
        <v>-2022563295.23</v>
      </c>
      <c r="K64" s="879"/>
      <c r="L64" s="63"/>
      <c r="M64" s="27"/>
      <c r="N64" s="878">
        <f>VLOOKUP('Part 1'!L13,DataSheet2!$B$8:$DV$322,46,FALSE)</f>
        <v>-13698453</v>
      </c>
      <c r="O64" s="879"/>
      <c r="P64" s="63"/>
      <c r="Q64" s="145"/>
      <c r="R64" s="926">
        <f>VLOOKUP('Part 1'!L13,DataSheet2!$B$8:$DV$322,47,FALSE)</f>
        <v>-2036261748.23</v>
      </c>
      <c r="S64" s="927"/>
      <c r="T64" s="150"/>
      <c r="U64" s="55"/>
    </row>
    <row r="65" spans="1:21" ht="15" x14ac:dyDescent="0.2">
      <c r="A65" s="23"/>
      <c r="B65" s="2"/>
      <c r="C65" s="10"/>
      <c r="D65" s="10"/>
      <c r="E65" s="10"/>
      <c r="F65" s="10"/>
      <c r="G65" s="10"/>
      <c r="H65" s="27"/>
      <c r="I65" s="27"/>
      <c r="J65" s="63"/>
      <c r="K65" s="63"/>
      <c r="L65" s="63"/>
      <c r="M65" s="27"/>
      <c r="N65" s="63"/>
      <c r="O65" s="63"/>
      <c r="P65" s="63"/>
      <c r="Q65" s="145"/>
      <c r="R65" s="145"/>
      <c r="S65" s="145"/>
      <c r="T65" s="150"/>
      <c r="U65" s="55"/>
    </row>
    <row r="66" spans="1:21" ht="16.5" thickBot="1" x14ac:dyDescent="0.3">
      <c r="A66" s="23"/>
      <c r="B66" s="2"/>
      <c r="C66" s="13" t="s">
        <v>634</v>
      </c>
      <c r="D66" s="10"/>
      <c r="E66" s="10"/>
      <c r="F66" s="10"/>
      <c r="G66" s="10"/>
      <c r="H66" s="27"/>
      <c r="I66" s="27"/>
      <c r="J66" s="63"/>
      <c r="K66" s="63"/>
      <c r="L66" s="63"/>
      <c r="M66" s="27"/>
      <c r="N66" s="63"/>
      <c r="O66" s="63"/>
      <c r="P66" s="63"/>
      <c r="Q66" s="145"/>
      <c r="R66" s="145"/>
      <c r="S66" s="145"/>
      <c r="T66" s="150"/>
      <c r="U66" s="55"/>
    </row>
    <row r="67" spans="1:21" ht="16.5" thickBot="1" x14ac:dyDescent="0.25">
      <c r="A67" s="23"/>
      <c r="B67" s="2"/>
      <c r="C67" s="10" t="s">
        <v>1580</v>
      </c>
      <c r="D67" s="10"/>
      <c r="E67" s="10"/>
      <c r="F67" s="10"/>
      <c r="G67" s="10"/>
      <c r="H67" s="27"/>
      <c r="I67" s="27"/>
      <c r="J67" s="878">
        <f>VLOOKUP('Part 1'!L13,DataSheet2!$B$8:$DV$322,48,FALSE)</f>
        <v>-20784039.500000004</v>
      </c>
      <c r="K67" s="879"/>
      <c r="L67" s="63"/>
      <c r="M67" s="27"/>
      <c r="N67" s="878">
        <f>VLOOKUP('Part 1'!L13,DataSheet2!$B$8:$DV$322,49,FALSE)</f>
        <v>-18432</v>
      </c>
      <c r="O67" s="879"/>
      <c r="P67" s="63"/>
      <c r="Q67" s="145"/>
      <c r="R67" s="926">
        <f>VLOOKUP('Part 1'!L13,DataSheet2!$B$8:$DV$322,50,FALSE)</f>
        <v>-20802471.500000004</v>
      </c>
      <c r="S67" s="927"/>
      <c r="T67" s="150"/>
      <c r="U67" s="55"/>
    </row>
    <row r="68" spans="1:21" ht="15.75" x14ac:dyDescent="0.2">
      <c r="A68" s="23"/>
      <c r="B68" s="2"/>
      <c r="C68" s="27"/>
      <c r="D68" s="27"/>
      <c r="E68" s="27"/>
      <c r="F68" s="27"/>
      <c r="G68" s="27"/>
      <c r="H68" s="27"/>
      <c r="I68" s="27"/>
      <c r="J68" s="64"/>
      <c r="K68" s="63"/>
      <c r="L68" s="63"/>
      <c r="M68" s="27"/>
      <c r="N68" s="64"/>
      <c r="O68" s="63"/>
      <c r="P68" s="63"/>
      <c r="Q68" s="145"/>
      <c r="R68" s="482"/>
      <c r="S68" s="145"/>
      <c r="T68" s="150"/>
      <c r="U68" s="55"/>
    </row>
    <row r="69" spans="1:21" ht="16.5" thickBot="1" x14ac:dyDescent="0.3">
      <c r="A69" s="23"/>
      <c r="B69" s="2"/>
      <c r="C69" s="26" t="s">
        <v>652</v>
      </c>
      <c r="D69" s="27"/>
      <c r="E69" s="27"/>
      <c r="F69" s="27"/>
      <c r="G69" s="27"/>
      <c r="H69" s="27"/>
      <c r="I69" s="27"/>
      <c r="J69" s="63"/>
      <c r="K69" s="63"/>
      <c r="L69" s="63"/>
      <c r="M69" s="27"/>
      <c r="N69" s="63"/>
      <c r="O69" s="63"/>
      <c r="P69" s="63"/>
      <c r="Q69" s="145"/>
      <c r="R69" s="145"/>
      <c r="S69" s="145"/>
      <c r="T69" s="150"/>
      <c r="U69" s="55"/>
    </row>
    <row r="70" spans="1:21" ht="16.5" thickBot="1" x14ac:dyDescent="0.25">
      <c r="A70" s="23"/>
      <c r="B70" s="2"/>
      <c r="C70" s="10" t="s">
        <v>1579</v>
      </c>
      <c r="D70" s="27"/>
      <c r="E70" s="27"/>
      <c r="F70" s="27"/>
      <c r="G70" s="27"/>
      <c r="H70" s="27"/>
      <c r="I70" s="27"/>
      <c r="J70" s="878">
        <f>VLOOKUP('Part 1'!L13,DataSheet2!$B$8:$DV$322,51,FALSE)</f>
        <v>-4300476.79</v>
      </c>
      <c r="K70" s="879"/>
      <c r="L70" s="63"/>
      <c r="M70" s="27"/>
      <c r="N70" s="878">
        <f>VLOOKUP('Part 1'!L13,DataSheet2!$B$8:$DV$322,52,FALSE)</f>
        <v>0</v>
      </c>
      <c r="O70" s="879"/>
      <c r="P70" s="63"/>
      <c r="Q70" s="145"/>
      <c r="R70" s="926">
        <f>VLOOKUP('Part 1'!L13,DataSheet2!$B$8:$DV$322,53,FALSE)</f>
        <v>-4300476.79</v>
      </c>
      <c r="S70" s="927"/>
      <c r="T70" s="150"/>
      <c r="U70" s="55"/>
    </row>
    <row r="71" spans="1:21" ht="15.75" x14ac:dyDescent="0.2">
      <c r="A71" s="23"/>
      <c r="B71" s="2"/>
      <c r="C71" s="10"/>
      <c r="D71" s="27"/>
      <c r="E71" s="27"/>
      <c r="F71" s="27"/>
      <c r="G71" s="27"/>
      <c r="H71" s="27"/>
      <c r="I71" s="27"/>
      <c r="J71" s="27"/>
      <c r="K71" s="27"/>
      <c r="L71" s="27"/>
      <c r="M71" s="27"/>
      <c r="N71" s="27"/>
      <c r="O71" s="27"/>
      <c r="P71" s="63"/>
      <c r="Q71" s="145"/>
      <c r="R71" s="752"/>
      <c r="S71" s="145"/>
      <c r="T71" s="150"/>
      <c r="U71" s="55"/>
    </row>
    <row r="72" spans="1:21" ht="16.5" thickBot="1" x14ac:dyDescent="0.3">
      <c r="A72" s="23"/>
      <c r="B72" s="2"/>
      <c r="C72" s="13" t="s">
        <v>1578</v>
      </c>
      <c r="D72" s="27"/>
      <c r="E72" s="27"/>
      <c r="F72" s="27"/>
      <c r="G72" s="27"/>
      <c r="H72" s="27"/>
      <c r="I72" s="27"/>
      <c r="J72" s="63"/>
      <c r="K72" s="63"/>
      <c r="L72" s="63"/>
      <c r="M72" s="27"/>
      <c r="N72" s="63"/>
      <c r="O72" s="63"/>
      <c r="P72" s="63"/>
      <c r="Q72" s="145"/>
      <c r="R72" s="145"/>
      <c r="S72" s="145"/>
      <c r="T72" s="150"/>
      <c r="U72" s="55"/>
    </row>
    <row r="73" spans="1:21" ht="16.5" thickBot="1" x14ac:dyDescent="0.25">
      <c r="A73" s="23"/>
      <c r="B73" s="2"/>
      <c r="C73" s="10" t="s">
        <v>1586</v>
      </c>
      <c r="D73" s="27"/>
      <c r="E73" s="27"/>
      <c r="F73" s="27"/>
      <c r="G73" s="27"/>
      <c r="H73" s="27"/>
      <c r="I73" s="27"/>
      <c r="J73" s="878">
        <f>VLOOKUP('Part 1'!L13,DataSheet2!$B$8:$DV$322,54,FALSE)</f>
        <v>-329356</v>
      </c>
      <c r="K73" s="879"/>
      <c r="L73" s="63"/>
      <c r="M73" s="27"/>
      <c r="N73" s="878">
        <f>VLOOKUP('Part 1'!L13,DataSheet2!$B$8:$DV$322,55,FALSE)</f>
        <v>0</v>
      </c>
      <c r="O73" s="879"/>
      <c r="P73" s="63"/>
      <c r="Q73" s="145"/>
      <c r="R73" s="926">
        <f>VLOOKUP('Part 1'!L13,DataSheet2!$B$8:$DV$322,56,FALSE)</f>
        <v>-329356</v>
      </c>
      <c r="S73" s="927"/>
      <c r="T73" s="150"/>
      <c r="U73" s="55"/>
    </row>
    <row r="74" spans="1:21" ht="16.5" thickBot="1" x14ac:dyDescent="0.25">
      <c r="A74" s="24"/>
      <c r="B74" s="25"/>
      <c r="C74" s="88"/>
      <c r="D74" s="88"/>
      <c r="E74" s="88"/>
      <c r="F74" s="88"/>
      <c r="G74" s="88"/>
      <c r="H74" s="88"/>
      <c r="I74" s="88"/>
      <c r="J74" s="89"/>
      <c r="K74" s="90"/>
      <c r="L74" s="90"/>
      <c r="M74" s="90"/>
      <c r="N74" s="89"/>
      <c r="O74" s="90"/>
      <c r="P74" s="90"/>
      <c r="Q74" s="156"/>
      <c r="R74" s="155"/>
      <c r="S74" s="156"/>
      <c r="T74" s="171"/>
      <c r="U74" s="56"/>
    </row>
    <row r="75" spans="1:21" ht="16.5" thickBot="1" x14ac:dyDescent="0.25">
      <c r="A75" s="23"/>
      <c r="B75" s="2"/>
      <c r="C75" s="27"/>
      <c r="D75" s="27"/>
      <c r="E75" s="27"/>
      <c r="F75" s="27"/>
      <c r="G75" s="27"/>
      <c r="H75" s="27"/>
      <c r="I75" s="27"/>
      <c r="J75" s="64"/>
      <c r="K75" s="63"/>
      <c r="L75" s="63"/>
      <c r="M75" s="63"/>
      <c r="N75" s="64"/>
      <c r="O75" s="63"/>
      <c r="P75" s="63"/>
      <c r="Q75" s="145"/>
      <c r="R75" s="276"/>
      <c r="S75" s="145"/>
      <c r="T75" s="150"/>
      <c r="U75" s="55"/>
    </row>
    <row r="76" spans="1:21" ht="16.5" thickBot="1" x14ac:dyDescent="0.25">
      <c r="A76" s="23"/>
      <c r="B76" s="4"/>
      <c r="C76" s="57"/>
      <c r="D76" s="57"/>
      <c r="E76" s="57"/>
      <c r="F76" s="57"/>
      <c r="G76" s="57"/>
      <c r="H76" s="57"/>
      <c r="I76" s="57"/>
      <c r="J76" s="66"/>
      <c r="K76" s="67"/>
      <c r="L76" s="67"/>
      <c r="M76" s="67"/>
      <c r="N76" s="66"/>
      <c r="O76" s="67"/>
      <c r="P76" s="67"/>
      <c r="Q76" s="152"/>
      <c r="R76" s="151"/>
      <c r="S76" s="152"/>
      <c r="T76" s="168"/>
      <c r="U76" s="55"/>
    </row>
    <row r="77" spans="1:21" ht="16.5" thickBot="1" x14ac:dyDescent="0.25">
      <c r="A77" s="23"/>
      <c r="B77" s="5"/>
      <c r="C77" s="27"/>
      <c r="D77" s="27"/>
      <c r="E77" s="27"/>
      <c r="F77" s="27"/>
      <c r="G77" s="27"/>
      <c r="H77" s="27"/>
      <c r="I77" s="188"/>
      <c r="J77" s="202"/>
      <c r="K77" s="189"/>
      <c r="L77" s="190"/>
      <c r="M77" s="189"/>
      <c r="N77" s="202"/>
      <c r="O77" s="189"/>
      <c r="P77" s="190"/>
      <c r="Q77" s="191"/>
      <c r="R77" s="203"/>
      <c r="S77" s="191"/>
      <c r="T77" s="192"/>
      <c r="U77" s="55"/>
    </row>
    <row r="78" spans="1:21" ht="16.5" thickBot="1" x14ac:dyDescent="0.25">
      <c r="A78" s="23"/>
      <c r="B78" s="5"/>
      <c r="C78" s="918" t="s">
        <v>1600</v>
      </c>
      <c r="D78" s="918"/>
      <c r="E78" s="918"/>
      <c r="F78" s="918"/>
      <c r="G78" s="918"/>
      <c r="H78" s="27"/>
      <c r="I78" s="193"/>
      <c r="J78" s="935">
        <f>VLOOKUP('Part 1'!L13,DataSheet2!$B$8:$DV$322,57,FALSE)</f>
        <v>-3426716486.02</v>
      </c>
      <c r="K78" s="944"/>
      <c r="L78" s="65"/>
      <c r="M78" s="27"/>
      <c r="N78" s="935">
        <f>VLOOKUP('Part 1'!L13,DataSheet2!$B$8:$DV$322,58,FALSE)</f>
        <v>-13657371.5</v>
      </c>
      <c r="O78" s="944"/>
      <c r="P78" s="65"/>
      <c r="Q78" s="145"/>
      <c r="R78" s="145"/>
      <c r="S78" s="145"/>
      <c r="T78" s="194"/>
      <c r="U78" s="55"/>
    </row>
    <row r="79" spans="1:21" ht="15.75" x14ac:dyDescent="0.2">
      <c r="A79" s="23"/>
      <c r="B79" s="5"/>
      <c r="C79" s="918"/>
      <c r="D79" s="918"/>
      <c r="E79" s="918"/>
      <c r="F79" s="918"/>
      <c r="G79" s="918"/>
      <c r="H79" s="27"/>
      <c r="I79" s="193"/>
      <c r="J79" s="64"/>
      <c r="K79" s="63"/>
      <c r="L79" s="65"/>
      <c r="M79" s="27"/>
      <c r="N79" s="64"/>
      <c r="O79" s="63"/>
      <c r="P79" s="65"/>
      <c r="Q79" s="145"/>
      <c r="R79" s="145"/>
      <c r="S79" s="145"/>
      <c r="T79" s="194"/>
      <c r="U79" s="55"/>
    </row>
    <row r="80" spans="1:21" ht="16.5" thickBot="1" x14ac:dyDescent="0.25">
      <c r="A80" s="23"/>
      <c r="B80" s="5"/>
      <c r="C80" s="27"/>
      <c r="D80" s="27"/>
      <c r="E80" s="27"/>
      <c r="F80" s="27"/>
      <c r="G80" s="27"/>
      <c r="H80" s="27"/>
      <c r="I80" s="193"/>
      <c r="J80" s="64"/>
      <c r="K80" s="63"/>
      <c r="L80" s="65"/>
      <c r="M80" s="27"/>
      <c r="N80" s="64"/>
      <c r="O80" s="63"/>
      <c r="P80" s="65"/>
      <c r="Q80" s="145"/>
      <c r="R80" s="145"/>
      <c r="S80" s="145"/>
      <c r="T80" s="194"/>
      <c r="U80" s="55"/>
    </row>
    <row r="81" spans="1:21" ht="16.5" customHeight="1" thickBot="1" x14ac:dyDescent="0.25">
      <c r="A81" s="23"/>
      <c r="B81" s="5"/>
      <c r="C81" s="874" t="s">
        <v>1587</v>
      </c>
      <c r="D81" s="973"/>
      <c r="E81" s="973"/>
      <c r="F81" s="973"/>
      <c r="G81" s="973"/>
      <c r="H81" s="27"/>
      <c r="I81" s="193"/>
      <c r="J81" s="878">
        <f>VLOOKUP('Part 1'!L13,DataSheet2!$B$8:$DV$322,59,FALSE)</f>
        <v>-23290620</v>
      </c>
      <c r="K81" s="879"/>
      <c r="L81" s="65"/>
      <c r="M81" s="27"/>
      <c r="N81" s="878">
        <f>VLOOKUP('Part 1'!L13,DataSheet2!$B$8:$DV$322,60,FALSE)</f>
        <v>-569424</v>
      </c>
      <c r="O81" s="879"/>
      <c r="P81" s="65"/>
      <c r="Q81" s="145"/>
      <c r="R81" s="145"/>
      <c r="S81" s="145"/>
      <c r="T81" s="194"/>
      <c r="U81" s="55"/>
    </row>
    <row r="82" spans="1:21" ht="15.75" customHeight="1" x14ac:dyDescent="0.2">
      <c r="A82" s="23"/>
      <c r="B82" s="5"/>
      <c r="C82" s="973"/>
      <c r="D82" s="973"/>
      <c r="E82" s="973"/>
      <c r="F82" s="973"/>
      <c r="G82" s="973"/>
      <c r="H82" s="27"/>
      <c r="I82" s="193"/>
      <c r="J82" s="64"/>
      <c r="K82" s="63"/>
      <c r="L82" s="65"/>
      <c r="M82" s="27"/>
      <c r="N82" s="64"/>
      <c r="O82" s="63"/>
      <c r="P82" s="65"/>
      <c r="Q82" s="145"/>
      <c r="R82" s="158"/>
      <c r="S82" s="145"/>
      <c r="T82" s="194"/>
      <c r="U82" s="55"/>
    </row>
    <row r="83" spans="1:21" ht="15.75" customHeight="1" x14ac:dyDescent="0.2">
      <c r="A83" s="23"/>
      <c r="B83" s="5"/>
      <c r="C83" s="973"/>
      <c r="D83" s="973"/>
      <c r="E83" s="973"/>
      <c r="F83" s="973"/>
      <c r="G83" s="973"/>
      <c r="H83" s="27"/>
      <c r="I83" s="193"/>
      <c r="J83" s="64"/>
      <c r="K83" s="63"/>
      <c r="L83" s="65"/>
      <c r="M83" s="27"/>
      <c r="N83" s="64"/>
      <c r="O83" s="63"/>
      <c r="P83" s="65"/>
      <c r="Q83" s="145"/>
      <c r="R83" s="206"/>
      <c r="S83" s="145"/>
      <c r="T83" s="194"/>
      <c r="U83" s="55"/>
    </row>
    <row r="84" spans="1:21" ht="16.5" thickBot="1" x14ac:dyDescent="0.25">
      <c r="A84" s="23"/>
      <c r="B84" s="5"/>
      <c r="C84" s="61"/>
      <c r="D84" s="61"/>
      <c r="E84" s="61"/>
      <c r="F84" s="61"/>
      <c r="G84" s="61"/>
      <c r="H84" s="27"/>
      <c r="I84" s="193"/>
      <c r="J84" s="64"/>
      <c r="K84" s="63"/>
      <c r="L84" s="65"/>
      <c r="M84" s="27"/>
      <c r="N84" s="64"/>
      <c r="O84" s="63"/>
      <c r="P84" s="65"/>
      <c r="Q84" s="145"/>
      <c r="R84" s="158"/>
      <c r="S84" s="145"/>
      <c r="T84" s="194"/>
      <c r="U84" s="55"/>
    </row>
    <row r="85" spans="1:21" ht="16.5" thickBot="1" x14ac:dyDescent="0.25">
      <c r="A85" s="23"/>
      <c r="B85" s="5"/>
      <c r="C85" s="946" t="s">
        <v>1599</v>
      </c>
      <c r="D85" s="947"/>
      <c r="E85" s="947"/>
      <c r="F85" s="947"/>
      <c r="G85" s="947"/>
      <c r="H85" s="27"/>
      <c r="I85" s="193"/>
      <c r="J85" s="935">
        <f>VLOOKUP('Part 1'!L13,DataSheet2!$B$8:$DV$322,61,FALSE)</f>
        <v>-3450007106.02</v>
      </c>
      <c r="K85" s="944"/>
      <c r="L85" s="65"/>
      <c r="M85" s="27"/>
      <c r="N85" s="935">
        <f>VLOOKUP('Part 1'!L13,DataSheet2!$B$8:$DV$322,62,FALSE)</f>
        <v>-14226795.5</v>
      </c>
      <c r="O85" s="944"/>
      <c r="P85" s="65"/>
      <c r="Q85" s="145"/>
      <c r="R85" s="926">
        <f>VLOOKUP('Part 1'!L13,DataSheet2!$B$8:$DV$322,63,FALSE)</f>
        <v>-3464233901.52</v>
      </c>
      <c r="S85" s="927"/>
      <c r="T85" s="194"/>
      <c r="U85" s="55"/>
    </row>
    <row r="86" spans="1:21" ht="16.5" thickBot="1" x14ac:dyDescent="0.25">
      <c r="A86" s="23"/>
      <c r="B86" s="5"/>
      <c r="C86" s="941"/>
      <c r="D86" s="941"/>
      <c r="E86" s="941"/>
      <c r="F86" s="941"/>
      <c r="G86" s="941"/>
      <c r="H86" s="27"/>
      <c r="I86" s="195"/>
      <c r="J86" s="196"/>
      <c r="K86" s="197"/>
      <c r="L86" s="198"/>
      <c r="M86" s="196"/>
      <c r="N86" s="196"/>
      <c r="O86" s="197"/>
      <c r="P86" s="198"/>
      <c r="Q86" s="199"/>
      <c r="R86" s="200"/>
      <c r="S86" s="199"/>
      <c r="T86" s="201"/>
      <c r="U86" s="55"/>
    </row>
    <row r="87" spans="1:21" ht="16.5" thickBot="1" x14ac:dyDescent="0.25">
      <c r="A87" s="23"/>
      <c r="B87" s="7"/>
      <c r="C87" s="58"/>
      <c r="D87" s="58"/>
      <c r="E87" s="58"/>
      <c r="F87" s="58"/>
      <c r="G87" s="58"/>
      <c r="H87" s="58"/>
      <c r="I87" s="58"/>
      <c r="J87" s="68"/>
      <c r="K87" s="69"/>
      <c r="L87" s="69"/>
      <c r="M87" s="69"/>
      <c r="N87" s="68"/>
      <c r="O87" s="69"/>
      <c r="P87" s="69"/>
      <c r="Q87" s="154"/>
      <c r="R87" s="153"/>
      <c r="S87" s="153"/>
      <c r="T87" s="170"/>
      <c r="U87" s="55"/>
    </row>
    <row r="88" spans="1:21" ht="16.5" thickBot="1" x14ac:dyDescent="0.25">
      <c r="A88" s="24"/>
      <c r="B88" s="25"/>
      <c r="C88" s="88"/>
      <c r="D88" s="88"/>
      <c r="E88" s="88"/>
      <c r="F88" s="88"/>
      <c r="G88" s="88"/>
      <c r="H88" s="88"/>
      <c r="I88" s="88"/>
      <c r="J88" s="89"/>
      <c r="K88" s="90"/>
      <c r="L88" s="90"/>
      <c r="M88" s="90"/>
      <c r="N88" s="89"/>
      <c r="O88" s="90"/>
      <c r="P88" s="90"/>
      <c r="Q88" s="156"/>
      <c r="R88" s="155"/>
      <c r="S88" s="156"/>
      <c r="T88" s="171"/>
      <c r="U88" s="56"/>
    </row>
    <row r="89" spans="1:21" ht="15.75" hidden="1" customHeight="1" x14ac:dyDescent="0.2">
      <c r="A89" s="23"/>
      <c r="B89" s="2"/>
      <c r="C89" s="27"/>
      <c r="D89" s="27"/>
      <c r="E89" s="27"/>
      <c r="F89" s="27"/>
      <c r="G89" s="27"/>
      <c r="H89" s="27"/>
      <c r="I89" s="27"/>
      <c r="J89" s="64"/>
      <c r="K89" s="63"/>
      <c r="L89" s="63"/>
      <c r="M89" s="27"/>
      <c r="N89" s="64"/>
      <c r="O89" s="63"/>
      <c r="P89" s="63"/>
      <c r="Q89" s="145"/>
      <c r="R89" s="146"/>
      <c r="S89" s="145"/>
      <c r="T89" s="150"/>
      <c r="U89" s="55"/>
    </row>
    <row r="90" spans="1:21" ht="15.75" x14ac:dyDescent="0.25">
      <c r="A90" s="23"/>
      <c r="B90" s="2"/>
      <c r="C90" s="13" t="s">
        <v>834</v>
      </c>
      <c r="D90" s="27"/>
      <c r="E90" s="27"/>
      <c r="F90" s="27"/>
      <c r="G90" s="27"/>
      <c r="H90" s="27"/>
      <c r="I90" s="27"/>
      <c r="J90" s="63"/>
      <c r="K90" s="63"/>
      <c r="L90" s="63"/>
      <c r="M90" s="27"/>
      <c r="N90" s="63"/>
      <c r="O90" s="63"/>
      <c r="P90" s="63"/>
      <c r="Q90" s="145"/>
      <c r="R90" s="145"/>
      <c r="S90" s="145"/>
      <c r="T90" s="150"/>
      <c r="U90" s="55"/>
    </row>
    <row r="91" spans="1:21" ht="15" x14ac:dyDescent="0.2">
      <c r="A91" s="23"/>
      <c r="B91" s="2"/>
      <c r="C91" s="27"/>
      <c r="D91" s="27"/>
      <c r="E91" s="27"/>
      <c r="F91" s="27"/>
      <c r="G91" s="27"/>
      <c r="H91" s="27"/>
      <c r="I91" s="27"/>
      <c r="J91" s="63"/>
      <c r="K91" s="63"/>
      <c r="L91" s="63"/>
      <c r="M91" s="27"/>
      <c r="N91" s="63"/>
      <c r="O91" s="63"/>
      <c r="P91" s="63"/>
      <c r="Q91" s="145"/>
      <c r="R91" s="145"/>
      <c r="S91" s="145"/>
      <c r="T91" s="150"/>
      <c r="U91" s="55"/>
    </row>
    <row r="92" spans="1:21" ht="16.5" thickBot="1" x14ac:dyDescent="0.3">
      <c r="A92" s="23"/>
      <c r="B92" s="2"/>
      <c r="C92" s="13" t="s">
        <v>520</v>
      </c>
      <c r="D92" s="10"/>
      <c r="E92" s="10"/>
      <c r="F92" s="10"/>
      <c r="G92" s="10"/>
      <c r="H92" s="27"/>
      <c r="I92" s="27"/>
      <c r="J92" s="63"/>
      <c r="K92" s="63"/>
      <c r="L92" s="63"/>
      <c r="M92" s="27"/>
      <c r="N92" s="63"/>
      <c r="O92" s="63"/>
      <c r="P92" s="63"/>
      <c r="Q92" s="145"/>
      <c r="R92" s="145"/>
      <c r="S92" s="145"/>
      <c r="T92" s="150"/>
      <c r="U92" s="55"/>
    </row>
    <row r="93" spans="1:21" ht="16.5" thickBot="1" x14ac:dyDescent="0.25">
      <c r="A93" s="23"/>
      <c r="B93" s="2"/>
      <c r="C93" s="10" t="s">
        <v>1598</v>
      </c>
      <c r="D93" s="10"/>
      <c r="E93" s="10"/>
      <c r="F93" s="10"/>
      <c r="G93" s="10"/>
      <c r="H93" s="27"/>
      <c r="I93" s="27"/>
      <c r="J93" s="878">
        <f>VLOOKUP('Part 1'!L13,DataSheet2!$B$8:$DV$322,64,FALSE)</f>
        <v>-19487712</v>
      </c>
      <c r="K93" s="879"/>
      <c r="L93" s="63"/>
      <c r="M93" s="27"/>
      <c r="N93" s="878">
        <f>VLOOKUP('Part 1'!L13,DataSheet2!$B$8:$DV$322,65,FALSE)</f>
        <v>-89953</v>
      </c>
      <c r="O93" s="879"/>
      <c r="P93" s="63"/>
      <c r="Q93" s="145"/>
      <c r="R93" s="926">
        <f>VLOOKUP('Part 1'!L13,DataSheet2!$B$8:$DV$322,66,FALSE)</f>
        <v>-19577665</v>
      </c>
      <c r="S93" s="974"/>
      <c r="T93" s="150"/>
      <c r="U93" s="55"/>
    </row>
    <row r="94" spans="1:21" ht="15" customHeight="1" x14ac:dyDescent="0.2">
      <c r="A94" s="23"/>
      <c r="B94" s="2"/>
      <c r="C94" s="10"/>
      <c r="D94" s="10"/>
      <c r="E94" s="10"/>
      <c r="F94" s="10"/>
      <c r="G94" s="10"/>
      <c r="H94" s="27"/>
      <c r="I94" s="27"/>
      <c r="J94" s="63"/>
      <c r="K94" s="63"/>
      <c r="L94" s="63"/>
      <c r="M94" s="63"/>
      <c r="N94" s="63"/>
      <c r="O94" s="63"/>
      <c r="P94" s="63"/>
      <c r="Q94" s="145"/>
      <c r="R94" s="145"/>
      <c r="S94" s="145"/>
      <c r="T94" s="150"/>
      <c r="U94" s="55"/>
    </row>
    <row r="95" spans="1:21" ht="16.5" thickBot="1" x14ac:dyDescent="0.3">
      <c r="A95" s="23"/>
      <c r="B95" s="2"/>
      <c r="C95" s="13" t="s">
        <v>521</v>
      </c>
      <c r="D95" s="10"/>
      <c r="E95" s="10"/>
      <c r="F95" s="10"/>
      <c r="G95" s="10"/>
      <c r="H95" s="27"/>
      <c r="I95" s="27"/>
      <c r="J95" s="63"/>
      <c r="K95" s="63"/>
      <c r="L95" s="63"/>
      <c r="M95" s="63"/>
      <c r="N95" s="63"/>
      <c r="O95" s="63"/>
      <c r="P95" s="63"/>
      <c r="Q95" s="145"/>
      <c r="R95" s="145"/>
      <c r="S95" s="145"/>
      <c r="T95" s="150"/>
      <c r="U95" s="55"/>
    </row>
    <row r="96" spans="1:21" ht="16.5" customHeight="1" thickBot="1" x14ac:dyDescent="0.25">
      <c r="A96" s="23"/>
      <c r="B96" s="2"/>
      <c r="C96" s="10" t="s">
        <v>1597</v>
      </c>
      <c r="D96" s="10"/>
      <c r="E96" s="10"/>
      <c r="F96" s="10"/>
      <c r="G96" s="10"/>
      <c r="H96" s="27"/>
      <c r="I96" s="27"/>
      <c r="J96" s="878">
        <f>VLOOKUP('Part 1'!L13,DataSheet2!$B$8:$DV$322,67,FALSE)</f>
        <v>-856854003.70701873</v>
      </c>
      <c r="K96" s="879"/>
      <c r="L96" s="63"/>
      <c r="M96" s="27"/>
      <c r="N96" s="878">
        <f>VLOOKUP('Part 1'!L13,DataSheet2!$B$8:$DV$322,68,FALSE)</f>
        <v>-17571234</v>
      </c>
      <c r="O96" s="879"/>
      <c r="P96" s="63"/>
      <c r="Q96" s="145"/>
      <c r="R96" s="926">
        <f>VLOOKUP('Part 1'!L13,DataSheet2!$B$8:$DV$322,69,FALSE)</f>
        <v>-874425237.70701873</v>
      </c>
      <c r="S96" s="927"/>
      <c r="T96" s="150"/>
      <c r="U96" s="55"/>
    </row>
    <row r="97" spans="1:21" ht="15" customHeight="1" x14ac:dyDescent="0.2">
      <c r="A97" s="23"/>
      <c r="B97" s="2"/>
      <c r="C97" s="10"/>
      <c r="D97" s="10"/>
      <c r="E97" s="10"/>
      <c r="F97" s="10"/>
      <c r="G97" s="10"/>
      <c r="H97" s="27"/>
      <c r="I97" s="62"/>
      <c r="J97" s="63"/>
      <c r="K97" s="63"/>
      <c r="L97" s="63"/>
      <c r="M97" s="63"/>
      <c r="N97" s="63"/>
      <c r="O97" s="63"/>
      <c r="P97" s="63"/>
      <c r="Q97" s="145"/>
      <c r="R97" s="145"/>
      <c r="S97" s="145"/>
      <c r="T97" s="150"/>
      <c r="U97" s="55"/>
    </row>
    <row r="98" spans="1:21" ht="16.5" thickBot="1" x14ac:dyDescent="0.25">
      <c r="A98" s="23"/>
      <c r="B98" s="2"/>
      <c r="C98" s="10"/>
      <c r="D98" s="10"/>
      <c r="E98" s="10"/>
      <c r="F98" s="10"/>
      <c r="G98" s="10"/>
      <c r="H98" s="27"/>
      <c r="I98" s="27"/>
      <c r="J98" s="64"/>
      <c r="K98" s="64"/>
      <c r="L98" s="64"/>
      <c r="M98" s="64"/>
      <c r="N98" s="64"/>
      <c r="O98" s="64"/>
      <c r="P98" s="64"/>
      <c r="Q98" s="145"/>
      <c r="R98" s="146"/>
      <c r="S98" s="145"/>
      <c r="T98" s="150"/>
      <c r="U98" s="55"/>
    </row>
    <row r="99" spans="1:21" ht="16.5" thickBot="1" x14ac:dyDescent="0.25">
      <c r="A99" s="23"/>
      <c r="B99" s="4"/>
      <c r="C99" s="286"/>
      <c r="D99" s="286"/>
      <c r="E99" s="286"/>
      <c r="F99" s="286"/>
      <c r="G99" s="286"/>
      <c r="H99" s="57"/>
      <c r="I99" s="57"/>
      <c r="J99" s="66"/>
      <c r="K99" s="66"/>
      <c r="L99" s="66"/>
      <c r="M99" s="552"/>
      <c r="N99" s="66"/>
      <c r="O99" s="66"/>
      <c r="P99" s="66"/>
      <c r="Q99" s="152"/>
      <c r="R99" s="151"/>
      <c r="S99" s="152"/>
      <c r="T99" s="168"/>
      <c r="U99" s="55"/>
    </row>
    <row r="100" spans="1:21" ht="16.5" thickBot="1" x14ac:dyDescent="0.25">
      <c r="A100" s="23"/>
      <c r="B100" s="5"/>
      <c r="C100" s="918" t="s">
        <v>1596</v>
      </c>
      <c r="D100" s="918"/>
      <c r="E100" s="918"/>
      <c r="F100" s="918"/>
      <c r="G100" s="918"/>
      <c r="H100" s="27"/>
      <c r="I100" s="27"/>
      <c r="J100" s="935">
        <f>VLOOKUP('Part 1'!L13,DataSheet2!$B$8:$DV$322,70,FALSE)</f>
        <v>-876341715.70701873</v>
      </c>
      <c r="K100" s="936"/>
      <c r="L100" s="63"/>
      <c r="M100" s="553"/>
      <c r="N100" s="935">
        <f>VLOOKUP('Part 1'!L13,DataSheet2!$B$8:$DV$322,71,FALSE)</f>
        <v>-17661187</v>
      </c>
      <c r="O100" s="936"/>
      <c r="P100" s="63"/>
      <c r="Q100" s="145"/>
      <c r="R100" s="145"/>
      <c r="S100" s="145"/>
      <c r="T100" s="169"/>
      <c r="U100" s="55"/>
    </row>
    <row r="101" spans="1:21" ht="15.75" x14ac:dyDescent="0.2">
      <c r="A101" s="23"/>
      <c r="B101" s="5"/>
      <c r="C101" s="918"/>
      <c r="D101" s="918"/>
      <c r="E101" s="918"/>
      <c r="F101" s="918"/>
      <c r="G101" s="918"/>
      <c r="H101" s="27"/>
      <c r="I101" s="27"/>
      <c r="J101" s="64"/>
      <c r="K101" s="63"/>
      <c r="L101" s="63"/>
      <c r="M101" s="554"/>
      <c r="N101" s="64"/>
      <c r="O101" s="63"/>
      <c r="P101" s="63"/>
      <c r="Q101" s="145"/>
      <c r="R101" s="145"/>
      <c r="S101" s="145"/>
      <c r="T101" s="169"/>
      <c r="U101" s="55"/>
    </row>
    <row r="102" spans="1:21" ht="16.5" thickBot="1" x14ac:dyDescent="0.25">
      <c r="A102" s="23"/>
      <c r="B102" s="5"/>
      <c r="C102" s="285"/>
      <c r="D102" s="285"/>
      <c r="E102" s="285"/>
      <c r="F102" s="285"/>
      <c r="G102" s="285"/>
      <c r="H102" s="27"/>
      <c r="I102" s="27"/>
      <c r="J102" s="64"/>
      <c r="K102" s="63"/>
      <c r="L102" s="63"/>
      <c r="M102" s="554"/>
      <c r="N102" s="64"/>
      <c r="O102" s="63"/>
      <c r="P102" s="63"/>
      <c r="Q102" s="145"/>
      <c r="R102" s="145"/>
      <c r="S102" s="145"/>
      <c r="T102" s="169"/>
      <c r="U102" s="55"/>
    </row>
    <row r="103" spans="1:21" ht="15.75" customHeight="1" thickBot="1" x14ac:dyDescent="0.25">
      <c r="A103" s="23"/>
      <c r="B103" s="5"/>
      <c r="C103" s="884" t="s">
        <v>1588</v>
      </c>
      <c r="D103" s="884"/>
      <c r="E103" s="884"/>
      <c r="F103" s="884"/>
      <c r="G103" s="884"/>
      <c r="H103" s="27"/>
      <c r="I103" s="27"/>
      <c r="J103" s="878">
        <f>VLOOKUP('Part 1'!L13,DataSheet2!$B$8:$DV$322,72,FALSE)</f>
        <v>-64089403</v>
      </c>
      <c r="K103" s="879"/>
      <c r="L103" s="63"/>
      <c r="M103" s="553"/>
      <c r="N103" s="878">
        <f>VLOOKUP('Part 1'!L13,DataSheet2!$B$8:$DV$322,73,FALSE)</f>
        <v>-2655186</v>
      </c>
      <c r="O103" s="879"/>
      <c r="P103" s="63"/>
      <c r="Q103" s="145"/>
      <c r="R103" s="145"/>
      <c r="S103" s="145"/>
      <c r="T103" s="169"/>
      <c r="U103" s="55"/>
    </row>
    <row r="104" spans="1:21" ht="15.75" customHeight="1" x14ac:dyDescent="0.2">
      <c r="A104" s="23"/>
      <c r="B104" s="5"/>
      <c r="C104" s="884"/>
      <c r="D104" s="884"/>
      <c r="E104" s="884"/>
      <c r="F104" s="884"/>
      <c r="G104" s="884"/>
      <c r="H104" s="27"/>
      <c r="I104" s="27"/>
      <c r="J104" s="64"/>
      <c r="K104" s="63"/>
      <c r="L104" s="63"/>
      <c r="M104" s="553"/>
      <c r="N104" s="64"/>
      <c r="O104" s="63"/>
      <c r="P104" s="63"/>
      <c r="Q104" s="145"/>
      <c r="R104" s="146"/>
      <c r="S104" s="145"/>
      <c r="T104" s="169"/>
      <c r="U104" s="55"/>
    </row>
    <row r="105" spans="1:21" ht="15.75" customHeight="1" x14ac:dyDescent="0.2">
      <c r="A105" s="23"/>
      <c r="B105" s="5"/>
      <c r="C105" s="884"/>
      <c r="D105" s="884"/>
      <c r="E105" s="884"/>
      <c r="F105" s="884"/>
      <c r="G105" s="884"/>
      <c r="H105" s="27"/>
      <c r="I105" s="27"/>
      <c r="J105" s="64"/>
      <c r="K105" s="63"/>
      <c r="L105" s="63"/>
      <c r="M105" s="553"/>
      <c r="N105" s="64"/>
      <c r="O105" s="63"/>
      <c r="P105" s="63"/>
      <c r="Q105" s="145"/>
      <c r="R105" s="206"/>
      <c r="S105" s="145"/>
      <c r="T105" s="169"/>
      <c r="U105" s="55"/>
    </row>
    <row r="106" spans="1:21" ht="16.5" thickBot="1" x14ac:dyDescent="0.25">
      <c r="A106" s="23"/>
      <c r="B106" s="5"/>
      <c r="C106" s="285"/>
      <c r="D106" s="285"/>
      <c r="E106" s="285"/>
      <c r="F106" s="285"/>
      <c r="G106" s="285"/>
      <c r="H106" s="27"/>
      <c r="I106" s="27"/>
      <c r="J106" s="64"/>
      <c r="K106" s="63"/>
      <c r="L106" s="63"/>
      <c r="M106" s="553"/>
      <c r="N106" s="64"/>
      <c r="O106" s="63"/>
      <c r="P106" s="63"/>
      <c r="Q106" s="145"/>
      <c r="R106" s="146"/>
      <c r="S106" s="145"/>
      <c r="T106" s="169"/>
      <c r="U106" s="55"/>
    </row>
    <row r="107" spans="1:21" ht="16.5" thickBot="1" x14ac:dyDescent="0.25">
      <c r="A107" s="23"/>
      <c r="B107" s="5"/>
      <c r="C107" s="946" t="s">
        <v>1595</v>
      </c>
      <c r="D107" s="947"/>
      <c r="E107" s="947"/>
      <c r="F107" s="947"/>
      <c r="G107" s="947"/>
      <c r="H107" s="27"/>
      <c r="I107" s="27"/>
      <c r="J107" s="935">
        <f>VLOOKUP('Part 1'!L13,DataSheet2!$B$8:$DV$322,74,FALSE)</f>
        <v>-940431118.70701873</v>
      </c>
      <c r="K107" s="936"/>
      <c r="L107" s="63"/>
      <c r="M107" s="553"/>
      <c r="N107" s="935">
        <f>VLOOKUP('Part 1'!L13,DataSheet2!$B$8:$DV$322,75,FALSE)</f>
        <v>-20316373</v>
      </c>
      <c r="O107" s="936"/>
      <c r="P107" s="63"/>
      <c r="Q107" s="145"/>
      <c r="R107" s="926">
        <f>VLOOKUP('Part 1'!L13,DataSheet2!$B$8:$DV$322,76,FALSE)</f>
        <v>-960747491.70701873</v>
      </c>
      <c r="S107" s="927"/>
      <c r="T107" s="169"/>
      <c r="U107" s="55"/>
    </row>
    <row r="108" spans="1:21" ht="15" x14ac:dyDescent="0.2">
      <c r="A108" s="23"/>
      <c r="B108" s="5"/>
      <c r="C108" s="941"/>
      <c r="D108" s="941"/>
      <c r="E108" s="941"/>
      <c r="F108" s="941"/>
      <c r="G108" s="941"/>
      <c r="H108" s="27"/>
      <c r="I108" s="27"/>
      <c r="J108" s="27"/>
      <c r="K108" s="27"/>
      <c r="L108" s="27"/>
      <c r="M108" s="553"/>
      <c r="N108" s="27"/>
      <c r="O108" s="27"/>
      <c r="P108" s="63"/>
      <c r="Q108" s="157"/>
      <c r="R108" s="157"/>
      <c r="S108" s="157"/>
      <c r="T108" s="169"/>
      <c r="U108" s="55"/>
    </row>
    <row r="109" spans="1:21" ht="16.5" thickBot="1" x14ac:dyDescent="0.25">
      <c r="A109" s="23"/>
      <c r="B109" s="7"/>
      <c r="C109" s="58"/>
      <c r="D109" s="58"/>
      <c r="E109" s="58"/>
      <c r="F109" s="58"/>
      <c r="G109" s="58"/>
      <c r="H109" s="58"/>
      <c r="I109" s="58"/>
      <c r="J109" s="68"/>
      <c r="K109" s="69"/>
      <c r="L109" s="69"/>
      <c r="M109" s="555"/>
      <c r="N109" s="69"/>
      <c r="O109" s="69"/>
      <c r="P109" s="69"/>
      <c r="Q109" s="154"/>
      <c r="R109" s="153"/>
      <c r="S109" s="154"/>
      <c r="T109" s="170"/>
      <c r="U109" s="55"/>
    </row>
    <row r="110" spans="1:21" ht="15" x14ac:dyDescent="0.2">
      <c r="A110" s="23"/>
      <c r="B110" s="2"/>
      <c r="C110" s="27"/>
      <c r="D110" s="27"/>
      <c r="E110" s="27"/>
      <c r="F110" s="27"/>
      <c r="G110" s="27"/>
      <c r="H110" s="27"/>
      <c r="I110" s="27"/>
      <c r="J110" s="63"/>
      <c r="K110" s="63"/>
      <c r="L110" s="63"/>
      <c r="M110" s="63"/>
      <c r="N110" s="63"/>
      <c r="O110" s="63"/>
      <c r="P110" s="63"/>
      <c r="Q110" s="145"/>
      <c r="R110" s="145"/>
      <c r="S110" s="145"/>
      <c r="T110" s="150"/>
      <c r="U110" s="55"/>
    </row>
    <row r="111" spans="1:21" ht="15.75" x14ac:dyDescent="0.25">
      <c r="A111" s="23"/>
      <c r="B111" s="2"/>
      <c r="C111" s="13" t="s">
        <v>835</v>
      </c>
      <c r="D111" s="27"/>
      <c r="E111" s="27"/>
      <c r="F111" s="27"/>
      <c r="G111" s="27"/>
      <c r="H111" s="27"/>
      <c r="I111" s="27"/>
      <c r="J111" s="63"/>
      <c r="K111" s="63"/>
      <c r="L111" s="63"/>
      <c r="M111" s="27"/>
      <c r="N111" s="63"/>
      <c r="O111" s="63"/>
      <c r="P111" s="63"/>
      <c r="Q111" s="145"/>
      <c r="R111" s="145"/>
      <c r="S111" s="145"/>
      <c r="T111" s="150"/>
      <c r="U111" s="55"/>
    </row>
    <row r="112" spans="1:21" ht="16.5" thickBot="1" x14ac:dyDescent="0.3">
      <c r="A112" s="23"/>
      <c r="B112" s="2"/>
      <c r="C112" s="13" t="s">
        <v>650</v>
      </c>
      <c r="D112" s="27"/>
      <c r="E112" s="27"/>
      <c r="F112" s="27"/>
      <c r="G112" s="27"/>
      <c r="H112" s="27"/>
      <c r="I112" s="27"/>
      <c r="J112" s="63"/>
      <c r="K112" s="63"/>
      <c r="L112" s="63"/>
      <c r="M112" s="27"/>
      <c r="N112" s="63"/>
      <c r="O112" s="63"/>
      <c r="P112" s="63"/>
      <c r="Q112" s="145"/>
      <c r="R112" s="145"/>
      <c r="S112" s="145"/>
      <c r="T112" s="150"/>
      <c r="U112" s="55"/>
    </row>
    <row r="113" spans="1:21" ht="16.5" thickBot="1" x14ac:dyDescent="0.25">
      <c r="A113" s="23"/>
      <c r="B113" s="2"/>
      <c r="C113" s="10" t="s">
        <v>1589</v>
      </c>
      <c r="D113" s="27"/>
      <c r="E113" s="27"/>
      <c r="F113" s="27"/>
      <c r="G113" s="27"/>
      <c r="H113" s="27"/>
      <c r="I113" s="27"/>
      <c r="J113" s="878">
        <f>VLOOKUP('Part 1'!L13,DataSheet2!$B$8:$DV$322,77,FALSE)</f>
        <v>-48408164.420000002</v>
      </c>
      <c r="K113" s="879"/>
      <c r="L113" s="63"/>
      <c r="M113" s="27"/>
      <c r="N113" s="878">
        <f>VLOOKUP('Part 1'!L13,DataSheet2!$B$8:$DV$322,78,FALSE)</f>
        <v>-133274</v>
      </c>
      <c r="O113" s="879"/>
      <c r="P113" s="63"/>
      <c r="Q113" s="145"/>
      <c r="R113" s="926">
        <f>VLOOKUP('Part 1'!L13,DataSheet2!$B$8:$DV$322,79,FALSE)</f>
        <v>-48541438.420000002</v>
      </c>
      <c r="S113" s="927"/>
      <c r="T113" s="150"/>
      <c r="U113" s="55"/>
    </row>
    <row r="114" spans="1:21" ht="15.75" x14ac:dyDescent="0.25">
      <c r="A114" s="23"/>
      <c r="B114" s="2"/>
      <c r="C114" s="13"/>
      <c r="D114" s="27"/>
      <c r="E114" s="27"/>
      <c r="F114" s="27"/>
      <c r="G114" s="27"/>
      <c r="H114" s="27"/>
      <c r="I114" s="27"/>
      <c r="J114" s="63"/>
      <c r="K114" s="63"/>
      <c r="L114" s="63"/>
      <c r="M114" s="63"/>
      <c r="N114" s="63"/>
      <c r="O114" s="63"/>
      <c r="P114" s="63"/>
      <c r="Q114" s="145"/>
      <c r="R114" s="145"/>
      <c r="S114" s="145"/>
      <c r="T114" s="150"/>
      <c r="U114" s="55"/>
    </row>
    <row r="115" spans="1:21" ht="16.5" thickBot="1" x14ac:dyDescent="0.3">
      <c r="A115" s="23"/>
      <c r="B115" s="2"/>
      <c r="C115" s="13" t="s">
        <v>635</v>
      </c>
      <c r="D115" s="27"/>
      <c r="E115" s="27"/>
      <c r="F115" s="27"/>
      <c r="G115" s="27"/>
      <c r="H115" s="27"/>
      <c r="I115" s="27"/>
      <c r="J115" s="63"/>
      <c r="K115" s="63"/>
      <c r="L115" s="63"/>
      <c r="M115" s="63"/>
      <c r="N115" s="63"/>
      <c r="O115" s="63"/>
      <c r="P115" s="63"/>
      <c r="Q115" s="145"/>
      <c r="R115" s="145"/>
      <c r="S115" s="145"/>
      <c r="T115" s="150"/>
      <c r="U115" s="55"/>
    </row>
    <row r="116" spans="1:21" ht="16.5" thickBot="1" x14ac:dyDescent="0.25">
      <c r="A116" s="23"/>
      <c r="B116" s="2"/>
      <c r="C116" s="10" t="s">
        <v>1590</v>
      </c>
      <c r="D116" s="27"/>
      <c r="E116" s="27"/>
      <c r="F116" s="27"/>
      <c r="G116" s="27"/>
      <c r="H116" s="27"/>
      <c r="I116" s="27"/>
      <c r="J116" s="878">
        <f>VLOOKUP('Part 1'!L13,DataSheet2!$B$8:$DV$322,80,FALSE)</f>
        <v>-36033415.909999996</v>
      </c>
      <c r="K116" s="879"/>
      <c r="L116" s="63"/>
      <c r="M116" s="27"/>
      <c r="N116" s="878">
        <f>VLOOKUP('Part 1'!L13,DataSheet2!$B$8:$DV$322,81,FALSE)</f>
        <v>-243306</v>
      </c>
      <c r="O116" s="879"/>
      <c r="P116" s="63"/>
      <c r="Q116" s="145"/>
      <c r="R116" s="926">
        <f>VLOOKUP('Part 1'!L13,DataSheet2!$B$8:$DV$322,82,FALSE)</f>
        <v>-36276721.909999996</v>
      </c>
      <c r="S116" s="927"/>
      <c r="T116" s="150"/>
      <c r="U116" s="55"/>
    </row>
    <row r="117" spans="1:21" ht="15" x14ac:dyDescent="0.2">
      <c r="A117" s="23"/>
      <c r="B117" s="2"/>
      <c r="C117" s="10"/>
      <c r="D117" s="27"/>
      <c r="E117" s="27"/>
      <c r="F117" s="27"/>
      <c r="G117" s="27"/>
      <c r="H117" s="27"/>
      <c r="I117" s="27"/>
      <c r="J117" s="63"/>
      <c r="K117" s="63"/>
      <c r="L117" s="63"/>
      <c r="M117" s="27"/>
      <c r="N117" s="63"/>
      <c r="O117" s="63"/>
      <c r="P117" s="63"/>
      <c r="Q117" s="145"/>
      <c r="R117" s="145"/>
      <c r="S117" s="145"/>
      <c r="T117" s="150"/>
      <c r="U117" s="55"/>
    </row>
    <row r="118" spans="1:21" ht="16.5" thickBot="1" x14ac:dyDescent="0.3">
      <c r="A118" s="23"/>
      <c r="B118" s="2"/>
      <c r="C118" s="13" t="s">
        <v>634</v>
      </c>
      <c r="D118" s="27"/>
      <c r="E118" s="27"/>
      <c r="F118" s="27"/>
      <c r="G118" s="27"/>
      <c r="H118" s="27"/>
      <c r="I118" s="27"/>
      <c r="J118" s="63"/>
      <c r="K118" s="63"/>
      <c r="L118" s="63"/>
      <c r="M118" s="27"/>
      <c r="N118" s="63"/>
      <c r="O118" s="63"/>
      <c r="P118" s="63"/>
      <c r="Q118" s="145"/>
      <c r="R118" s="145"/>
      <c r="S118" s="145"/>
      <c r="T118" s="150"/>
      <c r="U118" s="55"/>
    </row>
    <row r="119" spans="1:21" ht="16.5" thickBot="1" x14ac:dyDescent="0.25">
      <c r="A119" s="23"/>
      <c r="B119" s="2"/>
      <c r="C119" s="10" t="s">
        <v>1594</v>
      </c>
      <c r="D119" s="27"/>
      <c r="E119" s="27"/>
      <c r="F119" s="27"/>
      <c r="G119" s="27"/>
      <c r="H119" s="27"/>
      <c r="I119" s="27"/>
      <c r="J119" s="878">
        <f>VLOOKUP('Part 1'!L13,DataSheet2!$B$8:$DV$322,83,FALSE)</f>
        <v>-1333446.72</v>
      </c>
      <c r="K119" s="879"/>
      <c r="L119" s="63"/>
      <c r="M119" s="27"/>
      <c r="N119" s="878">
        <f>VLOOKUP('Part 1'!L13,DataSheet2!$B$8:$DV$322,84,FALSE)</f>
        <v>0</v>
      </c>
      <c r="O119" s="879"/>
      <c r="P119" s="63"/>
      <c r="Q119" s="145"/>
      <c r="R119" s="926">
        <f>VLOOKUP('Part 1'!L13,DataSheet2!$B$8:$DV$322,85,FALSE)</f>
        <v>-1333446.72</v>
      </c>
      <c r="S119" s="927"/>
      <c r="T119" s="150"/>
      <c r="U119" s="55"/>
    </row>
    <row r="120" spans="1:21" ht="15" x14ac:dyDescent="0.2">
      <c r="A120" s="23"/>
      <c r="B120" s="2"/>
      <c r="C120" s="10"/>
      <c r="D120" s="27"/>
      <c r="E120" s="27"/>
      <c r="F120" s="27"/>
      <c r="G120" s="27"/>
      <c r="H120" s="27"/>
      <c r="I120" s="27"/>
      <c r="J120" s="63"/>
      <c r="K120" s="63"/>
      <c r="L120" s="63"/>
      <c r="M120" s="63"/>
      <c r="N120" s="63"/>
      <c r="O120" s="63"/>
      <c r="P120" s="63"/>
      <c r="Q120" s="145"/>
      <c r="R120" s="145"/>
      <c r="S120" s="145"/>
      <c r="T120" s="150"/>
      <c r="U120" s="55"/>
    </row>
    <row r="121" spans="1:21" ht="16.5" thickBot="1" x14ac:dyDescent="0.3">
      <c r="A121" s="23"/>
      <c r="B121" s="2"/>
      <c r="C121" s="13" t="s">
        <v>651</v>
      </c>
      <c r="D121" s="27"/>
      <c r="E121" s="27"/>
      <c r="F121" s="27"/>
      <c r="G121" s="27"/>
      <c r="H121" s="27"/>
      <c r="I121" s="27"/>
      <c r="J121" s="63"/>
      <c r="K121" s="63"/>
      <c r="L121" s="63"/>
      <c r="M121" s="63"/>
      <c r="N121" s="63"/>
      <c r="O121" s="63"/>
      <c r="P121" s="63"/>
      <c r="Q121" s="145"/>
      <c r="R121" s="145"/>
      <c r="S121" s="145"/>
      <c r="T121" s="150"/>
      <c r="U121" s="55"/>
    </row>
    <row r="122" spans="1:21" ht="16.5" thickBot="1" x14ac:dyDescent="0.25">
      <c r="A122" s="23"/>
      <c r="B122" s="2"/>
      <c r="C122" s="10" t="s">
        <v>1591</v>
      </c>
      <c r="D122" s="27"/>
      <c r="E122" s="27"/>
      <c r="F122" s="27"/>
      <c r="G122" s="27"/>
      <c r="H122" s="27"/>
      <c r="I122" s="27"/>
      <c r="J122" s="878">
        <f>VLOOKUP('Part 1'!L13,DataSheet2!$B$8:$DV$322,86,FALSE)</f>
        <v>-320449.8</v>
      </c>
      <c r="K122" s="879"/>
      <c r="L122" s="63"/>
      <c r="M122" s="27"/>
      <c r="N122" s="878">
        <f>VLOOKUP('Part 1'!L13,DataSheet2!$B$8:$DV$322,87,FALSE)</f>
        <v>0</v>
      </c>
      <c r="O122" s="879"/>
      <c r="P122" s="63"/>
      <c r="Q122" s="145"/>
      <c r="R122" s="926">
        <f>VLOOKUP('Part 1'!L13,DataSheet2!$B$8:$DV$322,88,FALSE)</f>
        <v>-320449.8</v>
      </c>
      <c r="S122" s="927"/>
      <c r="T122" s="150"/>
      <c r="U122" s="55"/>
    </row>
    <row r="123" spans="1:21" ht="15" x14ac:dyDescent="0.2">
      <c r="A123" s="23"/>
      <c r="B123" s="2"/>
      <c r="C123" s="10"/>
      <c r="D123" s="27"/>
      <c r="E123" s="27"/>
      <c r="F123" s="27"/>
      <c r="G123" s="27"/>
      <c r="H123" s="27"/>
      <c r="I123" s="27"/>
      <c r="J123" s="94"/>
      <c r="K123" s="94"/>
      <c r="L123" s="94"/>
      <c r="M123" s="27"/>
      <c r="N123" s="94"/>
      <c r="O123" s="94"/>
      <c r="P123" s="63"/>
      <c r="Q123" s="145"/>
      <c r="R123" s="145"/>
      <c r="S123" s="145"/>
      <c r="T123" s="150"/>
      <c r="U123" s="55"/>
    </row>
    <row r="124" spans="1:21" ht="16.5" thickBot="1" x14ac:dyDescent="0.3">
      <c r="A124" s="23"/>
      <c r="B124" s="2"/>
      <c r="C124" s="13" t="s">
        <v>636</v>
      </c>
      <c r="D124" s="27"/>
      <c r="E124" s="27"/>
      <c r="F124" s="27"/>
      <c r="G124" s="27"/>
      <c r="H124" s="27"/>
      <c r="I124" s="27"/>
      <c r="J124" s="94"/>
      <c r="K124" s="94"/>
      <c r="L124" s="94"/>
      <c r="M124" s="27"/>
      <c r="N124" s="94"/>
      <c r="O124" s="94"/>
      <c r="P124" s="63"/>
      <c r="Q124" s="145"/>
      <c r="R124" s="145"/>
      <c r="S124" s="145"/>
      <c r="T124" s="150"/>
      <c r="U124" s="55"/>
    </row>
    <row r="125" spans="1:21" ht="16.5" thickBot="1" x14ac:dyDescent="0.25">
      <c r="A125" s="23"/>
      <c r="B125" s="2"/>
      <c r="C125" s="10" t="s">
        <v>1592</v>
      </c>
      <c r="D125" s="27"/>
      <c r="E125" s="27"/>
      <c r="F125" s="27"/>
      <c r="G125" s="27"/>
      <c r="H125" s="27"/>
      <c r="I125" s="27"/>
      <c r="J125" s="878">
        <f>VLOOKUP('Part 1'!L13,DataSheet2!$B$8:$DV$322,89,FALSE)</f>
        <v>-969231</v>
      </c>
      <c r="K125" s="879"/>
      <c r="L125" s="63"/>
      <c r="M125" s="27"/>
      <c r="N125" s="878">
        <f>VLOOKUP('Part 1'!L13,DataSheet2!$B$8:$DV$322,90,FALSE)</f>
        <v>0</v>
      </c>
      <c r="O125" s="879"/>
      <c r="P125" s="63"/>
      <c r="Q125" s="145"/>
      <c r="R125" s="926">
        <f>VLOOKUP('Part 1'!L13,DataSheet2!$B$8:$DV$322,91,FALSE)</f>
        <v>-969231</v>
      </c>
      <c r="S125" s="927"/>
      <c r="T125" s="150"/>
      <c r="U125" s="55"/>
    </row>
    <row r="126" spans="1:21" ht="15" x14ac:dyDescent="0.2">
      <c r="A126" s="23"/>
      <c r="B126" s="2"/>
      <c r="C126" s="10"/>
      <c r="D126" s="27"/>
      <c r="E126" s="27"/>
      <c r="F126" s="27"/>
      <c r="G126" s="27"/>
      <c r="H126" s="27"/>
      <c r="I126" s="27"/>
      <c r="J126" s="63"/>
      <c r="K126" s="63"/>
      <c r="L126" s="63"/>
      <c r="M126" s="63"/>
      <c r="N126" s="63"/>
      <c r="O126" s="63"/>
      <c r="P126" s="63"/>
      <c r="Q126" s="145"/>
      <c r="R126" s="145"/>
      <c r="S126" s="145"/>
      <c r="T126" s="150"/>
      <c r="U126" s="55"/>
    </row>
    <row r="127" spans="1:21" ht="16.5" thickBot="1" x14ac:dyDescent="0.3">
      <c r="A127" s="23"/>
      <c r="B127" s="2"/>
      <c r="C127" s="13" t="s">
        <v>653</v>
      </c>
      <c r="D127" s="27"/>
      <c r="E127" s="27"/>
      <c r="F127" s="27"/>
      <c r="G127" s="27"/>
      <c r="H127" s="27"/>
      <c r="I127" s="27"/>
      <c r="J127" s="63"/>
      <c r="K127" s="63"/>
      <c r="L127" s="63"/>
      <c r="M127" s="63"/>
      <c r="N127" s="63"/>
      <c r="O127" s="63"/>
      <c r="P127" s="63"/>
      <c r="Q127" s="145"/>
      <c r="R127" s="145"/>
      <c r="S127" s="145"/>
      <c r="T127" s="150"/>
      <c r="U127" s="55"/>
    </row>
    <row r="128" spans="1:21" ht="16.5" thickBot="1" x14ac:dyDescent="0.25">
      <c r="A128" s="23"/>
      <c r="B128" s="2"/>
      <c r="C128" s="10" t="s">
        <v>1593</v>
      </c>
      <c r="D128" s="27"/>
      <c r="E128" s="27"/>
      <c r="F128" s="27"/>
      <c r="G128" s="27"/>
      <c r="H128" s="27"/>
      <c r="I128" s="27"/>
      <c r="J128" s="878">
        <f>VLOOKUP('Part 1'!L13,DataSheet2!$B$8:$DV$322,92,FALSE)</f>
        <v>-8186762</v>
      </c>
      <c r="K128" s="879"/>
      <c r="L128" s="63"/>
      <c r="M128" s="27"/>
      <c r="N128" s="878">
        <f>VLOOKUP('Part 1'!L13,DataSheet2!$B$8:$DV$322,93,FALSE)</f>
        <v>-14763577</v>
      </c>
      <c r="O128" s="879"/>
      <c r="P128" s="63"/>
      <c r="Q128" s="145"/>
      <c r="R128" s="926">
        <f>VLOOKUP('Part 1'!L13,DataSheet2!$B$8:$DV$322,94,FALSE)</f>
        <v>-22950339</v>
      </c>
      <c r="S128" s="927"/>
      <c r="T128" s="150"/>
      <c r="U128" s="55"/>
    </row>
    <row r="129" spans="1:21" ht="15.75" x14ac:dyDescent="0.25">
      <c r="A129" s="23"/>
      <c r="B129" s="2"/>
      <c r="C129" s="159"/>
      <c r="D129" s="27"/>
      <c r="E129" s="27"/>
      <c r="F129" s="27"/>
      <c r="G129" s="27"/>
      <c r="H129" s="27"/>
      <c r="I129" s="27"/>
      <c r="J129" s="27"/>
      <c r="K129" s="27"/>
      <c r="L129" s="27"/>
      <c r="M129" s="27"/>
      <c r="N129" s="27"/>
      <c r="O129" s="27"/>
      <c r="P129" s="63"/>
      <c r="Q129" s="145"/>
      <c r="R129" s="214"/>
      <c r="S129" s="145"/>
      <c r="T129" s="150"/>
      <c r="U129" s="55"/>
    </row>
    <row r="130" spans="1:21" ht="16.5" thickBot="1" x14ac:dyDescent="0.3">
      <c r="A130" s="23"/>
      <c r="B130" s="2"/>
      <c r="C130" s="26"/>
      <c r="D130" s="27"/>
      <c r="E130" s="27"/>
      <c r="F130" s="27"/>
      <c r="G130" s="27"/>
      <c r="H130" s="27"/>
      <c r="I130" s="27"/>
      <c r="J130" s="210" t="s">
        <v>655</v>
      </c>
      <c r="K130" s="63"/>
      <c r="L130" s="63"/>
      <c r="M130" s="27"/>
      <c r="N130" s="210" t="s">
        <v>655</v>
      </c>
      <c r="O130" s="63"/>
      <c r="P130" s="63"/>
      <c r="Q130" s="145"/>
      <c r="R130" s="211"/>
      <c r="S130" s="145"/>
      <c r="T130" s="150"/>
      <c r="U130" s="55"/>
    </row>
    <row r="131" spans="1:21" ht="16.5" thickBot="1" x14ac:dyDescent="0.25">
      <c r="A131" s="23"/>
      <c r="B131" s="2"/>
      <c r="C131" s="15" t="s">
        <v>1603</v>
      </c>
      <c r="D131" s="27"/>
      <c r="E131" s="27"/>
      <c r="F131" s="27"/>
      <c r="G131" s="27"/>
      <c r="H131" s="27"/>
      <c r="I131" s="27"/>
      <c r="J131" s="94"/>
      <c r="K131" s="94"/>
      <c r="L131" s="94"/>
      <c r="M131" s="27"/>
      <c r="N131" s="878">
        <f>VLOOKUP('Part 1'!L13,DataSheet2!$B$8:$DV$322,95,FALSE)</f>
        <v>-14508389</v>
      </c>
      <c r="O131" s="879"/>
      <c r="P131" s="63"/>
      <c r="Q131" s="145"/>
      <c r="R131" s="145"/>
      <c r="S131" s="145"/>
      <c r="T131" s="150"/>
      <c r="U131" s="55"/>
    </row>
    <row r="132" spans="1:21" ht="16.5" thickBot="1" x14ac:dyDescent="0.25">
      <c r="A132" s="23"/>
      <c r="B132" s="2"/>
      <c r="C132" s="15" t="s">
        <v>1604</v>
      </c>
      <c r="D132" s="27"/>
      <c r="E132" s="27"/>
      <c r="F132" s="27"/>
      <c r="G132" s="27"/>
      <c r="H132" s="27"/>
      <c r="I132" s="27"/>
      <c r="J132" s="878">
        <f>VLOOKUP('Part 1'!L13,DataSheet2!$B$8:$DV$322,96,FALSE)</f>
        <v>-1930824</v>
      </c>
      <c r="K132" s="879"/>
      <c r="L132" s="94"/>
      <c r="M132" s="27"/>
      <c r="N132" s="63"/>
      <c r="O132" s="63"/>
      <c r="P132" s="63"/>
      <c r="Q132" s="145"/>
      <c r="R132" s="145"/>
      <c r="S132" s="145"/>
      <c r="T132" s="150"/>
      <c r="U132" s="55"/>
    </row>
    <row r="133" spans="1:21" ht="16.5" thickBot="1" x14ac:dyDescent="0.3">
      <c r="A133" s="24"/>
      <c r="B133" s="25"/>
      <c r="C133" s="159"/>
      <c r="D133" s="88"/>
      <c r="E133" s="88"/>
      <c r="F133" s="88"/>
      <c r="G133" s="88"/>
      <c r="H133" s="88"/>
      <c r="I133" s="88"/>
      <c r="J133" s="90"/>
      <c r="K133" s="90"/>
      <c r="L133" s="90"/>
      <c r="M133" s="90"/>
      <c r="N133" s="90"/>
      <c r="O133" s="90"/>
      <c r="P133" s="90"/>
      <c r="Q133" s="156"/>
      <c r="R133" s="156"/>
      <c r="S133" s="156"/>
      <c r="T133" s="171"/>
      <c r="U133" s="56"/>
    </row>
    <row r="134" spans="1:21" ht="15.75" thickBot="1" x14ac:dyDescent="0.25">
      <c r="A134" s="247"/>
      <c r="B134" s="248"/>
      <c r="C134" s="249"/>
      <c r="D134" s="249"/>
      <c r="E134" s="249"/>
      <c r="F134" s="249"/>
      <c r="G134" s="249"/>
      <c r="H134" s="249"/>
      <c r="I134" s="249"/>
      <c r="J134" s="250"/>
      <c r="K134" s="250"/>
      <c r="L134" s="250"/>
      <c r="M134" s="250"/>
      <c r="N134" s="250"/>
      <c r="O134" s="250"/>
      <c r="P134" s="250"/>
      <c r="Q134" s="251"/>
      <c r="R134" s="251"/>
      <c r="S134" s="251"/>
      <c r="T134" s="252"/>
      <c r="U134" s="253"/>
    </row>
    <row r="135" spans="1:21" ht="15.75" thickBot="1" x14ac:dyDescent="0.25">
      <c r="A135" s="23"/>
      <c r="B135" s="2"/>
      <c r="C135" s="27"/>
      <c r="D135" s="27"/>
      <c r="E135" s="27"/>
      <c r="F135" s="27"/>
      <c r="G135" s="27"/>
      <c r="H135" s="27"/>
      <c r="I135" s="27"/>
      <c r="J135" s="63"/>
      <c r="K135" s="63"/>
      <c r="L135" s="63"/>
      <c r="M135" s="63"/>
      <c r="N135" s="63"/>
      <c r="O135" s="63"/>
      <c r="P135" s="63"/>
      <c r="Q135" s="145"/>
      <c r="R135" s="145"/>
      <c r="S135" s="145"/>
      <c r="T135" s="150"/>
      <c r="U135" s="55"/>
    </row>
    <row r="136" spans="1:21" ht="15.75" thickBot="1" x14ac:dyDescent="0.25">
      <c r="A136" s="23"/>
      <c r="B136" s="4"/>
      <c r="C136" s="57"/>
      <c r="D136" s="57"/>
      <c r="E136" s="57"/>
      <c r="F136" s="57"/>
      <c r="G136" s="57"/>
      <c r="H136" s="57"/>
      <c r="I136" s="57"/>
      <c r="J136" s="67"/>
      <c r="K136" s="67"/>
      <c r="L136" s="67"/>
      <c r="M136" s="67"/>
      <c r="N136" s="67"/>
      <c r="O136" s="67"/>
      <c r="P136" s="67"/>
      <c r="Q136" s="152"/>
      <c r="R136" s="152"/>
      <c r="S136" s="152"/>
      <c r="T136" s="168"/>
      <c r="U136" s="55"/>
    </row>
    <row r="137" spans="1:21" ht="15.75" thickBot="1" x14ac:dyDescent="0.25">
      <c r="A137" s="23"/>
      <c r="B137" s="5"/>
      <c r="C137" s="27"/>
      <c r="D137" s="27"/>
      <c r="E137" s="27"/>
      <c r="F137" s="27"/>
      <c r="G137" s="27"/>
      <c r="H137" s="27"/>
      <c r="I137" s="188"/>
      <c r="J137" s="189"/>
      <c r="K137" s="189"/>
      <c r="L137" s="190"/>
      <c r="M137" s="189"/>
      <c r="N137" s="189"/>
      <c r="O137" s="189"/>
      <c r="P137" s="190"/>
      <c r="Q137" s="191"/>
      <c r="R137" s="191"/>
      <c r="S137" s="191"/>
      <c r="T137" s="192"/>
      <c r="U137" s="55"/>
    </row>
    <row r="138" spans="1:21" ht="16.5" thickBot="1" x14ac:dyDescent="0.25">
      <c r="A138" s="23"/>
      <c r="B138" s="5"/>
      <c r="C138" s="918" t="s">
        <v>1605</v>
      </c>
      <c r="D138" s="918"/>
      <c r="E138" s="918"/>
      <c r="F138" s="918"/>
      <c r="G138" s="918"/>
      <c r="H138" s="27"/>
      <c r="I138" s="193"/>
      <c r="J138" s="935">
        <f>VLOOKUP('Part 1'!L13,DataSheet2!$B$8:$DV$322,97,FALSE)</f>
        <v>-95251469.850000009</v>
      </c>
      <c r="K138" s="936"/>
      <c r="L138" s="65"/>
      <c r="M138" s="27"/>
      <c r="N138" s="935">
        <f>VLOOKUP('Part 1'!L13,DataSheet2!$B$8:$DV$322,98,FALSE)</f>
        <v>-15140157</v>
      </c>
      <c r="O138" s="936"/>
      <c r="P138" s="65"/>
      <c r="Q138" s="145"/>
      <c r="R138" s="145"/>
      <c r="S138" s="145"/>
      <c r="T138" s="194"/>
      <c r="U138" s="55"/>
    </row>
    <row r="139" spans="1:21" ht="15.75" x14ac:dyDescent="0.2">
      <c r="A139" s="23"/>
      <c r="B139" s="5"/>
      <c r="C139" s="918"/>
      <c r="D139" s="918"/>
      <c r="E139" s="918"/>
      <c r="F139" s="918"/>
      <c r="G139" s="918"/>
      <c r="H139" s="27"/>
      <c r="I139" s="193"/>
      <c r="J139" s="64"/>
      <c r="K139" s="63"/>
      <c r="L139" s="65"/>
      <c r="M139" s="27"/>
      <c r="N139" s="64"/>
      <c r="O139" s="63"/>
      <c r="P139" s="65"/>
      <c r="Q139" s="145"/>
      <c r="R139" s="145"/>
      <c r="S139" s="145"/>
      <c r="T139" s="194"/>
      <c r="U139" s="55"/>
    </row>
    <row r="140" spans="1:21" ht="16.5" customHeight="1" thickBot="1" x14ac:dyDescent="0.25">
      <c r="A140" s="23"/>
      <c r="B140" s="5"/>
      <c r="C140" s="285"/>
      <c r="D140" s="285"/>
      <c r="E140" s="285"/>
      <c r="F140" s="285"/>
      <c r="G140" s="285"/>
      <c r="H140" s="27"/>
      <c r="I140" s="193"/>
      <c r="J140" s="64"/>
      <c r="K140" s="63"/>
      <c r="L140" s="65"/>
      <c r="M140" s="27"/>
      <c r="N140" s="64"/>
      <c r="O140" s="63"/>
      <c r="P140" s="65"/>
      <c r="Q140" s="145"/>
      <c r="R140" s="145"/>
      <c r="S140" s="145"/>
      <c r="T140" s="194"/>
      <c r="U140" s="55"/>
    </row>
    <row r="141" spans="1:21" ht="16.5" customHeight="1" thickBot="1" x14ac:dyDescent="0.25">
      <c r="A141" s="23"/>
      <c r="B141" s="5"/>
      <c r="C141" s="884" t="s">
        <v>1606</v>
      </c>
      <c r="D141" s="884"/>
      <c r="E141" s="884"/>
      <c r="F141" s="884"/>
      <c r="G141" s="884"/>
      <c r="H141" s="27"/>
      <c r="I141" s="193"/>
      <c r="J141" s="878">
        <f>VLOOKUP('Part 1'!L13,DataSheet2!$B$8:$DV$322,99,FALSE)</f>
        <v>-1005825</v>
      </c>
      <c r="K141" s="879"/>
      <c r="L141" s="63"/>
      <c r="M141" s="551"/>
      <c r="N141" s="878">
        <f>VLOOKUP('Part 1'!L13,DataSheet2!$B$8:$DV$322,100,FALSE)</f>
        <v>-464195</v>
      </c>
      <c r="O141" s="879"/>
      <c r="P141" s="95"/>
      <c r="Q141" s="145"/>
      <c r="R141" s="145"/>
      <c r="S141" s="145"/>
      <c r="T141" s="194"/>
      <c r="U141" s="55"/>
    </row>
    <row r="142" spans="1:21" ht="15.75" customHeight="1" x14ac:dyDescent="0.2">
      <c r="A142" s="23"/>
      <c r="B142" s="5"/>
      <c r="C142" s="884"/>
      <c r="D142" s="884"/>
      <c r="E142" s="884"/>
      <c r="F142" s="884"/>
      <c r="G142" s="884"/>
      <c r="H142" s="27"/>
      <c r="I142" s="193"/>
      <c r="J142" s="64"/>
      <c r="K142" s="63"/>
      <c r="L142" s="65"/>
      <c r="M142" s="27"/>
      <c r="N142" s="64"/>
      <c r="O142" s="63"/>
      <c r="P142" s="65"/>
      <c r="Q142" s="145"/>
      <c r="R142" s="158"/>
      <c r="S142" s="145"/>
      <c r="T142" s="194"/>
      <c r="U142" s="55"/>
    </row>
    <row r="143" spans="1:21" ht="15.75" customHeight="1" x14ac:dyDescent="0.2">
      <c r="A143" s="23"/>
      <c r="B143" s="5"/>
      <c r="C143" s="884"/>
      <c r="D143" s="884"/>
      <c r="E143" s="884"/>
      <c r="F143" s="884"/>
      <c r="G143" s="884"/>
      <c r="H143" s="27"/>
      <c r="I143" s="193"/>
      <c r="J143" s="64"/>
      <c r="K143" s="63"/>
      <c r="L143" s="65"/>
      <c r="M143" s="27"/>
      <c r="N143" s="64"/>
      <c r="O143" s="63"/>
      <c r="P143" s="65"/>
      <c r="Q143" s="145"/>
      <c r="R143" s="211"/>
      <c r="S143" s="145"/>
      <c r="T143" s="194"/>
      <c r="U143" s="55"/>
    </row>
    <row r="144" spans="1:21" ht="16.5" thickBot="1" x14ac:dyDescent="0.25">
      <c r="A144" s="23"/>
      <c r="B144" s="5"/>
      <c r="C144" s="285"/>
      <c r="D144" s="285"/>
      <c r="E144" s="285"/>
      <c r="F144" s="285"/>
      <c r="G144" s="285"/>
      <c r="H144" s="27"/>
      <c r="I144" s="193"/>
      <c r="J144" s="64"/>
      <c r="K144" s="63"/>
      <c r="L144" s="65"/>
      <c r="M144" s="27"/>
      <c r="N144" s="64"/>
      <c r="O144" s="63"/>
      <c r="P144" s="65"/>
      <c r="Q144" s="145"/>
      <c r="R144" s="158"/>
      <c r="S144" s="145"/>
      <c r="T144" s="194"/>
      <c r="U144" s="55"/>
    </row>
    <row r="145" spans="1:21" ht="16.5" thickBot="1" x14ac:dyDescent="0.25">
      <c r="A145" s="23"/>
      <c r="B145" s="5"/>
      <c r="C145" s="946" t="s">
        <v>1607</v>
      </c>
      <c r="D145" s="947"/>
      <c r="E145" s="947"/>
      <c r="F145" s="947"/>
      <c r="G145" s="947"/>
      <c r="H145" s="27"/>
      <c r="I145" s="193"/>
      <c r="J145" s="935">
        <f>VLOOKUP('Part 1'!L13,DataSheet2!$B$8:$DV$322,101,FALSE)</f>
        <v>-96257294.850000009</v>
      </c>
      <c r="K145" s="936"/>
      <c r="L145" s="65"/>
      <c r="M145" s="27"/>
      <c r="N145" s="935">
        <f>VLOOKUP('Part 1'!L13,DataSheet2!$B$8:$DV$322,102,FALSE)</f>
        <v>-15604352</v>
      </c>
      <c r="O145" s="936"/>
      <c r="P145" s="65"/>
      <c r="Q145" s="145"/>
      <c r="R145" s="926">
        <f>VLOOKUP('Part 1'!L13,DataSheet2!$B$8:$DV$322,103,FALSE)</f>
        <v>-111861646.85000001</v>
      </c>
      <c r="S145" s="927"/>
      <c r="T145" s="194"/>
      <c r="U145" s="55"/>
    </row>
    <row r="146" spans="1:21" ht="15.75" x14ac:dyDescent="0.2">
      <c r="A146" s="23"/>
      <c r="B146" s="5"/>
      <c r="C146" s="941"/>
      <c r="D146" s="941"/>
      <c r="E146" s="941"/>
      <c r="F146" s="941"/>
      <c r="G146" s="941"/>
      <c r="H146" s="27"/>
      <c r="I146" s="193"/>
      <c r="J146" s="64"/>
      <c r="K146" s="63"/>
      <c r="L146" s="65"/>
      <c r="M146" s="27"/>
      <c r="N146" s="64"/>
      <c r="O146" s="63"/>
      <c r="P146" s="65"/>
      <c r="Q146" s="145"/>
      <c r="R146" s="158"/>
      <c r="S146" s="145"/>
      <c r="T146" s="194"/>
      <c r="U146" s="55"/>
    </row>
    <row r="147" spans="1:21" ht="16.5" thickBot="1" x14ac:dyDescent="0.3">
      <c r="A147" s="23"/>
      <c r="B147" s="5"/>
      <c r="C147" s="26"/>
      <c r="D147" s="27"/>
      <c r="E147" s="27"/>
      <c r="F147" s="27"/>
      <c r="G147" s="27"/>
      <c r="H147" s="27"/>
      <c r="I147" s="195"/>
      <c r="J147" s="196"/>
      <c r="K147" s="197"/>
      <c r="L147" s="198"/>
      <c r="M147" s="196"/>
      <c r="N147" s="196"/>
      <c r="O147" s="196"/>
      <c r="P147" s="198"/>
      <c r="Q147" s="199"/>
      <c r="R147" s="200"/>
      <c r="S147" s="199"/>
      <c r="T147" s="201"/>
      <c r="U147" s="55"/>
    </row>
    <row r="148" spans="1:21" ht="15.75" thickBot="1" x14ac:dyDescent="0.25">
      <c r="A148" s="23"/>
      <c r="B148" s="7"/>
      <c r="C148" s="58"/>
      <c r="D148" s="58"/>
      <c r="E148" s="58"/>
      <c r="F148" s="58"/>
      <c r="G148" s="58"/>
      <c r="H148" s="58"/>
      <c r="I148" s="58"/>
      <c r="J148" s="69"/>
      <c r="K148" s="69"/>
      <c r="L148" s="69"/>
      <c r="M148" s="69"/>
      <c r="N148" s="69"/>
      <c r="O148" s="69"/>
      <c r="P148" s="69"/>
      <c r="Q148" s="154"/>
      <c r="R148" s="154"/>
      <c r="S148" s="154"/>
      <c r="T148" s="170"/>
      <c r="U148" s="55"/>
    </row>
    <row r="149" spans="1:21" ht="15.75" thickBot="1" x14ac:dyDescent="0.25">
      <c r="A149" s="24"/>
      <c r="B149" s="25"/>
      <c r="C149" s="88"/>
      <c r="D149" s="88"/>
      <c r="E149" s="88"/>
      <c r="F149" s="88"/>
      <c r="G149" s="88"/>
      <c r="H149" s="88"/>
      <c r="I149" s="88"/>
      <c r="J149" s="90"/>
      <c r="K149" s="90"/>
      <c r="L149" s="90"/>
      <c r="M149" s="90"/>
      <c r="N149" s="90"/>
      <c r="O149" s="90"/>
      <c r="P149" s="90"/>
      <c r="Q149" s="156"/>
      <c r="R149" s="156"/>
      <c r="S149" s="156"/>
      <c r="T149" s="171"/>
      <c r="U149" s="56"/>
    </row>
    <row r="150" spans="1:21" ht="15.75" customHeight="1" x14ac:dyDescent="0.25">
      <c r="A150" s="52"/>
      <c r="B150" s="53"/>
      <c r="C150" s="965" t="s">
        <v>836</v>
      </c>
      <c r="D150" s="965"/>
      <c r="E150" s="965"/>
      <c r="F150" s="965"/>
      <c r="G150" s="965"/>
      <c r="H150" s="965"/>
      <c r="I150" s="965"/>
      <c r="J150" s="965"/>
      <c r="K150" s="965"/>
      <c r="L150" s="965"/>
      <c r="M150" s="268"/>
      <c r="N150" s="268"/>
      <c r="O150" s="268"/>
      <c r="P150" s="268"/>
      <c r="Q150" s="269"/>
      <c r="R150" s="269"/>
      <c r="S150" s="269"/>
      <c r="T150" s="172"/>
      <c r="U150" s="54"/>
    </row>
    <row r="151" spans="1:21" ht="15.75" customHeight="1" x14ac:dyDescent="0.25">
      <c r="A151" s="23"/>
      <c r="B151" s="2"/>
      <c r="C151" s="966"/>
      <c r="D151" s="966"/>
      <c r="E151" s="966"/>
      <c r="F151" s="966"/>
      <c r="G151" s="966"/>
      <c r="H151" s="966"/>
      <c r="I151" s="966"/>
      <c r="J151" s="966"/>
      <c r="K151" s="966"/>
      <c r="L151" s="966"/>
      <c r="M151" s="267"/>
      <c r="N151" s="267"/>
      <c r="O151" s="267"/>
      <c r="P151" s="267"/>
      <c r="Q151" s="270"/>
      <c r="R151" s="270"/>
      <c r="S151" s="270"/>
      <c r="T151" s="150"/>
      <c r="U151" s="55"/>
    </row>
    <row r="152" spans="1:21" s="238" customFormat="1" ht="16.5" thickBot="1" x14ac:dyDescent="0.3">
      <c r="A152" s="483"/>
      <c r="B152" s="322"/>
      <c r="C152" s="348" t="s">
        <v>903</v>
      </c>
      <c r="D152" s="376"/>
      <c r="E152" s="376"/>
      <c r="F152" s="376"/>
      <c r="G152" s="376"/>
      <c r="H152" s="321"/>
      <c r="I152" s="321"/>
      <c r="J152" s="376"/>
      <c r="K152" s="376"/>
      <c r="L152" s="321"/>
      <c r="M152" s="321"/>
      <c r="N152" s="321"/>
      <c r="O152" s="321"/>
      <c r="P152" s="321"/>
      <c r="Q152" s="145"/>
      <c r="R152" s="145"/>
      <c r="S152" s="145"/>
      <c r="T152" s="150"/>
      <c r="U152" s="487"/>
    </row>
    <row r="153" spans="1:21" s="238" customFormat="1" ht="16.5" customHeight="1" thickBot="1" x14ac:dyDescent="0.25">
      <c r="A153" s="483"/>
      <c r="B153" s="322"/>
      <c r="C153" s="961" t="s">
        <v>1601</v>
      </c>
      <c r="D153" s="962"/>
      <c r="E153" s="962"/>
      <c r="F153" s="962"/>
      <c r="G153" s="962"/>
      <c r="H153" s="485"/>
      <c r="I153" s="321"/>
      <c r="J153" s="951">
        <f>VLOOKUP('Part 1'!L13,DataSheet2!$B$8:$DV$322,104,FALSE)</f>
        <v>-4420499</v>
      </c>
      <c r="K153" s="952"/>
      <c r="L153" s="484"/>
      <c r="M153" s="321"/>
      <c r="N153" s="963">
        <f>VLOOKUP('Part 1'!L13,DataSheet2!$B$8:$DV$322,105,FALSE)</f>
        <v>0</v>
      </c>
      <c r="O153" s="964"/>
      <c r="P153" s="376"/>
      <c r="Q153" s="145"/>
      <c r="R153" s="926">
        <f>VLOOKUP('Part 1'!L13,DataSheet2!$B$8:$DV$322,106,FALSE)</f>
        <v>-4420499</v>
      </c>
      <c r="S153" s="927"/>
      <c r="T153" s="150"/>
      <c r="U153" s="487"/>
    </row>
    <row r="154" spans="1:21" s="238" customFormat="1" ht="16.5" customHeight="1" x14ac:dyDescent="0.2">
      <c r="A154" s="483"/>
      <c r="B154" s="322"/>
      <c r="C154" s="485"/>
      <c r="D154" s="485"/>
      <c r="E154" s="485"/>
      <c r="F154" s="485"/>
      <c r="G154" s="485"/>
      <c r="H154" s="485"/>
      <c r="I154" s="485"/>
      <c r="J154" s="485"/>
      <c r="K154" s="485"/>
      <c r="L154" s="484"/>
      <c r="M154" s="321"/>
      <c r="N154" s="321"/>
      <c r="O154" s="321"/>
      <c r="P154" s="376"/>
      <c r="Q154" s="145"/>
      <c r="R154" s="482"/>
      <c r="S154" s="145"/>
      <c r="T154" s="150"/>
      <c r="U154" s="487"/>
    </row>
    <row r="155" spans="1:21" s="238" customFormat="1" ht="16.5" customHeight="1" thickBot="1" x14ac:dyDescent="0.3">
      <c r="A155" s="483"/>
      <c r="B155" s="322"/>
      <c r="C155" s="348" t="s">
        <v>1094</v>
      </c>
      <c r="D155" s="376"/>
      <c r="E155" s="376"/>
      <c r="F155" s="376"/>
      <c r="G155" s="376"/>
      <c r="H155" s="543"/>
      <c r="I155" s="543"/>
      <c r="J155" s="543"/>
      <c r="K155" s="543"/>
      <c r="L155" s="484"/>
      <c r="M155" s="321"/>
      <c r="N155" s="321"/>
      <c r="O155" s="321"/>
      <c r="P155" s="376"/>
      <c r="Q155" s="145"/>
      <c r="R155" s="542"/>
      <c r="S155" s="145"/>
      <c r="T155" s="150"/>
      <c r="U155" s="487"/>
    </row>
    <row r="156" spans="1:21" s="238" customFormat="1" ht="16.5" customHeight="1" thickBot="1" x14ac:dyDescent="0.25">
      <c r="A156" s="483"/>
      <c r="B156" s="322"/>
      <c r="C156" s="961" t="s">
        <v>1602</v>
      </c>
      <c r="D156" s="962"/>
      <c r="E156" s="962"/>
      <c r="F156" s="962"/>
      <c r="G156" s="962"/>
      <c r="H156" s="543"/>
      <c r="I156" s="543"/>
      <c r="J156" s="951">
        <f>VLOOKUP('Part 1'!L13,DataSheet2!$B$8:$DV$322,107,FALSE)</f>
        <v>-15085681.609999999</v>
      </c>
      <c r="K156" s="952"/>
      <c r="L156" s="484"/>
      <c r="M156" s="321"/>
      <c r="N156" s="963">
        <f>VLOOKUP('Part 1'!L13,DataSheet2!$B$8:$DV$322,108,FALSE)</f>
        <v>-31975</v>
      </c>
      <c r="O156" s="964"/>
      <c r="P156" s="376"/>
      <c r="Q156" s="145"/>
      <c r="R156" s="926">
        <f>VLOOKUP('Part 1'!L13,DataSheet2!$B$8:$DV$322,109,FALSE)</f>
        <v>-15117656.609999999</v>
      </c>
      <c r="S156" s="927"/>
      <c r="T156" s="150"/>
      <c r="U156" s="487"/>
    </row>
    <row r="157" spans="1:21" s="238" customFormat="1" ht="16.5" customHeight="1" x14ac:dyDescent="0.2">
      <c r="A157" s="483"/>
      <c r="B157" s="322"/>
      <c r="C157" s="753"/>
      <c r="D157" s="754"/>
      <c r="E157" s="754"/>
      <c r="F157" s="754"/>
      <c r="G157" s="754"/>
      <c r="H157" s="543"/>
      <c r="I157" s="543"/>
      <c r="J157" s="543"/>
      <c r="K157" s="543"/>
      <c r="L157" s="484"/>
      <c r="M157" s="321"/>
      <c r="N157" s="321"/>
      <c r="O157" s="321"/>
      <c r="P157" s="376"/>
      <c r="Q157" s="145"/>
      <c r="R157" s="542"/>
      <c r="S157" s="145"/>
      <c r="T157" s="150"/>
      <c r="U157" s="487"/>
    </row>
    <row r="158" spans="1:21" s="238" customFormat="1" ht="16.5" thickBot="1" x14ac:dyDescent="0.3">
      <c r="A158" s="483"/>
      <c r="B158" s="322"/>
      <c r="C158" s="348" t="s">
        <v>1105</v>
      </c>
      <c r="D158" s="753"/>
      <c r="E158" s="753"/>
      <c r="F158" s="753"/>
      <c r="G158" s="753"/>
      <c r="H158" s="321"/>
      <c r="I158" s="321"/>
      <c r="J158" s="376"/>
      <c r="K158" s="376"/>
      <c r="L158" s="321"/>
      <c r="M158" s="321"/>
      <c r="N158" s="321"/>
      <c r="O158" s="321"/>
      <c r="P158" s="321"/>
      <c r="Q158" s="145"/>
      <c r="R158" s="145"/>
      <c r="S158" s="145"/>
      <c r="T158" s="150"/>
      <c r="U158" s="487"/>
    </row>
    <row r="159" spans="1:21" s="238" customFormat="1" ht="16.5" customHeight="1" thickBot="1" x14ac:dyDescent="0.25">
      <c r="A159" s="483"/>
      <c r="B159" s="322"/>
      <c r="C159" s="961" t="s">
        <v>1608</v>
      </c>
      <c r="D159" s="962"/>
      <c r="E159" s="962"/>
      <c r="F159" s="962"/>
      <c r="G159" s="962"/>
      <c r="H159" s="485"/>
      <c r="I159" s="321"/>
      <c r="J159" s="951">
        <f>VLOOKUP('Part 1'!L13,DataSheet2!$B$8:$DV$322,110,FALSE)</f>
        <v>-4553359</v>
      </c>
      <c r="K159" s="952"/>
      <c r="L159" s="484"/>
      <c r="M159" s="321"/>
      <c r="N159" s="963">
        <f>VLOOKUP('Part 1'!L13,DataSheet2!$B$8:$DV$322,111,FALSE)</f>
        <v>-20145</v>
      </c>
      <c r="O159" s="964"/>
      <c r="P159" s="376"/>
      <c r="Q159" s="145"/>
      <c r="R159" s="926">
        <f>VLOOKUP('Part 1'!L13,DataSheet2!$B$8:$DV$322,112,FALSE)</f>
        <v>-4573504</v>
      </c>
      <c r="S159" s="927"/>
      <c r="T159" s="150"/>
      <c r="U159" s="487"/>
    </row>
    <row r="160" spans="1:21" s="238" customFormat="1" ht="16.5" customHeight="1" x14ac:dyDescent="0.2">
      <c r="A160" s="483"/>
      <c r="B160" s="322"/>
      <c r="C160" s="753"/>
      <c r="D160" s="754"/>
      <c r="E160" s="754"/>
      <c r="F160" s="754"/>
      <c r="G160" s="754"/>
      <c r="H160" s="485"/>
      <c r="I160" s="485"/>
      <c r="J160" s="485"/>
      <c r="K160" s="485"/>
      <c r="L160" s="484"/>
      <c r="M160" s="321"/>
      <c r="N160" s="486"/>
      <c r="O160" s="486"/>
      <c r="P160" s="376"/>
      <c r="Q160" s="145"/>
      <c r="R160" s="482"/>
      <c r="S160" s="145"/>
      <c r="T160" s="150"/>
      <c r="U160" s="487"/>
    </row>
    <row r="161" spans="1:21" s="238" customFormat="1" ht="16.5" thickBot="1" x14ac:dyDescent="0.25">
      <c r="A161" s="483"/>
      <c r="B161" s="322"/>
      <c r="C161" s="538" t="s">
        <v>1162</v>
      </c>
      <c r="D161" s="754"/>
      <c r="E161" s="754"/>
      <c r="F161" s="754"/>
      <c r="G161" s="754"/>
      <c r="H161" s="321"/>
      <c r="I161" s="321"/>
      <c r="J161" s="549"/>
      <c r="K161" s="376"/>
      <c r="L161" s="321"/>
      <c r="M161" s="321"/>
      <c r="N161" s="549"/>
      <c r="O161" s="321"/>
      <c r="P161" s="321"/>
      <c r="Q161" s="145"/>
      <c r="R161" s="145"/>
      <c r="S161" s="145"/>
      <c r="T161" s="150"/>
      <c r="U161" s="487"/>
    </row>
    <row r="162" spans="1:21" s="238" customFormat="1" ht="16.5" customHeight="1" thickBot="1" x14ac:dyDescent="0.25">
      <c r="A162" s="483"/>
      <c r="B162" s="322"/>
      <c r="C162" s="961" t="s">
        <v>1610</v>
      </c>
      <c r="D162" s="962"/>
      <c r="E162" s="962"/>
      <c r="F162" s="962"/>
      <c r="G162" s="962"/>
      <c r="H162" s="485"/>
      <c r="I162" s="321"/>
      <c r="J162" s="951">
        <f>VLOOKUP('Part 1'!L13,DataSheet2!$B$8:$DV$322,113,FALSE)</f>
        <v>-493381235.14999998</v>
      </c>
      <c r="K162" s="952"/>
      <c r="L162" s="484"/>
      <c r="M162" s="321"/>
      <c r="N162" s="963">
        <f>VLOOKUP('Part 1'!L13,DataSheet2!$B$8:$DV$322,114,FALSE)</f>
        <v>-1725235</v>
      </c>
      <c r="O162" s="964"/>
      <c r="P162" s="376"/>
      <c r="Q162" s="145"/>
      <c r="R162" s="926">
        <f>VLOOKUP('Part 1'!L13,DataSheet2!$B$8:$DV$322,115,FALSE)</f>
        <v>-495106470.14999998</v>
      </c>
      <c r="S162" s="927"/>
      <c r="T162" s="150"/>
      <c r="U162" s="487"/>
    </row>
    <row r="163" spans="1:21" ht="15.75" thickBot="1" x14ac:dyDescent="0.25">
      <c r="A163" s="23"/>
      <c r="B163" s="2"/>
      <c r="C163" s="27"/>
      <c r="D163" s="27"/>
      <c r="E163" s="27"/>
      <c r="F163" s="27"/>
      <c r="G163" s="27"/>
      <c r="H163" s="27"/>
      <c r="I163" s="27"/>
      <c r="J163" s="63"/>
      <c r="K163" s="63"/>
      <c r="L163" s="63"/>
      <c r="M163" s="63"/>
      <c r="N163" s="63"/>
      <c r="O163" s="63"/>
      <c r="P163" s="63"/>
      <c r="Q163" s="145"/>
      <c r="R163" s="145"/>
      <c r="S163" s="145"/>
      <c r="T163" s="150"/>
      <c r="U163" s="55"/>
    </row>
    <row r="164" spans="1:21" ht="16.5" thickBot="1" x14ac:dyDescent="0.25">
      <c r="A164" s="23"/>
      <c r="B164" s="4"/>
      <c r="C164" s="57"/>
      <c r="D164" s="57"/>
      <c r="E164" s="57"/>
      <c r="F164" s="57"/>
      <c r="G164" s="57"/>
      <c r="H164" s="57"/>
      <c r="I164" s="57"/>
      <c r="J164" s="66"/>
      <c r="K164" s="67"/>
      <c r="L164" s="67"/>
      <c r="M164" s="67"/>
      <c r="N164" s="67"/>
      <c r="O164" s="67"/>
      <c r="P164" s="67"/>
      <c r="Q164" s="152"/>
      <c r="R164" s="151"/>
      <c r="S164" s="152"/>
      <c r="T164" s="168"/>
      <c r="U164" s="55"/>
    </row>
    <row r="165" spans="1:21" ht="16.5" thickBot="1" x14ac:dyDescent="0.25">
      <c r="A165" s="23"/>
      <c r="B165" s="5"/>
      <c r="C165" s="918" t="s">
        <v>1609</v>
      </c>
      <c r="D165" s="918"/>
      <c r="E165" s="918"/>
      <c r="F165" s="918"/>
      <c r="G165" s="918"/>
      <c r="H165" s="27"/>
      <c r="I165" s="27"/>
      <c r="J165" s="935">
        <f>VLOOKUP('Part 1'!L13,DataSheet2!$B$8:$DV$322,116,FALSE)</f>
        <v>-517440774.75999999</v>
      </c>
      <c r="K165" s="936"/>
      <c r="L165" s="63"/>
      <c r="M165" s="27"/>
      <c r="N165" s="935">
        <f>VLOOKUP('Part 1'!L13,DataSheet2!$B$8:$DV$322,117,FALSE)</f>
        <v>-1777355</v>
      </c>
      <c r="O165" s="936"/>
      <c r="P165" s="63"/>
      <c r="Q165" s="145"/>
      <c r="R165" s="145"/>
      <c r="S165" s="145"/>
      <c r="T165" s="169"/>
      <c r="U165" s="55"/>
    </row>
    <row r="166" spans="1:21" ht="15.75" x14ac:dyDescent="0.2">
      <c r="A166" s="23"/>
      <c r="B166" s="5"/>
      <c r="C166" s="918"/>
      <c r="D166" s="918"/>
      <c r="E166" s="918"/>
      <c r="F166" s="918"/>
      <c r="G166" s="918"/>
      <c r="H166" s="27"/>
      <c r="I166" s="27"/>
      <c r="J166" s="64"/>
      <c r="K166" s="63"/>
      <c r="L166" s="63"/>
      <c r="M166" s="27"/>
      <c r="N166" s="64"/>
      <c r="O166" s="63"/>
      <c r="P166" s="63"/>
      <c r="Q166" s="145"/>
      <c r="R166" s="145"/>
      <c r="S166" s="145"/>
      <c r="T166" s="169"/>
      <c r="U166" s="55"/>
    </row>
    <row r="167" spans="1:21" ht="15.75" x14ac:dyDescent="0.2">
      <c r="A167" s="23"/>
      <c r="B167" s="5"/>
      <c r="C167" s="941"/>
      <c r="D167" s="947"/>
      <c r="E167" s="947"/>
      <c r="F167" s="947"/>
      <c r="G167" s="947"/>
      <c r="H167" s="27"/>
      <c r="I167" s="27"/>
      <c r="J167" s="64"/>
      <c r="K167" s="63"/>
      <c r="L167" s="63"/>
      <c r="M167" s="27"/>
      <c r="N167" s="64"/>
      <c r="O167" s="63"/>
      <c r="P167" s="63"/>
      <c r="Q167" s="145"/>
      <c r="R167" s="145"/>
      <c r="S167" s="145"/>
      <c r="T167" s="169"/>
      <c r="U167" s="55"/>
    </row>
    <row r="168" spans="1:21" ht="16.5" thickBot="1" x14ac:dyDescent="0.25">
      <c r="A168" s="23"/>
      <c r="B168" s="5"/>
      <c r="C168" s="285"/>
      <c r="D168" s="285"/>
      <c r="E168" s="285"/>
      <c r="F168" s="285"/>
      <c r="G168" s="285"/>
      <c r="H168" s="27"/>
      <c r="I168" s="27"/>
      <c r="J168" s="64"/>
      <c r="K168" s="63"/>
      <c r="L168" s="63"/>
      <c r="M168" s="27"/>
      <c r="N168" s="64"/>
      <c r="O168" s="63"/>
      <c r="P168" s="63"/>
      <c r="Q168" s="145"/>
      <c r="R168" s="145"/>
      <c r="S168" s="145"/>
      <c r="T168" s="169"/>
      <c r="U168" s="55"/>
    </row>
    <row r="169" spans="1:21" ht="16.5" customHeight="1" thickBot="1" x14ac:dyDescent="0.25">
      <c r="A169" s="23"/>
      <c r="B169" s="5"/>
      <c r="C169" s="884" t="s">
        <v>1611</v>
      </c>
      <c r="D169" s="884"/>
      <c r="E169" s="884"/>
      <c r="F169" s="884"/>
      <c r="G169" s="884"/>
      <c r="H169" s="27"/>
      <c r="I169" s="27"/>
      <c r="J169" s="878">
        <f>VLOOKUP('Part 1'!L13,DataSheet2!$B$8:$DV$322,118,FALSE)</f>
        <v>-6242130</v>
      </c>
      <c r="K169" s="879"/>
      <c r="L169" s="63"/>
      <c r="M169" s="27"/>
      <c r="N169" s="878">
        <f>VLOOKUP('Part 1'!L13,DataSheet2!$B$8:$DV$322,119,FALSE)</f>
        <v>0</v>
      </c>
      <c r="O169" s="879"/>
      <c r="P169" s="63"/>
      <c r="Q169" s="145"/>
      <c r="R169" s="145"/>
      <c r="S169" s="145"/>
      <c r="T169" s="169"/>
      <c r="U169" s="55"/>
    </row>
    <row r="170" spans="1:21" ht="15.75" x14ac:dyDescent="0.2">
      <c r="A170" s="23"/>
      <c r="B170" s="5"/>
      <c r="C170" s="884"/>
      <c r="D170" s="884"/>
      <c r="E170" s="884"/>
      <c r="F170" s="884"/>
      <c r="G170" s="884"/>
      <c r="H170" s="27"/>
      <c r="I170" s="27"/>
      <c r="J170" s="64"/>
      <c r="K170" s="63"/>
      <c r="L170" s="63"/>
      <c r="M170" s="27"/>
      <c r="N170" s="64"/>
      <c r="O170" s="63"/>
      <c r="P170" s="63"/>
      <c r="Q170" s="145"/>
      <c r="R170" s="146"/>
      <c r="S170" s="145"/>
      <c r="T170" s="169"/>
      <c r="U170" s="55"/>
    </row>
    <row r="171" spans="1:21" ht="15.75" x14ac:dyDescent="0.2">
      <c r="A171" s="23"/>
      <c r="B171" s="5"/>
      <c r="C171" s="884"/>
      <c r="D171" s="884"/>
      <c r="E171" s="884"/>
      <c r="F171" s="884"/>
      <c r="G171" s="884"/>
      <c r="H171" s="27"/>
      <c r="I171" s="27"/>
      <c r="J171" s="64"/>
      <c r="K171" s="63"/>
      <c r="L171" s="63"/>
      <c r="M171" s="27"/>
      <c r="N171" s="64"/>
      <c r="O171" s="63"/>
      <c r="P171" s="63"/>
      <c r="Q171" s="145"/>
      <c r="R171" s="211"/>
      <c r="S171" s="145"/>
      <c r="T171" s="169"/>
      <c r="U171" s="55"/>
    </row>
    <row r="172" spans="1:21" ht="16.5" thickBot="1" x14ac:dyDescent="0.25">
      <c r="A172" s="23"/>
      <c r="B172" s="5"/>
      <c r="C172" s="285"/>
      <c r="D172" s="285"/>
      <c r="E172" s="285"/>
      <c r="F172" s="285"/>
      <c r="G172" s="285"/>
      <c r="H172" s="27"/>
      <c r="I172" s="27"/>
      <c r="J172" s="64"/>
      <c r="K172" s="63"/>
      <c r="L172" s="63"/>
      <c r="M172" s="27"/>
      <c r="N172" s="64"/>
      <c r="O172" s="63"/>
      <c r="P172" s="63"/>
      <c r="Q172" s="145"/>
      <c r="R172" s="146"/>
      <c r="S172" s="145"/>
      <c r="T172" s="169"/>
      <c r="U172" s="55"/>
    </row>
    <row r="173" spans="1:21" ht="16.5" customHeight="1" thickBot="1" x14ac:dyDescent="0.25">
      <c r="A173" s="23"/>
      <c r="B173" s="5"/>
      <c r="C173" s="953" t="s">
        <v>1612</v>
      </c>
      <c r="D173" s="953"/>
      <c r="E173" s="953"/>
      <c r="F173" s="953"/>
      <c r="G173" s="953"/>
      <c r="H173" s="27"/>
      <c r="I173" s="27"/>
      <c r="J173" s="935">
        <f>VLOOKUP('Part 1'!L13,DataSheet2!$B$8:$DV$322,120,FALSE)</f>
        <v>-523682904.75999999</v>
      </c>
      <c r="K173" s="936"/>
      <c r="L173" s="63"/>
      <c r="M173" s="27"/>
      <c r="N173" s="935">
        <f>VLOOKUP('Part 1'!L13,DataSheet2!$B$8:$DV$322,121,FALSE)</f>
        <v>-1777355</v>
      </c>
      <c r="O173" s="936"/>
      <c r="P173" s="63"/>
      <c r="Q173" s="145"/>
      <c r="R173" s="926">
        <f>VLOOKUP('Part 1'!L13,DataSheet2!$B$8:$DV$322,122,FALSE)</f>
        <v>-525460259.75999999</v>
      </c>
      <c r="S173" s="927"/>
      <c r="T173" s="169"/>
      <c r="U173" s="55"/>
    </row>
    <row r="174" spans="1:21" ht="15" x14ac:dyDescent="0.2">
      <c r="A174" s="23"/>
      <c r="B174" s="5"/>
      <c r="C174" s="954"/>
      <c r="D174" s="955"/>
      <c r="E174" s="955"/>
      <c r="F174" s="955"/>
      <c r="G174" s="955"/>
      <c r="H174" s="27"/>
      <c r="I174" s="27"/>
      <c r="J174" s="27"/>
      <c r="K174" s="27"/>
      <c r="L174" s="27"/>
      <c r="M174" s="27"/>
      <c r="N174" s="27"/>
      <c r="O174" s="27"/>
      <c r="P174" s="63"/>
      <c r="Q174" s="157"/>
      <c r="R174" s="157"/>
      <c r="S174" s="157"/>
      <c r="T174" s="169"/>
      <c r="U174" s="55"/>
    </row>
    <row r="175" spans="1:21" ht="15" x14ac:dyDescent="0.2">
      <c r="A175" s="23"/>
      <c r="B175" s="5"/>
      <c r="C175" s="956"/>
      <c r="D175" s="956"/>
      <c r="E175" s="956"/>
      <c r="F175" s="956"/>
      <c r="G175" s="956"/>
      <c r="H175" s="27"/>
      <c r="I175" s="27"/>
      <c r="J175" s="27"/>
      <c r="K175" s="27"/>
      <c r="L175" s="27"/>
      <c r="M175" s="27"/>
      <c r="N175" s="27"/>
      <c r="O175" s="27"/>
      <c r="P175" s="63"/>
      <c r="Q175" s="157"/>
      <c r="R175" s="157"/>
      <c r="S175" s="157"/>
      <c r="T175" s="169"/>
      <c r="U175" s="55"/>
    </row>
    <row r="176" spans="1:21" ht="16.5" thickBot="1" x14ac:dyDescent="0.25">
      <c r="A176" s="23"/>
      <c r="B176" s="7"/>
      <c r="C176" s="58"/>
      <c r="D176" s="58"/>
      <c r="E176" s="58"/>
      <c r="F176" s="58"/>
      <c r="G176" s="58"/>
      <c r="H176" s="58"/>
      <c r="I176" s="58"/>
      <c r="J176" s="68"/>
      <c r="K176" s="69"/>
      <c r="L176" s="69"/>
      <c r="M176" s="69"/>
      <c r="N176" s="68"/>
      <c r="O176" s="68"/>
      <c r="P176" s="68"/>
      <c r="Q176" s="154"/>
      <c r="R176" s="153"/>
      <c r="S176" s="154"/>
      <c r="T176" s="170"/>
      <c r="U176" s="55"/>
    </row>
    <row r="177" spans="1:21" ht="15.75" thickBot="1" x14ac:dyDescent="0.25">
      <c r="A177" s="23"/>
      <c r="B177" s="2"/>
      <c r="C177" s="27"/>
      <c r="D177" s="27"/>
      <c r="E177" s="27"/>
      <c r="F177" s="27"/>
      <c r="G177" s="27"/>
      <c r="H177" s="27"/>
      <c r="I177" s="27"/>
      <c r="J177" s="63"/>
      <c r="K177" s="63"/>
      <c r="L177" s="63"/>
      <c r="M177" s="63"/>
      <c r="N177" s="63"/>
      <c r="O177" s="63"/>
      <c r="P177" s="63"/>
      <c r="Q177" s="145"/>
      <c r="R177" s="145"/>
      <c r="S177" s="145"/>
      <c r="T177" s="150"/>
      <c r="U177" s="55"/>
    </row>
    <row r="178" spans="1:21" ht="15" x14ac:dyDescent="0.2">
      <c r="A178" s="23"/>
      <c r="B178" s="30"/>
      <c r="C178" s="31"/>
      <c r="D178" s="31"/>
      <c r="E178" s="31"/>
      <c r="F178" s="31"/>
      <c r="G178" s="31"/>
      <c r="H178" s="31"/>
      <c r="I178" s="31"/>
      <c r="J178" s="70"/>
      <c r="K178" s="70"/>
      <c r="L178" s="70"/>
      <c r="M178" s="70"/>
      <c r="N178" s="70"/>
      <c r="O178" s="70"/>
      <c r="P178" s="70"/>
      <c r="Q178" s="148"/>
      <c r="R178" s="148"/>
      <c r="S178" s="148"/>
      <c r="T178" s="165"/>
      <c r="U178" s="55"/>
    </row>
    <row r="179" spans="1:21" ht="15.75" x14ac:dyDescent="0.25">
      <c r="A179" s="23"/>
      <c r="B179" s="32"/>
      <c r="C179" s="33" t="s">
        <v>643</v>
      </c>
      <c r="D179" s="34"/>
      <c r="E179" s="34"/>
      <c r="F179" s="34"/>
      <c r="G179" s="34"/>
      <c r="H179" s="34"/>
      <c r="I179" s="34"/>
      <c r="J179" s="71"/>
      <c r="K179" s="71"/>
      <c r="L179" s="71"/>
      <c r="M179" s="71"/>
      <c r="N179" s="71"/>
      <c r="O179" s="71"/>
      <c r="P179" s="71"/>
      <c r="Q179" s="145"/>
      <c r="R179" s="145"/>
      <c r="S179" s="145"/>
      <c r="T179" s="166"/>
      <c r="U179" s="55"/>
    </row>
    <row r="180" spans="1:21" ht="16.5" thickBot="1" x14ac:dyDescent="0.25">
      <c r="A180" s="23"/>
      <c r="B180" s="32"/>
      <c r="C180" s="34"/>
      <c r="D180" s="34"/>
      <c r="E180" s="34"/>
      <c r="F180" s="34"/>
      <c r="G180" s="34"/>
      <c r="H180" s="34"/>
      <c r="I180" s="34"/>
      <c r="J180" s="950" t="s">
        <v>624</v>
      </c>
      <c r="K180" s="950"/>
      <c r="L180" s="71"/>
      <c r="M180" s="71"/>
      <c r="N180" s="950" t="s">
        <v>624</v>
      </c>
      <c r="O180" s="950"/>
      <c r="P180" s="71"/>
      <c r="Q180" s="145"/>
      <c r="R180" s="957" t="s">
        <v>624</v>
      </c>
      <c r="S180" s="957"/>
      <c r="T180" s="166"/>
      <c r="U180" s="55"/>
    </row>
    <row r="181" spans="1:21" ht="16.5" thickBot="1" x14ac:dyDescent="0.25">
      <c r="A181" s="23"/>
      <c r="B181" s="32"/>
      <c r="C181" s="958" t="s">
        <v>1613</v>
      </c>
      <c r="D181" s="958"/>
      <c r="E181" s="958"/>
      <c r="F181" s="958"/>
      <c r="G181" s="958"/>
      <c r="H181" s="959"/>
      <c r="I181" s="34"/>
      <c r="J181" s="935">
        <f>VLOOKUP('Part 1'!L13,DataSheet2!$B$8:$DV$322,123,FALSE)</f>
        <v>26813726333.962982</v>
      </c>
      <c r="K181" s="936"/>
      <c r="L181" s="71"/>
      <c r="M181" s="71"/>
      <c r="N181" s="935">
        <f>VLOOKUP('Part 1'!L13,DataSheet2!$B$8:$DV$322,124,FALSE)</f>
        <v>301820040.5</v>
      </c>
      <c r="O181" s="936"/>
      <c r="P181" s="71"/>
      <c r="Q181" s="145"/>
      <c r="R181" s="926">
        <f>VLOOKUP('Part 1'!L13,DataSheet2!$B$8:$DV$322,125,FALSE)</f>
        <v>27115546374.462982</v>
      </c>
      <c r="S181" s="927"/>
      <c r="T181" s="166"/>
      <c r="U181" s="55"/>
    </row>
    <row r="182" spans="1:21" ht="15.75" customHeight="1" x14ac:dyDescent="0.2">
      <c r="A182" s="23"/>
      <c r="B182" s="32"/>
      <c r="C182" s="958"/>
      <c r="D182" s="958"/>
      <c r="E182" s="958"/>
      <c r="F182" s="958"/>
      <c r="G182" s="958"/>
      <c r="H182" s="959"/>
      <c r="I182" s="34"/>
      <c r="J182" s="72"/>
      <c r="K182" s="71"/>
      <c r="L182" s="71"/>
      <c r="M182" s="71"/>
      <c r="N182" s="71"/>
      <c r="O182" s="71"/>
      <c r="P182" s="71"/>
      <c r="Q182" s="145"/>
      <c r="R182" s="146"/>
      <c r="S182" s="145"/>
      <c r="T182" s="166"/>
      <c r="U182" s="55"/>
    </row>
    <row r="183" spans="1:21" ht="15.75" x14ac:dyDescent="0.25">
      <c r="A183" s="23"/>
      <c r="B183" s="32"/>
      <c r="C183" s="956"/>
      <c r="D183" s="956"/>
      <c r="E183" s="956"/>
      <c r="F183" s="956"/>
      <c r="G183" s="956"/>
      <c r="H183" s="956"/>
      <c r="I183" s="34"/>
      <c r="J183" s="948"/>
      <c r="K183" s="949"/>
      <c r="L183" s="29"/>
      <c r="M183" s="29"/>
      <c r="N183" s="59"/>
      <c r="O183" s="29"/>
      <c r="P183" s="29"/>
      <c r="Q183" s="157"/>
      <c r="R183" s="265"/>
      <c r="S183" s="160"/>
      <c r="T183" s="166"/>
      <c r="U183" s="55"/>
    </row>
    <row r="184" spans="1:21" ht="15.75" thickBot="1" x14ac:dyDescent="0.25">
      <c r="A184" s="23"/>
      <c r="B184" s="35"/>
      <c r="C184" s="60"/>
      <c r="D184" s="60"/>
      <c r="E184" s="60"/>
      <c r="F184" s="60"/>
      <c r="G184" s="60"/>
      <c r="H184" s="60"/>
      <c r="I184" s="36"/>
      <c r="J184" s="36"/>
      <c r="K184" s="36"/>
      <c r="L184" s="36"/>
      <c r="M184" s="36"/>
      <c r="N184" s="36"/>
      <c r="O184" s="36"/>
      <c r="P184" s="36"/>
      <c r="Q184" s="173"/>
      <c r="R184" s="173"/>
      <c r="S184" s="173"/>
      <c r="T184" s="167"/>
      <c r="U184" s="55"/>
    </row>
    <row r="185" spans="1:21" x14ac:dyDescent="0.2">
      <c r="A185" s="23"/>
      <c r="B185" s="2"/>
      <c r="C185" s="2"/>
      <c r="D185" s="2"/>
      <c r="E185" s="2"/>
      <c r="F185" s="2"/>
      <c r="G185" s="2"/>
      <c r="H185" s="2"/>
      <c r="I185" s="2"/>
      <c r="J185" s="2"/>
      <c r="K185" s="2"/>
      <c r="L185" s="2"/>
      <c r="M185" s="2"/>
      <c r="N185" s="2"/>
      <c r="O185" s="2"/>
      <c r="P185" s="2"/>
      <c r="Q185" s="2"/>
      <c r="R185" s="2"/>
      <c r="S185" s="2"/>
      <c r="T185" s="2"/>
      <c r="U185" s="55"/>
    </row>
    <row r="186" spans="1:21" x14ac:dyDescent="0.2">
      <c r="A186" s="299"/>
      <c r="B186" s="299"/>
      <c r="C186" s="299"/>
      <c r="D186" s="299"/>
      <c r="E186" s="296"/>
      <c r="F186" s="296"/>
      <c r="G186" s="296"/>
      <c r="H186" s="296"/>
      <c r="I186" s="296"/>
      <c r="J186" s="296"/>
      <c r="K186" s="296"/>
      <c r="L186" s="296"/>
      <c r="M186" s="296"/>
      <c r="N186" s="296"/>
      <c r="O186" s="296"/>
      <c r="P186" s="296"/>
      <c r="Q186" s="296"/>
      <c r="R186" s="296"/>
      <c r="S186" s="296"/>
      <c r="T186" s="296"/>
      <c r="U186" s="296"/>
    </row>
    <row r="187" spans="1:21" x14ac:dyDescent="0.2">
      <c r="B187" s="296"/>
      <c r="C187" s="296"/>
      <c r="D187" s="296"/>
      <c r="E187" s="296"/>
      <c r="F187" s="296"/>
      <c r="G187" s="296"/>
      <c r="H187" s="296"/>
      <c r="I187" s="296"/>
      <c r="J187" s="296"/>
      <c r="K187" s="296"/>
      <c r="L187" s="296"/>
      <c r="M187" s="296"/>
      <c r="N187" s="296"/>
      <c r="O187" s="296"/>
      <c r="P187" s="296"/>
      <c r="Q187" s="296"/>
      <c r="R187" s="296"/>
      <c r="S187" s="296"/>
      <c r="T187" s="296"/>
      <c r="U187" s="296"/>
    </row>
    <row r="188" spans="1:21" x14ac:dyDescent="0.2">
      <c r="B188" s="296"/>
      <c r="C188" s="296"/>
      <c r="D188" s="296"/>
      <c r="E188" s="296"/>
      <c r="F188" s="296"/>
      <c r="G188" s="296"/>
      <c r="H188" s="296"/>
      <c r="I188" s="296"/>
      <c r="J188" s="296"/>
      <c r="K188" s="296"/>
      <c r="L188" s="296"/>
      <c r="M188" s="296"/>
      <c r="N188" s="296"/>
      <c r="O188" s="296"/>
      <c r="P188" s="296"/>
      <c r="Q188" s="296"/>
      <c r="R188" s="296"/>
      <c r="S188" s="296"/>
      <c r="T188" s="296"/>
      <c r="U188" s="296"/>
    </row>
    <row r="189" spans="1:21" x14ac:dyDescent="0.2">
      <c r="B189" s="296"/>
      <c r="C189" s="296"/>
      <c r="D189" s="296"/>
      <c r="E189" s="296"/>
      <c r="F189" s="296"/>
      <c r="G189" s="296"/>
      <c r="H189" s="296"/>
      <c r="I189" s="296"/>
      <c r="J189" s="296"/>
      <c r="K189" s="296"/>
      <c r="L189" s="296"/>
      <c r="M189" s="296"/>
      <c r="N189" s="296"/>
      <c r="O189" s="296"/>
      <c r="P189" s="296"/>
      <c r="Q189" s="296"/>
      <c r="R189" s="296"/>
      <c r="S189" s="296"/>
      <c r="T189" s="296"/>
      <c r="U189" s="296"/>
    </row>
  </sheetData>
  <dataConsolidate/>
  <mergeCells count="171">
    <mergeCell ref="R70:S70"/>
    <mergeCell ref="A4:U4"/>
    <mergeCell ref="J125:K125"/>
    <mergeCell ref="J122:K122"/>
    <mergeCell ref="J116:K116"/>
    <mergeCell ref="R116:S116"/>
    <mergeCell ref="R119:S119"/>
    <mergeCell ref="R125:S125"/>
    <mergeCell ref="R113:S113"/>
    <mergeCell ref="R96:S96"/>
    <mergeCell ref="R64:S64"/>
    <mergeCell ref="R85:S85"/>
    <mergeCell ref="C17:F18"/>
    <mergeCell ref="J20:K20"/>
    <mergeCell ref="J29:K29"/>
    <mergeCell ref="N78:O78"/>
    <mergeCell ref="C11:D11"/>
    <mergeCell ref="C10:H10"/>
    <mergeCell ref="J14:K14"/>
    <mergeCell ref="N14:O14"/>
    <mergeCell ref="J22:K22"/>
    <mergeCell ref="N20:O20"/>
    <mergeCell ref="C13:H14"/>
    <mergeCell ref="J10:K10"/>
    <mergeCell ref="N10:O10"/>
    <mergeCell ref="C9:H9"/>
    <mergeCell ref="R10:S10"/>
    <mergeCell ref="F15:G15"/>
    <mergeCell ref="J15:K15"/>
    <mergeCell ref="N22:O22"/>
    <mergeCell ref="N15:O15"/>
    <mergeCell ref="J132:K132"/>
    <mergeCell ref="C81:G83"/>
    <mergeCell ref="N67:O67"/>
    <mergeCell ref="C29:G30"/>
    <mergeCell ref="R25:S25"/>
    <mergeCell ref="J93:K93"/>
    <mergeCell ref="J81:K81"/>
    <mergeCell ref="N81:O81"/>
    <mergeCell ref="R93:S93"/>
    <mergeCell ref="N128:O128"/>
    <mergeCell ref="J85:K85"/>
    <mergeCell ref="J96:K96"/>
    <mergeCell ref="C85:G86"/>
    <mergeCell ref="C103:G105"/>
    <mergeCell ref="C32:G34"/>
    <mergeCell ref="J107:K107"/>
    <mergeCell ref="N116:O116"/>
    <mergeCell ref="J36:K36"/>
    <mergeCell ref="C38:G40"/>
    <mergeCell ref="N53:O53"/>
    <mergeCell ref="N58:O58"/>
    <mergeCell ref="N36:O36"/>
    <mergeCell ref="J70:K70"/>
    <mergeCell ref="N70:O70"/>
    <mergeCell ref="J138:K138"/>
    <mergeCell ref="J128:K128"/>
    <mergeCell ref="J103:K103"/>
    <mergeCell ref="N113:O113"/>
    <mergeCell ref="N107:O107"/>
    <mergeCell ref="N131:O131"/>
    <mergeCell ref="J100:K100"/>
    <mergeCell ref="N96:O96"/>
    <mergeCell ref="N85:O85"/>
    <mergeCell ref="N122:O122"/>
    <mergeCell ref="N119:O119"/>
    <mergeCell ref="N42:O42"/>
    <mergeCell ref="N64:O64"/>
    <mergeCell ref="J73:K73"/>
    <mergeCell ref="N73:O73"/>
    <mergeCell ref="N93:O93"/>
    <mergeCell ref="J141:K141"/>
    <mergeCell ref="C169:G171"/>
    <mergeCell ref="C141:G143"/>
    <mergeCell ref="R145:S145"/>
    <mergeCell ref="N165:O165"/>
    <mergeCell ref="C145:G146"/>
    <mergeCell ref="C138:G139"/>
    <mergeCell ref="N141:O141"/>
    <mergeCell ref="N145:O145"/>
    <mergeCell ref="N153:O153"/>
    <mergeCell ref="N138:O138"/>
    <mergeCell ref="C150:L151"/>
    <mergeCell ref="J165:K165"/>
    <mergeCell ref="J156:K156"/>
    <mergeCell ref="N156:O156"/>
    <mergeCell ref="R156:S156"/>
    <mergeCell ref="N173:O173"/>
    <mergeCell ref="N181:O181"/>
    <mergeCell ref="R153:S153"/>
    <mergeCell ref="J173:K173"/>
    <mergeCell ref="J169:K169"/>
    <mergeCell ref="C165:G167"/>
    <mergeCell ref="C153:G153"/>
    <mergeCell ref="C159:G159"/>
    <mergeCell ref="J159:K159"/>
    <mergeCell ref="N159:O159"/>
    <mergeCell ref="R159:S159"/>
    <mergeCell ref="C162:G162"/>
    <mergeCell ref="J162:K162"/>
    <mergeCell ref="N162:O162"/>
    <mergeCell ref="R162:S162"/>
    <mergeCell ref="C156:G156"/>
    <mergeCell ref="C6:H6"/>
    <mergeCell ref="R15:S15"/>
    <mergeCell ref="C100:G101"/>
    <mergeCell ref="C107:G108"/>
    <mergeCell ref="J183:K183"/>
    <mergeCell ref="J180:K180"/>
    <mergeCell ref="N180:O180"/>
    <mergeCell ref="J113:K113"/>
    <mergeCell ref="N169:O169"/>
    <mergeCell ref="R107:S107"/>
    <mergeCell ref="N125:O125"/>
    <mergeCell ref="N103:O103"/>
    <mergeCell ref="N100:O100"/>
    <mergeCell ref="R128:S128"/>
    <mergeCell ref="R122:S122"/>
    <mergeCell ref="J153:K153"/>
    <mergeCell ref="C173:G175"/>
    <mergeCell ref="J145:K145"/>
    <mergeCell ref="R180:S180"/>
    <mergeCell ref="R181:S181"/>
    <mergeCell ref="J181:K181"/>
    <mergeCell ref="C181:H183"/>
    <mergeCell ref="R173:S173"/>
    <mergeCell ref="R14:S14"/>
    <mergeCell ref="A2:U2"/>
    <mergeCell ref="A3:U3"/>
    <mergeCell ref="C58:G59"/>
    <mergeCell ref="J119:K119"/>
    <mergeCell ref="R42:S42"/>
    <mergeCell ref="J32:K32"/>
    <mergeCell ref="N32:O32"/>
    <mergeCell ref="N47:O47"/>
    <mergeCell ref="J61:K61"/>
    <mergeCell ref="J55:K55"/>
    <mergeCell ref="N38:O38"/>
    <mergeCell ref="N55:O55"/>
    <mergeCell ref="R55:S55"/>
    <mergeCell ref="R58:S58"/>
    <mergeCell ref="R61:S61"/>
    <mergeCell ref="J47:K47"/>
    <mergeCell ref="J42:K42"/>
    <mergeCell ref="J78:K78"/>
    <mergeCell ref="N61:O61"/>
    <mergeCell ref="N25:O25"/>
    <mergeCell ref="C55:G56"/>
    <mergeCell ref="C78:G79"/>
    <mergeCell ref="J38:K38"/>
    <mergeCell ref="R73:S73"/>
    <mergeCell ref="R32:S32"/>
    <mergeCell ref="R67:S67"/>
    <mergeCell ref="R47:S47"/>
    <mergeCell ref="R53:S53"/>
    <mergeCell ref="J53:K53"/>
    <mergeCell ref="J67:K67"/>
    <mergeCell ref="J64:K64"/>
    <mergeCell ref="J58:K58"/>
    <mergeCell ref="N29:O29"/>
    <mergeCell ref="J11:K12"/>
    <mergeCell ref="J13:K13"/>
    <mergeCell ref="N13:O13"/>
    <mergeCell ref="R13:S13"/>
    <mergeCell ref="N11:O12"/>
    <mergeCell ref="R11:S12"/>
    <mergeCell ref="R9:S9"/>
    <mergeCell ref="R29:S29"/>
    <mergeCell ref="J9:K9"/>
    <mergeCell ref="N9:O9"/>
    <mergeCell ref="J25:K25"/>
  </mergeCells>
  <phoneticPr fontId="5" type="noConversion"/>
  <printOptions horizontalCentered="1"/>
  <pageMargins left="0.39370078740157483" right="0.39370078740157483" top="0.39370078740157483" bottom="0.39370078740157483" header="0.31496062992125984" footer="0.31496062992125984"/>
  <pageSetup paperSize="9" scale="67" fitToHeight="0" orientation="portrait" r:id="rId1"/>
  <headerFooter alignWithMargins="0"/>
  <rowBreaks count="2" manualBreakCount="2">
    <brk id="74" max="20" man="1"/>
    <brk id="133"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W80"/>
  <sheetViews>
    <sheetView showGridLines="0" zoomScale="90" zoomScaleNormal="90" workbookViewId="0"/>
  </sheetViews>
  <sheetFormatPr defaultColWidth="9.140625" defaultRowHeight="15" x14ac:dyDescent="0.2"/>
  <cols>
    <col min="1" max="2" width="1.7109375" style="37" customWidth="1"/>
    <col min="3" max="3" width="21.42578125" style="37" customWidth="1"/>
    <col min="4" max="4" width="11" style="37" customWidth="1"/>
    <col min="5" max="5" width="22.85546875" style="37" customWidth="1"/>
    <col min="6" max="6" width="5.7109375" style="37" customWidth="1"/>
    <col min="7" max="8" width="11.42578125" style="37" customWidth="1"/>
    <col min="9" max="10" width="2.7109375" style="37" customWidth="1"/>
    <col min="11" max="12" width="11.42578125" style="37" customWidth="1"/>
    <col min="13" max="14" width="2.7109375" style="37" customWidth="1"/>
    <col min="15" max="16" width="11.42578125" style="37" customWidth="1"/>
    <col min="17" max="18" width="1.7109375" style="37" customWidth="1"/>
    <col min="19" max="16384" width="9.140625" style="37"/>
  </cols>
  <sheetData>
    <row r="1" spans="1:18" x14ac:dyDescent="0.2">
      <c r="A1" s="73"/>
      <c r="B1" s="74"/>
      <c r="C1" s="74"/>
      <c r="D1" s="74"/>
      <c r="E1" s="74"/>
      <c r="F1" s="74"/>
      <c r="G1" s="74"/>
      <c r="H1" s="74"/>
      <c r="I1" s="74"/>
      <c r="J1" s="74"/>
      <c r="K1" s="74"/>
      <c r="L1" s="74"/>
      <c r="M1" s="74"/>
      <c r="N1" s="74"/>
      <c r="O1" s="74"/>
      <c r="P1" s="306"/>
      <c r="Q1" s="306"/>
      <c r="R1" s="75"/>
    </row>
    <row r="2" spans="1:18" ht="15.75" x14ac:dyDescent="0.25">
      <c r="A2" s="897" t="s">
        <v>654</v>
      </c>
      <c r="B2" s="937"/>
      <c r="C2" s="937"/>
      <c r="D2" s="937"/>
      <c r="E2" s="937"/>
      <c r="F2" s="937"/>
      <c r="G2" s="937"/>
      <c r="H2" s="937"/>
      <c r="I2" s="937"/>
      <c r="J2" s="937"/>
      <c r="K2" s="937"/>
      <c r="L2" s="937"/>
      <c r="M2" s="937"/>
      <c r="N2" s="937"/>
      <c r="O2" s="937"/>
      <c r="P2" s="937"/>
      <c r="Q2" s="937"/>
      <c r="R2" s="938"/>
    </row>
    <row r="3" spans="1:18" ht="15.75" x14ac:dyDescent="0.25">
      <c r="A3" s="897" t="s">
        <v>1577</v>
      </c>
      <c r="B3" s="939"/>
      <c r="C3" s="939"/>
      <c r="D3" s="939"/>
      <c r="E3" s="939"/>
      <c r="F3" s="939"/>
      <c r="G3" s="939"/>
      <c r="H3" s="939"/>
      <c r="I3" s="939"/>
      <c r="J3" s="939"/>
      <c r="K3" s="939"/>
      <c r="L3" s="939"/>
      <c r="M3" s="939"/>
      <c r="N3" s="939"/>
      <c r="O3" s="939"/>
      <c r="P3" s="939"/>
      <c r="Q3" s="939"/>
      <c r="R3" s="940"/>
    </row>
    <row r="4" spans="1:18" ht="15.75" x14ac:dyDescent="0.25">
      <c r="A4" s="300"/>
      <c r="B4" s="302"/>
      <c r="C4" s="302"/>
      <c r="D4" s="302"/>
      <c r="E4" s="302"/>
      <c r="F4" s="302"/>
      <c r="G4" s="302"/>
      <c r="H4" s="302"/>
      <c r="I4" s="302"/>
      <c r="J4" s="302"/>
      <c r="K4" s="302"/>
      <c r="L4" s="302"/>
      <c r="M4" s="302"/>
      <c r="N4" s="302"/>
      <c r="O4" s="302"/>
      <c r="P4" s="302"/>
      <c r="Q4" s="302"/>
      <c r="R4" s="303"/>
    </row>
    <row r="5" spans="1:18" ht="15.75" thickBot="1" x14ac:dyDescent="0.25">
      <c r="A5" s="76"/>
      <c r="B5" s="77"/>
      <c r="C5" s="77"/>
      <c r="D5" s="77"/>
      <c r="E5" s="77"/>
      <c r="F5" s="77"/>
      <c r="G5" s="77"/>
      <c r="H5" s="77"/>
      <c r="I5" s="77"/>
      <c r="J5" s="77"/>
      <c r="K5" s="77"/>
      <c r="L5" s="77"/>
      <c r="M5" s="77"/>
      <c r="N5" s="77"/>
      <c r="O5" s="325"/>
      <c r="P5" s="501"/>
      <c r="Q5" s="307"/>
      <c r="R5" s="78"/>
    </row>
    <row r="6" spans="1:18" x14ac:dyDescent="0.2">
      <c r="A6" s="23"/>
      <c r="B6" s="2"/>
      <c r="C6" s="1001"/>
      <c r="D6" s="1001"/>
      <c r="E6" s="1001"/>
      <c r="F6" s="1001"/>
      <c r="G6" s="1001"/>
      <c r="H6" s="2"/>
      <c r="I6" s="2"/>
      <c r="J6" s="2"/>
      <c r="K6" s="2"/>
      <c r="L6" s="2"/>
      <c r="M6" s="2"/>
      <c r="N6" s="2"/>
      <c r="O6" s="2"/>
      <c r="P6" s="2"/>
      <c r="Q6" s="2"/>
      <c r="R6" s="55"/>
    </row>
    <row r="7" spans="1:18" ht="18" x14ac:dyDescent="0.25">
      <c r="A7" s="45"/>
      <c r="B7" s="27"/>
      <c r="C7" s="79" t="str">
        <f>+CONCATENATE("Local Authority : ",+'Part 1'!L12)</f>
        <v>Local Authority : England</v>
      </c>
      <c r="D7" s="79"/>
      <c r="E7" s="308"/>
      <c r="F7" s="308"/>
      <c r="G7" s="308"/>
      <c r="H7" s="27"/>
      <c r="I7" s="27"/>
      <c r="J7" s="27"/>
      <c r="K7" s="27"/>
      <c r="L7" s="27"/>
      <c r="M7" s="27"/>
      <c r="N7" s="27"/>
      <c r="O7" s="27"/>
      <c r="P7" s="27"/>
      <c r="Q7" s="27"/>
      <c r="R7" s="28"/>
    </row>
    <row r="8" spans="1:18" ht="15.75" x14ac:dyDescent="0.25">
      <c r="A8" s="41"/>
      <c r="B8" s="308"/>
      <c r="C8" s="308"/>
      <c r="D8" s="308"/>
      <c r="E8" s="42"/>
      <c r="F8" s="44"/>
      <c r="G8" s="44"/>
      <c r="H8" s="44"/>
      <c r="I8" s="44"/>
      <c r="J8" s="27"/>
      <c r="K8" s="27"/>
      <c r="L8" s="27"/>
      <c r="M8" s="27"/>
      <c r="N8" s="27"/>
      <c r="O8" s="27"/>
      <c r="P8" s="27"/>
      <c r="Q8" s="27"/>
      <c r="R8" s="28"/>
    </row>
    <row r="9" spans="1:18" ht="15.75" x14ac:dyDescent="0.25">
      <c r="A9" s="41"/>
      <c r="B9" s="308"/>
      <c r="C9" s="304" t="s">
        <v>831</v>
      </c>
      <c r="D9" s="308"/>
      <c r="E9" s="42"/>
      <c r="F9" s="44"/>
      <c r="G9" s="44"/>
      <c r="H9" s="44"/>
      <c r="I9" s="44"/>
      <c r="J9" s="27"/>
      <c r="K9" s="1002"/>
      <c r="L9" s="1002"/>
      <c r="M9" s="1002"/>
      <c r="N9" s="27"/>
      <c r="O9" s="27"/>
      <c r="P9" s="27"/>
      <c r="Q9" s="27"/>
      <c r="R9" s="28"/>
    </row>
    <row r="10" spans="1:18" ht="15.75" customHeight="1" x14ac:dyDescent="0.25">
      <c r="A10" s="43"/>
      <c r="B10" s="42"/>
      <c r="C10" s="977"/>
      <c r="D10" s="977"/>
      <c r="E10" s="977"/>
      <c r="F10" s="310"/>
      <c r="G10" s="934" t="s">
        <v>629</v>
      </c>
      <c r="H10" s="934"/>
      <c r="I10" s="44"/>
      <c r="J10" s="378"/>
      <c r="K10" s="934" t="s">
        <v>630</v>
      </c>
      <c r="L10" s="934"/>
      <c r="M10" s="425"/>
      <c r="N10" s="309"/>
      <c r="O10" s="1006" t="s">
        <v>631</v>
      </c>
      <c r="P10" s="934"/>
      <c r="Q10" s="309"/>
      <c r="R10" s="28"/>
    </row>
    <row r="11" spans="1:18" ht="15.75" customHeight="1" x14ac:dyDescent="0.25">
      <c r="A11" s="43"/>
      <c r="B11" s="42"/>
      <c r="C11" s="42"/>
      <c r="D11" s="42"/>
      <c r="E11" s="42"/>
      <c r="F11" s="42"/>
      <c r="G11" s="1003" t="s">
        <v>790</v>
      </c>
      <c r="H11" s="931"/>
      <c r="I11" s="44"/>
      <c r="J11" s="379"/>
      <c r="K11" s="1004" t="s">
        <v>893</v>
      </c>
      <c r="L11" s="1005"/>
      <c r="M11" s="314"/>
      <c r="N11" s="315"/>
      <c r="O11" s="930" t="s">
        <v>33</v>
      </c>
      <c r="P11" s="931"/>
      <c r="Q11" s="315"/>
      <c r="R11" s="28"/>
    </row>
    <row r="12" spans="1:18" ht="34.5" customHeight="1" x14ac:dyDescent="0.25">
      <c r="A12" s="43"/>
      <c r="B12" s="42"/>
      <c r="C12" s="42"/>
      <c r="D12" s="42"/>
      <c r="E12" s="42"/>
      <c r="F12" s="42"/>
      <c r="G12" s="931"/>
      <c r="H12" s="931"/>
      <c r="I12" s="44"/>
      <c r="J12" s="379"/>
      <c r="K12" s="1005"/>
      <c r="L12" s="1005"/>
      <c r="M12" s="314"/>
      <c r="N12" s="315"/>
      <c r="O12" s="931"/>
      <c r="P12" s="931"/>
      <c r="Q12" s="27"/>
      <c r="R12" s="28"/>
    </row>
    <row r="13" spans="1:18" ht="30" customHeight="1" x14ac:dyDescent="0.25">
      <c r="A13" s="43"/>
      <c r="B13" s="42"/>
      <c r="C13" s="42"/>
      <c r="D13" s="42"/>
      <c r="E13" s="42"/>
      <c r="F13" s="42"/>
      <c r="G13" s="932"/>
      <c r="H13" s="932"/>
      <c r="I13" s="44"/>
      <c r="J13" s="204"/>
      <c r="K13" s="933"/>
      <c r="L13" s="933"/>
      <c r="M13" s="314"/>
      <c r="N13" s="204"/>
      <c r="O13" s="933"/>
      <c r="P13" s="933"/>
      <c r="Q13" s="27"/>
      <c r="R13" s="28"/>
    </row>
    <row r="14" spans="1:18" ht="16.5" thickBot="1" x14ac:dyDescent="0.3">
      <c r="A14" s="43"/>
      <c r="B14" s="308"/>
      <c r="C14" s="308" t="s">
        <v>643</v>
      </c>
      <c r="D14" s="308"/>
      <c r="E14" s="42"/>
      <c r="F14" s="42"/>
      <c r="G14" s="1016" t="s">
        <v>624</v>
      </c>
      <c r="H14" s="1016"/>
      <c r="I14" s="44"/>
      <c r="J14" s="27"/>
      <c r="K14" s="1016" t="s">
        <v>624</v>
      </c>
      <c r="L14" s="1016"/>
      <c r="M14" s="314"/>
      <c r="N14" s="157"/>
      <c r="O14" s="1017" t="s">
        <v>624</v>
      </c>
      <c r="P14" s="1017"/>
      <c r="Q14" s="157"/>
      <c r="R14" s="28"/>
    </row>
    <row r="15" spans="1:18" ht="16.5" thickBot="1" x14ac:dyDescent="0.3">
      <c r="A15" s="43"/>
      <c r="B15" s="42"/>
      <c r="C15" s="905" t="s">
        <v>670</v>
      </c>
      <c r="D15" s="1018"/>
      <c r="E15" s="1018"/>
      <c r="F15" s="42"/>
      <c r="G15" s="1020">
        <f>VLOOKUP('Part 1'!L13,DataSheet3!$B$8:$AR$322,5,FALSE)</f>
        <v>26813726333.962982</v>
      </c>
      <c r="H15" s="1021"/>
      <c r="I15" s="44"/>
      <c r="J15" s="63"/>
      <c r="K15" s="880">
        <f>VLOOKUP('Part 1'!L13,DataSheet3!$B$8:$AR$322,6,FALSE)</f>
        <v>301820040.5</v>
      </c>
      <c r="L15" s="881"/>
      <c r="M15" s="345"/>
      <c r="N15" s="145"/>
      <c r="O15" s="979">
        <f>VLOOKUP('Part 1'!L13,DataSheet3!$B$8:$AR$322,7,FALSE)</f>
        <v>27115546374.462982</v>
      </c>
      <c r="P15" s="980"/>
      <c r="Q15" s="160"/>
      <c r="R15" s="55"/>
    </row>
    <row r="16" spans="1:18" ht="15.75" x14ac:dyDescent="0.25">
      <c r="A16" s="43"/>
      <c r="B16" s="42"/>
      <c r="C16" s="1018"/>
      <c r="D16" s="1018"/>
      <c r="E16" s="1018"/>
      <c r="F16" s="42"/>
      <c r="G16" s="63"/>
      <c r="H16" s="63"/>
      <c r="I16" s="44"/>
      <c r="J16" s="295"/>
      <c r="K16" s="295"/>
      <c r="L16" s="295"/>
      <c r="M16" s="295"/>
      <c r="N16" s="145"/>
      <c r="O16" s="145"/>
      <c r="P16" s="145"/>
      <c r="Q16" s="157"/>
      <c r="R16" s="28"/>
    </row>
    <row r="17" spans="1:18" ht="15.75" customHeight="1" x14ac:dyDescent="0.25">
      <c r="A17" s="43"/>
      <c r="B17" s="42"/>
      <c r="C17" s="1019"/>
      <c r="D17" s="1019"/>
      <c r="E17" s="1019"/>
      <c r="F17" s="42"/>
      <c r="G17" s="294"/>
      <c r="H17" s="294"/>
      <c r="I17" s="294"/>
      <c r="J17" s="295"/>
      <c r="K17" s="295"/>
      <c r="L17" s="295"/>
      <c r="M17" s="295"/>
      <c r="N17" s="145"/>
      <c r="O17" s="145"/>
      <c r="P17" s="145"/>
      <c r="Q17" s="157"/>
      <c r="R17" s="28"/>
    </row>
    <row r="18" spans="1:18" ht="15.75" x14ac:dyDescent="0.25">
      <c r="A18" s="43"/>
      <c r="B18" s="42"/>
      <c r="C18" s="236"/>
      <c r="D18" s="42"/>
      <c r="E18" s="42"/>
      <c r="F18" s="42"/>
      <c r="G18" s="293"/>
      <c r="H18" s="293"/>
      <c r="I18" s="44"/>
      <c r="J18" s="295"/>
      <c r="K18" s="295"/>
      <c r="L18" s="295"/>
      <c r="M18" s="295"/>
      <c r="N18" s="145"/>
      <c r="O18" s="145"/>
      <c r="P18" s="145"/>
      <c r="Q18" s="157"/>
      <c r="R18" s="28"/>
    </row>
    <row r="19" spans="1:18" ht="16.5" thickBot="1" x14ac:dyDescent="0.3">
      <c r="A19" s="43"/>
      <c r="B19" s="44"/>
      <c r="C19" s="44" t="s">
        <v>658</v>
      </c>
      <c r="D19" s="42"/>
      <c r="E19" s="42"/>
      <c r="F19" s="42"/>
      <c r="G19" s="63"/>
      <c r="H19" s="63"/>
      <c r="I19" s="44"/>
      <c r="J19" s="63"/>
      <c r="K19" s="63"/>
      <c r="L19" s="63"/>
      <c r="M19" s="314"/>
      <c r="N19" s="145"/>
      <c r="O19" s="145"/>
      <c r="P19" s="145"/>
      <c r="Q19" s="157"/>
      <c r="R19" s="28"/>
    </row>
    <row r="20" spans="1:18" ht="16.5" thickBot="1" x14ac:dyDescent="0.3">
      <c r="A20" s="43"/>
      <c r="B20" s="42"/>
      <c r="C20" s="905" t="s">
        <v>1614</v>
      </c>
      <c r="D20" s="905"/>
      <c r="E20" s="905"/>
      <c r="F20" s="42"/>
      <c r="G20" s="878">
        <f>VLOOKUP('Part 1'!L13,DataSheet3!$B$8:$AR$322,8,FALSE)</f>
        <v>-262456756.32800001</v>
      </c>
      <c r="H20" s="879"/>
      <c r="I20" s="44"/>
      <c r="J20" s="63"/>
      <c r="K20" s="880">
        <f>VLOOKUP('Part 1'!L13,DataSheet3!$B$8:$AR$322,9,FALSE)</f>
        <v>-3746597.81</v>
      </c>
      <c r="L20" s="881"/>
      <c r="M20" s="314"/>
      <c r="N20" s="145"/>
      <c r="O20" s="979">
        <f>VLOOKUP('Part 1'!L13,DataSheet3!$B$8:$AR$322,10,FALSE)</f>
        <v>-266203354.13800001</v>
      </c>
      <c r="P20" s="980"/>
      <c r="Q20" s="160"/>
      <c r="R20" s="55"/>
    </row>
    <row r="21" spans="1:18" ht="15.75" x14ac:dyDescent="0.25">
      <c r="A21" s="43"/>
      <c r="B21" s="42"/>
      <c r="C21" s="905"/>
      <c r="D21" s="905"/>
      <c r="E21" s="905"/>
      <c r="F21" s="42"/>
      <c r="G21" s="63"/>
      <c r="H21" s="63"/>
      <c r="I21" s="44"/>
      <c r="J21" s="63"/>
      <c r="K21" s="63"/>
      <c r="L21" s="63"/>
      <c r="M21" s="314"/>
      <c r="N21" s="145"/>
      <c r="O21" s="145"/>
      <c r="P21" s="145"/>
      <c r="Q21" s="157"/>
      <c r="R21" s="28"/>
    </row>
    <row r="22" spans="1:18" ht="16.5" thickBot="1" x14ac:dyDescent="0.3">
      <c r="A22" s="43"/>
      <c r="B22" s="42"/>
      <c r="C22" s="305"/>
      <c r="D22" s="305"/>
      <c r="E22" s="305"/>
      <c r="F22" s="42"/>
      <c r="G22" s="63"/>
      <c r="H22" s="63"/>
      <c r="I22" s="44"/>
      <c r="J22" s="63"/>
      <c r="K22" s="63"/>
      <c r="L22" s="63"/>
      <c r="M22" s="314"/>
      <c r="N22" s="145"/>
      <c r="O22" s="145"/>
      <c r="P22" s="145"/>
      <c r="Q22" s="157"/>
      <c r="R22" s="28"/>
    </row>
    <row r="23" spans="1:18" ht="16.5" customHeight="1" thickBot="1" x14ac:dyDescent="0.3">
      <c r="A23" s="43"/>
      <c r="B23" s="42"/>
      <c r="C23" s="905" t="s">
        <v>1615</v>
      </c>
      <c r="D23" s="905"/>
      <c r="E23" s="905"/>
      <c r="F23" s="42"/>
      <c r="G23" s="878">
        <f>VLOOKUP('Part 1'!L13,DataSheet3!$B$8:$AR$322,11,FALSE)</f>
        <v>-916195752</v>
      </c>
      <c r="H23" s="879"/>
      <c r="I23" s="44"/>
      <c r="J23" s="63"/>
      <c r="K23" s="880">
        <f>VLOOKUP('Part 1'!L13,DataSheet3!$B$8:$AR$322,12,FALSE)</f>
        <v>-10734817</v>
      </c>
      <c r="L23" s="881"/>
      <c r="M23" s="314"/>
      <c r="N23" s="145"/>
      <c r="O23" s="979">
        <f>VLOOKUP('Part 1'!L13,DataSheet3!$B$8:$AR$322,13,FALSE)</f>
        <v>-926930569</v>
      </c>
      <c r="P23" s="980"/>
      <c r="Q23" s="160"/>
      <c r="R23" s="55"/>
    </row>
    <row r="24" spans="1:18" ht="15.75" x14ac:dyDescent="0.25">
      <c r="A24" s="43"/>
      <c r="B24" s="42"/>
      <c r="C24" s="905"/>
      <c r="D24" s="905"/>
      <c r="E24" s="905"/>
      <c r="F24" s="42"/>
      <c r="G24" s="64"/>
      <c r="H24" s="64"/>
      <c r="I24" s="44"/>
      <c r="J24" s="63"/>
      <c r="K24" s="64"/>
      <c r="L24" s="64"/>
      <c r="M24" s="314"/>
      <c r="N24" s="145"/>
      <c r="O24" s="311"/>
      <c r="P24" s="145"/>
      <c r="Q24" s="160"/>
      <c r="R24" s="28"/>
    </row>
    <row r="25" spans="1:18" ht="16.5" thickBot="1" x14ac:dyDescent="0.25">
      <c r="A25" s="43"/>
      <c r="B25" s="42"/>
      <c r="C25" s="301"/>
      <c r="D25" s="301"/>
      <c r="E25" s="301"/>
      <c r="F25" s="42"/>
      <c r="G25" s="64"/>
      <c r="H25" s="64"/>
      <c r="I25" s="408"/>
      <c r="J25" s="408"/>
      <c r="K25" s="64"/>
      <c r="L25" s="64"/>
      <c r="M25" s="64"/>
      <c r="N25" s="145"/>
      <c r="O25" s="311"/>
      <c r="P25" s="145"/>
      <c r="Q25" s="160"/>
      <c r="R25" s="28"/>
    </row>
    <row r="26" spans="1:18" ht="15.75" x14ac:dyDescent="0.2">
      <c r="A26" s="43"/>
      <c r="B26" s="136"/>
      <c r="C26" s="137"/>
      <c r="D26" s="137"/>
      <c r="E26" s="137"/>
      <c r="F26" s="138"/>
      <c r="G26" s="139"/>
      <c r="H26" s="139"/>
      <c r="I26" s="409"/>
      <c r="J26" s="263"/>
      <c r="K26" s="139"/>
      <c r="L26" s="139"/>
      <c r="M26" s="139"/>
      <c r="N26" s="259"/>
      <c r="O26" s="147"/>
      <c r="P26" s="148"/>
      <c r="Q26" s="161"/>
      <c r="R26" s="28"/>
    </row>
    <row r="27" spans="1:18" ht="16.5" thickBot="1" x14ac:dyDescent="0.3">
      <c r="A27" s="43"/>
      <c r="B27" s="140"/>
      <c r="C27" s="44" t="s">
        <v>556</v>
      </c>
      <c r="D27" s="42"/>
      <c r="E27" s="42"/>
      <c r="F27" s="42"/>
      <c r="G27" s="63"/>
      <c r="H27" s="63"/>
      <c r="I27" s="44"/>
      <c r="J27" s="415"/>
      <c r="K27" s="63"/>
      <c r="L27" s="63"/>
      <c r="M27" s="314"/>
      <c r="N27" s="260"/>
      <c r="O27" s="145"/>
      <c r="P27" s="145"/>
      <c r="Q27" s="162"/>
      <c r="R27" s="28"/>
    </row>
    <row r="28" spans="1:18" ht="16.5" thickBot="1" x14ac:dyDescent="0.3">
      <c r="A28" s="43"/>
      <c r="B28" s="141"/>
      <c r="C28" s="282" t="s">
        <v>664</v>
      </c>
      <c r="D28" s="42"/>
      <c r="E28" s="42"/>
      <c r="F28" s="42"/>
      <c r="G28" s="1011">
        <f>VLOOKUP('Part 1'!L13,DataSheet3!$B$8:$AR$322,14,FALSE)</f>
        <v>25635073825.634983</v>
      </c>
      <c r="H28" s="1012"/>
      <c r="I28" s="44"/>
      <c r="J28" s="415"/>
      <c r="K28" s="1011">
        <f>VLOOKUP('Part 1'!L13,DataSheet3!$B$8:$AR$322,15,FALSE)</f>
        <v>287338625.69</v>
      </c>
      <c r="L28" s="1012"/>
      <c r="M28" s="314"/>
      <c r="N28" s="260"/>
      <c r="O28" s="979">
        <f>VLOOKUP('Part 1'!L13,DataSheet3!$B$8:$AR$322,16,FALSE)</f>
        <v>25922412451.324982</v>
      </c>
      <c r="P28" s="980"/>
      <c r="Q28" s="162"/>
      <c r="R28" s="55"/>
    </row>
    <row r="29" spans="1:18" ht="16.5" thickBot="1" x14ac:dyDescent="0.25">
      <c r="A29" s="43"/>
      <c r="B29" s="142"/>
      <c r="C29" s="143"/>
      <c r="D29" s="143"/>
      <c r="E29" s="143"/>
      <c r="F29" s="143"/>
      <c r="G29" s="144"/>
      <c r="H29" s="144"/>
      <c r="I29" s="408"/>
      <c r="J29" s="262"/>
      <c r="K29" s="144"/>
      <c r="L29" s="144"/>
      <c r="M29" s="144"/>
      <c r="N29" s="261"/>
      <c r="O29" s="149"/>
      <c r="P29" s="149"/>
      <c r="Q29" s="163"/>
      <c r="R29" s="28"/>
    </row>
    <row r="30" spans="1:18" ht="15.75" x14ac:dyDescent="0.25">
      <c r="A30" s="43"/>
      <c r="B30" s="42"/>
      <c r="C30" s="42"/>
      <c r="D30" s="42"/>
      <c r="E30" s="42"/>
      <c r="F30" s="42"/>
      <c r="G30" s="63"/>
      <c r="H30" s="63"/>
      <c r="I30" s="409"/>
      <c r="J30" s="409"/>
      <c r="K30" s="63"/>
      <c r="L30" s="63"/>
      <c r="M30" s="314"/>
      <c r="N30" s="145"/>
      <c r="O30" s="145"/>
      <c r="P30" s="145"/>
      <c r="Q30" s="157"/>
      <c r="R30" s="28"/>
    </row>
    <row r="31" spans="1:18" ht="15" customHeight="1" x14ac:dyDescent="0.25">
      <c r="A31" s="43"/>
      <c r="B31" s="42"/>
      <c r="C31" s="44"/>
      <c r="D31" s="42"/>
      <c r="E31" s="930"/>
      <c r="F31" s="42"/>
      <c r="G31" s="63"/>
      <c r="H31" s="63"/>
      <c r="I31" s="44"/>
      <c r="J31" s="63"/>
      <c r="K31" s="63"/>
      <c r="L31" s="63"/>
      <c r="M31" s="314"/>
      <c r="N31" s="416"/>
      <c r="O31" s="205"/>
      <c r="P31" s="205"/>
      <c r="Q31" s="157"/>
      <c r="R31" s="28"/>
    </row>
    <row r="32" spans="1:18" ht="15" customHeight="1" thickBot="1" x14ac:dyDescent="0.3">
      <c r="A32" s="43"/>
      <c r="B32" s="42"/>
      <c r="C32" s="16" t="s">
        <v>863</v>
      </c>
      <c r="D32" s="42"/>
      <c r="E32" s="931"/>
      <c r="F32" s="42"/>
      <c r="G32" s="63"/>
      <c r="H32" s="63"/>
      <c r="I32" s="44"/>
      <c r="J32" s="63"/>
      <c r="K32" s="63"/>
      <c r="L32" s="63"/>
      <c r="M32" s="314"/>
      <c r="N32" s="145"/>
      <c r="O32" s="1013"/>
      <c r="P32" s="1013"/>
      <c r="Q32" s="157"/>
      <c r="R32" s="28"/>
    </row>
    <row r="33" spans="1:18" ht="16.5" thickBot="1" x14ac:dyDescent="0.3">
      <c r="A33" s="43"/>
      <c r="B33" s="27"/>
      <c r="C33" s="10" t="s">
        <v>254</v>
      </c>
      <c r="D33" s="27"/>
      <c r="E33" s="930"/>
      <c r="F33" s="42"/>
      <c r="G33" s="878">
        <f>VLOOKUP('Part 1'!L13,DataSheet3!$B$8:$AR$322,17,FALSE)</f>
        <v>70761382</v>
      </c>
      <c r="H33" s="879"/>
      <c r="I33" s="44"/>
      <c r="J33" s="63"/>
      <c r="K33" s="880">
        <f>VLOOKUP('Part 1'!L13,DataSheet3!$B$8:$AR$322,18,FALSE)</f>
        <v>1876716</v>
      </c>
      <c r="L33" s="881"/>
      <c r="M33" s="314"/>
      <c r="N33" s="145"/>
      <c r="O33" s="979">
        <f>VLOOKUP('Part 1'!L13,DataSheet3!$B$8:$AR$322,19,FALSE)</f>
        <v>72638098</v>
      </c>
      <c r="P33" s="980"/>
      <c r="Q33" s="160"/>
      <c r="R33" s="55"/>
    </row>
    <row r="34" spans="1:18" ht="16.5" thickBot="1" x14ac:dyDescent="0.3">
      <c r="A34" s="43"/>
      <c r="B34" s="27"/>
      <c r="C34" s="27"/>
      <c r="D34" s="27"/>
      <c r="E34" s="931"/>
      <c r="F34" s="42"/>
      <c r="G34" s="42"/>
      <c r="H34" s="42"/>
      <c r="I34" s="44"/>
      <c r="J34" s="63"/>
      <c r="K34" s="63"/>
      <c r="L34" s="63"/>
      <c r="M34" s="314"/>
      <c r="N34" s="145"/>
      <c r="O34" s="145"/>
      <c r="P34" s="145"/>
      <c r="Q34" s="157"/>
      <c r="R34" s="28"/>
    </row>
    <row r="35" spans="1:18" ht="16.5" thickBot="1" x14ac:dyDescent="0.3">
      <c r="A35" s="43"/>
      <c r="B35" s="27"/>
      <c r="C35" s="10" t="s">
        <v>1158</v>
      </c>
      <c r="D35" s="27"/>
      <c r="E35" s="27"/>
      <c r="F35" s="42"/>
      <c r="G35" s="878">
        <f>VLOOKUP('Part 1'!L13,DataSheet3!$B$8:$AR$322,20,FALSE)</f>
        <v>26368</v>
      </c>
      <c r="H35" s="879"/>
      <c r="I35" s="44"/>
      <c r="J35" s="63"/>
      <c r="K35" s="880">
        <f>VLOOKUP('Part 1'!L13,DataSheet3!$B$8:$AR$322,21,FALSE)</f>
        <v>0</v>
      </c>
      <c r="L35" s="881"/>
      <c r="M35" s="510"/>
      <c r="N35" s="145"/>
      <c r="O35" s="979">
        <f>VLOOKUP('Part 1'!L13,DataSheet3!$B$8:$AR$322,22,FALSE)</f>
        <v>26368</v>
      </c>
      <c r="P35" s="980"/>
      <c r="Q35" s="157"/>
      <c r="R35" s="520"/>
    </row>
    <row r="36" spans="1:18" ht="16.5" thickBot="1" x14ac:dyDescent="0.3">
      <c r="A36" s="43"/>
      <c r="B36" s="27"/>
      <c r="C36" s="27"/>
      <c r="D36" s="27"/>
      <c r="E36" s="27"/>
      <c r="F36" s="42"/>
      <c r="G36" s="42"/>
      <c r="H36" s="42"/>
      <c r="I36" s="44"/>
      <c r="J36" s="63"/>
      <c r="K36" s="63"/>
      <c r="L36" s="63"/>
      <c r="M36" s="510"/>
      <c r="N36" s="145"/>
      <c r="O36" s="145"/>
      <c r="P36" s="145"/>
      <c r="Q36" s="157"/>
      <c r="R36" s="520"/>
    </row>
    <row r="37" spans="1:18" ht="16.5" thickBot="1" x14ac:dyDescent="0.3">
      <c r="A37" s="43"/>
      <c r="B37" s="27"/>
      <c r="C37" s="10" t="s">
        <v>1150</v>
      </c>
      <c r="D37" s="27"/>
      <c r="E37" s="42"/>
      <c r="F37" s="27"/>
      <c r="G37" s="42"/>
      <c r="H37" s="42"/>
      <c r="I37" s="44"/>
      <c r="J37" s="63"/>
      <c r="K37" s="880">
        <f>VLOOKUP('Part 1'!L13,DataSheet3!$B$8:$AR$322,23,FALSE)</f>
        <v>-1294480</v>
      </c>
      <c r="L37" s="881"/>
      <c r="M37" s="314"/>
      <c r="N37" s="145"/>
      <c r="O37" s="1013"/>
      <c r="P37" s="1013"/>
      <c r="Q37" s="157"/>
      <c r="R37" s="28"/>
    </row>
    <row r="38" spans="1:18" ht="15.75" customHeight="1" thickBot="1" x14ac:dyDescent="0.3">
      <c r="A38" s="43"/>
      <c r="B38" s="27"/>
      <c r="C38" s="236"/>
      <c r="D38" s="236"/>
      <c r="E38" s="312"/>
      <c r="F38" s="236"/>
      <c r="G38" s="42"/>
      <c r="H38" s="42"/>
      <c r="I38" s="44"/>
      <c r="J38" s="236"/>
      <c r="K38" s="236"/>
      <c r="L38" s="236"/>
      <c r="M38" s="314"/>
      <c r="N38" s="145"/>
      <c r="O38" s="145"/>
      <c r="P38" s="145"/>
      <c r="Q38" s="157"/>
      <c r="R38" s="28"/>
    </row>
    <row r="39" spans="1:18" ht="16.5" thickBot="1" x14ac:dyDescent="0.3">
      <c r="A39" s="45"/>
      <c r="B39" s="27"/>
      <c r="C39" s="10" t="s">
        <v>1151</v>
      </c>
      <c r="D39" s="27"/>
      <c r="E39" s="27"/>
      <c r="F39" s="27"/>
      <c r="G39" s="42"/>
      <c r="H39" s="42"/>
      <c r="I39" s="42"/>
      <c r="J39" s="63"/>
      <c r="K39" s="1014">
        <f>VLOOKUP('Part 1'!L13,DataSheet3!$B$8:$AR$322,24,FALSE)</f>
        <v>217498586</v>
      </c>
      <c r="L39" s="1015"/>
      <c r="M39" s="314"/>
      <c r="N39" s="145"/>
      <c r="O39" s="145"/>
      <c r="P39" s="145"/>
      <c r="Q39" s="157"/>
      <c r="R39" s="28"/>
    </row>
    <row r="40" spans="1:18" ht="16.5" thickBot="1" x14ac:dyDescent="0.25">
      <c r="A40" s="45"/>
      <c r="B40" s="27"/>
      <c r="C40" s="27"/>
      <c r="D40" s="27"/>
      <c r="E40" s="27"/>
      <c r="F40" s="27"/>
      <c r="G40" s="63"/>
      <c r="H40" s="63"/>
      <c r="I40" s="63"/>
      <c r="J40" s="63"/>
      <c r="K40" s="64"/>
      <c r="L40" s="63"/>
      <c r="M40" s="63"/>
      <c r="N40" s="145"/>
      <c r="O40" s="145"/>
      <c r="P40" s="145"/>
      <c r="Q40" s="157"/>
      <c r="R40" s="28"/>
    </row>
    <row r="41" spans="1:18" x14ac:dyDescent="0.2">
      <c r="A41" s="45"/>
      <c r="B41" s="38"/>
      <c r="C41" s="31"/>
      <c r="D41" s="31"/>
      <c r="E41" s="31"/>
      <c r="F41" s="31"/>
      <c r="G41" s="70"/>
      <c r="H41" s="70"/>
      <c r="I41" s="410"/>
      <c r="J41" s="414"/>
      <c r="K41" s="70"/>
      <c r="L41" s="70"/>
      <c r="M41" s="70"/>
      <c r="N41" s="148"/>
      <c r="O41" s="981"/>
      <c r="P41" s="982"/>
      <c r="Q41" s="164"/>
      <c r="R41" s="28"/>
    </row>
    <row r="42" spans="1:18" ht="16.5" thickBot="1" x14ac:dyDescent="0.3">
      <c r="A42" s="45"/>
      <c r="B42" s="39"/>
      <c r="C42" s="33" t="s">
        <v>663</v>
      </c>
      <c r="D42" s="34"/>
      <c r="E42" s="34"/>
      <c r="F42" s="34"/>
      <c r="G42" s="991"/>
      <c r="H42" s="991"/>
      <c r="I42" s="313"/>
      <c r="J42" s="257"/>
      <c r="K42" s="991"/>
      <c r="L42" s="991"/>
      <c r="M42" s="313"/>
      <c r="N42" s="255"/>
      <c r="O42" s="983"/>
      <c r="P42" s="983"/>
      <c r="Q42" s="162"/>
      <c r="R42" s="28"/>
    </row>
    <row r="43" spans="1:18" ht="16.5" thickBot="1" x14ac:dyDescent="0.25">
      <c r="A43" s="45"/>
      <c r="B43" s="39"/>
      <c r="C43" s="8" t="s">
        <v>1152</v>
      </c>
      <c r="D43" s="34"/>
      <c r="E43" s="34"/>
      <c r="F43" s="34"/>
      <c r="G43" s="207"/>
      <c r="H43" s="207"/>
      <c r="I43" s="207"/>
      <c r="J43" s="258"/>
      <c r="K43" s="1011">
        <f>VLOOKUP('Part 1'!L13,DataSheet3!$B$8:$AR$322,25,FALSE)</f>
        <v>88279269.349999994</v>
      </c>
      <c r="L43" s="1012"/>
      <c r="M43" s="71"/>
      <c r="N43" s="145"/>
      <c r="O43" s="999">
        <f>VLOOKUP('Part 1'!L13,DataSheet3!$B$8:$AR$322,26,FALSE)</f>
        <v>88279269.349999994</v>
      </c>
      <c r="P43" s="1000"/>
      <c r="Q43" s="162"/>
      <c r="R43" s="55"/>
    </row>
    <row r="44" spans="1:18" ht="15.75" thickBot="1" x14ac:dyDescent="0.25">
      <c r="A44" s="45"/>
      <c r="B44" s="40"/>
      <c r="C44" s="36"/>
      <c r="D44" s="36"/>
      <c r="E44" s="36"/>
      <c r="F44" s="36"/>
      <c r="G44" s="36"/>
      <c r="H44" s="36"/>
      <c r="I44" s="36"/>
      <c r="J44" s="40"/>
      <c r="K44" s="36"/>
      <c r="L44" s="36"/>
      <c r="M44" s="36"/>
      <c r="N44" s="173"/>
      <c r="O44" s="173"/>
      <c r="P44" s="173"/>
      <c r="Q44" s="163"/>
      <c r="R44" s="28"/>
    </row>
    <row r="45" spans="1:18" x14ac:dyDescent="0.2">
      <c r="A45" s="45"/>
      <c r="B45" s="321"/>
      <c r="C45" s="321"/>
      <c r="D45" s="321"/>
      <c r="E45" s="321"/>
      <c r="F45" s="321"/>
      <c r="G45" s="321"/>
      <c r="H45" s="321"/>
      <c r="I45" s="411"/>
      <c r="J45" s="321"/>
      <c r="K45" s="321"/>
      <c r="L45" s="321"/>
      <c r="M45" s="321"/>
      <c r="N45" s="417"/>
      <c r="O45" s="157"/>
      <c r="P45" s="157"/>
      <c r="Q45" s="157"/>
      <c r="R45" s="28"/>
    </row>
    <row r="46" spans="1:18" ht="15.75" x14ac:dyDescent="0.25">
      <c r="A46" s="45"/>
      <c r="B46" s="321"/>
      <c r="C46" s="348" t="s">
        <v>1106</v>
      </c>
      <c r="D46" s="321"/>
      <c r="E46" s="321"/>
      <c r="F46" s="321"/>
      <c r="G46" s="321"/>
      <c r="H46" s="321"/>
      <c r="I46" s="321"/>
      <c r="J46" s="321"/>
      <c r="K46" s="321"/>
      <c r="L46" s="321"/>
      <c r="M46" s="321"/>
      <c r="N46" s="157"/>
      <c r="O46" s="157"/>
      <c r="P46" s="157"/>
      <c r="Q46" s="157"/>
      <c r="R46" s="28"/>
    </row>
    <row r="47" spans="1:18" ht="15.75" thickBot="1" x14ac:dyDescent="0.25">
      <c r="A47" s="45"/>
      <c r="B47" s="321"/>
      <c r="C47" s="321"/>
      <c r="D47" s="321"/>
      <c r="E47" s="321"/>
      <c r="F47" s="321"/>
      <c r="G47" s="321"/>
      <c r="H47" s="321"/>
      <c r="I47" s="321"/>
      <c r="J47" s="321"/>
      <c r="K47" s="321"/>
      <c r="L47" s="321"/>
      <c r="M47" s="321"/>
      <c r="N47" s="157"/>
      <c r="O47" s="157"/>
      <c r="P47" s="157"/>
      <c r="Q47" s="157"/>
      <c r="R47" s="28"/>
    </row>
    <row r="48" spans="1:18" ht="16.5" thickBot="1" x14ac:dyDescent="0.3">
      <c r="A48" s="45"/>
      <c r="B48" s="321"/>
      <c r="C48" s="10" t="s">
        <v>1153</v>
      </c>
      <c r="D48" s="321"/>
      <c r="E48" s="321"/>
      <c r="F48" s="321"/>
      <c r="G48" s="880">
        <f>VLOOKUP('Part 1'!L13,DataSheet3!$B$8:$AR$322,27,FALSE)</f>
        <v>210670</v>
      </c>
      <c r="H48" s="881"/>
      <c r="I48" s="44"/>
      <c r="J48" s="321"/>
      <c r="K48" s="880">
        <f>VLOOKUP('Part 1'!L13,DataSheet3!$B$8:$AR$322,28,FALSE)</f>
        <v>4401955</v>
      </c>
      <c r="L48" s="881"/>
      <c r="M48" s="321"/>
      <c r="N48" s="145"/>
      <c r="O48" s="979">
        <f>VLOOKUP('Part 1'!L13,DataSheet3!$B$8:$AR$322,29,FALSE)</f>
        <v>4612625</v>
      </c>
      <c r="P48" s="980"/>
      <c r="Q48" s="157"/>
      <c r="R48" s="55"/>
    </row>
    <row r="49" spans="1:18" ht="15.75" x14ac:dyDescent="0.25">
      <c r="A49" s="45"/>
      <c r="B49" s="321"/>
      <c r="C49" s="159"/>
      <c r="D49" s="321"/>
      <c r="E49" s="321"/>
      <c r="F49" s="321"/>
      <c r="G49" s="321"/>
      <c r="H49" s="321"/>
      <c r="I49" s="44"/>
      <c r="J49" s="321"/>
      <c r="K49" s="321"/>
      <c r="L49" s="321"/>
      <c r="M49" s="321"/>
      <c r="N49" s="145"/>
      <c r="O49" s="377"/>
      <c r="P49" s="377"/>
      <c r="Q49" s="157"/>
      <c r="R49" s="28"/>
    </row>
    <row r="50" spans="1:18" x14ac:dyDescent="0.2">
      <c r="A50" s="45"/>
      <c r="B50" s="321"/>
      <c r="C50" s="321"/>
      <c r="D50" s="321"/>
      <c r="E50" s="321"/>
      <c r="F50" s="321"/>
      <c r="G50" s="321"/>
      <c r="H50" s="321"/>
      <c r="I50" s="321"/>
      <c r="J50" s="321"/>
      <c r="K50" s="321"/>
      <c r="L50" s="321"/>
      <c r="M50" s="321"/>
      <c r="N50" s="157"/>
      <c r="O50" s="157"/>
      <c r="P50" s="157"/>
      <c r="Q50" s="157"/>
      <c r="R50" s="28"/>
    </row>
    <row r="51" spans="1:18" ht="15.75" x14ac:dyDescent="0.25">
      <c r="A51" s="45"/>
      <c r="B51" s="321"/>
      <c r="C51" s="348" t="s">
        <v>864</v>
      </c>
      <c r="D51" s="321"/>
      <c r="E51" s="321"/>
      <c r="F51" s="321"/>
      <c r="G51" s="321"/>
      <c r="H51" s="321"/>
      <c r="I51" s="321"/>
      <c r="J51" s="321"/>
      <c r="K51" s="321"/>
      <c r="L51" s="321"/>
      <c r="M51" s="321"/>
      <c r="N51" s="157"/>
      <c r="O51" s="157"/>
      <c r="P51" s="157"/>
      <c r="Q51" s="157"/>
      <c r="R51" s="28"/>
    </row>
    <row r="52" spans="1:18" ht="16.5" thickBot="1" x14ac:dyDescent="0.3">
      <c r="A52" s="45"/>
      <c r="B52" s="321"/>
      <c r="C52" s="348"/>
      <c r="D52" s="321"/>
      <c r="E52" s="321"/>
      <c r="F52" s="321"/>
      <c r="G52" s="321"/>
      <c r="H52" s="321"/>
      <c r="I52" s="321"/>
      <c r="J52" s="321"/>
      <c r="K52" s="321"/>
      <c r="L52" s="321"/>
      <c r="M52" s="321"/>
      <c r="N52" s="157"/>
      <c r="O52" s="157"/>
      <c r="P52" s="157"/>
      <c r="Q52" s="157"/>
      <c r="R52" s="28"/>
    </row>
    <row r="53" spans="1:18" ht="16.5" thickBot="1" x14ac:dyDescent="0.3">
      <c r="A53" s="45"/>
      <c r="B53" s="321"/>
      <c r="C53" s="1072" t="s">
        <v>1994</v>
      </c>
      <c r="D53" s="321"/>
      <c r="E53" s="321"/>
      <c r="F53" s="321"/>
      <c r="G53" s="1007">
        <f>VLOOKUP('Part 1'!L13,DataSheet3!$B$8:$AR$322,30,FALSE)</f>
        <v>860077</v>
      </c>
      <c r="H53" s="1008"/>
      <c r="I53" s="412"/>
      <c r="J53" s="321"/>
      <c r="K53" s="1009">
        <f>VLOOKUP('Part 1'!L13,DataSheet3!$B$8:$AR$322,31,FALSE)</f>
        <v>10106434</v>
      </c>
      <c r="L53" s="1010"/>
      <c r="M53" s="321"/>
      <c r="N53" s="157"/>
      <c r="O53" s="994">
        <f>VLOOKUP('Part 1'!L13,DataSheet3!$B$8:$AR$322,32,FALSE)</f>
        <v>10966511</v>
      </c>
      <c r="P53" s="995"/>
      <c r="Q53" s="157"/>
      <c r="R53" s="28"/>
    </row>
    <row r="54" spans="1:18" x14ac:dyDescent="0.2">
      <c r="A54" s="45"/>
      <c r="B54" s="321"/>
      <c r="C54" s="321"/>
      <c r="D54" s="321"/>
      <c r="E54" s="321"/>
      <c r="F54" s="321"/>
      <c r="G54" s="321"/>
      <c r="H54" s="321"/>
      <c r="I54" s="321"/>
      <c r="J54" s="321"/>
      <c r="K54" s="321"/>
      <c r="L54" s="321"/>
      <c r="M54" s="321"/>
      <c r="N54" s="157"/>
      <c r="O54" s="157"/>
      <c r="P54" s="157"/>
      <c r="Q54" s="157"/>
      <c r="R54" s="28"/>
    </row>
    <row r="55" spans="1:18" s="488" customFormat="1" ht="16.5" thickBot="1" x14ac:dyDescent="0.3">
      <c r="A55" s="544"/>
      <c r="B55" s="321"/>
      <c r="C55" s="348" t="s">
        <v>885</v>
      </c>
      <c r="D55" s="321"/>
      <c r="E55" s="321"/>
      <c r="F55" s="321"/>
      <c r="G55" s="321"/>
      <c r="H55" s="321"/>
      <c r="I55" s="321"/>
      <c r="J55" s="321"/>
      <c r="K55" s="321"/>
      <c r="L55" s="321"/>
      <c r="M55" s="321"/>
      <c r="N55" s="546"/>
      <c r="O55" s="546"/>
      <c r="P55" s="546"/>
      <c r="Q55" s="546"/>
      <c r="R55" s="545"/>
    </row>
    <row r="56" spans="1:18" s="488" customFormat="1" ht="16.5" thickBot="1" x14ac:dyDescent="0.25">
      <c r="A56" s="544"/>
      <c r="B56" s="321"/>
      <c r="C56" s="988" t="s">
        <v>1993</v>
      </c>
      <c r="D56" s="989"/>
      <c r="E56" s="989"/>
      <c r="F56" s="321"/>
      <c r="G56" s="984">
        <f>VLOOKUP('Part 1'!L13,DataSheet3!$B$8:$AR$322,33,FALSE)</f>
        <v>228219391.78999999</v>
      </c>
      <c r="H56" s="985"/>
      <c r="I56" s="321"/>
      <c r="J56" s="321"/>
      <c r="K56" s="321"/>
      <c r="L56" s="321"/>
      <c r="M56" s="321"/>
      <c r="N56" s="546"/>
      <c r="O56" s="998">
        <f>VLOOKUP('Part 1'!L13,DataSheet3!$B$8:$AR$322,34,FALSE)</f>
        <v>228219391.78999999</v>
      </c>
      <c r="P56" s="987"/>
      <c r="Q56" s="546"/>
      <c r="R56" s="545"/>
    </row>
    <row r="57" spans="1:18" s="488" customFormat="1" x14ac:dyDescent="0.2">
      <c r="A57" s="544"/>
      <c r="B57" s="321"/>
      <c r="C57" s="990"/>
      <c r="D57" s="989"/>
      <c r="E57" s="989"/>
      <c r="F57" s="321"/>
      <c r="G57" s="321"/>
      <c r="H57" s="321"/>
      <c r="I57" s="321"/>
      <c r="J57" s="321"/>
      <c r="K57" s="321"/>
      <c r="L57" s="321"/>
      <c r="M57" s="321"/>
      <c r="N57" s="546"/>
      <c r="O57" s="546"/>
      <c r="P57" s="546"/>
      <c r="Q57" s="546"/>
      <c r="R57" s="545"/>
    </row>
    <row r="58" spans="1:18" s="488" customFormat="1" ht="15.75" thickBot="1" x14ac:dyDescent="0.25">
      <c r="A58" s="544"/>
      <c r="B58" s="321"/>
      <c r="C58" s="321"/>
      <c r="D58" s="321"/>
      <c r="E58" s="321"/>
      <c r="F58" s="321"/>
      <c r="G58" s="321"/>
      <c r="H58" s="321"/>
      <c r="I58" s="321"/>
      <c r="J58" s="321"/>
      <c r="K58" s="321"/>
      <c r="L58" s="321"/>
      <c r="M58" s="321"/>
      <c r="N58" s="546"/>
      <c r="O58" s="546"/>
      <c r="P58" s="546"/>
      <c r="Q58" s="546"/>
      <c r="R58" s="545"/>
    </row>
    <row r="59" spans="1:18" s="488" customFormat="1" ht="16.5" thickBot="1" x14ac:dyDescent="0.25">
      <c r="A59" s="544"/>
      <c r="B59" s="321"/>
      <c r="C59" s="376" t="s">
        <v>1995</v>
      </c>
      <c r="D59" s="321"/>
      <c r="E59" s="321"/>
      <c r="F59" s="321"/>
      <c r="G59" s="992">
        <f>VLOOKUP('Part 1'!L13,DataSheet3!$B$8:$AR$322,35,FALSE)</f>
        <v>229577588</v>
      </c>
      <c r="H59" s="993"/>
      <c r="I59" s="321"/>
      <c r="J59" s="321"/>
      <c r="K59" s="321"/>
      <c r="L59" s="321"/>
      <c r="M59" s="321"/>
      <c r="N59" s="546"/>
      <c r="O59" s="998">
        <f>VLOOKUP('Part 1'!L13,DataSheet3!$B$8:$AR$322,36,FALSE)</f>
        <v>229577588</v>
      </c>
      <c r="P59" s="987"/>
      <c r="Q59" s="546"/>
      <c r="R59" s="545"/>
    </row>
    <row r="60" spans="1:18" s="488" customFormat="1" ht="15.75" thickBot="1" x14ac:dyDescent="0.25">
      <c r="A60" s="544"/>
      <c r="B60" s="321"/>
      <c r="C60" s="321"/>
      <c r="D60" s="321"/>
      <c r="E60" s="321"/>
      <c r="F60" s="321"/>
      <c r="G60" s="321"/>
      <c r="H60" s="321"/>
      <c r="I60" s="321"/>
      <c r="J60" s="321"/>
      <c r="K60" s="321"/>
      <c r="L60" s="321"/>
      <c r="M60" s="321"/>
      <c r="N60" s="546"/>
      <c r="O60" s="546"/>
      <c r="P60" s="546"/>
      <c r="Q60" s="546"/>
      <c r="R60" s="545"/>
    </row>
    <row r="61" spans="1:18" s="488" customFormat="1" ht="16.5" thickBot="1" x14ac:dyDescent="0.25">
      <c r="A61" s="544"/>
      <c r="B61" s="321"/>
      <c r="C61" s="988" t="s">
        <v>1996</v>
      </c>
      <c r="D61" s="990"/>
      <c r="E61" s="990"/>
      <c r="F61" s="321"/>
      <c r="G61" s="984">
        <f>VLOOKUP('Part 1'!L13,DataSheet3!$B$8:$AR$322,37,FALSE)</f>
        <v>4979351</v>
      </c>
      <c r="H61" s="985"/>
      <c r="I61" s="321"/>
      <c r="J61" s="321"/>
      <c r="K61" s="321"/>
      <c r="L61" s="321"/>
      <c r="M61" s="321"/>
      <c r="N61" s="546"/>
      <c r="O61" s="986">
        <f>VLOOKUP('Part 1'!L13,DataSheet3!$B$8:$AR$322,38,FALSE)</f>
        <v>4979351</v>
      </c>
      <c r="P61" s="987"/>
      <c r="Q61" s="546"/>
      <c r="R61" s="545"/>
    </row>
    <row r="62" spans="1:18" s="488" customFormat="1" x14ac:dyDescent="0.2">
      <c r="A62" s="544"/>
      <c r="B62" s="321"/>
      <c r="C62" s="990"/>
      <c r="D62" s="990"/>
      <c r="E62" s="990"/>
      <c r="F62" s="321"/>
      <c r="G62" s="321"/>
      <c r="H62" s="321"/>
      <c r="I62" s="321"/>
      <c r="J62" s="321"/>
      <c r="K62" s="321"/>
      <c r="L62" s="321"/>
      <c r="M62" s="321"/>
      <c r="N62" s="546"/>
      <c r="O62" s="547"/>
      <c r="P62" s="546"/>
      <c r="Q62" s="546"/>
      <c r="R62" s="545"/>
    </row>
    <row r="63" spans="1:18" ht="14.25" customHeight="1" x14ac:dyDescent="0.2">
      <c r="A63" s="45"/>
      <c r="B63" s="321"/>
      <c r="C63" s="321"/>
      <c r="D63" s="321"/>
      <c r="E63" s="321"/>
      <c r="F63" s="321"/>
      <c r="G63" s="321"/>
      <c r="H63" s="321"/>
      <c r="I63" s="321"/>
      <c r="J63" s="321"/>
      <c r="K63" s="321"/>
      <c r="L63" s="321"/>
      <c r="M63" s="321"/>
      <c r="N63" s="157"/>
      <c r="O63" s="157"/>
      <c r="P63" s="157"/>
      <c r="Q63" s="157"/>
      <c r="R63" s="545"/>
    </row>
    <row r="64" spans="1:18" s="488" customFormat="1" ht="15.75" thickBot="1" x14ac:dyDescent="0.25">
      <c r="A64" s="45"/>
      <c r="B64" s="321"/>
      <c r="C64" s="321" t="s">
        <v>886</v>
      </c>
      <c r="D64" s="321"/>
      <c r="E64" s="321"/>
      <c r="F64" s="321"/>
      <c r="G64" s="321"/>
      <c r="H64" s="321"/>
      <c r="I64" s="321"/>
      <c r="J64" s="321"/>
      <c r="K64" s="321"/>
      <c r="L64" s="321"/>
      <c r="M64" s="321"/>
      <c r="N64" s="157"/>
      <c r="O64" s="157"/>
      <c r="P64" s="157"/>
      <c r="Q64" s="157"/>
      <c r="R64" s="545"/>
    </row>
    <row r="65" spans="1:18" s="488" customFormat="1" ht="16.5" thickBot="1" x14ac:dyDescent="0.25">
      <c r="A65" s="45"/>
      <c r="B65" s="321"/>
      <c r="C65" s="376" t="s">
        <v>1997</v>
      </c>
      <c r="D65" s="321"/>
      <c r="E65" s="321"/>
      <c r="F65" s="321"/>
      <c r="G65" s="963">
        <f>VLOOKUP('Part 1'!L13,DataSheet3!$B$8:$AR$322,39,FALSE)</f>
        <v>1367040</v>
      </c>
      <c r="H65" s="964"/>
      <c r="I65" s="321"/>
      <c r="J65" s="321"/>
      <c r="K65" s="321"/>
      <c r="L65" s="321"/>
      <c r="M65" s="321"/>
      <c r="N65" s="157"/>
      <c r="O65" s="979">
        <f>VLOOKUP('Part 1'!L13,DataSheet3!$B$8:$AR$322,40,FALSE)</f>
        <v>697190</v>
      </c>
      <c r="P65" s="980"/>
      <c r="Q65" s="157"/>
      <c r="R65" s="545"/>
    </row>
    <row r="66" spans="1:18" ht="15.75" thickBot="1" x14ac:dyDescent="0.25">
      <c r="A66" s="45"/>
      <c r="B66" s="321"/>
      <c r="C66" s="321"/>
      <c r="D66" s="321"/>
      <c r="E66" s="321"/>
      <c r="F66" s="321"/>
      <c r="G66" s="321"/>
      <c r="H66" s="321"/>
      <c r="I66" s="321"/>
      <c r="J66" s="413"/>
      <c r="K66" s="321"/>
      <c r="L66" s="321"/>
      <c r="M66" s="321"/>
      <c r="N66" s="157"/>
      <c r="O66" s="157"/>
      <c r="P66" s="157"/>
      <c r="Q66" s="157"/>
      <c r="R66" s="545"/>
    </row>
    <row r="67" spans="1:18" x14ac:dyDescent="0.2">
      <c r="A67" s="45"/>
      <c r="B67" s="38"/>
      <c r="C67" s="31"/>
      <c r="D67" s="31"/>
      <c r="E67" s="31"/>
      <c r="F67" s="31"/>
      <c r="G67" s="70"/>
      <c r="H67" s="70"/>
      <c r="I67" s="70"/>
      <c r="J67" s="256"/>
      <c r="K67" s="70"/>
      <c r="L67" s="70"/>
      <c r="M67" s="70"/>
      <c r="N67" s="148"/>
      <c r="O67" s="981"/>
      <c r="P67" s="982"/>
      <c r="Q67" s="164"/>
      <c r="R67" s="28"/>
    </row>
    <row r="68" spans="1:18" ht="16.5" thickBot="1" x14ac:dyDescent="0.3">
      <c r="A68" s="45"/>
      <c r="B68" s="39"/>
      <c r="C68" s="20" t="s">
        <v>864</v>
      </c>
      <c r="D68" s="34"/>
      <c r="E68" s="34"/>
      <c r="F68" s="34"/>
      <c r="G68" s="991"/>
      <c r="H68" s="991"/>
      <c r="I68" s="346"/>
      <c r="J68" s="257"/>
      <c r="K68" s="991"/>
      <c r="L68" s="991"/>
      <c r="M68" s="346"/>
      <c r="N68" s="255"/>
      <c r="O68" s="983"/>
      <c r="P68" s="983"/>
      <c r="Q68" s="162"/>
      <c r="R68" s="28"/>
    </row>
    <row r="69" spans="1:18" ht="16.5" thickBot="1" x14ac:dyDescent="0.25">
      <c r="A69" s="45"/>
      <c r="B69" s="39"/>
      <c r="C69" s="8" t="s">
        <v>1154</v>
      </c>
      <c r="D69" s="34"/>
      <c r="E69" s="34"/>
      <c r="F69" s="34"/>
      <c r="G69" s="880">
        <f>VLOOKUP('Part 1'!L13,DataSheet3!$B$8:$AR$322,41,FALSE)</f>
        <v>6536618</v>
      </c>
      <c r="H69" s="881"/>
      <c r="I69" s="207"/>
      <c r="J69" s="258"/>
      <c r="K69" s="880">
        <f>VLOOKUP('Part 1'!L13,DataSheet3!$B$8:$AR$322,42,FALSE)</f>
        <v>10106434</v>
      </c>
      <c r="L69" s="997"/>
      <c r="M69" s="71"/>
      <c r="N69" s="145"/>
      <c r="O69" s="999">
        <f>VLOOKUP('Part 1'!L13,DataSheet3!$B$8:$AR$322,43,FALSE)</f>
        <v>16643052</v>
      </c>
      <c r="P69" s="1000"/>
      <c r="Q69" s="162"/>
      <c r="R69" s="55"/>
    </row>
    <row r="70" spans="1:18" ht="15.75" thickBot="1" x14ac:dyDescent="0.25">
      <c r="A70" s="45"/>
      <c r="B70" s="40"/>
      <c r="C70" s="36"/>
      <c r="D70" s="36"/>
      <c r="E70" s="36"/>
      <c r="F70" s="36"/>
      <c r="G70" s="36"/>
      <c r="H70" s="36"/>
      <c r="I70" s="36"/>
      <c r="J70" s="40"/>
      <c r="K70" s="36"/>
      <c r="L70" s="36"/>
      <c r="M70" s="36"/>
      <c r="N70" s="173"/>
      <c r="O70" s="173"/>
      <c r="P70" s="173"/>
      <c r="Q70" s="163"/>
      <c r="R70" s="28"/>
    </row>
    <row r="71" spans="1:18" ht="15.75" thickBot="1" x14ac:dyDescent="0.25">
      <c r="A71" s="131"/>
      <c r="B71" s="88"/>
      <c r="C71" s="88"/>
      <c r="D71" s="88"/>
      <c r="E71" s="88"/>
      <c r="F71" s="88"/>
      <c r="G71" s="88"/>
      <c r="H71" s="88"/>
      <c r="I71" s="88"/>
      <c r="J71" s="88"/>
      <c r="K71" s="88"/>
      <c r="L71" s="88"/>
      <c r="M71" s="88"/>
      <c r="N71" s="88"/>
      <c r="O71" s="88"/>
      <c r="P71" s="88"/>
      <c r="Q71" s="88"/>
      <c r="R71" s="132"/>
    </row>
    <row r="73" spans="1:18" x14ac:dyDescent="0.2">
      <c r="C73" s="209"/>
      <c r="D73" s="209"/>
      <c r="E73" s="209"/>
      <c r="F73" s="209"/>
      <c r="G73" s="209"/>
      <c r="H73" s="209"/>
      <c r="I73" s="209"/>
      <c r="J73" s="209"/>
      <c r="K73" s="209"/>
      <c r="L73" s="209"/>
      <c r="M73" s="209"/>
      <c r="N73" s="209"/>
      <c r="O73" s="209"/>
      <c r="P73" s="209"/>
      <c r="Q73" s="209"/>
      <c r="R73" s="209"/>
    </row>
    <row r="74" spans="1:18" s="209" customFormat="1" x14ac:dyDescent="0.2"/>
    <row r="75" spans="1:18" s="209" customFormat="1" x14ac:dyDescent="0.2">
      <c r="K75" s="323"/>
    </row>
    <row r="76" spans="1:18" s="209" customFormat="1" x14ac:dyDescent="0.2">
      <c r="K76" s="996"/>
      <c r="L76" s="996"/>
    </row>
    <row r="77" spans="1:18" s="209" customFormat="1" x14ac:dyDescent="0.2"/>
    <row r="78" spans="1:18" s="209" customFormat="1" x14ac:dyDescent="0.2"/>
    <row r="79" spans="1:18" s="209" customFormat="1" x14ac:dyDescent="0.2"/>
    <row r="80" spans="1:18" s="209" customFormat="1" x14ac:dyDescent="0.2"/>
  </sheetData>
  <mergeCells count="72">
    <mergeCell ref="O35:P35"/>
    <mergeCell ref="O28:P28"/>
    <mergeCell ref="C20:E21"/>
    <mergeCell ref="G20:H20"/>
    <mergeCell ref="K20:L20"/>
    <mergeCell ref="O20:P20"/>
    <mergeCell ref="C15:E17"/>
    <mergeCell ref="G15:H15"/>
    <mergeCell ref="K15:L15"/>
    <mergeCell ref="O15:P15"/>
    <mergeCell ref="G13:H13"/>
    <mergeCell ref="K13:L13"/>
    <mergeCell ref="O13:P13"/>
    <mergeCell ref="E33:E34"/>
    <mergeCell ref="G33:H33"/>
    <mergeCell ref="K33:L33"/>
    <mergeCell ref="O33:P33"/>
    <mergeCell ref="G14:H14"/>
    <mergeCell ref="K14:L14"/>
    <mergeCell ref="C23:E24"/>
    <mergeCell ref="G23:H23"/>
    <mergeCell ref="K23:L23"/>
    <mergeCell ref="O23:P23"/>
    <mergeCell ref="E31:E32"/>
    <mergeCell ref="O14:P14"/>
    <mergeCell ref="G53:H53"/>
    <mergeCell ref="K53:L53"/>
    <mergeCell ref="K43:L43"/>
    <mergeCell ref="O32:P32"/>
    <mergeCell ref="G28:H28"/>
    <mergeCell ref="K28:L28"/>
    <mergeCell ref="O37:P37"/>
    <mergeCell ref="K39:L39"/>
    <mergeCell ref="O41:P42"/>
    <mergeCell ref="G48:H48"/>
    <mergeCell ref="K48:L48"/>
    <mergeCell ref="O48:P48"/>
    <mergeCell ref="O43:P43"/>
    <mergeCell ref="G42:H42"/>
    <mergeCell ref="G35:H35"/>
    <mergeCell ref="K35:L35"/>
    <mergeCell ref="A2:R2"/>
    <mergeCell ref="A3:R3"/>
    <mergeCell ref="C6:G6"/>
    <mergeCell ref="K9:M9"/>
    <mergeCell ref="G11:H12"/>
    <mergeCell ref="K11:L12"/>
    <mergeCell ref="O11:P12"/>
    <mergeCell ref="C10:E10"/>
    <mergeCell ref="O10:P10"/>
    <mergeCell ref="G10:H10"/>
    <mergeCell ref="K10:L10"/>
    <mergeCell ref="O53:P53"/>
    <mergeCell ref="K42:L42"/>
    <mergeCell ref="K37:L37"/>
    <mergeCell ref="K76:L76"/>
    <mergeCell ref="K69:L69"/>
    <mergeCell ref="O59:P59"/>
    <mergeCell ref="O56:P56"/>
    <mergeCell ref="O69:P69"/>
    <mergeCell ref="C56:E57"/>
    <mergeCell ref="C61:E62"/>
    <mergeCell ref="G68:H68"/>
    <mergeCell ref="K68:L68"/>
    <mergeCell ref="G59:H59"/>
    <mergeCell ref="G56:H56"/>
    <mergeCell ref="G69:H69"/>
    <mergeCell ref="G65:H65"/>
    <mergeCell ref="O65:P65"/>
    <mergeCell ref="O67:P68"/>
    <mergeCell ref="G61:H61"/>
    <mergeCell ref="O61:P61"/>
  </mergeCells>
  <dataValidations count="1">
    <dataValidation type="custom" allowBlank="1" showInputMessage="1" showErrorMessage="1" error="Do not try to enter data here_x000a_" sqref="K75" xr:uid="{00000000-0002-0000-0300-000000000000}">
      <formula1>"if(z217=""n/a"")"</formula1>
    </dataValidation>
  </dataValidations>
  <printOptions horizontalCentered="1" verticalCentered="1"/>
  <pageMargins left="0.39370078740157483" right="0.39370078740157483" top="0.59055118110236227" bottom="0.59055118110236227" header="0.51181102362204722" footer="0.51181102362204722"/>
  <pageSetup paperSize="9" scale="6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55"/>
  <sheetViews>
    <sheetView showGridLines="0" zoomScale="70" zoomScaleNormal="70" workbookViewId="0">
      <selection sqref="A1:AC1"/>
    </sheetView>
  </sheetViews>
  <sheetFormatPr defaultColWidth="9.140625" defaultRowHeight="12.75" x14ac:dyDescent="0.2"/>
  <cols>
    <col min="1" max="1" width="6.85546875" style="381" customWidth="1"/>
    <col min="2" max="2" width="16.140625" style="381" hidden="1" customWidth="1"/>
    <col min="3" max="3" width="107.140625" style="381" customWidth="1"/>
    <col min="4" max="4" width="3.7109375" style="381" customWidth="1"/>
    <col min="5" max="5" width="32.7109375" style="381" customWidth="1"/>
    <col min="6" max="6" width="3.5703125" style="381" customWidth="1"/>
    <col min="7" max="7" width="20.7109375" style="381" customWidth="1"/>
    <col min="8" max="8" width="3.7109375" style="381" customWidth="1"/>
    <col min="9" max="9" width="20.7109375" style="381" customWidth="1"/>
    <col min="10" max="10" width="3.7109375" style="381" customWidth="1"/>
    <col min="11" max="11" width="25.5703125" style="381" customWidth="1"/>
    <col min="12" max="12" width="3.7109375" style="382" customWidth="1"/>
    <col min="13" max="13" width="26.42578125" style="381" customWidth="1"/>
    <col min="14" max="14" width="3.5703125" style="381" customWidth="1"/>
    <col min="15" max="15" width="26.42578125" style="381" customWidth="1"/>
    <col min="16" max="16" width="3.5703125" style="381" customWidth="1"/>
    <col min="17" max="17" width="29.7109375" style="381" customWidth="1"/>
    <col min="18" max="18" width="3.7109375" style="381" customWidth="1"/>
    <col min="19" max="19" width="23.5703125" style="381" customWidth="1"/>
    <col min="20" max="20" width="3.7109375" style="381" customWidth="1"/>
    <col min="21" max="21" width="20.7109375" style="381" customWidth="1"/>
    <col min="22" max="22" width="3.5703125" style="381" customWidth="1"/>
    <col min="23" max="23" width="25.42578125" style="381" customWidth="1"/>
    <col min="24" max="24" width="3.140625" style="381" customWidth="1"/>
    <col min="25" max="25" width="24.5703125" style="475" hidden="1" customWidth="1"/>
    <col min="26" max="26" width="3.7109375" style="475" hidden="1" customWidth="1"/>
    <col min="27" max="27" width="22.7109375" style="381" customWidth="1"/>
    <col min="28" max="28" width="2.28515625" style="381" customWidth="1"/>
    <col min="29" max="29" width="3" style="381" customWidth="1"/>
    <col min="30" max="16384" width="9.140625" style="381"/>
  </cols>
  <sheetData>
    <row r="1" spans="1:29" s="382" customFormat="1" ht="23.25" x14ac:dyDescent="0.35">
      <c r="A1" s="1027" t="s">
        <v>893</v>
      </c>
      <c r="B1" s="1028"/>
      <c r="C1" s="1028"/>
      <c r="D1" s="1028"/>
      <c r="E1" s="1028"/>
      <c r="F1" s="1028"/>
      <c r="G1" s="1028"/>
      <c r="H1" s="1028"/>
      <c r="I1" s="1028"/>
      <c r="J1" s="1028"/>
      <c r="K1" s="1028"/>
      <c r="L1" s="1028"/>
      <c r="M1" s="1028"/>
      <c r="N1" s="1028"/>
      <c r="O1" s="1028"/>
      <c r="P1" s="1028"/>
      <c r="Q1" s="1028"/>
      <c r="R1" s="1028"/>
      <c r="S1" s="1028"/>
      <c r="T1" s="1028"/>
      <c r="U1" s="1028"/>
      <c r="V1" s="1028"/>
      <c r="W1" s="1028"/>
      <c r="X1" s="1028"/>
      <c r="Y1" s="1028"/>
      <c r="Z1" s="1028"/>
      <c r="AA1" s="1028"/>
      <c r="AB1" s="1028"/>
      <c r="AC1" s="1029"/>
    </row>
    <row r="2" spans="1:29" ht="21" customHeight="1" x14ac:dyDescent="0.2">
      <c r="A2" s="380"/>
      <c r="B2" s="403"/>
      <c r="C2" s="393"/>
      <c r="D2" s="393"/>
      <c r="E2" s="393"/>
      <c r="F2" s="393"/>
      <c r="G2" s="402"/>
      <c r="H2" s="400"/>
      <c r="I2" s="399"/>
      <c r="J2" s="391"/>
      <c r="K2" s="398"/>
      <c r="L2" s="394"/>
      <c r="M2" s="393"/>
      <c r="N2" s="393"/>
      <c r="O2" s="393"/>
      <c r="P2" s="393"/>
      <c r="Q2" s="402"/>
      <c r="R2" s="400"/>
      <c r="S2" s="399"/>
      <c r="T2" s="391"/>
      <c r="U2" s="398"/>
      <c r="V2" s="398"/>
      <c r="W2" s="393"/>
      <c r="X2" s="393"/>
      <c r="Y2" s="460"/>
      <c r="Z2" s="461"/>
      <c r="AA2" s="399"/>
      <c r="AB2" s="391"/>
      <c r="AC2" s="390"/>
    </row>
    <row r="3" spans="1:29" ht="23.25" x14ac:dyDescent="0.2">
      <c r="A3" s="380"/>
      <c r="B3" s="403"/>
      <c r="C3" s="419" t="str">
        <f>IF(ISERROR(VLOOKUP($E3,'LA List'!$B$3:$C$241,2,FALSE)),'Part 1'!L$12,VLOOKUP($E3,'LA List'!$B$3:$C$241,2,FALSE))</f>
        <v>England</v>
      </c>
      <c r="D3" s="401"/>
      <c r="E3" s="399" t="str">
        <f>'Part 1'!L13</f>
        <v>EZZZZ</v>
      </c>
      <c r="F3" s="400"/>
      <c r="G3" s="399"/>
      <c r="H3" s="391"/>
      <c r="I3" s="398"/>
      <c r="J3" s="394"/>
      <c r="K3" s="401"/>
      <c r="L3" s="401"/>
      <c r="M3" s="399"/>
      <c r="N3" s="400"/>
      <c r="O3" s="400"/>
      <c r="P3" s="400"/>
      <c r="Q3" s="399"/>
      <c r="R3" s="391"/>
      <c r="S3" s="398"/>
      <c r="T3" s="398"/>
      <c r="U3" s="401"/>
      <c r="V3" s="401"/>
      <c r="W3" s="399"/>
      <c r="X3" s="400"/>
      <c r="Y3" s="462"/>
      <c r="Z3" s="463"/>
      <c r="AA3" s="398"/>
      <c r="AB3" s="394"/>
      <c r="AC3" s="390"/>
    </row>
    <row r="4" spans="1:29" ht="23.25" x14ac:dyDescent="0.2">
      <c r="A4" s="380"/>
      <c r="B4" s="401"/>
      <c r="C4" s="421"/>
      <c r="D4" s="401"/>
      <c r="E4" s="1038" t="s">
        <v>1113</v>
      </c>
      <c r="F4" s="1039"/>
      <c r="G4" s="1039"/>
      <c r="H4" s="1039"/>
      <c r="I4" s="1039"/>
      <c r="J4" s="1039"/>
      <c r="K4" s="1040"/>
      <c r="L4" s="394"/>
      <c r="M4" s="1038" t="s">
        <v>863</v>
      </c>
      <c r="N4" s="1039"/>
      <c r="O4" s="1039"/>
      <c r="P4" s="1039"/>
      <c r="Q4" s="1039"/>
      <c r="R4" s="1039"/>
      <c r="S4" s="1039"/>
      <c r="T4" s="1039"/>
      <c r="U4" s="1040"/>
      <c r="V4" s="398"/>
      <c r="W4" s="1038" t="s">
        <v>1111</v>
      </c>
      <c r="X4" s="1041"/>
      <c r="Y4" s="1041"/>
      <c r="Z4" s="1041"/>
      <c r="AA4" s="1041"/>
      <c r="AB4" s="445"/>
      <c r="AC4" s="390"/>
    </row>
    <row r="5" spans="1:29" ht="17.25" thickBot="1" x14ac:dyDescent="0.25">
      <c r="A5" s="380"/>
      <c r="B5" s="383"/>
      <c r="C5" s="383"/>
      <c r="D5" s="397"/>
      <c r="E5" s="436"/>
      <c r="F5" s="395"/>
      <c r="G5" s="395"/>
      <c r="H5" s="395"/>
      <c r="I5" s="395"/>
      <c r="J5" s="395"/>
      <c r="K5" s="437"/>
      <c r="L5" s="394"/>
      <c r="M5" s="436"/>
      <c r="N5" s="395"/>
      <c r="O5" s="395"/>
      <c r="P5" s="395"/>
      <c r="Q5" s="395"/>
      <c r="R5" s="395"/>
      <c r="S5" s="395"/>
      <c r="T5" s="395"/>
      <c r="U5" s="437"/>
      <c r="V5" s="396"/>
      <c r="W5" s="436"/>
      <c r="X5" s="395"/>
      <c r="Y5" s="464"/>
      <c r="Z5" s="464"/>
      <c r="AA5" s="395"/>
      <c r="AB5" s="446"/>
      <c r="AC5" s="390"/>
    </row>
    <row r="6" spans="1:29" ht="21" thickBot="1" x14ac:dyDescent="0.25">
      <c r="A6" s="380"/>
      <c r="B6" s="383"/>
      <c r="C6" s="418" t="s">
        <v>905</v>
      </c>
      <c r="D6" s="397"/>
      <c r="E6" s="438">
        <f>SUM(E13:E53)</f>
        <v>0</v>
      </c>
      <c r="F6" s="387"/>
      <c r="G6" s="429">
        <f>SUM(G13:G53)</f>
        <v>0</v>
      </c>
      <c r="H6" s="386"/>
      <c r="I6" s="429">
        <f>SUM(I13:I53)</f>
        <v>0</v>
      </c>
      <c r="J6" s="386"/>
      <c r="K6" s="439">
        <f>SUM(K13:K53)</f>
        <v>0</v>
      </c>
      <c r="L6" s="388"/>
      <c r="M6" s="438">
        <f>SUM(M13:M53)</f>
        <v>0</v>
      </c>
      <c r="N6" s="387"/>
      <c r="O6" s="429">
        <f>SUM(O13:O53)</f>
        <v>0</v>
      </c>
      <c r="P6" s="387"/>
      <c r="Q6" s="429">
        <f>SUM(Q13:Q53)</f>
        <v>0</v>
      </c>
      <c r="R6" s="386"/>
      <c r="S6" s="429">
        <f>SUM(S13:S53)</f>
        <v>0</v>
      </c>
      <c r="T6" s="386"/>
      <c r="U6" s="439">
        <f>SUM(U13:U53)</f>
        <v>0</v>
      </c>
      <c r="V6" s="386"/>
      <c r="W6" s="438">
        <f>SUM(W13:W53)</f>
        <v>0</v>
      </c>
      <c r="X6" s="387"/>
      <c r="Y6" s="465">
        <f>SUM(Y13:Y53)</f>
        <v>0</v>
      </c>
      <c r="Z6" s="466"/>
      <c r="AA6" s="429">
        <f>SUM(AA13:AA53)</f>
        <v>0</v>
      </c>
      <c r="AB6" s="447"/>
      <c r="AC6" s="390"/>
    </row>
    <row r="7" spans="1:29" s="566" customFormat="1" ht="41.25" customHeight="1" x14ac:dyDescent="0.2">
      <c r="A7" s="556"/>
      <c r="B7" s="557"/>
      <c r="C7" s="557"/>
      <c r="D7" s="557"/>
      <c r="E7" s="558"/>
      <c r="F7" s="557"/>
      <c r="G7" s="559"/>
      <c r="H7" s="560"/>
      <c r="I7" s="559"/>
      <c r="J7" s="560"/>
      <c r="K7" s="561"/>
      <c r="L7" s="562"/>
      <c r="M7" s="563"/>
      <c r="N7" s="557"/>
      <c r="O7" s="559"/>
      <c r="P7" s="557"/>
      <c r="Q7" s="560"/>
      <c r="R7" s="560"/>
      <c r="S7" s="559"/>
      <c r="T7" s="560"/>
      <c r="U7" s="561" t="str">
        <f>IF(U6=SUM(U13:U53),"","Total does not equal to sum of rows")</f>
        <v/>
      </c>
      <c r="V7" s="564"/>
      <c r="W7" s="1042"/>
      <c r="X7" s="557"/>
      <c r="Y7" s="1032"/>
      <c r="Z7" s="1033"/>
      <c r="AA7" s="1033"/>
      <c r="AB7" s="1034"/>
      <c r="AC7" s="565"/>
    </row>
    <row r="8" spans="1:29" s="481" customFormat="1" ht="18.75" customHeight="1" x14ac:dyDescent="0.2">
      <c r="A8" s="479"/>
      <c r="B8" s="383"/>
      <c r="C8" s="383"/>
      <c r="D8" s="393"/>
      <c r="E8" s="455"/>
      <c r="F8" s="393"/>
      <c r="G8" s="476"/>
      <c r="H8" s="476"/>
      <c r="I8" s="476"/>
      <c r="J8" s="476"/>
      <c r="K8" s="477"/>
      <c r="L8" s="476"/>
      <c r="M8" s="440"/>
      <c r="N8" s="393"/>
      <c r="O8" s="393"/>
      <c r="P8" s="393"/>
      <c r="Q8" s="476"/>
      <c r="R8" s="476"/>
      <c r="S8" s="476"/>
      <c r="T8" s="476"/>
      <c r="U8" s="477"/>
      <c r="V8" s="476"/>
      <c r="W8" s="1043"/>
      <c r="X8" s="476"/>
      <c r="Y8" s="478"/>
      <c r="Z8" s="478"/>
      <c r="AA8" s="476"/>
      <c r="AB8" s="477"/>
      <c r="AC8" s="480"/>
    </row>
    <row r="9" spans="1:29" ht="43.5" customHeight="1" x14ac:dyDescent="0.3">
      <c r="A9" s="380"/>
      <c r="B9" s="383"/>
      <c r="C9" s="430"/>
      <c r="D9" s="393"/>
      <c r="E9" s="442" t="s">
        <v>895</v>
      </c>
      <c r="F9" s="392"/>
      <c r="G9" s="1035" t="s">
        <v>897</v>
      </c>
      <c r="H9" s="1036"/>
      <c r="I9" s="1037"/>
      <c r="J9" s="423"/>
      <c r="K9" s="432"/>
      <c r="L9" s="423"/>
      <c r="M9" s="1022" t="s">
        <v>863</v>
      </c>
      <c r="N9" s="1023"/>
      <c r="O9" s="1023"/>
      <c r="P9" s="1023"/>
      <c r="Q9" s="1023"/>
      <c r="R9" s="1023"/>
      <c r="S9" s="1023"/>
      <c r="T9" s="1024"/>
      <c r="U9" s="1025"/>
      <c r="V9" s="423"/>
      <c r="W9" s="1026"/>
      <c r="X9" s="1023"/>
      <c r="Y9" s="1023"/>
      <c r="Z9" s="467"/>
      <c r="AA9" s="426"/>
      <c r="AB9" s="441"/>
      <c r="AC9" s="390"/>
    </row>
    <row r="10" spans="1:29" ht="21" customHeight="1" x14ac:dyDescent="0.3">
      <c r="A10" s="380"/>
      <c r="B10" s="383"/>
      <c r="C10" s="383"/>
      <c r="D10" s="393"/>
      <c r="E10" s="442">
        <v>1</v>
      </c>
      <c r="F10" s="422"/>
      <c r="G10" s="431">
        <v>2</v>
      </c>
      <c r="H10" s="427"/>
      <c r="I10" s="432">
        <v>3</v>
      </c>
      <c r="J10" s="427"/>
      <c r="K10" s="432">
        <v>4</v>
      </c>
      <c r="L10" s="427"/>
      <c r="M10" s="442">
        <v>5</v>
      </c>
      <c r="N10" s="422"/>
      <c r="O10" s="422">
        <v>6</v>
      </c>
      <c r="P10" s="422"/>
      <c r="Q10" s="427">
        <v>7</v>
      </c>
      <c r="R10" s="427"/>
      <c r="S10" s="427">
        <v>8</v>
      </c>
      <c r="T10" s="427"/>
      <c r="U10" s="432">
        <v>9</v>
      </c>
      <c r="V10" s="427"/>
      <c r="W10" s="431" t="s">
        <v>1092</v>
      </c>
      <c r="X10" s="427"/>
      <c r="Y10" s="468">
        <v>10</v>
      </c>
      <c r="Z10" s="468"/>
      <c r="AA10" s="427" t="s">
        <v>1093</v>
      </c>
      <c r="AB10" s="441"/>
      <c r="AC10" s="390"/>
    </row>
    <row r="11" spans="1:29" ht="151.5" customHeight="1" x14ac:dyDescent="0.2">
      <c r="A11" s="380"/>
      <c r="B11" s="393"/>
      <c r="C11" s="389" t="s">
        <v>904</v>
      </c>
      <c r="D11" s="393"/>
      <c r="E11" s="433" t="s">
        <v>894</v>
      </c>
      <c r="F11" s="434"/>
      <c r="G11" s="433" t="s">
        <v>1117</v>
      </c>
      <c r="H11" s="434"/>
      <c r="I11" s="435" t="s">
        <v>1118</v>
      </c>
      <c r="J11" s="443"/>
      <c r="K11" s="435" t="s">
        <v>899</v>
      </c>
      <c r="L11" s="394"/>
      <c r="M11" s="433" t="s">
        <v>900</v>
      </c>
      <c r="N11" s="444"/>
      <c r="O11" s="444" t="s">
        <v>1121</v>
      </c>
      <c r="P11" s="444"/>
      <c r="Q11" s="444" t="s">
        <v>1091</v>
      </c>
      <c r="R11" s="444"/>
      <c r="S11" s="444" t="s">
        <v>887</v>
      </c>
      <c r="T11" s="443"/>
      <c r="U11" s="435" t="s">
        <v>901</v>
      </c>
      <c r="V11" s="396"/>
      <c r="W11" s="433" t="s">
        <v>1088</v>
      </c>
      <c r="X11" s="434"/>
      <c r="Y11" s="469" t="s">
        <v>1089</v>
      </c>
      <c r="Z11" s="470"/>
      <c r="AA11" s="448" t="s">
        <v>1090</v>
      </c>
      <c r="AB11" s="449"/>
      <c r="AC11" s="390"/>
    </row>
    <row r="12" spans="1:29" ht="45.75" customHeight="1" thickBot="1" x14ac:dyDescent="0.3">
      <c r="A12" s="380"/>
      <c r="B12" s="1030"/>
      <c r="C12" s="1031"/>
      <c r="D12" s="393"/>
      <c r="E12" s="450">
        <v>5</v>
      </c>
      <c r="F12" s="451"/>
      <c r="G12" s="639">
        <v>7</v>
      </c>
      <c r="H12" s="639"/>
      <c r="I12" s="639">
        <v>9</v>
      </c>
      <c r="J12" s="452"/>
      <c r="K12" s="450">
        <v>11</v>
      </c>
      <c r="L12" s="453"/>
      <c r="M12" s="450">
        <v>13</v>
      </c>
      <c r="N12" s="451"/>
      <c r="O12" s="511">
        <v>15</v>
      </c>
      <c r="P12" s="451"/>
      <c r="Q12" s="450">
        <v>17</v>
      </c>
      <c r="R12" s="454"/>
      <c r="S12" s="450">
        <v>19</v>
      </c>
      <c r="T12" s="452"/>
      <c r="U12" s="450">
        <v>21</v>
      </c>
      <c r="V12" s="450"/>
      <c r="W12" s="450">
        <v>23</v>
      </c>
      <c r="X12" s="451"/>
      <c r="Y12" s="471" t="s">
        <v>1087</v>
      </c>
      <c r="Z12" s="472"/>
      <c r="AA12" s="450">
        <v>25</v>
      </c>
      <c r="AB12" s="391"/>
      <c r="AC12" s="390"/>
    </row>
    <row r="13" spans="1:29" s="384" customFormat="1" ht="21" customHeight="1" thickBot="1" x14ac:dyDescent="0.25">
      <c r="A13" s="428">
        <v>1</v>
      </c>
      <c r="B13" s="383" t="str">
        <f>CONCATENATE($E$3,"EZ",A13)</f>
        <v>EZZZZEZ1</v>
      </c>
      <c r="C13" s="523" t="str">
        <f>IFERROR(VLOOKUP($B13,DataSheetDA!$C$4:$AA$237,3,0),"")</f>
        <v/>
      </c>
      <c r="D13" s="389"/>
      <c r="E13" s="1076" t="str">
        <f>IFERROR(VLOOKUP($B13,DataSheetDA!$C$4:$AA$237,E$12,0),"")</f>
        <v/>
      </c>
      <c r="F13" s="1077"/>
      <c r="G13" s="1076" t="str">
        <f>IFERROR(VLOOKUP($B13,DataSheetDA!$C$4:$AA$237,G$12,0),"")</f>
        <v/>
      </c>
      <c r="H13" s="1073"/>
      <c r="I13" s="1078" t="str">
        <f>IFERROR(VLOOKUP($B13,DataSheetDA!$C$4:$AA$237,I$12,0),"")</f>
        <v/>
      </c>
      <c r="J13" s="1073"/>
      <c r="K13" s="1079" t="str">
        <f>IFERROR(VLOOKUP($B13,DataSheetDA!$C$4:$AA$237,K$12,0),"")</f>
        <v/>
      </c>
      <c r="L13" s="1074"/>
      <c r="M13" s="1078" t="str">
        <f>IFERROR(VLOOKUP($B13,DataSheetDA!$C$4:$AA$237,M$12,0),"")</f>
        <v/>
      </c>
      <c r="N13" s="1077"/>
      <c r="O13" s="1078" t="str">
        <f>IFERROR(VLOOKUP($B13,DataSheetDA!$C$4:$AA$237,O$12,0),"")</f>
        <v/>
      </c>
      <c r="P13" s="1077"/>
      <c r="Q13" s="1078" t="str">
        <f>IFERROR(VLOOKUP($B13,DataSheetDA!$C$4:$AA$237,Q$12,0),"")</f>
        <v/>
      </c>
      <c r="R13" s="1073"/>
      <c r="S13" s="1080" t="str">
        <f>IFERROR(VLOOKUP($B13,DataSheetDA!$C$4:$AA$237,S$12,0),"")</f>
        <v/>
      </c>
      <c r="T13" s="1073"/>
      <c r="U13" s="1079" t="str">
        <f>IFERROR(VLOOKUP($B13,DataSheetDA!$C$4:$AA$237,U$12,0),"")</f>
        <v/>
      </c>
      <c r="V13" s="1073"/>
      <c r="W13" s="1078" t="str">
        <f>IFERROR(VLOOKUP($B13,DataSheetDA!$C$4:$AA$237,W$12,0),"")</f>
        <v/>
      </c>
      <c r="X13" s="1077"/>
      <c r="Y13" s="1081" t="str">
        <f>IF(C13="","",IF(VLOOKUP('Part 1'!$L$13,#REF!,10,FALSE)&lt;1,W13,0))</f>
        <v/>
      </c>
      <c r="Z13" s="1075"/>
      <c r="AA13" s="1079" t="str">
        <f>IFERROR(VLOOKUP($B13,DataSheetDA!$C$4:$AA$237,AA$12,0),"")</f>
        <v/>
      </c>
      <c r="AB13" s="386"/>
      <c r="AC13" s="385"/>
    </row>
    <row r="14" spans="1:29" s="384" customFormat="1" ht="21" customHeight="1" thickBot="1" x14ac:dyDescent="0.25">
      <c r="A14" s="428">
        <v>2</v>
      </c>
      <c r="B14" s="383" t="str">
        <f t="shared" ref="B14:B53" si="0">CONCATENATE($E$3,"EZ",A14)</f>
        <v>EZZZZEZ2</v>
      </c>
      <c r="C14" s="523" t="str">
        <f>IFERROR(VLOOKUP($B14,DataSheetDA!$C$4:$AA$237,3,0),"")</f>
        <v/>
      </c>
      <c r="D14" s="389"/>
      <c r="E14" s="1076" t="str">
        <f>IFERROR(VLOOKUP($B14,DataSheetDA!$C$4:$AA$237,E$12,0),"")</f>
        <v/>
      </c>
      <c r="F14" s="1077"/>
      <c r="G14" s="1076" t="str">
        <f>IFERROR(VLOOKUP($B14,DataSheetDA!$C$4:$AA$237,G$12,0),"")</f>
        <v/>
      </c>
      <c r="H14" s="1073"/>
      <c r="I14" s="1078" t="str">
        <f>IFERROR(VLOOKUP($B14,DataSheetDA!$C$4:$AA$237,I$12,0),"")</f>
        <v/>
      </c>
      <c r="J14" s="1073"/>
      <c r="K14" s="1079" t="str">
        <f>IFERROR(VLOOKUP($B14,DataSheetDA!$C$4:$AA$237,K$12,0),"")</f>
        <v/>
      </c>
      <c r="L14" s="1074"/>
      <c r="M14" s="1078" t="str">
        <f>IFERROR(VLOOKUP($B14,DataSheetDA!$C$4:$AA$237,M$12,0),"")</f>
        <v/>
      </c>
      <c r="N14" s="1077"/>
      <c r="O14" s="1078" t="str">
        <f>IFERROR(VLOOKUP($B14,DataSheetDA!$C$4:$AA$237,O$12,0),"")</f>
        <v/>
      </c>
      <c r="P14" s="1077"/>
      <c r="Q14" s="1078" t="str">
        <f>IFERROR(VLOOKUP($B14,DataSheetDA!$C$4:$AA$237,Q$12,0),"")</f>
        <v/>
      </c>
      <c r="R14" s="1073"/>
      <c r="S14" s="1080" t="str">
        <f>IFERROR(VLOOKUP($B14,DataSheetDA!$C$4:$AA$237,S$12,0),"")</f>
        <v/>
      </c>
      <c r="T14" s="1073"/>
      <c r="U14" s="1079" t="str">
        <f>IFERROR(VLOOKUP($B14,DataSheetDA!$C$4:$AA$237,U$12,0),"")</f>
        <v/>
      </c>
      <c r="V14" s="1073"/>
      <c r="W14" s="1078" t="str">
        <f>IFERROR(VLOOKUP($B14,DataSheetDA!$C$4:$AA$237,W$12,0),"")</f>
        <v/>
      </c>
      <c r="X14" s="1077"/>
      <c r="Y14" s="1081" t="str">
        <f>IF(C14="","",IF(VLOOKUP('Part 1'!$L$13,#REF!,10,FALSE)&lt;1,W14,0))</f>
        <v/>
      </c>
      <c r="Z14" s="1075"/>
      <c r="AA14" s="1079" t="str">
        <f>IFERROR(VLOOKUP($B14,DataSheetDA!$C$4:$AA$237,AA$12,0),"")</f>
        <v/>
      </c>
      <c r="AB14" s="386"/>
      <c r="AC14" s="385"/>
    </row>
    <row r="15" spans="1:29" s="384" customFormat="1" ht="21" customHeight="1" thickBot="1" x14ac:dyDescent="0.25">
      <c r="A15" s="428">
        <v>3</v>
      </c>
      <c r="B15" s="383" t="str">
        <f t="shared" si="0"/>
        <v>EZZZZEZ3</v>
      </c>
      <c r="C15" s="523" t="str">
        <f>IFERROR(VLOOKUP($B15,DataSheetDA!$C$4:$AA$237,3,0),"")</f>
        <v/>
      </c>
      <c r="D15" s="389"/>
      <c r="E15" s="1076" t="str">
        <f>IFERROR(VLOOKUP($B15,DataSheetDA!$C$4:$AA$237,E$12,0),"")</f>
        <v/>
      </c>
      <c r="F15" s="1077"/>
      <c r="G15" s="1076" t="str">
        <f>IFERROR(VLOOKUP($B15,DataSheetDA!$C$4:$AA$237,G$12,0),"")</f>
        <v/>
      </c>
      <c r="H15" s="1073"/>
      <c r="I15" s="1078" t="str">
        <f>IFERROR(VLOOKUP($B15,DataSheetDA!$C$4:$AA$237,I$12,0),"")</f>
        <v/>
      </c>
      <c r="J15" s="1073"/>
      <c r="K15" s="1079" t="str">
        <f>IFERROR(VLOOKUP($B15,DataSheetDA!$C$4:$AA$237,K$12,0),"")</f>
        <v/>
      </c>
      <c r="L15" s="1074"/>
      <c r="M15" s="1078" t="str">
        <f>IFERROR(VLOOKUP($B15,DataSheetDA!$C$4:$AA$237,M$12,0),"")</f>
        <v/>
      </c>
      <c r="N15" s="1077"/>
      <c r="O15" s="1078" t="str">
        <f>IFERROR(VLOOKUP($B15,DataSheetDA!$C$4:$AA$237,O$12,0),"")</f>
        <v/>
      </c>
      <c r="P15" s="1077"/>
      <c r="Q15" s="1078" t="str">
        <f>IFERROR(VLOOKUP($B15,DataSheetDA!$C$4:$AA$237,Q$12,0),"")</f>
        <v/>
      </c>
      <c r="R15" s="1073"/>
      <c r="S15" s="1080" t="str">
        <f>IFERROR(VLOOKUP($B15,DataSheetDA!$C$4:$AA$237,S$12,0),"")</f>
        <v/>
      </c>
      <c r="T15" s="1073"/>
      <c r="U15" s="1079" t="str">
        <f>IFERROR(VLOOKUP($B15,DataSheetDA!$C$4:$AA$237,U$12,0),"")</f>
        <v/>
      </c>
      <c r="V15" s="1073"/>
      <c r="W15" s="1078" t="str">
        <f>IFERROR(VLOOKUP($B15,DataSheetDA!$C$4:$AA$237,W$12,0),"")</f>
        <v/>
      </c>
      <c r="X15" s="1077"/>
      <c r="Y15" s="1081" t="str">
        <f>IF(C15="","",IF(VLOOKUP('Part 1'!$L$13,#REF!,10,FALSE)&lt;1,W15,0))</f>
        <v/>
      </c>
      <c r="Z15" s="1075"/>
      <c r="AA15" s="1079" t="str">
        <f>IFERROR(VLOOKUP($B15,DataSheetDA!$C$4:$AA$237,AA$12,0),"")</f>
        <v/>
      </c>
      <c r="AB15" s="386"/>
      <c r="AC15" s="385"/>
    </row>
    <row r="16" spans="1:29" s="384" customFormat="1" ht="21" customHeight="1" thickBot="1" x14ac:dyDescent="0.25">
      <c r="A16" s="428">
        <v>4</v>
      </c>
      <c r="B16" s="383" t="str">
        <f t="shared" si="0"/>
        <v>EZZZZEZ4</v>
      </c>
      <c r="C16" s="523" t="str">
        <f>IFERROR(VLOOKUP($B16,DataSheetDA!$C$4:$AA$237,3,0),"")</f>
        <v/>
      </c>
      <c r="D16" s="389"/>
      <c r="E16" s="1076" t="str">
        <f>IFERROR(VLOOKUP($B16,DataSheetDA!$C$4:$AA$237,E$12,0),"")</f>
        <v/>
      </c>
      <c r="F16" s="1077"/>
      <c r="G16" s="1076" t="str">
        <f>IFERROR(VLOOKUP($B16,DataSheetDA!$C$4:$AA$237,G$12,0),"")</f>
        <v/>
      </c>
      <c r="H16" s="1073"/>
      <c r="I16" s="1078" t="str">
        <f>IFERROR(VLOOKUP($B16,DataSheetDA!$C$4:$AA$237,I$12,0),"")</f>
        <v/>
      </c>
      <c r="J16" s="1073"/>
      <c r="K16" s="1079" t="str">
        <f>IFERROR(VLOOKUP($B16,DataSheetDA!$C$4:$AA$237,K$12,0),"")</f>
        <v/>
      </c>
      <c r="L16" s="1074"/>
      <c r="M16" s="1078" t="str">
        <f>IFERROR(VLOOKUP($B16,DataSheetDA!$C$4:$AA$237,M$12,0),"")</f>
        <v/>
      </c>
      <c r="N16" s="1077"/>
      <c r="O16" s="1078" t="str">
        <f>IFERROR(VLOOKUP($B16,DataSheetDA!$C$4:$AA$237,O$12,0),"")</f>
        <v/>
      </c>
      <c r="P16" s="1077"/>
      <c r="Q16" s="1078" t="str">
        <f>IFERROR(VLOOKUP($B16,DataSheetDA!$C$4:$AA$237,Q$12,0),"")</f>
        <v/>
      </c>
      <c r="R16" s="1073"/>
      <c r="S16" s="1080" t="str">
        <f>IFERROR(VLOOKUP($B16,DataSheetDA!$C$4:$AA$237,S$12,0),"")</f>
        <v/>
      </c>
      <c r="T16" s="1073"/>
      <c r="U16" s="1079" t="str">
        <f>IFERROR(VLOOKUP($B16,DataSheetDA!$C$4:$AA$237,U$12,0),"")</f>
        <v/>
      </c>
      <c r="V16" s="1073"/>
      <c r="W16" s="1078" t="str">
        <f>IFERROR(VLOOKUP($B16,DataSheetDA!$C$4:$AA$237,W$12,0),"")</f>
        <v/>
      </c>
      <c r="X16" s="1077"/>
      <c r="Y16" s="1081" t="str">
        <f>IF(C16="","",IF(VLOOKUP('Part 1'!$L$13,#REF!,10,FALSE)&lt;1,W16,0))</f>
        <v/>
      </c>
      <c r="Z16" s="1075"/>
      <c r="AA16" s="1079" t="str">
        <f>IFERROR(VLOOKUP($B16,DataSheetDA!$C$4:$AA$237,AA$12,0),"")</f>
        <v/>
      </c>
      <c r="AB16" s="386"/>
      <c r="AC16" s="385"/>
    </row>
    <row r="17" spans="1:29" s="384" customFormat="1" ht="21" customHeight="1" thickBot="1" x14ac:dyDescent="0.25">
      <c r="A17" s="428">
        <v>5</v>
      </c>
      <c r="B17" s="383" t="str">
        <f t="shared" si="0"/>
        <v>EZZZZEZ5</v>
      </c>
      <c r="C17" s="523" t="str">
        <f>IFERROR(VLOOKUP($B17,DataSheetDA!$C$4:$AA$237,3,0),"")</f>
        <v/>
      </c>
      <c r="D17" s="389"/>
      <c r="E17" s="1076" t="str">
        <f>IFERROR(VLOOKUP($B17,DataSheetDA!$C$4:$AA$237,E$12,0),"")</f>
        <v/>
      </c>
      <c r="F17" s="1077"/>
      <c r="G17" s="1076" t="str">
        <f>IFERROR(VLOOKUP($B17,DataSheetDA!$C$4:$AA$237,G$12,0),"")</f>
        <v/>
      </c>
      <c r="H17" s="1073"/>
      <c r="I17" s="1078" t="str">
        <f>IFERROR(VLOOKUP($B17,DataSheetDA!$C$4:$AA$237,I$12,0),"")</f>
        <v/>
      </c>
      <c r="J17" s="1073"/>
      <c r="K17" s="1079" t="str">
        <f>IFERROR(VLOOKUP($B17,DataSheetDA!$C$4:$AA$237,K$12,0),"")</f>
        <v/>
      </c>
      <c r="L17" s="1074"/>
      <c r="M17" s="1078" t="str">
        <f>IFERROR(VLOOKUP($B17,DataSheetDA!$C$4:$AA$237,M$12,0),"")</f>
        <v/>
      </c>
      <c r="N17" s="1077"/>
      <c r="O17" s="1078" t="str">
        <f>IFERROR(VLOOKUP($B17,DataSheetDA!$C$4:$AA$237,O$12,0),"")</f>
        <v/>
      </c>
      <c r="P17" s="1077"/>
      <c r="Q17" s="1078" t="str">
        <f>IFERROR(VLOOKUP($B17,DataSheetDA!$C$4:$AA$237,Q$12,0),"")</f>
        <v/>
      </c>
      <c r="R17" s="1073"/>
      <c r="S17" s="1080" t="str">
        <f>IFERROR(VLOOKUP($B17,DataSheetDA!$C$4:$AA$237,S$12,0),"")</f>
        <v/>
      </c>
      <c r="T17" s="1073"/>
      <c r="U17" s="1079" t="str">
        <f>IFERROR(VLOOKUP($B17,DataSheetDA!$C$4:$AA$237,U$12,0),"")</f>
        <v/>
      </c>
      <c r="V17" s="1073"/>
      <c r="W17" s="1078" t="str">
        <f>IFERROR(VLOOKUP($B17,DataSheetDA!$C$4:$AA$237,W$12,0),"")</f>
        <v/>
      </c>
      <c r="X17" s="1077"/>
      <c r="Y17" s="1081" t="str">
        <f>IF(C17="","",IF(VLOOKUP('Part 1'!$L$13,#REF!,10,FALSE)&lt;1,W17,0))</f>
        <v/>
      </c>
      <c r="Z17" s="1075"/>
      <c r="AA17" s="1079" t="str">
        <f>IFERROR(VLOOKUP($B17,DataSheetDA!$C$4:$AA$237,AA$12,0),"")</f>
        <v/>
      </c>
      <c r="AB17" s="386"/>
      <c r="AC17" s="385"/>
    </row>
    <row r="18" spans="1:29" s="384" customFormat="1" ht="21" customHeight="1" thickBot="1" x14ac:dyDescent="0.25">
      <c r="A18" s="428">
        <v>6</v>
      </c>
      <c r="B18" s="383" t="str">
        <f t="shared" si="0"/>
        <v>EZZZZEZ6</v>
      </c>
      <c r="C18" s="523" t="str">
        <f>IFERROR(VLOOKUP($B18,DataSheetDA!$C$4:$AA$237,3,0),"")</f>
        <v/>
      </c>
      <c r="D18" s="389"/>
      <c r="E18" s="1076" t="str">
        <f>IFERROR(VLOOKUP($B18,DataSheetDA!$C$4:$AA$237,E$12,0),"")</f>
        <v/>
      </c>
      <c r="F18" s="1077"/>
      <c r="G18" s="1076" t="str">
        <f>IFERROR(VLOOKUP($B18,DataSheetDA!$C$4:$AA$237,G$12,0),"")</f>
        <v/>
      </c>
      <c r="H18" s="1073"/>
      <c r="I18" s="1078" t="str">
        <f>IFERROR(VLOOKUP($B18,DataSheetDA!$C$4:$AA$237,I$12,0),"")</f>
        <v/>
      </c>
      <c r="J18" s="1073"/>
      <c r="K18" s="1079" t="str">
        <f>IFERROR(VLOOKUP($B18,DataSheetDA!$C$4:$AA$237,K$12,0),"")</f>
        <v/>
      </c>
      <c r="L18" s="1074"/>
      <c r="M18" s="1078" t="str">
        <f>IFERROR(VLOOKUP($B18,DataSheetDA!$C$4:$AA$237,M$12,0),"")</f>
        <v/>
      </c>
      <c r="N18" s="1077"/>
      <c r="O18" s="1078" t="str">
        <f>IFERROR(VLOOKUP($B18,DataSheetDA!$C$4:$AA$237,O$12,0),"")</f>
        <v/>
      </c>
      <c r="P18" s="1077"/>
      <c r="Q18" s="1078" t="str">
        <f>IFERROR(VLOOKUP($B18,DataSheetDA!$C$4:$AA$237,Q$12,0),"")</f>
        <v/>
      </c>
      <c r="R18" s="1073"/>
      <c r="S18" s="1080" t="str">
        <f>IFERROR(VLOOKUP($B18,DataSheetDA!$C$4:$AA$237,S$12,0),"")</f>
        <v/>
      </c>
      <c r="T18" s="1073"/>
      <c r="U18" s="1079" t="str">
        <f>IFERROR(VLOOKUP($B18,DataSheetDA!$C$4:$AA$237,U$12,0),"")</f>
        <v/>
      </c>
      <c r="V18" s="1073"/>
      <c r="W18" s="1078" t="str">
        <f>IFERROR(VLOOKUP($B18,DataSheetDA!$C$4:$AA$237,W$12,0),"")</f>
        <v/>
      </c>
      <c r="X18" s="1077"/>
      <c r="Y18" s="1081" t="str">
        <f>IF(C18="","",IF(VLOOKUP('Part 1'!$L$13,#REF!,10,FALSE)&lt;1,W18,0))</f>
        <v/>
      </c>
      <c r="Z18" s="1075"/>
      <c r="AA18" s="1079" t="str">
        <f>IFERROR(VLOOKUP($B18,DataSheetDA!$C$4:$AA$237,AA$12,0),"")</f>
        <v/>
      </c>
      <c r="AB18" s="386"/>
      <c r="AC18" s="385"/>
    </row>
    <row r="19" spans="1:29" s="384" customFormat="1" ht="21" customHeight="1" thickBot="1" x14ac:dyDescent="0.25">
      <c r="A19" s="428">
        <v>7</v>
      </c>
      <c r="B19" s="383" t="str">
        <f t="shared" si="0"/>
        <v>EZZZZEZ7</v>
      </c>
      <c r="C19" s="523" t="str">
        <f>IFERROR(VLOOKUP($B19,DataSheetDA!$C$4:$AA$237,3,0),"")</f>
        <v/>
      </c>
      <c r="D19" s="389"/>
      <c r="E19" s="1076" t="str">
        <f>IFERROR(VLOOKUP($B19,DataSheetDA!$C$4:$AA$237,E$12,0),"")</f>
        <v/>
      </c>
      <c r="F19" s="1077"/>
      <c r="G19" s="1076" t="str">
        <f>IFERROR(VLOOKUP($B19,DataSheetDA!$C$4:$AA$237,G$12,0),"")</f>
        <v/>
      </c>
      <c r="H19" s="1073"/>
      <c r="I19" s="1078" t="str">
        <f>IFERROR(VLOOKUP($B19,DataSheetDA!$C$4:$AA$237,I$12,0),"")</f>
        <v/>
      </c>
      <c r="J19" s="1073"/>
      <c r="K19" s="1079" t="str">
        <f>IFERROR(VLOOKUP($B19,DataSheetDA!$C$4:$AA$237,K$12,0),"")</f>
        <v/>
      </c>
      <c r="L19" s="1074"/>
      <c r="M19" s="1078" t="str">
        <f>IFERROR(VLOOKUP($B19,DataSheetDA!$C$4:$AA$237,M$12,0),"")</f>
        <v/>
      </c>
      <c r="N19" s="1077"/>
      <c r="O19" s="1078" t="str">
        <f>IFERROR(VLOOKUP($B19,DataSheetDA!$C$4:$AA$237,O$12,0),"")</f>
        <v/>
      </c>
      <c r="P19" s="1077"/>
      <c r="Q19" s="1078" t="str">
        <f>IFERROR(VLOOKUP($B19,DataSheetDA!$C$4:$AA$237,Q$12,0),"")</f>
        <v/>
      </c>
      <c r="R19" s="1073"/>
      <c r="S19" s="1080" t="str">
        <f>IFERROR(VLOOKUP($B19,DataSheetDA!$C$4:$AA$237,S$12,0),"")</f>
        <v/>
      </c>
      <c r="T19" s="1073"/>
      <c r="U19" s="1079" t="str">
        <f>IFERROR(VLOOKUP($B19,DataSheetDA!$C$4:$AA$237,U$12,0),"")</f>
        <v/>
      </c>
      <c r="V19" s="1073"/>
      <c r="W19" s="1078" t="str">
        <f>IFERROR(VLOOKUP($B19,DataSheetDA!$C$4:$AA$237,W$12,0),"")</f>
        <v/>
      </c>
      <c r="X19" s="1077"/>
      <c r="Y19" s="1081" t="str">
        <f>IF(C19="","",IF(VLOOKUP('Part 1'!$L$13,#REF!,10,FALSE)&lt;1,W19,0))</f>
        <v/>
      </c>
      <c r="Z19" s="1075"/>
      <c r="AA19" s="1079" t="str">
        <f>IFERROR(VLOOKUP($B19,DataSheetDA!$C$4:$AA$237,AA$12,0),"")</f>
        <v/>
      </c>
      <c r="AB19" s="386"/>
      <c r="AC19" s="385"/>
    </row>
    <row r="20" spans="1:29" s="384" customFormat="1" ht="21" customHeight="1" thickBot="1" x14ac:dyDescent="0.25">
      <c r="A20" s="428">
        <v>8</v>
      </c>
      <c r="B20" s="383" t="str">
        <f t="shared" si="0"/>
        <v>EZZZZEZ8</v>
      </c>
      <c r="C20" s="523" t="str">
        <f>IFERROR(VLOOKUP($B20,DataSheetDA!$C$4:$AA$237,3,0),"")</f>
        <v/>
      </c>
      <c r="D20" s="389"/>
      <c r="E20" s="1076" t="str">
        <f>IFERROR(VLOOKUP($B20,DataSheetDA!$C$4:$AA$237,E$12,0),"")</f>
        <v/>
      </c>
      <c r="F20" s="1077"/>
      <c r="G20" s="1076" t="str">
        <f>IFERROR(VLOOKUP($B20,DataSheetDA!$C$4:$AA$237,G$12,0),"")</f>
        <v/>
      </c>
      <c r="H20" s="1073"/>
      <c r="I20" s="1078" t="str">
        <f>IFERROR(VLOOKUP($B20,DataSheetDA!$C$4:$AA$237,I$12,0),"")</f>
        <v/>
      </c>
      <c r="J20" s="1073"/>
      <c r="K20" s="1079" t="str">
        <f>IFERROR(VLOOKUP($B20,DataSheetDA!$C$4:$AA$237,K$12,0),"")</f>
        <v/>
      </c>
      <c r="L20" s="1074"/>
      <c r="M20" s="1078" t="str">
        <f>IFERROR(VLOOKUP($B20,DataSheetDA!$C$4:$AA$237,M$12,0),"")</f>
        <v/>
      </c>
      <c r="N20" s="1077"/>
      <c r="O20" s="1078" t="str">
        <f>IFERROR(VLOOKUP($B20,DataSheetDA!$C$4:$AA$237,O$12,0),"")</f>
        <v/>
      </c>
      <c r="P20" s="1077"/>
      <c r="Q20" s="1078" t="str">
        <f>IFERROR(VLOOKUP($B20,DataSheetDA!$C$4:$AA$237,Q$12,0),"")</f>
        <v/>
      </c>
      <c r="R20" s="1073"/>
      <c r="S20" s="1080" t="str">
        <f>IFERROR(VLOOKUP($B20,DataSheetDA!$C$4:$AA$237,S$12,0),"")</f>
        <v/>
      </c>
      <c r="T20" s="1073"/>
      <c r="U20" s="1079" t="str">
        <f>IFERROR(VLOOKUP($B20,DataSheetDA!$C$4:$AA$237,U$12,0),"")</f>
        <v/>
      </c>
      <c r="V20" s="1073"/>
      <c r="W20" s="1078" t="str">
        <f>IFERROR(VLOOKUP($B20,DataSheetDA!$C$4:$AA$237,W$12,0),"")</f>
        <v/>
      </c>
      <c r="X20" s="1077"/>
      <c r="Y20" s="1081" t="str">
        <f>IF(C20="","",IF(VLOOKUP('Part 1'!$L$13,#REF!,10,FALSE)&lt;1,W20,0))</f>
        <v/>
      </c>
      <c r="Z20" s="1075"/>
      <c r="AA20" s="1079" t="str">
        <f>IFERROR(VLOOKUP($B20,DataSheetDA!$C$4:$AA$237,AA$12,0),"")</f>
        <v/>
      </c>
      <c r="AB20" s="386"/>
      <c r="AC20" s="385"/>
    </row>
    <row r="21" spans="1:29" s="384" customFormat="1" ht="21" customHeight="1" thickBot="1" x14ac:dyDescent="0.25">
      <c r="A21" s="428">
        <v>9</v>
      </c>
      <c r="B21" s="383" t="str">
        <f t="shared" si="0"/>
        <v>EZZZZEZ9</v>
      </c>
      <c r="C21" s="523" t="str">
        <f>IFERROR(VLOOKUP($B21,DataSheetDA!$C$4:$AA$237,3,0),"")</f>
        <v/>
      </c>
      <c r="D21" s="389"/>
      <c r="E21" s="1076" t="str">
        <f>IFERROR(VLOOKUP($B21,DataSheetDA!$C$4:$AA$237,E$12,0),"")</f>
        <v/>
      </c>
      <c r="F21" s="1077"/>
      <c r="G21" s="1076" t="str">
        <f>IFERROR(VLOOKUP($B21,DataSheetDA!$C$4:$AA$237,G$12,0),"")</f>
        <v/>
      </c>
      <c r="H21" s="1073"/>
      <c r="I21" s="1078" t="str">
        <f>IFERROR(VLOOKUP($B21,DataSheetDA!$C$4:$AA$237,I$12,0),"")</f>
        <v/>
      </c>
      <c r="J21" s="1073"/>
      <c r="K21" s="1079" t="str">
        <f>IFERROR(VLOOKUP($B21,DataSheetDA!$C$4:$AA$237,K$12,0),"")</f>
        <v/>
      </c>
      <c r="L21" s="1074"/>
      <c r="M21" s="1078" t="str">
        <f>IFERROR(VLOOKUP($B21,DataSheetDA!$C$4:$AA$237,M$12,0),"")</f>
        <v/>
      </c>
      <c r="N21" s="1077"/>
      <c r="O21" s="1078" t="str">
        <f>IFERROR(VLOOKUP($B21,DataSheetDA!$C$4:$AA$237,O$12,0),"")</f>
        <v/>
      </c>
      <c r="P21" s="1077"/>
      <c r="Q21" s="1078" t="str">
        <f>IFERROR(VLOOKUP($B21,DataSheetDA!$C$4:$AA$237,Q$12,0),"")</f>
        <v/>
      </c>
      <c r="R21" s="1073"/>
      <c r="S21" s="1080" t="str">
        <f>IFERROR(VLOOKUP($B21,DataSheetDA!$C$4:$AA$237,S$12,0),"")</f>
        <v/>
      </c>
      <c r="T21" s="1073"/>
      <c r="U21" s="1079" t="str">
        <f>IFERROR(VLOOKUP($B21,DataSheetDA!$C$4:$AA$237,U$12,0),"")</f>
        <v/>
      </c>
      <c r="V21" s="1073"/>
      <c r="W21" s="1078" t="str">
        <f>IFERROR(VLOOKUP($B21,DataSheetDA!$C$4:$AA$237,W$12,0),"")</f>
        <v/>
      </c>
      <c r="X21" s="1077"/>
      <c r="Y21" s="1081" t="str">
        <f>IF(C21="","",IF(VLOOKUP('Part 1'!$L$13,#REF!,10,FALSE)&lt;1,W21,0))</f>
        <v/>
      </c>
      <c r="Z21" s="1075"/>
      <c r="AA21" s="1079" t="str">
        <f>IFERROR(VLOOKUP($B21,DataSheetDA!$C$4:$AA$237,AA$12,0),"")</f>
        <v/>
      </c>
      <c r="AB21" s="386"/>
      <c r="AC21" s="385"/>
    </row>
    <row r="22" spans="1:29" s="384" customFormat="1" ht="21" customHeight="1" thickBot="1" x14ac:dyDescent="0.25">
      <c r="A22" s="428">
        <v>10</v>
      </c>
      <c r="B22" s="383" t="str">
        <f t="shared" si="0"/>
        <v>EZZZZEZ10</v>
      </c>
      <c r="C22" s="523" t="str">
        <f>IFERROR(VLOOKUP($B22,DataSheetDA!$C$4:$AA$237,3,0),"")</f>
        <v/>
      </c>
      <c r="D22" s="389"/>
      <c r="E22" s="1076" t="str">
        <f>IFERROR(VLOOKUP($B22,DataSheetDA!$C$4:$AA$237,E$12,0),"")</f>
        <v/>
      </c>
      <c r="F22" s="1077"/>
      <c r="G22" s="1076" t="str">
        <f>IFERROR(VLOOKUP($B22,DataSheetDA!$C$4:$AA$237,G$12,0),"")</f>
        <v/>
      </c>
      <c r="H22" s="1073"/>
      <c r="I22" s="1078" t="str">
        <f>IFERROR(VLOOKUP($B22,DataSheetDA!$C$4:$AA$237,I$12,0),"")</f>
        <v/>
      </c>
      <c r="J22" s="1073"/>
      <c r="K22" s="1079" t="str">
        <f>IFERROR(VLOOKUP($B22,DataSheetDA!$C$4:$AA$237,K$12,0),"")</f>
        <v/>
      </c>
      <c r="L22" s="1074"/>
      <c r="M22" s="1078" t="str">
        <f>IFERROR(VLOOKUP($B22,DataSheetDA!$C$4:$AA$237,M$12,0),"")</f>
        <v/>
      </c>
      <c r="N22" s="1077"/>
      <c r="O22" s="1078" t="str">
        <f>IFERROR(VLOOKUP($B22,DataSheetDA!$C$4:$AA$237,O$12,0),"")</f>
        <v/>
      </c>
      <c r="P22" s="1077"/>
      <c r="Q22" s="1078" t="str">
        <f>IFERROR(VLOOKUP($B22,DataSheetDA!$C$4:$AA$237,Q$12,0),"")</f>
        <v/>
      </c>
      <c r="R22" s="1073"/>
      <c r="S22" s="1080" t="str">
        <f>IFERROR(VLOOKUP($B22,DataSheetDA!$C$4:$AA$237,S$12,0),"")</f>
        <v/>
      </c>
      <c r="T22" s="1073"/>
      <c r="U22" s="1079" t="str">
        <f>IFERROR(VLOOKUP($B22,DataSheetDA!$C$4:$AA$237,U$12,0),"")</f>
        <v/>
      </c>
      <c r="V22" s="1073"/>
      <c r="W22" s="1078" t="str">
        <f>IFERROR(VLOOKUP($B22,DataSheetDA!$C$4:$AA$237,W$12,0),"")</f>
        <v/>
      </c>
      <c r="X22" s="1077"/>
      <c r="Y22" s="1081" t="str">
        <f>IF(C22="","",IF(VLOOKUP('Part 1'!$L$13,#REF!,10,FALSE)&lt;1,W22,0))</f>
        <v/>
      </c>
      <c r="Z22" s="1075"/>
      <c r="AA22" s="1079" t="str">
        <f>IFERROR(VLOOKUP($B22,DataSheetDA!$C$4:$AA$237,AA$12,0),"")</f>
        <v/>
      </c>
      <c r="AB22" s="386"/>
      <c r="AC22" s="385"/>
    </row>
    <row r="23" spans="1:29" s="384" customFormat="1" ht="21" customHeight="1" thickBot="1" x14ac:dyDescent="0.25">
      <c r="A23" s="428">
        <v>11</v>
      </c>
      <c r="B23" s="383" t="str">
        <f t="shared" si="0"/>
        <v>EZZZZEZ11</v>
      </c>
      <c r="C23" s="523" t="str">
        <f>IFERROR(VLOOKUP($B23,DataSheetDA!$C$4:$AA$237,3,0),"")</f>
        <v/>
      </c>
      <c r="D23" s="389"/>
      <c r="E23" s="1076" t="str">
        <f>IFERROR(VLOOKUP($B23,DataSheetDA!$C$4:$AA$237,E$12,0),"")</f>
        <v/>
      </c>
      <c r="F23" s="1077"/>
      <c r="G23" s="1076" t="str">
        <f>IFERROR(VLOOKUP($B23,DataSheetDA!$C$4:$AA$237,G$12,0),"")</f>
        <v/>
      </c>
      <c r="H23" s="1073"/>
      <c r="I23" s="1078" t="str">
        <f>IFERROR(VLOOKUP($B23,DataSheetDA!$C$4:$AA$237,I$12,0),"")</f>
        <v/>
      </c>
      <c r="J23" s="1073"/>
      <c r="K23" s="1079" t="str">
        <f>IFERROR(VLOOKUP($B23,DataSheetDA!$C$4:$AA$237,K$12,0),"")</f>
        <v/>
      </c>
      <c r="L23" s="1074"/>
      <c r="M23" s="1078" t="str">
        <f>IFERROR(VLOOKUP($B23,DataSheetDA!$C$4:$AA$237,M$12,0),"")</f>
        <v/>
      </c>
      <c r="N23" s="1077"/>
      <c r="O23" s="1078" t="str">
        <f>IFERROR(VLOOKUP($B23,DataSheetDA!$C$4:$AA$237,O$12,0),"")</f>
        <v/>
      </c>
      <c r="P23" s="1077"/>
      <c r="Q23" s="1078" t="str">
        <f>IFERROR(VLOOKUP($B23,DataSheetDA!$C$4:$AA$237,Q$12,0),"")</f>
        <v/>
      </c>
      <c r="R23" s="1073"/>
      <c r="S23" s="1080" t="str">
        <f>IFERROR(VLOOKUP($B23,DataSheetDA!$C$4:$AA$237,S$12,0),"")</f>
        <v/>
      </c>
      <c r="T23" s="1073"/>
      <c r="U23" s="1079" t="str">
        <f>IFERROR(VLOOKUP($B23,DataSheetDA!$C$4:$AA$237,U$12,0),"")</f>
        <v/>
      </c>
      <c r="V23" s="1073"/>
      <c r="W23" s="1078" t="str">
        <f>IFERROR(VLOOKUP($B23,DataSheetDA!$C$4:$AA$237,W$12,0),"")</f>
        <v/>
      </c>
      <c r="X23" s="1077"/>
      <c r="Y23" s="1081" t="str">
        <f>IF(C23="","",IF(VLOOKUP('Part 1'!$L$13,#REF!,10,FALSE)&lt;1,W23,0))</f>
        <v/>
      </c>
      <c r="Z23" s="1075"/>
      <c r="AA23" s="1079" t="str">
        <f>IFERROR(VLOOKUP($B23,DataSheetDA!$C$4:$AA$237,AA$12,0),"")</f>
        <v/>
      </c>
      <c r="AB23" s="386"/>
      <c r="AC23" s="385"/>
    </row>
    <row r="24" spans="1:29" s="384" customFormat="1" ht="21" customHeight="1" thickBot="1" x14ac:dyDescent="0.25">
      <c r="A24" s="428">
        <v>12</v>
      </c>
      <c r="B24" s="383" t="str">
        <f t="shared" si="0"/>
        <v>EZZZZEZ12</v>
      </c>
      <c r="C24" s="523" t="str">
        <f>IFERROR(VLOOKUP($B24,DataSheetDA!$C$4:$AA$237,3,0),"")</f>
        <v/>
      </c>
      <c r="D24" s="389"/>
      <c r="E24" s="1076" t="str">
        <f>IFERROR(VLOOKUP($B24,DataSheetDA!$C$4:$AA$237,E$12,0),"")</f>
        <v/>
      </c>
      <c r="F24" s="1077"/>
      <c r="G24" s="1076" t="str">
        <f>IFERROR(VLOOKUP($B24,DataSheetDA!$C$4:$AA$237,G$12,0),"")</f>
        <v/>
      </c>
      <c r="H24" s="1073"/>
      <c r="I24" s="1078" t="str">
        <f>IFERROR(VLOOKUP($B24,DataSheetDA!$C$4:$AA$237,I$12,0),"")</f>
        <v/>
      </c>
      <c r="J24" s="1073"/>
      <c r="K24" s="1079" t="str">
        <f>IFERROR(VLOOKUP($B24,DataSheetDA!$C$4:$AA$237,K$12,0),"")</f>
        <v/>
      </c>
      <c r="L24" s="1074"/>
      <c r="M24" s="1078" t="str">
        <f>IFERROR(VLOOKUP($B24,DataSheetDA!$C$4:$AA$237,M$12,0),"")</f>
        <v/>
      </c>
      <c r="N24" s="1077"/>
      <c r="O24" s="1078" t="str">
        <f>IFERROR(VLOOKUP($B24,DataSheetDA!$C$4:$AA$237,O$12,0),"")</f>
        <v/>
      </c>
      <c r="P24" s="1077"/>
      <c r="Q24" s="1078" t="str">
        <f>IFERROR(VLOOKUP($B24,DataSheetDA!$C$4:$AA$237,Q$12,0),"")</f>
        <v/>
      </c>
      <c r="R24" s="1073"/>
      <c r="S24" s="1080" t="str">
        <f>IFERROR(VLOOKUP($B24,DataSheetDA!$C$4:$AA$237,S$12,0),"")</f>
        <v/>
      </c>
      <c r="T24" s="1073"/>
      <c r="U24" s="1079" t="str">
        <f>IFERROR(VLOOKUP($B24,DataSheetDA!$C$4:$AA$237,U$12,0),"")</f>
        <v/>
      </c>
      <c r="V24" s="1073"/>
      <c r="W24" s="1078" t="str">
        <f>IFERROR(VLOOKUP($B24,DataSheetDA!$C$4:$AA$237,W$12,0),"")</f>
        <v/>
      </c>
      <c r="X24" s="1077"/>
      <c r="Y24" s="1081" t="str">
        <f>IF(C24="","",IF(VLOOKUP('Part 1'!$L$13,#REF!,10,FALSE)&lt;1,W24,0))</f>
        <v/>
      </c>
      <c r="Z24" s="1075"/>
      <c r="AA24" s="1079" t="str">
        <f>IFERROR(VLOOKUP($B24,DataSheetDA!$C$4:$AA$237,AA$12,0),"")</f>
        <v/>
      </c>
      <c r="AB24" s="386"/>
      <c r="AC24" s="385"/>
    </row>
    <row r="25" spans="1:29" s="384" customFormat="1" ht="21" customHeight="1" thickBot="1" x14ac:dyDescent="0.25">
      <c r="A25" s="428">
        <v>13</v>
      </c>
      <c r="B25" s="383" t="str">
        <f t="shared" si="0"/>
        <v>EZZZZEZ13</v>
      </c>
      <c r="C25" s="523" t="str">
        <f>IFERROR(VLOOKUP($B25,DataSheetDA!$C$4:$AA$237,3,0),"")</f>
        <v/>
      </c>
      <c r="D25" s="389"/>
      <c r="E25" s="1076" t="str">
        <f>IFERROR(VLOOKUP($B25,DataSheetDA!$C$4:$AA$237,E$12,0),"")</f>
        <v/>
      </c>
      <c r="F25" s="1077"/>
      <c r="G25" s="1076" t="str">
        <f>IFERROR(VLOOKUP($B25,DataSheetDA!$C$4:$AA$237,G$12,0),"")</f>
        <v/>
      </c>
      <c r="H25" s="1073"/>
      <c r="I25" s="1078" t="str">
        <f>IFERROR(VLOOKUP($B25,DataSheetDA!$C$4:$AA$237,I$12,0),"")</f>
        <v/>
      </c>
      <c r="J25" s="1073"/>
      <c r="K25" s="1079" t="str">
        <f>IFERROR(VLOOKUP($B25,DataSheetDA!$C$4:$AA$237,K$12,0),"")</f>
        <v/>
      </c>
      <c r="L25" s="1074"/>
      <c r="M25" s="1078" t="str">
        <f>IFERROR(VLOOKUP($B25,DataSheetDA!$C$4:$AA$237,M$12,0),"")</f>
        <v/>
      </c>
      <c r="N25" s="1077"/>
      <c r="O25" s="1078" t="str">
        <f>IFERROR(VLOOKUP($B25,DataSheetDA!$C$4:$AA$237,O$12,0),"")</f>
        <v/>
      </c>
      <c r="P25" s="1077"/>
      <c r="Q25" s="1078" t="str">
        <f>IFERROR(VLOOKUP($B25,DataSheetDA!$C$4:$AA$237,Q$12,0),"")</f>
        <v/>
      </c>
      <c r="R25" s="1073"/>
      <c r="S25" s="1080" t="str">
        <f>IFERROR(VLOOKUP($B25,DataSheetDA!$C$4:$AA$237,S$12,0),"")</f>
        <v/>
      </c>
      <c r="T25" s="1073"/>
      <c r="U25" s="1079" t="str">
        <f>IFERROR(VLOOKUP($B25,DataSheetDA!$C$4:$AA$237,U$12,0),"")</f>
        <v/>
      </c>
      <c r="V25" s="1073"/>
      <c r="W25" s="1078" t="str">
        <f>IFERROR(VLOOKUP($B25,DataSheetDA!$C$4:$AA$237,W$12,0),"")</f>
        <v/>
      </c>
      <c r="X25" s="1077"/>
      <c r="Y25" s="1081" t="str">
        <f>IF(C25="","",IF(VLOOKUP('Part 1'!$L$13,#REF!,10,FALSE)&lt;1,W25,0))</f>
        <v/>
      </c>
      <c r="Z25" s="1075"/>
      <c r="AA25" s="1079" t="str">
        <f>IFERROR(VLOOKUP($B25,DataSheetDA!$C$4:$AA$237,AA$12,0),"")</f>
        <v/>
      </c>
      <c r="AB25" s="386"/>
      <c r="AC25" s="385"/>
    </row>
    <row r="26" spans="1:29" s="384" customFormat="1" ht="21" customHeight="1" thickBot="1" x14ac:dyDescent="0.25">
      <c r="A26" s="428">
        <v>14</v>
      </c>
      <c r="B26" s="383" t="str">
        <f t="shared" si="0"/>
        <v>EZZZZEZ14</v>
      </c>
      <c r="C26" s="523" t="str">
        <f>IFERROR(VLOOKUP($B26,DataSheetDA!$C$4:$AA$237,3,0),"")</f>
        <v/>
      </c>
      <c r="D26" s="389"/>
      <c r="E26" s="1076" t="str">
        <f>IFERROR(VLOOKUP($B26,DataSheetDA!$C$4:$AA$237,E$12,0),"")</f>
        <v/>
      </c>
      <c r="F26" s="1077"/>
      <c r="G26" s="1076" t="str">
        <f>IFERROR(VLOOKUP($B26,DataSheetDA!$C$4:$AA$237,G$12,0),"")</f>
        <v/>
      </c>
      <c r="H26" s="1073"/>
      <c r="I26" s="1078" t="str">
        <f>IFERROR(VLOOKUP($B26,DataSheetDA!$C$4:$AA$237,I$12,0),"")</f>
        <v/>
      </c>
      <c r="J26" s="1073"/>
      <c r="K26" s="1079" t="str">
        <f>IFERROR(VLOOKUP($B26,DataSheetDA!$C$4:$AA$237,K$12,0),"")</f>
        <v/>
      </c>
      <c r="L26" s="1074"/>
      <c r="M26" s="1078" t="str">
        <f>IFERROR(VLOOKUP($B26,DataSheetDA!$C$4:$AA$237,M$12,0),"")</f>
        <v/>
      </c>
      <c r="N26" s="1077"/>
      <c r="O26" s="1078" t="str">
        <f>IFERROR(VLOOKUP($B26,DataSheetDA!$C$4:$AA$237,O$12,0),"")</f>
        <v/>
      </c>
      <c r="P26" s="1077"/>
      <c r="Q26" s="1078" t="str">
        <f>IFERROR(VLOOKUP($B26,DataSheetDA!$C$4:$AA$237,Q$12,0),"")</f>
        <v/>
      </c>
      <c r="R26" s="1073"/>
      <c r="S26" s="1080" t="str">
        <f>IFERROR(VLOOKUP($B26,DataSheetDA!$C$4:$AA$237,S$12,0),"")</f>
        <v/>
      </c>
      <c r="T26" s="1073"/>
      <c r="U26" s="1079" t="str">
        <f>IFERROR(VLOOKUP($B26,DataSheetDA!$C$4:$AA$237,U$12,0),"")</f>
        <v/>
      </c>
      <c r="V26" s="1073"/>
      <c r="W26" s="1078" t="str">
        <f>IFERROR(VLOOKUP($B26,DataSheetDA!$C$4:$AA$237,W$12,0),"")</f>
        <v/>
      </c>
      <c r="X26" s="1077"/>
      <c r="Y26" s="1081" t="str">
        <f>IF(C26="","",IF(VLOOKUP('Part 1'!$L$13,#REF!,10,FALSE)&lt;1,W26,0))</f>
        <v/>
      </c>
      <c r="Z26" s="1075"/>
      <c r="AA26" s="1079" t="str">
        <f>IFERROR(VLOOKUP($B26,DataSheetDA!$C$4:$AA$237,AA$12,0),"")</f>
        <v/>
      </c>
      <c r="AB26" s="386"/>
      <c r="AC26" s="385"/>
    </row>
    <row r="27" spans="1:29" s="384" customFormat="1" ht="21" customHeight="1" thickBot="1" x14ac:dyDescent="0.25">
      <c r="A27" s="428">
        <v>15</v>
      </c>
      <c r="B27" s="383" t="str">
        <f t="shared" si="0"/>
        <v>EZZZZEZ15</v>
      </c>
      <c r="C27" s="523" t="str">
        <f>IFERROR(VLOOKUP($B27,DataSheetDA!$C$4:$AA$237,3,0),"")</f>
        <v/>
      </c>
      <c r="D27" s="389"/>
      <c r="E27" s="1076" t="str">
        <f>IFERROR(VLOOKUP($B27,DataSheetDA!$C$4:$AA$237,E$12,0),"")</f>
        <v/>
      </c>
      <c r="F27" s="1077"/>
      <c r="G27" s="1076" t="str">
        <f>IFERROR(VLOOKUP($B27,DataSheetDA!$C$4:$AA$237,G$12,0),"")</f>
        <v/>
      </c>
      <c r="H27" s="1073"/>
      <c r="I27" s="1078" t="str">
        <f>IFERROR(VLOOKUP($B27,DataSheetDA!$C$4:$AA$237,I$12,0),"")</f>
        <v/>
      </c>
      <c r="J27" s="1073"/>
      <c r="K27" s="1079" t="str">
        <f>IFERROR(VLOOKUP($B27,DataSheetDA!$C$4:$AA$237,K$12,0),"")</f>
        <v/>
      </c>
      <c r="L27" s="1074"/>
      <c r="M27" s="1078" t="str">
        <f>IFERROR(VLOOKUP($B27,DataSheetDA!$C$4:$AA$237,M$12,0),"")</f>
        <v/>
      </c>
      <c r="N27" s="1077"/>
      <c r="O27" s="1078" t="str">
        <f>IFERROR(VLOOKUP($B27,DataSheetDA!$C$4:$AA$237,O$12,0),"")</f>
        <v/>
      </c>
      <c r="P27" s="1077"/>
      <c r="Q27" s="1078" t="str">
        <f>IFERROR(VLOOKUP($B27,DataSheetDA!$C$4:$AA$237,Q$12,0),"")</f>
        <v/>
      </c>
      <c r="R27" s="1073"/>
      <c r="S27" s="1080" t="str">
        <f>IFERROR(VLOOKUP($B27,DataSheetDA!$C$4:$AA$237,S$12,0),"")</f>
        <v/>
      </c>
      <c r="T27" s="1073"/>
      <c r="U27" s="1079" t="str">
        <f>IFERROR(VLOOKUP($B27,DataSheetDA!$C$4:$AA$237,U$12,0),"")</f>
        <v/>
      </c>
      <c r="V27" s="1073"/>
      <c r="W27" s="1078" t="str">
        <f>IFERROR(VLOOKUP($B27,DataSheetDA!$C$4:$AA$237,W$12,0),"")</f>
        <v/>
      </c>
      <c r="X27" s="1077"/>
      <c r="Y27" s="1081" t="str">
        <f>IF(C27="","",IF(VLOOKUP('Part 1'!$L$13,#REF!,10,FALSE)&lt;1,W27,0))</f>
        <v/>
      </c>
      <c r="Z27" s="1075"/>
      <c r="AA27" s="1079" t="str">
        <f>IFERROR(VLOOKUP($B27,DataSheetDA!$C$4:$AA$237,AA$12,0),"")</f>
        <v/>
      </c>
      <c r="AB27" s="386"/>
      <c r="AC27" s="385"/>
    </row>
    <row r="28" spans="1:29" s="384" customFormat="1" ht="21" customHeight="1" thickBot="1" x14ac:dyDescent="0.25">
      <c r="A28" s="428">
        <v>16</v>
      </c>
      <c r="B28" s="383" t="str">
        <f t="shared" si="0"/>
        <v>EZZZZEZ16</v>
      </c>
      <c r="C28" s="523" t="str">
        <f>IFERROR(VLOOKUP($B28,DataSheetDA!$C$4:$AA$237,3,0),"")</f>
        <v/>
      </c>
      <c r="D28" s="389"/>
      <c r="E28" s="1076" t="str">
        <f>IFERROR(VLOOKUP($B28,DataSheetDA!$C$4:$AA$237,E$12,0),"")</f>
        <v/>
      </c>
      <c r="F28" s="1077"/>
      <c r="G28" s="1076" t="str">
        <f>IFERROR(VLOOKUP($B28,DataSheetDA!$C$4:$AA$237,G$12,0),"")</f>
        <v/>
      </c>
      <c r="H28" s="1073"/>
      <c r="I28" s="1078" t="str">
        <f>IFERROR(VLOOKUP($B28,DataSheetDA!$C$4:$AA$237,I$12,0),"")</f>
        <v/>
      </c>
      <c r="J28" s="1073"/>
      <c r="K28" s="1079" t="str">
        <f>IFERROR(VLOOKUP($B28,DataSheetDA!$C$4:$AA$237,K$12,0),"")</f>
        <v/>
      </c>
      <c r="L28" s="1074"/>
      <c r="M28" s="1078" t="str">
        <f>IFERROR(VLOOKUP($B28,DataSheetDA!$C$4:$AA$237,M$12,0),"")</f>
        <v/>
      </c>
      <c r="N28" s="1077"/>
      <c r="O28" s="1078" t="str">
        <f>IFERROR(VLOOKUP($B28,DataSheetDA!$C$4:$AA$237,O$12,0),"")</f>
        <v/>
      </c>
      <c r="P28" s="1077"/>
      <c r="Q28" s="1078" t="str">
        <f>IFERROR(VLOOKUP($B28,DataSheetDA!$C$4:$AA$237,Q$12,0),"")</f>
        <v/>
      </c>
      <c r="R28" s="1073"/>
      <c r="S28" s="1080" t="str">
        <f>IFERROR(VLOOKUP($B28,DataSheetDA!$C$4:$AA$237,S$12,0),"")</f>
        <v/>
      </c>
      <c r="T28" s="1073"/>
      <c r="U28" s="1079" t="str">
        <f>IFERROR(VLOOKUP($B28,DataSheetDA!$C$4:$AA$237,U$12,0),"")</f>
        <v/>
      </c>
      <c r="V28" s="1073"/>
      <c r="W28" s="1078" t="str">
        <f>IFERROR(VLOOKUP($B28,DataSheetDA!$C$4:$AA$237,W$12,0),"")</f>
        <v/>
      </c>
      <c r="X28" s="1077"/>
      <c r="Y28" s="1081" t="str">
        <f>IF(C28="","",IF(VLOOKUP('Part 1'!$L$13,#REF!,10,FALSE)&lt;1,W28,0))</f>
        <v/>
      </c>
      <c r="Z28" s="1075"/>
      <c r="AA28" s="1079" t="str">
        <f>IFERROR(VLOOKUP($B28,DataSheetDA!$C$4:$AA$237,AA$12,0),"")</f>
        <v/>
      </c>
      <c r="AB28" s="386"/>
      <c r="AC28" s="385"/>
    </row>
    <row r="29" spans="1:29" s="384" customFormat="1" ht="21" customHeight="1" thickBot="1" x14ac:dyDescent="0.25">
      <c r="A29" s="428">
        <v>17</v>
      </c>
      <c r="B29" s="383" t="str">
        <f t="shared" si="0"/>
        <v>EZZZZEZ17</v>
      </c>
      <c r="C29" s="523" t="str">
        <f>IFERROR(VLOOKUP($B29,DataSheetDA!$C$4:$AA$237,3,0),"")</f>
        <v/>
      </c>
      <c r="D29" s="389"/>
      <c r="E29" s="1076" t="str">
        <f>IFERROR(VLOOKUP($B29,DataSheetDA!$C$4:$AA$237,E$12,0),"")</f>
        <v/>
      </c>
      <c r="F29" s="1077"/>
      <c r="G29" s="1076" t="str">
        <f>IFERROR(VLOOKUP($B29,DataSheetDA!$C$4:$AA$237,G$12,0),"")</f>
        <v/>
      </c>
      <c r="H29" s="1073"/>
      <c r="I29" s="1078" t="str">
        <f>IFERROR(VLOOKUP($B29,DataSheetDA!$C$4:$AA$237,I$12,0),"")</f>
        <v/>
      </c>
      <c r="J29" s="1073"/>
      <c r="K29" s="1079" t="str">
        <f>IFERROR(VLOOKUP($B29,DataSheetDA!$C$4:$AA$237,K$12,0),"")</f>
        <v/>
      </c>
      <c r="L29" s="1074"/>
      <c r="M29" s="1078" t="str">
        <f>IFERROR(VLOOKUP($B29,DataSheetDA!$C$4:$AA$237,M$12,0),"")</f>
        <v/>
      </c>
      <c r="N29" s="1077"/>
      <c r="O29" s="1078" t="str">
        <f>IFERROR(VLOOKUP($B29,DataSheetDA!$C$4:$AA$237,O$12,0),"")</f>
        <v/>
      </c>
      <c r="P29" s="1077"/>
      <c r="Q29" s="1078" t="str">
        <f>IFERROR(VLOOKUP($B29,DataSheetDA!$C$4:$AA$237,Q$12,0),"")</f>
        <v/>
      </c>
      <c r="R29" s="1073"/>
      <c r="S29" s="1080" t="str">
        <f>IFERROR(VLOOKUP($B29,DataSheetDA!$C$4:$AA$237,S$12,0),"")</f>
        <v/>
      </c>
      <c r="T29" s="1073"/>
      <c r="U29" s="1079" t="str">
        <f>IFERROR(VLOOKUP($B29,DataSheetDA!$C$4:$AA$237,U$12,0),"")</f>
        <v/>
      </c>
      <c r="V29" s="1073"/>
      <c r="W29" s="1078" t="str">
        <f>IFERROR(VLOOKUP($B29,DataSheetDA!$C$4:$AA$237,W$12,0),"")</f>
        <v/>
      </c>
      <c r="X29" s="1077"/>
      <c r="Y29" s="1081" t="str">
        <f>IF(C29="","",IF(VLOOKUP('Part 1'!$L$13,#REF!,10,FALSE)&lt;1,W29,0))</f>
        <v/>
      </c>
      <c r="Z29" s="1075"/>
      <c r="AA29" s="1079" t="str">
        <f>IFERROR(VLOOKUP($B29,DataSheetDA!$C$4:$AA$237,AA$12,0),"")</f>
        <v/>
      </c>
      <c r="AB29" s="386"/>
      <c r="AC29" s="385"/>
    </row>
    <row r="30" spans="1:29" s="384" customFormat="1" ht="21" customHeight="1" thickBot="1" x14ac:dyDescent="0.25">
      <c r="A30" s="428">
        <v>18</v>
      </c>
      <c r="B30" s="383" t="str">
        <f t="shared" si="0"/>
        <v>EZZZZEZ18</v>
      </c>
      <c r="C30" s="523" t="str">
        <f>IFERROR(VLOOKUP($B30,DataSheetDA!$C$4:$AA$237,3,0),"")</f>
        <v/>
      </c>
      <c r="D30" s="389"/>
      <c r="E30" s="1076" t="str">
        <f>IFERROR(VLOOKUP($B30,DataSheetDA!$C$4:$AA$237,E$12,0),"")</f>
        <v/>
      </c>
      <c r="F30" s="1077"/>
      <c r="G30" s="1076" t="str">
        <f>IFERROR(VLOOKUP($B30,DataSheetDA!$C$4:$AA$237,G$12,0),"")</f>
        <v/>
      </c>
      <c r="H30" s="1073"/>
      <c r="I30" s="1078" t="str">
        <f>IFERROR(VLOOKUP($B30,DataSheetDA!$C$4:$AA$237,I$12,0),"")</f>
        <v/>
      </c>
      <c r="J30" s="1073"/>
      <c r="K30" s="1079" t="str">
        <f>IFERROR(VLOOKUP($B30,DataSheetDA!$C$4:$AA$237,K$12,0),"")</f>
        <v/>
      </c>
      <c r="L30" s="1074"/>
      <c r="M30" s="1078" t="str">
        <f>IFERROR(VLOOKUP($B30,DataSheetDA!$C$4:$AA$237,M$12,0),"")</f>
        <v/>
      </c>
      <c r="N30" s="1077"/>
      <c r="O30" s="1078" t="str">
        <f>IFERROR(VLOOKUP($B30,DataSheetDA!$C$4:$AA$237,O$12,0),"")</f>
        <v/>
      </c>
      <c r="P30" s="1077"/>
      <c r="Q30" s="1078" t="str">
        <f>IFERROR(VLOOKUP($B30,DataSheetDA!$C$4:$AA$237,Q$12,0),"")</f>
        <v/>
      </c>
      <c r="R30" s="1073"/>
      <c r="S30" s="1080" t="str">
        <f>IFERROR(VLOOKUP($B30,DataSheetDA!$C$4:$AA$237,S$12,0),"")</f>
        <v/>
      </c>
      <c r="T30" s="1073"/>
      <c r="U30" s="1079" t="str">
        <f>IFERROR(VLOOKUP($B30,DataSheetDA!$C$4:$AA$237,U$12,0),"")</f>
        <v/>
      </c>
      <c r="V30" s="1073"/>
      <c r="W30" s="1078" t="str">
        <f>IFERROR(VLOOKUP($B30,DataSheetDA!$C$4:$AA$237,W$12,0),"")</f>
        <v/>
      </c>
      <c r="X30" s="1077"/>
      <c r="Y30" s="1081" t="str">
        <f>IF(C30="","",IF(VLOOKUP('Part 1'!$L$13,#REF!,10,FALSE)&lt;1,W30,0))</f>
        <v/>
      </c>
      <c r="Z30" s="1075"/>
      <c r="AA30" s="1079" t="str">
        <f>IFERROR(VLOOKUP($B30,DataSheetDA!$C$4:$AA$237,AA$12,0),"")</f>
        <v/>
      </c>
      <c r="AB30" s="386"/>
      <c r="AC30" s="385"/>
    </row>
    <row r="31" spans="1:29" s="384" customFormat="1" ht="21" customHeight="1" thickBot="1" x14ac:dyDescent="0.25">
      <c r="A31" s="428">
        <v>19</v>
      </c>
      <c r="B31" s="383" t="str">
        <f t="shared" si="0"/>
        <v>EZZZZEZ19</v>
      </c>
      <c r="C31" s="523" t="str">
        <f>IFERROR(VLOOKUP($B31,DataSheetDA!$C$4:$AA$237,3,0),"")</f>
        <v/>
      </c>
      <c r="D31" s="389"/>
      <c r="E31" s="1076" t="str">
        <f>IFERROR(VLOOKUP($B31,DataSheetDA!$C$4:$AA$237,E$12,0),"")</f>
        <v/>
      </c>
      <c r="F31" s="1077"/>
      <c r="G31" s="1076" t="str">
        <f>IFERROR(VLOOKUP($B31,DataSheetDA!$C$4:$AA$237,G$12,0),"")</f>
        <v/>
      </c>
      <c r="H31" s="1073"/>
      <c r="I31" s="1078" t="str">
        <f>IFERROR(VLOOKUP($B31,DataSheetDA!$C$4:$AA$237,I$12,0),"")</f>
        <v/>
      </c>
      <c r="J31" s="1073"/>
      <c r="K31" s="1079" t="str">
        <f>IFERROR(VLOOKUP($B31,DataSheetDA!$C$4:$AA$237,K$12,0),"")</f>
        <v/>
      </c>
      <c r="L31" s="1074"/>
      <c r="M31" s="1078" t="str">
        <f>IFERROR(VLOOKUP($B31,DataSheetDA!$C$4:$AA$237,M$12,0),"")</f>
        <v/>
      </c>
      <c r="N31" s="1077"/>
      <c r="O31" s="1078" t="str">
        <f>IFERROR(VLOOKUP($B31,DataSheetDA!$C$4:$AA$237,O$12,0),"")</f>
        <v/>
      </c>
      <c r="P31" s="1077"/>
      <c r="Q31" s="1078" t="str">
        <f>IFERROR(VLOOKUP($B31,DataSheetDA!$C$4:$AA$237,Q$12,0),"")</f>
        <v/>
      </c>
      <c r="R31" s="1073"/>
      <c r="S31" s="1080" t="str">
        <f>IFERROR(VLOOKUP($B31,DataSheetDA!$C$4:$AA$237,S$12,0),"")</f>
        <v/>
      </c>
      <c r="T31" s="1073"/>
      <c r="U31" s="1079" t="str">
        <f>IFERROR(VLOOKUP($B31,DataSheetDA!$C$4:$AA$237,U$12,0),"")</f>
        <v/>
      </c>
      <c r="V31" s="1073"/>
      <c r="W31" s="1078" t="str">
        <f>IFERROR(VLOOKUP($B31,DataSheetDA!$C$4:$AA$237,W$12,0),"")</f>
        <v/>
      </c>
      <c r="X31" s="1077"/>
      <c r="Y31" s="1081" t="str">
        <f>IF(C31="","",IF(VLOOKUP('Part 1'!$L$13,#REF!,10,FALSE)&lt;1,W31,0))</f>
        <v/>
      </c>
      <c r="Z31" s="1075"/>
      <c r="AA31" s="1079" t="str">
        <f>IFERROR(VLOOKUP($B31,DataSheetDA!$C$4:$AA$237,AA$12,0),"")</f>
        <v/>
      </c>
      <c r="AB31" s="386"/>
      <c r="AC31" s="385"/>
    </row>
    <row r="32" spans="1:29" s="384" customFormat="1" ht="21" customHeight="1" thickBot="1" x14ac:dyDescent="0.25">
      <c r="A32" s="428">
        <v>20</v>
      </c>
      <c r="B32" s="383" t="str">
        <f t="shared" si="0"/>
        <v>EZZZZEZ20</v>
      </c>
      <c r="C32" s="523" t="str">
        <f>IFERROR(VLOOKUP($B32,DataSheetDA!$C$4:$AA$237,3,0),"")</f>
        <v/>
      </c>
      <c r="D32" s="389"/>
      <c r="E32" s="1076" t="str">
        <f>IFERROR(VLOOKUP($B32,DataSheetDA!$C$4:$AA$237,E$12,0),"")</f>
        <v/>
      </c>
      <c r="F32" s="1077"/>
      <c r="G32" s="1076" t="str">
        <f>IFERROR(VLOOKUP($B32,DataSheetDA!$C$4:$AA$237,G$12,0),"")</f>
        <v/>
      </c>
      <c r="H32" s="1073"/>
      <c r="I32" s="1078" t="str">
        <f>IFERROR(VLOOKUP($B32,DataSheetDA!$C$4:$AA$237,I$12,0),"")</f>
        <v/>
      </c>
      <c r="J32" s="1073"/>
      <c r="K32" s="1079" t="str">
        <f>IFERROR(VLOOKUP($B32,DataSheetDA!$C$4:$AA$237,K$12,0),"")</f>
        <v/>
      </c>
      <c r="L32" s="1074"/>
      <c r="M32" s="1078" t="str">
        <f>IFERROR(VLOOKUP($B32,DataSheetDA!$C$4:$AA$237,M$12,0),"")</f>
        <v/>
      </c>
      <c r="N32" s="1077"/>
      <c r="O32" s="1078" t="str">
        <f>IFERROR(VLOOKUP($B32,DataSheetDA!$C$4:$AA$237,O$12,0),"")</f>
        <v/>
      </c>
      <c r="P32" s="1077"/>
      <c r="Q32" s="1078" t="str">
        <f>IFERROR(VLOOKUP($B32,DataSheetDA!$C$4:$AA$237,Q$12,0),"")</f>
        <v/>
      </c>
      <c r="R32" s="1073"/>
      <c r="S32" s="1080" t="str">
        <f>IFERROR(VLOOKUP($B32,DataSheetDA!$C$4:$AA$237,S$12,0),"")</f>
        <v/>
      </c>
      <c r="T32" s="1073"/>
      <c r="U32" s="1079" t="str">
        <f>IFERROR(VLOOKUP($B32,DataSheetDA!$C$4:$AA$237,U$12,0),"")</f>
        <v/>
      </c>
      <c r="V32" s="1073"/>
      <c r="W32" s="1078" t="str">
        <f>IFERROR(VLOOKUP($B32,DataSheetDA!$C$4:$AA$237,W$12,0),"")</f>
        <v/>
      </c>
      <c r="X32" s="1077"/>
      <c r="Y32" s="1081" t="str">
        <f>IF(C32="","",IF(VLOOKUP('Part 1'!$L$13,#REF!,10,FALSE)&lt;1,W32,0))</f>
        <v/>
      </c>
      <c r="Z32" s="1075"/>
      <c r="AA32" s="1079" t="str">
        <f>IFERROR(VLOOKUP($B32,DataSheetDA!$C$4:$AA$237,AA$12,0),"")</f>
        <v/>
      </c>
      <c r="AB32" s="386"/>
      <c r="AC32" s="385"/>
    </row>
    <row r="33" spans="1:29" s="384" customFormat="1" ht="21" customHeight="1" thickBot="1" x14ac:dyDescent="0.25">
      <c r="A33" s="428">
        <v>21</v>
      </c>
      <c r="B33" s="383" t="str">
        <f t="shared" si="0"/>
        <v>EZZZZEZ21</v>
      </c>
      <c r="C33" s="523" t="str">
        <f>IFERROR(VLOOKUP($B33,DataSheetDA!$C$4:$AA$237,3,0),"")</f>
        <v/>
      </c>
      <c r="D33" s="389"/>
      <c r="E33" s="1076" t="str">
        <f>IFERROR(VLOOKUP($B33,DataSheetDA!$C$4:$AA$237,E$12,0),"")</f>
        <v/>
      </c>
      <c r="F33" s="1077"/>
      <c r="G33" s="1076" t="str">
        <f>IFERROR(VLOOKUP($B33,DataSheetDA!$C$4:$AA$237,G$12,0),"")</f>
        <v/>
      </c>
      <c r="H33" s="1073"/>
      <c r="I33" s="1078" t="str">
        <f>IFERROR(VLOOKUP($B33,DataSheetDA!$C$4:$AA$237,I$12,0),"")</f>
        <v/>
      </c>
      <c r="J33" s="1073"/>
      <c r="K33" s="1079" t="str">
        <f>IFERROR(VLOOKUP($B33,DataSheetDA!$C$4:$AA$237,K$12,0),"")</f>
        <v/>
      </c>
      <c r="L33" s="1074"/>
      <c r="M33" s="1078" t="str">
        <f>IFERROR(VLOOKUP($B33,DataSheetDA!$C$4:$AA$237,M$12,0),"")</f>
        <v/>
      </c>
      <c r="N33" s="1077"/>
      <c r="O33" s="1078" t="str">
        <f>IFERROR(VLOOKUP($B33,DataSheetDA!$C$4:$AA$237,O$12,0),"")</f>
        <v/>
      </c>
      <c r="P33" s="1077"/>
      <c r="Q33" s="1078" t="str">
        <f>IFERROR(VLOOKUP($B33,DataSheetDA!$C$4:$AA$237,Q$12,0),"")</f>
        <v/>
      </c>
      <c r="R33" s="1073"/>
      <c r="S33" s="1080" t="str">
        <f>IFERROR(VLOOKUP($B33,DataSheetDA!$C$4:$AA$237,S$12,0),"")</f>
        <v/>
      </c>
      <c r="T33" s="1073"/>
      <c r="U33" s="1079" t="str">
        <f>IFERROR(VLOOKUP($B33,DataSheetDA!$C$4:$AA$237,U$12,0),"")</f>
        <v/>
      </c>
      <c r="V33" s="1073"/>
      <c r="W33" s="1078" t="str">
        <f>IFERROR(VLOOKUP($B33,DataSheetDA!$C$4:$AA$237,W$12,0),"")</f>
        <v/>
      </c>
      <c r="X33" s="1077"/>
      <c r="Y33" s="1081" t="str">
        <f>IF(C33="","",IF(VLOOKUP('Part 1'!$L$13,#REF!,10,FALSE)&lt;1,W33,0))</f>
        <v/>
      </c>
      <c r="Z33" s="1075"/>
      <c r="AA33" s="1079" t="str">
        <f>IFERROR(VLOOKUP($B33,DataSheetDA!$C$4:$AA$237,AA$12,0),"")</f>
        <v/>
      </c>
      <c r="AB33" s="386"/>
      <c r="AC33" s="385"/>
    </row>
    <row r="34" spans="1:29" s="384" customFormat="1" ht="21" customHeight="1" thickBot="1" x14ac:dyDescent="0.25">
      <c r="A34" s="428">
        <v>22</v>
      </c>
      <c r="B34" s="383" t="str">
        <f t="shared" si="0"/>
        <v>EZZZZEZ22</v>
      </c>
      <c r="C34" s="523" t="str">
        <f>IFERROR(VLOOKUP($B34,DataSheetDA!$C$4:$AA$237,3,0),"")</f>
        <v/>
      </c>
      <c r="D34" s="389"/>
      <c r="E34" s="1076" t="str">
        <f>IFERROR(VLOOKUP($B34,DataSheetDA!$C$4:$AA$237,E$12,0),"")</f>
        <v/>
      </c>
      <c r="F34" s="1077"/>
      <c r="G34" s="1076" t="str">
        <f>IFERROR(VLOOKUP($B34,DataSheetDA!$C$4:$AA$237,G$12,0),"")</f>
        <v/>
      </c>
      <c r="H34" s="1073"/>
      <c r="I34" s="1078" t="str">
        <f>IFERROR(VLOOKUP($B34,DataSheetDA!$C$4:$AA$237,I$12,0),"")</f>
        <v/>
      </c>
      <c r="J34" s="1073"/>
      <c r="K34" s="1079" t="str">
        <f>IFERROR(VLOOKUP($B34,DataSheetDA!$C$4:$AA$237,K$12,0),"")</f>
        <v/>
      </c>
      <c r="L34" s="1074"/>
      <c r="M34" s="1078" t="str">
        <f>IFERROR(VLOOKUP($B34,DataSheetDA!$C$4:$AA$237,M$12,0),"")</f>
        <v/>
      </c>
      <c r="N34" s="1077"/>
      <c r="O34" s="1078" t="str">
        <f>IFERROR(VLOOKUP($B34,DataSheetDA!$C$4:$AA$237,O$12,0),"")</f>
        <v/>
      </c>
      <c r="P34" s="1077"/>
      <c r="Q34" s="1078" t="str">
        <f>IFERROR(VLOOKUP($B34,DataSheetDA!$C$4:$AA$237,Q$12,0),"")</f>
        <v/>
      </c>
      <c r="R34" s="1073"/>
      <c r="S34" s="1080" t="str">
        <f>IFERROR(VLOOKUP($B34,DataSheetDA!$C$4:$AA$237,S$12,0),"")</f>
        <v/>
      </c>
      <c r="T34" s="1073"/>
      <c r="U34" s="1079" t="str">
        <f>IFERROR(VLOOKUP($B34,DataSheetDA!$C$4:$AA$237,U$12,0),"")</f>
        <v/>
      </c>
      <c r="V34" s="1073"/>
      <c r="W34" s="1078" t="str">
        <f>IFERROR(VLOOKUP($B34,DataSheetDA!$C$4:$AA$237,W$12,0),"")</f>
        <v/>
      </c>
      <c r="X34" s="1077"/>
      <c r="Y34" s="1081" t="str">
        <f>IF(C34="","",IF(VLOOKUP('Part 1'!$L$13,#REF!,10,FALSE)&lt;1,W34,0))</f>
        <v/>
      </c>
      <c r="Z34" s="1075"/>
      <c r="AA34" s="1079" t="str">
        <f>IFERROR(VLOOKUP($B34,DataSheetDA!$C$4:$AA$237,AA$12,0),"")</f>
        <v/>
      </c>
      <c r="AB34" s="386"/>
      <c r="AC34" s="385"/>
    </row>
    <row r="35" spans="1:29" s="384" customFormat="1" ht="21" customHeight="1" thickBot="1" x14ac:dyDescent="0.25">
      <c r="A35" s="428">
        <v>23</v>
      </c>
      <c r="B35" s="383" t="str">
        <f t="shared" si="0"/>
        <v>EZZZZEZ23</v>
      </c>
      <c r="C35" s="523" t="str">
        <f>IFERROR(VLOOKUP($B35,DataSheetDA!$C$4:$AA$237,3,0),"")</f>
        <v/>
      </c>
      <c r="D35" s="389"/>
      <c r="E35" s="1076" t="str">
        <f>IFERROR(VLOOKUP($B35,DataSheetDA!$C$4:$AA$237,E$12,0),"")</f>
        <v/>
      </c>
      <c r="F35" s="1077"/>
      <c r="G35" s="1076" t="str">
        <f>IFERROR(VLOOKUP($B35,DataSheetDA!$C$4:$AA$237,G$12,0),"")</f>
        <v/>
      </c>
      <c r="H35" s="1073"/>
      <c r="I35" s="1078" t="str">
        <f>IFERROR(VLOOKUP($B35,DataSheetDA!$C$4:$AA$237,I$12,0),"")</f>
        <v/>
      </c>
      <c r="J35" s="1073"/>
      <c r="K35" s="1079" t="str">
        <f>IFERROR(VLOOKUP($B35,DataSheetDA!$C$4:$AA$237,K$12,0),"")</f>
        <v/>
      </c>
      <c r="L35" s="1074"/>
      <c r="M35" s="1078" t="str">
        <f>IFERROR(VLOOKUP($B35,DataSheetDA!$C$4:$AA$237,M$12,0),"")</f>
        <v/>
      </c>
      <c r="N35" s="1077"/>
      <c r="O35" s="1078" t="str">
        <f>IFERROR(VLOOKUP($B35,DataSheetDA!$C$4:$AA$237,O$12,0),"")</f>
        <v/>
      </c>
      <c r="P35" s="1077"/>
      <c r="Q35" s="1078" t="str">
        <f>IFERROR(VLOOKUP($B35,DataSheetDA!$C$4:$AA$237,Q$12,0),"")</f>
        <v/>
      </c>
      <c r="R35" s="1073"/>
      <c r="S35" s="1080" t="str">
        <f>IFERROR(VLOOKUP($B35,DataSheetDA!$C$4:$AA$237,S$12,0),"")</f>
        <v/>
      </c>
      <c r="T35" s="1073"/>
      <c r="U35" s="1079" t="str">
        <f>IFERROR(VLOOKUP($B35,DataSheetDA!$C$4:$AA$237,U$12,0),"")</f>
        <v/>
      </c>
      <c r="V35" s="1073"/>
      <c r="W35" s="1078" t="str">
        <f>IFERROR(VLOOKUP($B35,DataSheetDA!$C$4:$AA$237,W$12,0),"")</f>
        <v/>
      </c>
      <c r="X35" s="1077"/>
      <c r="Y35" s="1081" t="str">
        <f>IF(C35="","",IF(VLOOKUP('Part 1'!$L$13,#REF!,10,FALSE)&lt;1,W35,0))</f>
        <v/>
      </c>
      <c r="Z35" s="1075"/>
      <c r="AA35" s="1079" t="str">
        <f>IFERROR(VLOOKUP($B35,DataSheetDA!$C$4:$AA$237,AA$12,0),"")</f>
        <v/>
      </c>
      <c r="AB35" s="386"/>
      <c r="AC35" s="385"/>
    </row>
    <row r="36" spans="1:29" s="384" customFormat="1" ht="21" customHeight="1" thickBot="1" x14ac:dyDescent="0.25">
      <c r="A36" s="428">
        <v>24</v>
      </c>
      <c r="B36" s="383" t="str">
        <f t="shared" si="0"/>
        <v>EZZZZEZ24</v>
      </c>
      <c r="C36" s="523" t="str">
        <f>IFERROR(VLOOKUP($B36,DataSheetDA!$C$4:$AA$237,3,0),"")</f>
        <v/>
      </c>
      <c r="D36" s="389"/>
      <c r="E36" s="1076" t="str">
        <f>IFERROR(VLOOKUP($B36,DataSheetDA!$C$4:$AA$237,E$12,0),"")</f>
        <v/>
      </c>
      <c r="F36" s="1077"/>
      <c r="G36" s="1076" t="str">
        <f>IFERROR(VLOOKUP($B36,DataSheetDA!$C$4:$AA$237,G$12,0),"")</f>
        <v/>
      </c>
      <c r="H36" s="1073"/>
      <c r="I36" s="1078" t="str">
        <f>IFERROR(VLOOKUP($B36,DataSheetDA!$C$4:$AA$237,I$12,0),"")</f>
        <v/>
      </c>
      <c r="J36" s="1073"/>
      <c r="K36" s="1079" t="str">
        <f>IFERROR(VLOOKUP($B36,DataSheetDA!$C$4:$AA$237,K$12,0),"")</f>
        <v/>
      </c>
      <c r="L36" s="1074"/>
      <c r="M36" s="1078" t="str">
        <f>IFERROR(VLOOKUP($B36,DataSheetDA!$C$4:$AA$237,M$12,0),"")</f>
        <v/>
      </c>
      <c r="N36" s="1077"/>
      <c r="O36" s="1078" t="str">
        <f>IFERROR(VLOOKUP($B36,DataSheetDA!$C$4:$AA$237,O$12,0),"")</f>
        <v/>
      </c>
      <c r="P36" s="1077"/>
      <c r="Q36" s="1078" t="str">
        <f>IFERROR(VLOOKUP($B36,DataSheetDA!$C$4:$AA$237,Q$12,0),"")</f>
        <v/>
      </c>
      <c r="R36" s="1073"/>
      <c r="S36" s="1080" t="str">
        <f>IFERROR(VLOOKUP($B36,DataSheetDA!$C$4:$AA$237,S$12,0),"")</f>
        <v/>
      </c>
      <c r="T36" s="1073"/>
      <c r="U36" s="1079" t="str">
        <f>IFERROR(VLOOKUP($B36,DataSheetDA!$C$4:$AA$237,U$12,0),"")</f>
        <v/>
      </c>
      <c r="V36" s="1073"/>
      <c r="W36" s="1078" t="str">
        <f>IFERROR(VLOOKUP($B36,DataSheetDA!$C$4:$AA$237,W$12,0),"")</f>
        <v/>
      </c>
      <c r="X36" s="1077"/>
      <c r="Y36" s="1081" t="str">
        <f>IF(C36="","",IF(VLOOKUP('Part 1'!$L$13,#REF!,10,FALSE)&lt;1,W36,0))</f>
        <v/>
      </c>
      <c r="Z36" s="1075"/>
      <c r="AA36" s="1079" t="str">
        <f>IFERROR(VLOOKUP($B36,DataSheetDA!$C$4:$AA$237,AA$12,0),"")</f>
        <v/>
      </c>
      <c r="AB36" s="386"/>
      <c r="AC36" s="385"/>
    </row>
    <row r="37" spans="1:29" s="384" customFormat="1" ht="21" customHeight="1" thickBot="1" x14ac:dyDescent="0.25">
      <c r="A37" s="428">
        <v>25</v>
      </c>
      <c r="B37" s="383" t="str">
        <f t="shared" si="0"/>
        <v>EZZZZEZ25</v>
      </c>
      <c r="C37" s="523" t="str">
        <f>IFERROR(VLOOKUP($B37,DataSheetDA!$C$4:$AA$237,3,0),"")</f>
        <v/>
      </c>
      <c r="D37" s="389"/>
      <c r="E37" s="1076" t="str">
        <f>IFERROR(VLOOKUP($B37,DataSheetDA!$C$4:$AA$237,E$12,0),"")</f>
        <v/>
      </c>
      <c r="F37" s="1077"/>
      <c r="G37" s="1076" t="str">
        <f>IFERROR(VLOOKUP($B37,DataSheetDA!$C$4:$AA$237,G$12,0),"")</f>
        <v/>
      </c>
      <c r="H37" s="1073"/>
      <c r="I37" s="1078" t="str">
        <f>IFERROR(VLOOKUP($B37,DataSheetDA!$C$4:$AA$237,I$12,0),"")</f>
        <v/>
      </c>
      <c r="J37" s="1073"/>
      <c r="K37" s="1079" t="str">
        <f>IFERROR(VLOOKUP($B37,DataSheetDA!$C$4:$AA$237,K$12,0),"")</f>
        <v/>
      </c>
      <c r="L37" s="1074"/>
      <c r="M37" s="1078" t="str">
        <f>IFERROR(VLOOKUP($B37,DataSheetDA!$C$4:$AA$237,M$12,0),"")</f>
        <v/>
      </c>
      <c r="N37" s="1077"/>
      <c r="O37" s="1078" t="str">
        <f>IFERROR(VLOOKUP($B37,DataSheetDA!$C$4:$AA$237,O$12,0),"")</f>
        <v/>
      </c>
      <c r="P37" s="1077"/>
      <c r="Q37" s="1078" t="str">
        <f>IFERROR(VLOOKUP($B37,DataSheetDA!$C$4:$AA$237,Q$12,0),"")</f>
        <v/>
      </c>
      <c r="R37" s="1073"/>
      <c r="S37" s="1080" t="str">
        <f>IFERROR(VLOOKUP($B37,DataSheetDA!$C$4:$AA$237,S$12,0),"")</f>
        <v/>
      </c>
      <c r="T37" s="1073"/>
      <c r="U37" s="1079" t="str">
        <f>IFERROR(VLOOKUP($B37,DataSheetDA!$C$4:$AA$237,U$12,0),"")</f>
        <v/>
      </c>
      <c r="V37" s="1073"/>
      <c r="W37" s="1078" t="str">
        <f>IFERROR(VLOOKUP($B37,DataSheetDA!$C$4:$AA$237,W$12,0),"")</f>
        <v/>
      </c>
      <c r="X37" s="1077"/>
      <c r="Y37" s="1081" t="str">
        <f>IF(C37="","",IF(VLOOKUP('Part 1'!$L$13,#REF!,10,FALSE)&lt;1,W37,0))</f>
        <v/>
      </c>
      <c r="Z37" s="1075"/>
      <c r="AA37" s="1079" t="str">
        <f>IFERROR(VLOOKUP($B37,DataSheetDA!$C$4:$AA$237,AA$12,0),"")</f>
        <v/>
      </c>
      <c r="AB37" s="386"/>
      <c r="AC37" s="385"/>
    </row>
    <row r="38" spans="1:29" s="384" customFormat="1" ht="21" customHeight="1" thickBot="1" x14ac:dyDescent="0.25">
      <c r="A38" s="428">
        <v>26</v>
      </c>
      <c r="B38" s="383" t="str">
        <f t="shared" si="0"/>
        <v>EZZZZEZ26</v>
      </c>
      <c r="C38" s="523" t="str">
        <f>IFERROR(VLOOKUP($B38,DataSheetDA!$C$4:$AA$237,3,0),"")</f>
        <v/>
      </c>
      <c r="D38" s="389"/>
      <c r="E38" s="1076" t="str">
        <f>IFERROR(VLOOKUP($B38,DataSheetDA!$C$4:$AA$237,E$12,0),"")</f>
        <v/>
      </c>
      <c r="F38" s="1077"/>
      <c r="G38" s="1076" t="str">
        <f>IFERROR(VLOOKUP($B38,DataSheetDA!$C$4:$AA$237,G$12,0),"")</f>
        <v/>
      </c>
      <c r="H38" s="1073"/>
      <c r="I38" s="1078" t="str">
        <f>IFERROR(VLOOKUP($B38,DataSheetDA!$C$4:$AA$237,I$12,0),"")</f>
        <v/>
      </c>
      <c r="J38" s="1073"/>
      <c r="K38" s="1079" t="str">
        <f>IFERROR(VLOOKUP($B38,DataSheetDA!$C$4:$AA$237,K$12,0),"")</f>
        <v/>
      </c>
      <c r="L38" s="1074"/>
      <c r="M38" s="1078" t="str">
        <f>IFERROR(VLOOKUP($B38,DataSheetDA!$C$4:$AA$237,M$12,0),"")</f>
        <v/>
      </c>
      <c r="N38" s="1077"/>
      <c r="O38" s="1078" t="str">
        <f>IFERROR(VLOOKUP($B38,DataSheetDA!$C$4:$AA$237,O$12,0),"")</f>
        <v/>
      </c>
      <c r="P38" s="1077"/>
      <c r="Q38" s="1078" t="str">
        <f>IFERROR(VLOOKUP($B38,DataSheetDA!$C$4:$AA$237,Q$12,0),"")</f>
        <v/>
      </c>
      <c r="R38" s="1073"/>
      <c r="S38" s="1080" t="str">
        <f>IFERROR(VLOOKUP($B38,DataSheetDA!$C$4:$AA$237,S$12,0),"")</f>
        <v/>
      </c>
      <c r="T38" s="1073"/>
      <c r="U38" s="1079" t="str">
        <f>IFERROR(VLOOKUP($B38,DataSheetDA!$C$4:$AA$237,U$12,0),"")</f>
        <v/>
      </c>
      <c r="V38" s="1073"/>
      <c r="W38" s="1078" t="str">
        <f>IFERROR(VLOOKUP($B38,DataSheetDA!$C$4:$AA$237,W$12,0),"")</f>
        <v/>
      </c>
      <c r="X38" s="1077"/>
      <c r="Y38" s="1081" t="str">
        <f>IF(C38="","",IF(VLOOKUP('Part 1'!$L$13,#REF!,10,FALSE)&lt;1,W38,0))</f>
        <v/>
      </c>
      <c r="Z38" s="1075"/>
      <c r="AA38" s="1079" t="str">
        <f>IFERROR(VLOOKUP($B38,DataSheetDA!$C$4:$AA$237,AA$12,0),"")</f>
        <v/>
      </c>
      <c r="AB38" s="386"/>
      <c r="AC38" s="385"/>
    </row>
    <row r="39" spans="1:29" s="384" customFormat="1" ht="21" customHeight="1" thickBot="1" x14ac:dyDescent="0.25">
      <c r="A39" s="428">
        <v>27</v>
      </c>
      <c r="B39" s="383" t="str">
        <f t="shared" si="0"/>
        <v>EZZZZEZ27</v>
      </c>
      <c r="C39" s="523" t="str">
        <f>IFERROR(VLOOKUP($B39,DataSheetDA!$C$4:$AA$237,3,0),"")</f>
        <v/>
      </c>
      <c r="D39" s="389"/>
      <c r="E39" s="1076" t="str">
        <f>IFERROR(VLOOKUP($B39,DataSheetDA!$C$4:$AA$237,E$12,0),"")</f>
        <v/>
      </c>
      <c r="F39" s="1077"/>
      <c r="G39" s="1076" t="str">
        <f>IFERROR(VLOOKUP($B39,DataSheetDA!$C$4:$AA$237,G$12,0),"")</f>
        <v/>
      </c>
      <c r="H39" s="1073"/>
      <c r="I39" s="1078" t="str">
        <f>IFERROR(VLOOKUP($B39,DataSheetDA!$C$4:$AA$237,I$12,0),"")</f>
        <v/>
      </c>
      <c r="J39" s="1073"/>
      <c r="K39" s="1079" t="str">
        <f>IFERROR(VLOOKUP($B39,DataSheetDA!$C$4:$AA$237,K$12,0),"")</f>
        <v/>
      </c>
      <c r="L39" s="1074"/>
      <c r="M39" s="1078" t="str">
        <f>IFERROR(VLOOKUP($B39,DataSheetDA!$C$4:$AA$237,M$12,0),"")</f>
        <v/>
      </c>
      <c r="N39" s="1077"/>
      <c r="O39" s="1078" t="str">
        <f>IFERROR(VLOOKUP($B39,DataSheetDA!$C$4:$AA$237,O$12,0),"")</f>
        <v/>
      </c>
      <c r="P39" s="1077"/>
      <c r="Q39" s="1078" t="str">
        <f>IFERROR(VLOOKUP($B39,DataSheetDA!$C$4:$AA$237,Q$12,0),"")</f>
        <v/>
      </c>
      <c r="R39" s="1073"/>
      <c r="S39" s="1080" t="str">
        <f>IFERROR(VLOOKUP($B39,DataSheetDA!$C$4:$AA$237,S$12,0),"")</f>
        <v/>
      </c>
      <c r="T39" s="1073"/>
      <c r="U39" s="1079" t="str">
        <f>IFERROR(VLOOKUP($B39,DataSheetDA!$C$4:$AA$237,U$12,0),"")</f>
        <v/>
      </c>
      <c r="V39" s="1073"/>
      <c r="W39" s="1078" t="str">
        <f>IFERROR(VLOOKUP($B39,DataSheetDA!$C$4:$AA$237,W$12,0),"")</f>
        <v/>
      </c>
      <c r="X39" s="1077"/>
      <c r="Y39" s="1081" t="str">
        <f>IF(C39="","",IF(VLOOKUP('Part 1'!$L$13,#REF!,10,FALSE)&lt;1,W39,0))</f>
        <v/>
      </c>
      <c r="Z39" s="1075"/>
      <c r="AA39" s="1079" t="str">
        <f>IFERROR(VLOOKUP($B39,DataSheetDA!$C$4:$AA$237,AA$12,0),"")</f>
        <v/>
      </c>
      <c r="AB39" s="386"/>
      <c r="AC39" s="385"/>
    </row>
    <row r="40" spans="1:29" s="384" customFormat="1" ht="21" customHeight="1" thickBot="1" x14ac:dyDescent="0.25">
      <c r="A40" s="428">
        <v>28</v>
      </c>
      <c r="B40" s="383" t="str">
        <f t="shared" si="0"/>
        <v>EZZZZEZ28</v>
      </c>
      <c r="C40" s="523" t="str">
        <f>IFERROR(VLOOKUP($B40,DataSheetDA!$C$4:$AA$237,3,0),"")</f>
        <v/>
      </c>
      <c r="D40" s="389"/>
      <c r="E40" s="1076" t="str">
        <f>IFERROR(VLOOKUP($B40,DataSheetDA!$C$4:$AA$237,E$12,0),"")</f>
        <v/>
      </c>
      <c r="F40" s="1077"/>
      <c r="G40" s="1076" t="str">
        <f>IFERROR(VLOOKUP($B40,DataSheetDA!$C$4:$AA$237,G$12,0),"")</f>
        <v/>
      </c>
      <c r="H40" s="1073"/>
      <c r="I40" s="1078" t="str">
        <f>IFERROR(VLOOKUP($B40,DataSheetDA!$C$4:$AA$237,I$12,0),"")</f>
        <v/>
      </c>
      <c r="J40" s="1073"/>
      <c r="K40" s="1079" t="str">
        <f>IFERROR(VLOOKUP($B40,DataSheetDA!$C$4:$AA$237,K$12,0),"")</f>
        <v/>
      </c>
      <c r="L40" s="1074"/>
      <c r="M40" s="1078" t="str">
        <f>IFERROR(VLOOKUP($B40,DataSheetDA!$C$4:$AA$237,M$12,0),"")</f>
        <v/>
      </c>
      <c r="N40" s="1077"/>
      <c r="O40" s="1078" t="str">
        <f>IFERROR(VLOOKUP($B40,DataSheetDA!$C$4:$AA$237,O$12,0),"")</f>
        <v/>
      </c>
      <c r="P40" s="1077"/>
      <c r="Q40" s="1078" t="str">
        <f>IFERROR(VLOOKUP($B40,DataSheetDA!$C$4:$AA$237,Q$12,0),"")</f>
        <v/>
      </c>
      <c r="R40" s="1073"/>
      <c r="S40" s="1080" t="str">
        <f>IFERROR(VLOOKUP($B40,DataSheetDA!$C$4:$AA$237,S$12,0),"")</f>
        <v/>
      </c>
      <c r="T40" s="1073"/>
      <c r="U40" s="1079" t="str">
        <f>IFERROR(VLOOKUP($B40,DataSheetDA!$C$4:$AA$237,U$12,0),"")</f>
        <v/>
      </c>
      <c r="V40" s="1073"/>
      <c r="W40" s="1078" t="str">
        <f>IFERROR(VLOOKUP($B40,DataSheetDA!$C$4:$AA$237,W$12,0),"")</f>
        <v/>
      </c>
      <c r="X40" s="1077"/>
      <c r="Y40" s="1081" t="str">
        <f>IF(C40="","",IF(VLOOKUP('Part 1'!$L$13,#REF!,10,FALSE)&lt;1,W40,0))</f>
        <v/>
      </c>
      <c r="Z40" s="1075"/>
      <c r="AA40" s="1079" t="str">
        <f>IFERROR(VLOOKUP($B40,DataSheetDA!$C$4:$AA$237,AA$12,0),"")</f>
        <v/>
      </c>
      <c r="AB40" s="386"/>
      <c r="AC40" s="385"/>
    </row>
    <row r="41" spans="1:29" s="384" customFormat="1" ht="21" customHeight="1" thickBot="1" x14ac:dyDescent="0.25">
      <c r="A41" s="428">
        <v>29</v>
      </c>
      <c r="B41" s="383" t="str">
        <f t="shared" si="0"/>
        <v>EZZZZEZ29</v>
      </c>
      <c r="C41" s="523" t="str">
        <f>IFERROR(VLOOKUP($B41,DataSheetDA!$C$4:$AA$237,3,0),"")</f>
        <v/>
      </c>
      <c r="D41" s="389"/>
      <c r="E41" s="1076" t="str">
        <f>IFERROR(VLOOKUP($B41,DataSheetDA!$C$4:$AA$237,E$12,0),"")</f>
        <v/>
      </c>
      <c r="F41" s="1077"/>
      <c r="G41" s="1076" t="str">
        <f>IFERROR(VLOOKUP($B41,DataSheetDA!$C$4:$AA$237,G$12,0),"")</f>
        <v/>
      </c>
      <c r="H41" s="1073"/>
      <c r="I41" s="1078" t="str">
        <f>IFERROR(VLOOKUP($B41,DataSheetDA!$C$4:$AA$237,I$12,0),"")</f>
        <v/>
      </c>
      <c r="J41" s="1073"/>
      <c r="K41" s="1079" t="str">
        <f>IFERROR(VLOOKUP($B41,DataSheetDA!$C$4:$AA$237,K$12,0),"")</f>
        <v/>
      </c>
      <c r="L41" s="1074"/>
      <c r="M41" s="1078" t="str">
        <f>IFERROR(VLOOKUP($B41,DataSheetDA!$C$4:$AA$237,M$12,0),"")</f>
        <v/>
      </c>
      <c r="N41" s="1077"/>
      <c r="O41" s="1078" t="str">
        <f>IFERROR(VLOOKUP($B41,DataSheetDA!$C$4:$AA$237,O$12,0),"")</f>
        <v/>
      </c>
      <c r="P41" s="1077"/>
      <c r="Q41" s="1078" t="str">
        <f>IFERROR(VLOOKUP($B41,DataSheetDA!$C$4:$AA$237,Q$12,0),"")</f>
        <v/>
      </c>
      <c r="R41" s="1073"/>
      <c r="S41" s="1080" t="str">
        <f>IFERROR(VLOOKUP($B41,DataSheetDA!$C$4:$AA$237,S$12,0),"")</f>
        <v/>
      </c>
      <c r="T41" s="1073"/>
      <c r="U41" s="1079" t="str">
        <f>IFERROR(VLOOKUP($B41,DataSheetDA!$C$4:$AA$237,U$12,0),"")</f>
        <v/>
      </c>
      <c r="V41" s="1073"/>
      <c r="W41" s="1078" t="str">
        <f>IFERROR(VLOOKUP($B41,DataSheetDA!$C$4:$AA$237,W$12,0),"")</f>
        <v/>
      </c>
      <c r="X41" s="1077"/>
      <c r="Y41" s="1081" t="str">
        <f>IF(C41="","",IF(VLOOKUP('Part 1'!$L$13,#REF!,10,FALSE)&lt;1,W41,0))</f>
        <v/>
      </c>
      <c r="Z41" s="1075"/>
      <c r="AA41" s="1079" t="str">
        <f>IFERROR(VLOOKUP($B41,DataSheetDA!$C$4:$AA$237,AA$12,0),"")</f>
        <v/>
      </c>
      <c r="AB41" s="386"/>
      <c r="AC41" s="385"/>
    </row>
    <row r="42" spans="1:29" s="384" customFormat="1" ht="21" customHeight="1" thickBot="1" x14ac:dyDescent="0.25">
      <c r="A42" s="428">
        <v>30</v>
      </c>
      <c r="B42" s="383" t="str">
        <f t="shared" si="0"/>
        <v>EZZZZEZ30</v>
      </c>
      <c r="C42" s="523" t="str">
        <f>IFERROR(VLOOKUP($B42,DataSheetDA!$C$4:$AA$237,3,0),"")</f>
        <v/>
      </c>
      <c r="D42" s="389"/>
      <c r="E42" s="1076" t="str">
        <f>IFERROR(VLOOKUP($B42,DataSheetDA!$C$4:$AA$237,E$12,0),"")</f>
        <v/>
      </c>
      <c r="F42" s="1077"/>
      <c r="G42" s="1076" t="str">
        <f>IFERROR(VLOOKUP($B42,DataSheetDA!$C$4:$AA$237,G$12,0),"")</f>
        <v/>
      </c>
      <c r="H42" s="1073"/>
      <c r="I42" s="1078" t="str">
        <f>IFERROR(VLOOKUP($B42,DataSheetDA!$C$4:$AA$237,I$12,0),"")</f>
        <v/>
      </c>
      <c r="J42" s="1073"/>
      <c r="K42" s="1079" t="str">
        <f>IFERROR(VLOOKUP($B42,DataSheetDA!$C$4:$AA$237,K$12,0),"")</f>
        <v/>
      </c>
      <c r="L42" s="1074"/>
      <c r="M42" s="1078" t="str">
        <f>IFERROR(VLOOKUP($B42,DataSheetDA!$C$4:$AA$237,M$12,0),"")</f>
        <v/>
      </c>
      <c r="N42" s="1077"/>
      <c r="O42" s="1078" t="str">
        <f>IFERROR(VLOOKUP($B42,DataSheetDA!$C$4:$AA$237,O$12,0),"")</f>
        <v/>
      </c>
      <c r="P42" s="1077"/>
      <c r="Q42" s="1078" t="str">
        <f>IFERROR(VLOOKUP($B42,DataSheetDA!$C$4:$AA$237,Q$12,0),"")</f>
        <v/>
      </c>
      <c r="R42" s="1073"/>
      <c r="S42" s="1080" t="str">
        <f>IFERROR(VLOOKUP($B42,DataSheetDA!$C$4:$AA$237,S$12,0),"")</f>
        <v/>
      </c>
      <c r="T42" s="1073"/>
      <c r="U42" s="1079" t="str">
        <f>IFERROR(VLOOKUP($B42,DataSheetDA!$C$4:$AA$237,U$12,0),"")</f>
        <v/>
      </c>
      <c r="V42" s="1073"/>
      <c r="W42" s="1078" t="str">
        <f>IFERROR(VLOOKUP($B42,DataSheetDA!$C$4:$AA$237,W$12,0),"")</f>
        <v/>
      </c>
      <c r="X42" s="1077"/>
      <c r="Y42" s="1081" t="str">
        <f>IF(C42="","",IF(VLOOKUP('Part 1'!$L$13,#REF!,10,FALSE)&lt;1,W42,0))</f>
        <v/>
      </c>
      <c r="Z42" s="1075"/>
      <c r="AA42" s="1079" t="str">
        <f>IFERROR(VLOOKUP($B42,DataSheetDA!$C$4:$AA$237,AA$12,0),"")</f>
        <v/>
      </c>
      <c r="AB42" s="386"/>
      <c r="AC42" s="385"/>
    </row>
    <row r="43" spans="1:29" s="384" customFormat="1" ht="21" customHeight="1" thickBot="1" x14ac:dyDescent="0.25">
      <c r="A43" s="428">
        <v>31</v>
      </c>
      <c r="B43" s="383" t="str">
        <f t="shared" si="0"/>
        <v>EZZZZEZ31</v>
      </c>
      <c r="C43" s="523" t="str">
        <f>IFERROR(VLOOKUP($B43,DataSheetDA!$C$4:$AA$237,3,0),"")</f>
        <v/>
      </c>
      <c r="D43" s="389"/>
      <c r="E43" s="1076" t="str">
        <f>IFERROR(VLOOKUP($B43,DataSheetDA!$C$4:$AA$237,E$12,0),"")</f>
        <v/>
      </c>
      <c r="F43" s="1077"/>
      <c r="G43" s="1076" t="str">
        <f>IFERROR(VLOOKUP($B43,DataSheetDA!$C$4:$AA$237,G$12,0),"")</f>
        <v/>
      </c>
      <c r="H43" s="1073"/>
      <c r="I43" s="1078" t="str">
        <f>IFERROR(VLOOKUP($B43,DataSheetDA!$C$4:$AA$237,I$12,0),"")</f>
        <v/>
      </c>
      <c r="J43" s="1073"/>
      <c r="K43" s="1079" t="str">
        <f>IFERROR(VLOOKUP($B43,DataSheetDA!$C$4:$AA$237,K$12,0),"")</f>
        <v/>
      </c>
      <c r="L43" s="1074"/>
      <c r="M43" s="1078" t="str">
        <f>IFERROR(VLOOKUP($B43,DataSheetDA!$C$4:$AA$237,M$12,0),"")</f>
        <v/>
      </c>
      <c r="N43" s="1077"/>
      <c r="O43" s="1078" t="str">
        <f>IFERROR(VLOOKUP($B43,DataSheetDA!$C$4:$AA$237,O$12,0),"")</f>
        <v/>
      </c>
      <c r="P43" s="1077"/>
      <c r="Q43" s="1078" t="str">
        <f>IFERROR(VLOOKUP($B43,DataSheetDA!$C$4:$AA$237,Q$12,0),"")</f>
        <v/>
      </c>
      <c r="R43" s="1073"/>
      <c r="S43" s="1080" t="str">
        <f>IFERROR(VLOOKUP($B43,DataSheetDA!$C$4:$AA$237,S$12,0),"")</f>
        <v/>
      </c>
      <c r="T43" s="1073"/>
      <c r="U43" s="1079" t="str">
        <f>IFERROR(VLOOKUP($B43,DataSheetDA!$C$4:$AA$237,U$12,0),"")</f>
        <v/>
      </c>
      <c r="V43" s="1073"/>
      <c r="W43" s="1078" t="str">
        <f>IFERROR(VLOOKUP($B43,DataSheetDA!$C$4:$AA$237,W$12,0),"")</f>
        <v/>
      </c>
      <c r="X43" s="1077"/>
      <c r="Y43" s="1081" t="str">
        <f>IF(C43="","",IF(VLOOKUP('Part 1'!$L$13,#REF!,10,FALSE)&lt;1,W43,0))</f>
        <v/>
      </c>
      <c r="Z43" s="1075"/>
      <c r="AA43" s="1079" t="str">
        <f>IFERROR(VLOOKUP($B43,DataSheetDA!$C$4:$AA$237,AA$12,0),"")</f>
        <v/>
      </c>
      <c r="AB43" s="386"/>
      <c r="AC43" s="385"/>
    </row>
    <row r="44" spans="1:29" s="384" customFormat="1" ht="21" customHeight="1" thickBot="1" x14ac:dyDescent="0.25">
      <c r="A44" s="428">
        <v>32</v>
      </c>
      <c r="B44" s="383" t="str">
        <f t="shared" si="0"/>
        <v>EZZZZEZ32</v>
      </c>
      <c r="C44" s="523" t="str">
        <f>IFERROR(VLOOKUP($B44,DataSheetDA!$C$4:$AA$237,3,0),"")</f>
        <v/>
      </c>
      <c r="D44" s="389"/>
      <c r="E44" s="1076" t="str">
        <f>IFERROR(VLOOKUP($B44,DataSheetDA!$C$4:$AA$237,E$12,0),"")</f>
        <v/>
      </c>
      <c r="F44" s="1077"/>
      <c r="G44" s="1076" t="str">
        <f>IFERROR(VLOOKUP($B44,DataSheetDA!$C$4:$AA$237,G$12,0),"")</f>
        <v/>
      </c>
      <c r="H44" s="1073"/>
      <c r="I44" s="1078" t="str">
        <f>IFERROR(VLOOKUP($B44,DataSheetDA!$C$4:$AA$237,I$12,0),"")</f>
        <v/>
      </c>
      <c r="J44" s="1073"/>
      <c r="K44" s="1079" t="str">
        <f>IFERROR(VLOOKUP($B44,DataSheetDA!$C$4:$AA$237,K$12,0),"")</f>
        <v/>
      </c>
      <c r="L44" s="1074"/>
      <c r="M44" s="1078" t="str">
        <f>IFERROR(VLOOKUP($B44,DataSheetDA!$C$4:$AA$237,M$12,0),"")</f>
        <v/>
      </c>
      <c r="N44" s="1077"/>
      <c r="O44" s="1078" t="str">
        <f>IFERROR(VLOOKUP($B44,DataSheetDA!$C$4:$AA$237,O$12,0),"")</f>
        <v/>
      </c>
      <c r="P44" s="1077"/>
      <c r="Q44" s="1078" t="str">
        <f>IFERROR(VLOOKUP($B44,DataSheetDA!$C$4:$AA$237,Q$12,0),"")</f>
        <v/>
      </c>
      <c r="R44" s="1073"/>
      <c r="S44" s="1080" t="str">
        <f>IFERROR(VLOOKUP($B44,DataSheetDA!$C$4:$AA$237,S$12,0),"")</f>
        <v/>
      </c>
      <c r="T44" s="1073"/>
      <c r="U44" s="1079" t="str">
        <f>IFERROR(VLOOKUP($B44,DataSheetDA!$C$4:$AA$237,U$12,0),"")</f>
        <v/>
      </c>
      <c r="V44" s="1073"/>
      <c r="W44" s="1078" t="str">
        <f>IFERROR(VLOOKUP($B44,DataSheetDA!$C$4:$AA$237,W$12,0),"")</f>
        <v/>
      </c>
      <c r="X44" s="1077"/>
      <c r="Y44" s="1081" t="str">
        <f>IF(C44="","",IF(VLOOKUP('Part 1'!$L$13,#REF!,10,FALSE)&lt;1,W44,0))</f>
        <v/>
      </c>
      <c r="Z44" s="1075"/>
      <c r="AA44" s="1079" t="str">
        <f>IFERROR(VLOOKUP($B44,DataSheetDA!$C$4:$AA$237,AA$12,0),"")</f>
        <v/>
      </c>
      <c r="AB44" s="386"/>
      <c r="AC44" s="385"/>
    </row>
    <row r="45" spans="1:29" s="384" customFormat="1" ht="21" customHeight="1" thickBot="1" x14ac:dyDescent="0.25">
      <c r="A45" s="428">
        <v>33</v>
      </c>
      <c r="B45" s="383" t="str">
        <f t="shared" si="0"/>
        <v>EZZZZEZ33</v>
      </c>
      <c r="C45" s="523" t="str">
        <f>IFERROR(VLOOKUP($B45,DataSheetDA!$C$4:$AA$237,3,0),"")</f>
        <v/>
      </c>
      <c r="D45" s="389"/>
      <c r="E45" s="1076" t="str">
        <f>IFERROR(VLOOKUP($B45,DataSheetDA!$C$4:$AA$237,E$12,0),"")</f>
        <v/>
      </c>
      <c r="F45" s="1077"/>
      <c r="G45" s="1076" t="str">
        <f>IFERROR(VLOOKUP($B45,DataSheetDA!$C$4:$AA$237,G$12,0),"")</f>
        <v/>
      </c>
      <c r="H45" s="1073"/>
      <c r="I45" s="1078" t="str">
        <f>IFERROR(VLOOKUP($B45,DataSheetDA!$C$4:$AA$237,I$12,0),"")</f>
        <v/>
      </c>
      <c r="J45" s="1073"/>
      <c r="K45" s="1079" t="str">
        <f>IFERROR(VLOOKUP($B45,DataSheetDA!$C$4:$AA$237,K$12,0),"")</f>
        <v/>
      </c>
      <c r="L45" s="1074"/>
      <c r="M45" s="1078" t="str">
        <f>IFERROR(VLOOKUP($B45,DataSheetDA!$C$4:$AA$237,M$12,0),"")</f>
        <v/>
      </c>
      <c r="N45" s="1077"/>
      <c r="O45" s="1078" t="str">
        <f>IFERROR(VLOOKUP($B45,DataSheetDA!$C$4:$AA$237,O$12,0),"")</f>
        <v/>
      </c>
      <c r="P45" s="1077"/>
      <c r="Q45" s="1078" t="str">
        <f>IFERROR(VLOOKUP($B45,DataSheetDA!$C$4:$AA$237,Q$12,0),"")</f>
        <v/>
      </c>
      <c r="R45" s="1073"/>
      <c r="S45" s="1080" t="str">
        <f>IFERROR(VLOOKUP($B45,DataSheetDA!$C$4:$AA$237,S$12,0),"")</f>
        <v/>
      </c>
      <c r="T45" s="1073"/>
      <c r="U45" s="1079" t="str">
        <f>IFERROR(VLOOKUP($B45,DataSheetDA!$C$4:$AA$237,U$12,0),"")</f>
        <v/>
      </c>
      <c r="V45" s="1073"/>
      <c r="W45" s="1078" t="str">
        <f>IFERROR(VLOOKUP($B45,DataSheetDA!$C$4:$AA$237,W$12,0),"")</f>
        <v/>
      </c>
      <c r="X45" s="1077"/>
      <c r="Y45" s="1081" t="str">
        <f>IF(C45="","",IF(VLOOKUP('Part 1'!$L$13,#REF!,10,FALSE)&lt;1,W45,0))</f>
        <v/>
      </c>
      <c r="Z45" s="1075"/>
      <c r="AA45" s="1079" t="str">
        <f>IFERROR(VLOOKUP($B45,DataSheetDA!$C$4:$AA$237,AA$12,0),"")</f>
        <v/>
      </c>
      <c r="AB45" s="386"/>
      <c r="AC45" s="385"/>
    </row>
    <row r="46" spans="1:29" s="384" customFormat="1" ht="21" customHeight="1" thickBot="1" x14ac:dyDescent="0.25">
      <c r="A46" s="428">
        <v>34</v>
      </c>
      <c r="B46" s="383" t="str">
        <f t="shared" si="0"/>
        <v>EZZZZEZ34</v>
      </c>
      <c r="C46" s="523" t="str">
        <f>IFERROR(VLOOKUP($B46,DataSheetDA!$C$4:$AA$237,3,0),"")</f>
        <v/>
      </c>
      <c r="D46" s="389"/>
      <c r="E46" s="1076" t="str">
        <f>IFERROR(VLOOKUP($B46,DataSheetDA!$C$4:$AA$237,E$12,0),"")</f>
        <v/>
      </c>
      <c r="F46" s="1077"/>
      <c r="G46" s="1076" t="str">
        <f>IFERROR(VLOOKUP($B46,DataSheetDA!$C$4:$AA$237,G$12,0),"")</f>
        <v/>
      </c>
      <c r="H46" s="1073"/>
      <c r="I46" s="1078" t="str">
        <f>IFERROR(VLOOKUP($B46,DataSheetDA!$C$4:$AA$237,I$12,0),"")</f>
        <v/>
      </c>
      <c r="J46" s="1073"/>
      <c r="K46" s="1079" t="str">
        <f>IFERROR(VLOOKUP($B46,DataSheetDA!$C$4:$AA$237,K$12,0),"")</f>
        <v/>
      </c>
      <c r="L46" s="1074"/>
      <c r="M46" s="1078" t="str">
        <f>IFERROR(VLOOKUP($B46,DataSheetDA!$C$4:$AA$237,M$12,0),"")</f>
        <v/>
      </c>
      <c r="N46" s="1077"/>
      <c r="O46" s="1078" t="str">
        <f>IFERROR(VLOOKUP($B46,DataSheetDA!$C$4:$AA$237,O$12,0),"")</f>
        <v/>
      </c>
      <c r="P46" s="1077"/>
      <c r="Q46" s="1078" t="str">
        <f>IFERROR(VLOOKUP($B46,DataSheetDA!$C$4:$AA$237,Q$12,0),"")</f>
        <v/>
      </c>
      <c r="R46" s="1073"/>
      <c r="S46" s="1080" t="str">
        <f>IFERROR(VLOOKUP($B46,DataSheetDA!$C$4:$AA$237,S$12,0),"")</f>
        <v/>
      </c>
      <c r="T46" s="1073"/>
      <c r="U46" s="1079" t="str">
        <f>IFERROR(VLOOKUP($B46,DataSheetDA!$C$4:$AA$237,U$12,0),"")</f>
        <v/>
      </c>
      <c r="V46" s="1073"/>
      <c r="W46" s="1078" t="str">
        <f>IFERROR(VLOOKUP($B46,DataSheetDA!$C$4:$AA$237,W$12,0),"")</f>
        <v/>
      </c>
      <c r="X46" s="1077"/>
      <c r="Y46" s="1081" t="str">
        <f>IF(C46="","",IF(VLOOKUP('Part 1'!$L$13,#REF!,10,FALSE)&lt;1,W46,0))</f>
        <v/>
      </c>
      <c r="Z46" s="1075"/>
      <c r="AA46" s="1079" t="str">
        <f>IFERROR(VLOOKUP($B46,DataSheetDA!$C$4:$AA$237,AA$12,0),"")</f>
        <v/>
      </c>
      <c r="AB46" s="386"/>
      <c r="AC46" s="385"/>
    </row>
    <row r="47" spans="1:29" s="384" customFormat="1" ht="21" customHeight="1" thickBot="1" x14ac:dyDescent="0.25">
      <c r="A47" s="428">
        <v>35</v>
      </c>
      <c r="B47" s="383" t="str">
        <f t="shared" si="0"/>
        <v>EZZZZEZ35</v>
      </c>
      <c r="C47" s="523" t="str">
        <f>IFERROR(VLOOKUP($B47,DataSheetDA!$C$4:$AA$237,3,0),"")</f>
        <v/>
      </c>
      <c r="D47" s="389"/>
      <c r="E47" s="1076" t="str">
        <f>IFERROR(VLOOKUP($B47,DataSheetDA!$C$4:$AA$237,E$12,0),"")</f>
        <v/>
      </c>
      <c r="F47" s="1077"/>
      <c r="G47" s="1076" t="str">
        <f>IFERROR(VLOOKUP($B47,DataSheetDA!$C$4:$AA$237,G$12,0),"")</f>
        <v/>
      </c>
      <c r="H47" s="1073"/>
      <c r="I47" s="1078" t="str">
        <f>IFERROR(VLOOKUP($B47,DataSheetDA!$C$4:$AA$237,I$12,0),"")</f>
        <v/>
      </c>
      <c r="J47" s="1073"/>
      <c r="K47" s="1079" t="str">
        <f>IFERROR(VLOOKUP($B47,DataSheetDA!$C$4:$AA$237,K$12,0),"")</f>
        <v/>
      </c>
      <c r="L47" s="1074"/>
      <c r="M47" s="1078" t="str">
        <f>IFERROR(VLOOKUP($B47,DataSheetDA!$C$4:$AA$237,M$12,0),"")</f>
        <v/>
      </c>
      <c r="N47" s="1077"/>
      <c r="O47" s="1078" t="str">
        <f>IFERROR(VLOOKUP($B47,DataSheetDA!$C$4:$AA$237,O$12,0),"")</f>
        <v/>
      </c>
      <c r="P47" s="1077"/>
      <c r="Q47" s="1078" t="str">
        <f>IFERROR(VLOOKUP($B47,DataSheetDA!$C$4:$AA$237,Q$12,0),"")</f>
        <v/>
      </c>
      <c r="R47" s="1073"/>
      <c r="S47" s="1080" t="str">
        <f>IFERROR(VLOOKUP($B47,DataSheetDA!$C$4:$AA$237,S$12,0),"")</f>
        <v/>
      </c>
      <c r="T47" s="1073"/>
      <c r="U47" s="1079" t="str">
        <f>IFERROR(VLOOKUP($B47,DataSheetDA!$C$4:$AA$237,U$12,0),"")</f>
        <v/>
      </c>
      <c r="V47" s="1073"/>
      <c r="W47" s="1078" t="str">
        <f>IFERROR(VLOOKUP($B47,DataSheetDA!$C$4:$AA$237,W$12,0),"")</f>
        <v/>
      </c>
      <c r="X47" s="1077"/>
      <c r="Y47" s="1081" t="str">
        <f>IF(C47="","",IF(VLOOKUP('Part 1'!$L$13,#REF!,10,FALSE)&lt;1,W47,0))</f>
        <v/>
      </c>
      <c r="Z47" s="1075"/>
      <c r="AA47" s="1079" t="str">
        <f>IFERROR(VLOOKUP($B47,DataSheetDA!$C$4:$AA$237,AA$12,0),"")</f>
        <v/>
      </c>
      <c r="AB47" s="386"/>
      <c r="AC47" s="385"/>
    </row>
    <row r="48" spans="1:29" s="384" customFormat="1" ht="21" customHeight="1" thickBot="1" x14ac:dyDescent="0.25">
      <c r="A48" s="428">
        <v>36</v>
      </c>
      <c r="B48" s="383" t="str">
        <f t="shared" si="0"/>
        <v>EZZZZEZ36</v>
      </c>
      <c r="C48" s="523" t="str">
        <f>IFERROR(VLOOKUP($B48,DataSheetDA!$C$4:$AA$237,3,0),"")</f>
        <v/>
      </c>
      <c r="D48" s="389"/>
      <c r="E48" s="1076" t="str">
        <f>IFERROR(VLOOKUP($B48,DataSheetDA!$C$4:$AA$237,E$12,0),"")</f>
        <v/>
      </c>
      <c r="F48" s="1077"/>
      <c r="G48" s="1076" t="str">
        <f>IFERROR(VLOOKUP($B48,DataSheetDA!$C$4:$AA$237,G$12,0),"")</f>
        <v/>
      </c>
      <c r="H48" s="1073"/>
      <c r="I48" s="1078" t="str">
        <f>IFERROR(VLOOKUP($B48,DataSheetDA!$C$4:$AA$237,I$12,0),"")</f>
        <v/>
      </c>
      <c r="J48" s="1073"/>
      <c r="K48" s="1079" t="str">
        <f>IFERROR(VLOOKUP($B48,DataSheetDA!$C$4:$AA$237,K$12,0),"")</f>
        <v/>
      </c>
      <c r="L48" s="1074"/>
      <c r="M48" s="1078" t="str">
        <f>IFERROR(VLOOKUP($B48,DataSheetDA!$C$4:$AA$237,M$12,0),"")</f>
        <v/>
      </c>
      <c r="N48" s="1077"/>
      <c r="O48" s="1078" t="str">
        <f>IFERROR(VLOOKUP($B48,DataSheetDA!$C$4:$AA$237,O$12,0),"")</f>
        <v/>
      </c>
      <c r="P48" s="1077"/>
      <c r="Q48" s="1078" t="str">
        <f>IFERROR(VLOOKUP($B48,DataSheetDA!$C$4:$AA$237,Q$12,0),"")</f>
        <v/>
      </c>
      <c r="R48" s="1073"/>
      <c r="S48" s="1080" t="str">
        <f>IFERROR(VLOOKUP($B48,DataSheetDA!$C$4:$AA$237,S$12,0),"")</f>
        <v/>
      </c>
      <c r="T48" s="1073"/>
      <c r="U48" s="1079" t="str">
        <f>IFERROR(VLOOKUP($B48,DataSheetDA!$C$4:$AA$237,U$12,0),"")</f>
        <v/>
      </c>
      <c r="V48" s="1073"/>
      <c r="W48" s="1078" t="str">
        <f>IFERROR(VLOOKUP($B48,DataSheetDA!$C$4:$AA$237,W$12,0),"")</f>
        <v/>
      </c>
      <c r="X48" s="1077"/>
      <c r="Y48" s="1081" t="str">
        <f>IF(C48="","",IF(VLOOKUP('Part 1'!$L$13,#REF!,10,FALSE)&lt;1,W48,0))</f>
        <v/>
      </c>
      <c r="Z48" s="1075"/>
      <c r="AA48" s="1079" t="str">
        <f>IFERROR(VLOOKUP($B48,DataSheetDA!$C$4:$AA$237,AA$12,0),"")</f>
        <v/>
      </c>
      <c r="AB48" s="386"/>
      <c r="AC48" s="385"/>
    </row>
    <row r="49" spans="1:29" s="384" customFormat="1" ht="21" customHeight="1" thickBot="1" x14ac:dyDescent="0.25">
      <c r="A49" s="428">
        <v>37</v>
      </c>
      <c r="B49" s="383" t="str">
        <f t="shared" si="0"/>
        <v>EZZZZEZ37</v>
      </c>
      <c r="C49" s="523" t="str">
        <f>IFERROR(VLOOKUP($B49,DataSheetDA!$C$4:$AA$237,3,0),"")</f>
        <v/>
      </c>
      <c r="D49" s="389"/>
      <c r="E49" s="1076" t="str">
        <f>IFERROR(VLOOKUP($B49,DataSheetDA!$C$4:$AA$237,E$12,0),"")</f>
        <v/>
      </c>
      <c r="F49" s="1077"/>
      <c r="G49" s="1076" t="str">
        <f>IFERROR(VLOOKUP($B49,DataSheetDA!$C$4:$AA$237,G$12,0),"")</f>
        <v/>
      </c>
      <c r="H49" s="1073"/>
      <c r="I49" s="1078" t="str">
        <f>IFERROR(VLOOKUP($B49,DataSheetDA!$C$4:$AA$237,I$12,0),"")</f>
        <v/>
      </c>
      <c r="J49" s="1073"/>
      <c r="K49" s="1079" t="str">
        <f>IFERROR(VLOOKUP($B49,DataSheetDA!$C$4:$AA$237,K$12,0),"")</f>
        <v/>
      </c>
      <c r="L49" s="1074"/>
      <c r="M49" s="1078" t="str">
        <f>IFERROR(VLOOKUP($B49,DataSheetDA!$C$4:$AA$237,M$12,0),"")</f>
        <v/>
      </c>
      <c r="N49" s="1077"/>
      <c r="O49" s="1078" t="str">
        <f>IFERROR(VLOOKUP($B49,DataSheetDA!$C$4:$AA$237,O$12,0),"")</f>
        <v/>
      </c>
      <c r="P49" s="1077"/>
      <c r="Q49" s="1078" t="str">
        <f>IFERROR(VLOOKUP($B49,DataSheetDA!$C$4:$AA$237,Q$12,0),"")</f>
        <v/>
      </c>
      <c r="R49" s="1073"/>
      <c r="S49" s="1080" t="str">
        <f>IFERROR(VLOOKUP($B49,DataSheetDA!$C$4:$AA$237,S$12,0),"")</f>
        <v/>
      </c>
      <c r="T49" s="1073"/>
      <c r="U49" s="1079" t="str">
        <f>IFERROR(VLOOKUP($B49,DataSheetDA!$C$4:$AA$237,U$12,0),"")</f>
        <v/>
      </c>
      <c r="V49" s="1073"/>
      <c r="W49" s="1078" t="str">
        <f>IFERROR(VLOOKUP($B49,DataSheetDA!$C$4:$AA$237,W$12,0),"")</f>
        <v/>
      </c>
      <c r="X49" s="1077"/>
      <c r="Y49" s="1081" t="str">
        <f>IF(C49="","",IF(VLOOKUP('Part 1'!$L$13,#REF!,10,FALSE)&lt;1,W49,0))</f>
        <v/>
      </c>
      <c r="Z49" s="1075"/>
      <c r="AA49" s="1079" t="str">
        <f>IFERROR(VLOOKUP($B49,DataSheetDA!$C$4:$AA$237,AA$12,0),"")</f>
        <v/>
      </c>
      <c r="AB49" s="386"/>
      <c r="AC49" s="385"/>
    </row>
    <row r="50" spans="1:29" s="384" customFormat="1" ht="21" customHeight="1" thickBot="1" x14ac:dyDescent="0.25">
      <c r="A50" s="428">
        <v>38</v>
      </c>
      <c r="B50" s="383" t="str">
        <f t="shared" si="0"/>
        <v>EZZZZEZ38</v>
      </c>
      <c r="C50" s="523" t="str">
        <f>IFERROR(VLOOKUP($B50,DataSheetDA!$C$4:$AA$237,3,0),"")</f>
        <v/>
      </c>
      <c r="D50" s="389"/>
      <c r="E50" s="1076" t="str">
        <f>IFERROR(VLOOKUP($B50,DataSheetDA!$C$4:$AA$237,E$12,0),"")</f>
        <v/>
      </c>
      <c r="F50" s="1077"/>
      <c r="G50" s="1076" t="str">
        <f>IFERROR(VLOOKUP($B50,DataSheetDA!$C$4:$AA$237,G$12,0),"")</f>
        <v/>
      </c>
      <c r="H50" s="1073"/>
      <c r="I50" s="1078" t="str">
        <f>IFERROR(VLOOKUP($B50,DataSheetDA!$C$4:$AA$237,I$12,0),"")</f>
        <v/>
      </c>
      <c r="J50" s="1073"/>
      <c r="K50" s="1079" t="str">
        <f>IFERROR(VLOOKUP($B50,DataSheetDA!$C$4:$AA$237,K$12,0),"")</f>
        <v/>
      </c>
      <c r="L50" s="1074"/>
      <c r="M50" s="1078" t="str">
        <f>IFERROR(VLOOKUP($B50,DataSheetDA!$C$4:$AA$237,M$12,0),"")</f>
        <v/>
      </c>
      <c r="N50" s="1077"/>
      <c r="O50" s="1078" t="str">
        <f>IFERROR(VLOOKUP($B50,DataSheetDA!$C$4:$AA$237,O$12,0),"")</f>
        <v/>
      </c>
      <c r="P50" s="1077"/>
      <c r="Q50" s="1078" t="str">
        <f>IFERROR(VLOOKUP($B50,DataSheetDA!$C$4:$AA$237,Q$12,0),"")</f>
        <v/>
      </c>
      <c r="R50" s="1073"/>
      <c r="S50" s="1080" t="str">
        <f>IFERROR(VLOOKUP($B50,DataSheetDA!$C$4:$AA$237,S$12,0),"")</f>
        <v/>
      </c>
      <c r="T50" s="1073"/>
      <c r="U50" s="1079" t="str">
        <f>IFERROR(VLOOKUP($B50,DataSheetDA!$C$4:$AA$237,U$12,0),"")</f>
        <v/>
      </c>
      <c r="V50" s="1073"/>
      <c r="W50" s="1078" t="str">
        <f>IFERROR(VLOOKUP($B50,DataSheetDA!$C$4:$AA$237,W$12,0),"")</f>
        <v/>
      </c>
      <c r="X50" s="1077"/>
      <c r="Y50" s="1081" t="str">
        <f>IF(C50="","",IF(VLOOKUP('Part 1'!$L$13,#REF!,10,FALSE)&lt;1,W50,0))</f>
        <v/>
      </c>
      <c r="Z50" s="1075"/>
      <c r="AA50" s="1079" t="str">
        <f>IFERROR(VLOOKUP($B50,DataSheetDA!$C$4:$AA$237,AA$12,0),"")</f>
        <v/>
      </c>
      <c r="AB50" s="386"/>
      <c r="AC50" s="385"/>
    </row>
    <row r="51" spans="1:29" s="384" customFormat="1" ht="21" customHeight="1" thickBot="1" x14ac:dyDescent="0.25">
      <c r="A51" s="428">
        <v>39</v>
      </c>
      <c r="B51" s="383" t="str">
        <f t="shared" si="0"/>
        <v>EZZZZEZ39</v>
      </c>
      <c r="C51" s="523" t="str">
        <f>IFERROR(VLOOKUP($B51,DataSheetDA!$C$4:$AA$237,3,0),"")</f>
        <v/>
      </c>
      <c r="D51" s="389"/>
      <c r="E51" s="1076" t="str">
        <f>IFERROR(VLOOKUP($B51,DataSheetDA!$C$4:$AA$237,E$12,0),"")</f>
        <v/>
      </c>
      <c r="F51" s="1077"/>
      <c r="G51" s="1076" t="str">
        <f>IFERROR(VLOOKUP($B51,DataSheetDA!$C$4:$AA$237,G$12,0),"")</f>
        <v/>
      </c>
      <c r="H51" s="1073"/>
      <c r="I51" s="1078" t="str">
        <f>IFERROR(VLOOKUP($B51,DataSheetDA!$C$4:$AA$237,I$12,0),"")</f>
        <v/>
      </c>
      <c r="J51" s="1073"/>
      <c r="K51" s="1079" t="str">
        <f>IFERROR(VLOOKUP($B51,DataSheetDA!$C$4:$AA$237,K$12,0),"")</f>
        <v/>
      </c>
      <c r="L51" s="1074"/>
      <c r="M51" s="1078" t="str">
        <f>IFERROR(VLOOKUP($B51,DataSheetDA!$C$4:$AA$237,M$12,0),"")</f>
        <v/>
      </c>
      <c r="N51" s="1077"/>
      <c r="O51" s="1078" t="str">
        <f>IFERROR(VLOOKUP($B51,DataSheetDA!$C$4:$AA$237,O$12,0),"")</f>
        <v/>
      </c>
      <c r="P51" s="1077"/>
      <c r="Q51" s="1078" t="str">
        <f>IFERROR(VLOOKUP($B51,DataSheetDA!$C$4:$AA$237,Q$12,0),"")</f>
        <v/>
      </c>
      <c r="R51" s="1073"/>
      <c r="S51" s="1080" t="str">
        <f>IFERROR(VLOOKUP($B51,DataSheetDA!$C$4:$AA$237,S$12,0),"")</f>
        <v/>
      </c>
      <c r="T51" s="1073"/>
      <c r="U51" s="1079" t="str">
        <f>IFERROR(VLOOKUP($B51,DataSheetDA!$C$4:$AA$237,U$12,0),"")</f>
        <v/>
      </c>
      <c r="V51" s="1073"/>
      <c r="W51" s="1078" t="str">
        <f>IFERROR(VLOOKUP($B51,DataSheetDA!$C$4:$AA$237,W$12,0),"")</f>
        <v/>
      </c>
      <c r="X51" s="1077"/>
      <c r="Y51" s="1081" t="str">
        <f>IF(C51="","",IF(VLOOKUP('Part 1'!$L$13,#REF!,10,FALSE)&lt;1,W51,0))</f>
        <v/>
      </c>
      <c r="Z51" s="1075"/>
      <c r="AA51" s="1079" t="str">
        <f>IFERROR(VLOOKUP($B51,DataSheetDA!$C$4:$AA$237,AA$12,0),"")</f>
        <v/>
      </c>
      <c r="AB51" s="386"/>
      <c r="AC51" s="385"/>
    </row>
    <row r="52" spans="1:29" s="384" customFormat="1" ht="21" customHeight="1" thickBot="1" x14ac:dyDescent="0.25">
      <c r="A52" s="428">
        <v>40</v>
      </c>
      <c r="B52" s="383" t="str">
        <f t="shared" si="0"/>
        <v>EZZZZEZ40</v>
      </c>
      <c r="C52" s="523" t="str">
        <f>IFERROR(VLOOKUP($B52,DataSheetDA!$C$4:$AA$237,3,0),"")</f>
        <v/>
      </c>
      <c r="D52" s="389"/>
      <c r="E52" s="1076" t="str">
        <f>IFERROR(VLOOKUP($B52,DataSheetDA!$C$4:$AA$237,E$12,0),"")</f>
        <v/>
      </c>
      <c r="F52" s="1077"/>
      <c r="G52" s="1076" t="str">
        <f>IFERROR(VLOOKUP($B52,DataSheetDA!$C$4:$AA$237,G$12,0),"")</f>
        <v/>
      </c>
      <c r="H52" s="1073"/>
      <c r="I52" s="1078" t="str">
        <f>IFERROR(VLOOKUP($B52,DataSheetDA!$C$4:$AA$237,I$12,0),"")</f>
        <v/>
      </c>
      <c r="J52" s="1073"/>
      <c r="K52" s="1079" t="str">
        <f>IFERROR(VLOOKUP($B52,DataSheetDA!$C$4:$AA$237,K$12,0),"")</f>
        <v/>
      </c>
      <c r="L52" s="1074"/>
      <c r="M52" s="1078" t="str">
        <f>IFERROR(VLOOKUP($B52,DataSheetDA!$C$4:$AA$237,M$12,0),"")</f>
        <v/>
      </c>
      <c r="N52" s="1077"/>
      <c r="O52" s="1078" t="str">
        <f>IFERROR(VLOOKUP($B52,DataSheetDA!$C$4:$AA$237,O$12,0),"")</f>
        <v/>
      </c>
      <c r="P52" s="1077"/>
      <c r="Q52" s="1078" t="str">
        <f>IFERROR(VLOOKUP($B52,DataSheetDA!$C$4:$AA$237,Q$12,0),"")</f>
        <v/>
      </c>
      <c r="R52" s="1073"/>
      <c r="S52" s="1080" t="str">
        <f>IFERROR(VLOOKUP($B52,DataSheetDA!$C$4:$AA$237,S$12,0),"")</f>
        <v/>
      </c>
      <c r="T52" s="1073"/>
      <c r="U52" s="1079" t="str">
        <f>IFERROR(VLOOKUP($B52,DataSheetDA!$C$4:$AA$237,U$12,0),"")</f>
        <v/>
      </c>
      <c r="V52" s="1073"/>
      <c r="W52" s="1078" t="str">
        <f>IFERROR(VLOOKUP($B52,DataSheetDA!$C$4:$AA$237,W$12,0),"")</f>
        <v/>
      </c>
      <c r="X52" s="1077"/>
      <c r="Y52" s="1081" t="str">
        <f>IF(C52="","",IF(VLOOKUP('Part 1'!$L$13,#REF!,10,FALSE)&lt;1,W52,0))</f>
        <v/>
      </c>
      <c r="Z52" s="1075"/>
      <c r="AA52" s="1079" t="str">
        <f>IFERROR(VLOOKUP($B52,DataSheetDA!$C$4:$AA$237,AA$12,0),"")</f>
        <v/>
      </c>
      <c r="AB52" s="386"/>
      <c r="AC52" s="385"/>
    </row>
    <row r="53" spans="1:29" s="384" customFormat="1" ht="21" customHeight="1" thickBot="1" x14ac:dyDescent="0.25">
      <c r="A53" s="428">
        <v>41</v>
      </c>
      <c r="B53" s="383" t="str">
        <f t="shared" si="0"/>
        <v>EZZZZEZ41</v>
      </c>
      <c r="C53" s="523" t="str">
        <f>IFERROR(VLOOKUP($B53,DataSheetDA!$C$4:$AA$237,3,0),"")</f>
        <v/>
      </c>
      <c r="D53" s="389"/>
      <c r="E53" s="1076" t="str">
        <f>IFERROR(VLOOKUP($B53,DataSheetDA!$C$4:$AA$237,E$12,0),"")</f>
        <v/>
      </c>
      <c r="F53" s="1077"/>
      <c r="G53" s="1076" t="str">
        <f>IFERROR(VLOOKUP($B53,DataSheetDA!$C$4:$AA$237,G$12,0),"")</f>
        <v/>
      </c>
      <c r="H53" s="1073"/>
      <c r="I53" s="1078" t="str">
        <f>IFERROR(VLOOKUP($B53,DataSheetDA!$C$4:$AA$237,I$12,0),"")</f>
        <v/>
      </c>
      <c r="J53" s="1073"/>
      <c r="K53" s="1079" t="str">
        <f>IFERROR(VLOOKUP($B53,DataSheetDA!$C$4:$AA$237,K$12,0),"")</f>
        <v/>
      </c>
      <c r="L53" s="1074"/>
      <c r="M53" s="1078" t="str">
        <f>IFERROR(VLOOKUP($B53,DataSheetDA!$C$4:$AA$237,M$12,0),"")</f>
        <v/>
      </c>
      <c r="N53" s="1077"/>
      <c r="O53" s="1078" t="str">
        <f>IFERROR(VLOOKUP($B53,DataSheetDA!$C$4:$AA$237,O$12,0),"")</f>
        <v/>
      </c>
      <c r="P53" s="1077"/>
      <c r="Q53" s="1078" t="str">
        <f>IFERROR(VLOOKUP($B53,DataSheetDA!$C$4:$AA$237,Q$12,0),"")</f>
        <v/>
      </c>
      <c r="R53" s="1073"/>
      <c r="S53" s="1080" t="str">
        <f>IFERROR(VLOOKUP($B53,DataSheetDA!$C$4:$AA$237,S$12,0),"")</f>
        <v/>
      </c>
      <c r="T53" s="1073"/>
      <c r="U53" s="1079" t="str">
        <f>IFERROR(VLOOKUP($B53,DataSheetDA!$C$4:$AA$237,U$12,0),"")</f>
        <v/>
      </c>
      <c r="V53" s="1073"/>
      <c r="W53" s="1078" t="str">
        <f>IFERROR(VLOOKUP($B53,DataSheetDA!$C$4:$AA$237,W$12,0),"")</f>
        <v/>
      </c>
      <c r="X53" s="1077"/>
      <c r="Y53" s="1081" t="str">
        <f>IF(C53="","",IF(VLOOKUP('Part 1'!$L$13,#REF!,10,FALSE)&lt;1,W53,0))</f>
        <v/>
      </c>
      <c r="Z53" s="1075"/>
      <c r="AA53" s="1079" t="str">
        <f>IFERROR(VLOOKUP($B53,DataSheetDA!$C$4:$AA$237,AA$12,0),"")</f>
        <v/>
      </c>
      <c r="AB53" s="386"/>
      <c r="AC53" s="385"/>
    </row>
    <row r="54" spans="1:29" ht="18.75" thickBot="1" x14ac:dyDescent="0.25">
      <c r="A54" s="459"/>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73"/>
      <c r="Z54" s="473"/>
      <c r="AA54" s="457"/>
      <c r="AB54" s="457"/>
      <c r="AC54" s="458"/>
    </row>
    <row r="55" spans="1:29" ht="18" x14ac:dyDescent="0.2">
      <c r="A55" s="383"/>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474"/>
      <c r="Z55" s="474"/>
      <c r="AA55" s="383"/>
      <c r="AB55" s="383"/>
      <c r="AC55" s="456"/>
    </row>
  </sheetData>
  <mergeCells count="10">
    <mergeCell ref="M9:U9"/>
    <mergeCell ref="W9:Y9"/>
    <mergeCell ref="A1:AC1"/>
    <mergeCell ref="B12:C12"/>
    <mergeCell ref="Y7:AB7"/>
    <mergeCell ref="G9:I9"/>
    <mergeCell ref="E4:K4"/>
    <mergeCell ref="M4:U4"/>
    <mergeCell ref="W4:AA4"/>
    <mergeCell ref="W7:W8"/>
  </mergeCells>
  <dataValidations count="1">
    <dataValidation type="custom" operator="equal" allowBlank="1" showInputMessage="1" showErrorMessage="1" error="The number setting their own council tax precept exceeds the sum of parishes and Charter Trustees" sqref="AC13:AC55" xr:uid="{00000000-0002-0000-0400-000000000000}">
      <formula1>#REF!=0</formula1>
    </dataValidation>
  </dataValidations>
  <printOptions horizontalCentered="1"/>
  <pageMargins left="0.39370078740157483" right="0.39370078740157483" top="0.59055118110236227" bottom="0.59055118110236227" header="0.31496062992125984" footer="0.31496062992125984"/>
  <pageSetup paperSize="9" scale="31" fitToHeight="5" orientation="landscape"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72"/>
  <sheetViews>
    <sheetView showGridLines="0" zoomScale="90" zoomScaleNormal="90" workbookViewId="0"/>
  </sheetViews>
  <sheetFormatPr defaultRowHeight="12.75" x14ac:dyDescent="0.2"/>
  <cols>
    <col min="1" max="2" width="1.7109375" customWidth="1"/>
    <col min="3" max="4" width="14.28515625" customWidth="1"/>
    <col min="5" max="5" width="47.42578125" customWidth="1"/>
    <col min="6" max="7" width="14.28515625" customWidth="1"/>
    <col min="8" max="8" width="3.7109375" customWidth="1"/>
    <col min="9" max="10" width="11.42578125" customWidth="1"/>
    <col min="11" max="11" width="5.28515625" customWidth="1"/>
    <col min="12" max="13" width="11.5703125" customWidth="1"/>
    <col min="14" max="15" width="1.7109375" customWidth="1"/>
  </cols>
  <sheetData>
    <row r="1" spans="1:15" ht="15" x14ac:dyDescent="0.2">
      <c r="A1" s="73"/>
      <c r="B1" s="74"/>
      <c r="C1" s="74"/>
      <c r="D1" s="74"/>
      <c r="E1" s="74"/>
      <c r="F1" s="74"/>
      <c r="G1" s="74"/>
      <c r="H1" s="74"/>
      <c r="I1" s="74"/>
      <c r="J1" s="74"/>
      <c r="K1" s="74"/>
      <c r="L1" s="74"/>
      <c r="M1" s="74"/>
      <c r="N1" s="74"/>
      <c r="O1" s="75"/>
    </row>
    <row r="2" spans="1:15" ht="15.75" x14ac:dyDescent="0.25">
      <c r="A2" s="897" t="s">
        <v>654</v>
      </c>
      <c r="B2" s="937"/>
      <c r="C2" s="937"/>
      <c r="D2" s="937"/>
      <c r="E2" s="937"/>
      <c r="F2" s="937"/>
      <c r="G2" s="937"/>
      <c r="H2" s="937"/>
      <c r="I2" s="937"/>
      <c r="J2" s="937"/>
      <c r="K2" s="937"/>
      <c r="L2" s="937"/>
      <c r="M2" s="937"/>
      <c r="N2" s="937"/>
      <c r="O2" s="938"/>
    </row>
    <row r="3" spans="1:15" ht="15.75" x14ac:dyDescent="0.25">
      <c r="A3" s="897" t="s">
        <v>1577</v>
      </c>
      <c r="B3" s="939"/>
      <c r="C3" s="939"/>
      <c r="D3" s="939"/>
      <c r="E3" s="939"/>
      <c r="F3" s="939"/>
      <c r="G3" s="939"/>
      <c r="H3" s="939"/>
      <c r="I3" s="939"/>
      <c r="J3" s="939"/>
      <c r="K3" s="939"/>
      <c r="L3" s="939"/>
      <c r="M3" s="939"/>
      <c r="N3" s="939"/>
      <c r="O3" s="940"/>
    </row>
    <row r="4" spans="1:15" ht="15.75" x14ac:dyDescent="0.25">
      <c r="A4" s="254"/>
      <c r="B4" s="134"/>
      <c r="C4" s="134"/>
      <c r="D4" s="134"/>
      <c r="E4" s="134"/>
      <c r="F4" s="134"/>
      <c r="G4" s="134"/>
      <c r="H4" s="134"/>
      <c r="I4" s="134"/>
      <c r="J4" s="134"/>
      <c r="K4" s="134"/>
      <c r="L4" s="134"/>
      <c r="M4" s="134"/>
      <c r="N4" s="134"/>
      <c r="O4" s="135"/>
    </row>
    <row r="5" spans="1:15" ht="15.75" thickBot="1" x14ac:dyDescent="0.25">
      <c r="A5" s="76"/>
      <c r="B5" s="77"/>
      <c r="C5" s="77"/>
      <c r="D5" s="77"/>
      <c r="E5" s="77"/>
      <c r="F5" s="77"/>
      <c r="G5" s="77"/>
      <c r="H5" s="77"/>
      <c r="I5" s="77"/>
      <c r="J5" s="77"/>
      <c r="K5" s="77"/>
      <c r="L5" s="325"/>
      <c r="M5" s="501"/>
      <c r="N5" s="77"/>
      <c r="O5" s="78"/>
    </row>
    <row r="6" spans="1:15" x14ac:dyDescent="0.2">
      <c r="A6" s="23"/>
      <c r="B6" s="2"/>
      <c r="C6" s="1001"/>
      <c r="D6" s="1001"/>
      <c r="E6" s="266"/>
      <c r="F6" s="266"/>
      <c r="G6" s="2"/>
      <c r="H6" s="2"/>
      <c r="I6" s="216"/>
      <c r="J6" s="2"/>
      <c r="K6" s="2"/>
      <c r="L6" s="2"/>
      <c r="M6" s="2"/>
      <c r="N6" s="2"/>
      <c r="O6" s="55"/>
    </row>
    <row r="7" spans="1:15" ht="18" x14ac:dyDescent="0.25">
      <c r="A7" s="45"/>
      <c r="B7" s="27"/>
      <c r="C7" s="79" t="str">
        <f>+CONCATENATE("Local Authority : ",+'Part 1'!L12)</f>
        <v>Local Authority : England</v>
      </c>
      <c r="D7" s="79"/>
      <c r="E7" s="79"/>
      <c r="F7" s="79"/>
      <c r="G7" s="27"/>
      <c r="H7" s="27"/>
      <c r="I7" s="27"/>
      <c r="J7" s="27"/>
      <c r="K7" s="27"/>
      <c r="L7" s="27"/>
      <c r="M7" s="27"/>
      <c r="N7" s="27"/>
      <c r="O7" s="28"/>
    </row>
    <row r="8" spans="1:15" ht="15.75" x14ac:dyDescent="0.25">
      <c r="A8" s="41"/>
      <c r="B8" s="245"/>
      <c r="C8" s="245"/>
      <c r="D8" s="245"/>
      <c r="E8" s="245"/>
      <c r="F8" s="245"/>
      <c r="G8" s="44"/>
      <c r="H8" s="27"/>
      <c r="I8" s="27"/>
      <c r="J8" s="27"/>
      <c r="K8" s="27"/>
      <c r="L8" s="27"/>
      <c r="M8" s="27"/>
      <c r="N8" s="27"/>
      <c r="O8" s="28"/>
    </row>
    <row r="9" spans="1:15" ht="15.75" x14ac:dyDescent="0.25">
      <c r="A9" s="23"/>
      <c r="B9" s="2"/>
      <c r="C9" s="26" t="s">
        <v>659</v>
      </c>
      <c r="D9" s="27"/>
      <c r="E9" s="27"/>
      <c r="F9" s="27"/>
      <c r="G9" s="27"/>
      <c r="H9" s="27"/>
      <c r="I9" s="27"/>
      <c r="J9" s="27"/>
      <c r="K9" s="27"/>
      <c r="L9" s="27"/>
      <c r="M9" s="27"/>
      <c r="N9" s="27"/>
      <c r="O9" s="28"/>
    </row>
    <row r="10" spans="1:15" ht="15.75" x14ac:dyDescent="0.25">
      <c r="A10" s="23"/>
      <c r="B10" s="2"/>
      <c r="C10" s="26"/>
      <c r="D10" s="27"/>
      <c r="E10" s="27"/>
      <c r="F10" s="27"/>
      <c r="G10" s="27"/>
      <c r="H10" s="27"/>
      <c r="I10" s="27"/>
      <c r="J10" s="27"/>
      <c r="K10" s="27"/>
      <c r="L10" s="27"/>
      <c r="M10" s="27"/>
      <c r="N10" s="27"/>
      <c r="O10" s="28"/>
    </row>
    <row r="11" spans="1:15" ht="16.5" thickBot="1" x14ac:dyDescent="0.3">
      <c r="A11" s="23"/>
      <c r="B11" s="2"/>
      <c r="C11" s="26" t="s">
        <v>255</v>
      </c>
      <c r="D11" s="27"/>
      <c r="E11" s="27"/>
      <c r="F11" s="27"/>
      <c r="G11" s="27"/>
      <c r="H11" s="27"/>
      <c r="I11" s="1016" t="s">
        <v>624</v>
      </c>
      <c r="J11" s="1016"/>
      <c r="K11" s="27"/>
      <c r="L11" s="1016" t="s">
        <v>624</v>
      </c>
      <c r="M11" s="1016"/>
      <c r="N11" s="27"/>
      <c r="O11" s="28"/>
    </row>
    <row r="12" spans="1:15" ht="16.5" thickBot="1" x14ac:dyDescent="0.25">
      <c r="A12" s="23"/>
      <c r="B12" s="2"/>
      <c r="C12" s="10" t="s">
        <v>1112</v>
      </c>
      <c r="D12" s="27"/>
      <c r="E12" s="27"/>
      <c r="F12" s="27"/>
      <c r="G12" s="27"/>
      <c r="H12" s="27"/>
      <c r="I12" s="63"/>
      <c r="J12" s="63"/>
      <c r="K12" s="63"/>
      <c r="L12" s="1044">
        <f>VLOOKUP('Part 1'!L13,DataSheet4!$B$8:$Y$322,5,FALSE)</f>
        <v>25679318.07431931</v>
      </c>
      <c r="M12" s="1045"/>
      <c r="N12" s="834" t="str">
        <f>IF('Part 1'!$L$13="E2234","(R)","")</f>
        <v/>
      </c>
      <c r="O12" s="28"/>
    </row>
    <row r="13" spans="1:15" ht="15.75" x14ac:dyDescent="0.25">
      <c r="A13" s="23"/>
      <c r="B13" s="2"/>
      <c r="C13" s="26"/>
      <c r="D13" s="27"/>
      <c r="E13" s="27"/>
      <c r="F13" s="27"/>
      <c r="G13" s="27"/>
      <c r="H13" s="27"/>
      <c r="I13" s="27"/>
      <c r="J13" s="27"/>
      <c r="K13" s="27"/>
      <c r="L13" s="27"/>
      <c r="M13" s="27"/>
      <c r="N13" s="27"/>
      <c r="O13" s="28"/>
    </row>
    <row r="14" spans="1:15" ht="16.5" thickBot="1" x14ac:dyDescent="0.3">
      <c r="A14" s="23"/>
      <c r="B14" s="2"/>
      <c r="C14" s="13" t="s">
        <v>839</v>
      </c>
      <c r="D14" s="27"/>
      <c r="E14" s="27"/>
      <c r="F14" s="27"/>
      <c r="G14" s="27"/>
      <c r="H14" s="27"/>
      <c r="I14" s="27"/>
      <c r="J14" s="27"/>
      <c r="K14" s="27"/>
      <c r="L14" s="27"/>
      <c r="M14" s="27"/>
      <c r="N14" s="27"/>
      <c r="O14" s="28"/>
    </row>
    <row r="15" spans="1:15" ht="16.5" thickBot="1" x14ac:dyDescent="0.25">
      <c r="A15" s="23"/>
      <c r="B15" s="2"/>
      <c r="C15" s="10" t="s">
        <v>1558</v>
      </c>
      <c r="D15" s="27"/>
      <c r="E15" s="27"/>
      <c r="F15" s="27"/>
      <c r="G15" s="27"/>
      <c r="H15" s="27"/>
      <c r="I15" s="878">
        <f>VLOOKUP('Part 1'!L13,DataSheet4!$B$8:$Y$322,6,FALSE)</f>
        <v>26172881011</v>
      </c>
      <c r="J15" s="879"/>
      <c r="K15" s="834" t="str">
        <f>IF('Part 1'!$L$13="E2234","(R)","")</f>
        <v/>
      </c>
      <c r="L15" s="27"/>
      <c r="M15" s="27"/>
      <c r="N15" s="27"/>
      <c r="O15" s="28"/>
    </row>
    <row r="16" spans="1:15" ht="15.75" customHeight="1" thickBot="1" x14ac:dyDescent="0.3">
      <c r="A16" s="23"/>
      <c r="B16" s="2"/>
      <c r="C16" s="13"/>
      <c r="D16" s="27"/>
      <c r="E16" s="27"/>
      <c r="F16" s="27"/>
      <c r="G16" s="27"/>
      <c r="H16" s="27"/>
      <c r="I16" s="27"/>
      <c r="J16" s="27"/>
      <c r="K16" s="27"/>
      <c r="L16" s="27"/>
      <c r="M16" s="27"/>
      <c r="N16" s="27"/>
      <c r="O16" s="28"/>
    </row>
    <row r="17" spans="1:15" ht="16.5" thickBot="1" x14ac:dyDescent="0.25">
      <c r="A17" s="23"/>
      <c r="B17" s="2"/>
      <c r="C17" s="10" t="s">
        <v>843</v>
      </c>
      <c r="D17" s="27"/>
      <c r="E17" s="27"/>
      <c r="F17" s="27"/>
      <c r="G17" s="27"/>
      <c r="H17" s="27"/>
      <c r="I17" s="878">
        <f>VLOOKUP('Part 1'!L13,DataSheet4!$B$8:$Y$322,7,FALSE)</f>
        <v>-34351660</v>
      </c>
      <c r="J17" s="879"/>
      <c r="K17" s="27"/>
      <c r="L17" s="27"/>
      <c r="M17" s="27"/>
      <c r="N17" s="27"/>
      <c r="O17" s="28"/>
    </row>
    <row r="18" spans="1:15" ht="16.5" thickBot="1" x14ac:dyDescent="0.3">
      <c r="A18" s="23"/>
      <c r="B18" s="2"/>
      <c r="C18" s="13"/>
      <c r="D18" s="27"/>
      <c r="E18" s="27"/>
      <c r="F18" s="27"/>
      <c r="G18" s="27"/>
      <c r="H18" s="27"/>
      <c r="I18" s="27"/>
      <c r="J18" s="27"/>
      <c r="K18" s="27"/>
      <c r="L18" s="27"/>
      <c r="M18" s="27"/>
      <c r="N18" s="27"/>
      <c r="O18" s="28"/>
    </row>
    <row r="19" spans="1:15" ht="16.5" thickBot="1" x14ac:dyDescent="0.25">
      <c r="A19" s="23"/>
      <c r="B19" s="2"/>
      <c r="C19" s="10" t="s">
        <v>844</v>
      </c>
      <c r="D19" s="27"/>
      <c r="E19" s="27"/>
      <c r="F19" s="27"/>
      <c r="G19" s="27"/>
      <c r="H19" s="27"/>
      <c r="I19" s="878">
        <f>VLOOKUP('Part 1'!L13,DataSheet4!$B$8:$Y$322,8,FALSE)</f>
        <v>-186237326</v>
      </c>
      <c r="J19" s="879"/>
      <c r="K19" s="27"/>
      <c r="L19" s="27"/>
      <c r="M19" s="27"/>
      <c r="N19" s="27"/>
      <c r="O19" s="28"/>
    </row>
    <row r="20" spans="1:15" ht="16.5" thickBot="1" x14ac:dyDescent="0.3">
      <c r="A20" s="23"/>
      <c r="B20" s="2"/>
      <c r="C20" s="13"/>
      <c r="D20" s="27"/>
      <c r="E20" s="27"/>
      <c r="F20" s="27"/>
      <c r="G20" s="27"/>
      <c r="H20" s="27"/>
      <c r="I20" s="27"/>
      <c r="J20" s="27"/>
      <c r="K20" s="27"/>
      <c r="L20" s="27"/>
      <c r="M20" s="27"/>
      <c r="N20" s="27"/>
      <c r="O20" s="28"/>
    </row>
    <row r="21" spans="1:15" ht="16.5" thickBot="1" x14ac:dyDescent="0.25">
      <c r="A21" s="23"/>
      <c r="B21" s="2"/>
      <c r="C21" s="10" t="s">
        <v>845</v>
      </c>
      <c r="D21" s="27"/>
      <c r="E21" s="27"/>
      <c r="F21" s="27"/>
      <c r="G21" s="27"/>
      <c r="H21" s="27"/>
      <c r="I21" s="878">
        <f>VLOOKUP('Part 1'!L13,DataSheet4!$B$8:$Y$322,9,FALSE)</f>
        <v>460429746</v>
      </c>
      <c r="J21" s="879"/>
      <c r="K21" s="27"/>
      <c r="L21" s="27"/>
      <c r="M21" s="27"/>
      <c r="N21" s="27"/>
      <c r="O21" s="28"/>
    </row>
    <row r="22" spans="1:15" ht="16.5" thickBot="1" x14ac:dyDescent="0.3">
      <c r="A22" s="23"/>
      <c r="B22" s="2"/>
      <c r="C22" s="13"/>
      <c r="D22" s="27"/>
      <c r="E22" s="27"/>
      <c r="F22" s="27"/>
      <c r="G22" s="27"/>
      <c r="H22" s="27"/>
      <c r="I22" s="27"/>
      <c r="J22" s="27"/>
      <c r="K22" s="27"/>
      <c r="L22" s="27"/>
      <c r="M22" s="27"/>
      <c r="N22" s="27"/>
      <c r="O22" s="28"/>
    </row>
    <row r="23" spans="1:15" ht="16.5" thickBot="1" x14ac:dyDescent="0.25">
      <c r="A23" s="23"/>
      <c r="B23" s="2"/>
      <c r="C23" s="10" t="s">
        <v>846</v>
      </c>
      <c r="D23" s="27"/>
      <c r="E23" s="27"/>
      <c r="F23" s="27"/>
      <c r="G23" s="27"/>
      <c r="H23" s="27"/>
      <c r="I23" s="878">
        <f>VLOOKUP('Part 1'!L13,DataSheet4!$B$8:$Y$322,10,FALSE)</f>
        <v>-773006980</v>
      </c>
      <c r="J23" s="879"/>
      <c r="K23" s="27"/>
      <c r="L23" s="27"/>
      <c r="M23" s="27"/>
      <c r="N23" s="27"/>
      <c r="O23" s="28"/>
    </row>
    <row r="24" spans="1:15" ht="15.75" thickBot="1" x14ac:dyDescent="0.25">
      <c r="A24" s="23"/>
      <c r="B24" s="2"/>
      <c r="C24" s="10"/>
      <c r="D24" s="27"/>
      <c r="E24" s="27"/>
      <c r="F24" s="27"/>
      <c r="G24" s="27"/>
      <c r="H24" s="27"/>
      <c r="I24" s="27"/>
      <c r="J24" s="27"/>
      <c r="K24" s="27"/>
      <c r="L24" s="27"/>
      <c r="M24" s="27"/>
      <c r="N24" s="27"/>
      <c r="O24" s="28"/>
    </row>
    <row r="25" spans="1:15" ht="16.5" thickBot="1" x14ac:dyDescent="0.3">
      <c r="A25" s="23"/>
      <c r="B25" s="2"/>
      <c r="C25" s="13" t="s">
        <v>847</v>
      </c>
      <c r="D25" s="27"/>
      <c r="E25" s="27"/>
      <c r="F25" s="27"/>
      <c r="G25" s="27"/>
      <c r="H25" s="27"/>
      <c r="I25" s="281"/>
      <c r="J25" s="281"/>
      <c r="K25" s="27"/>
      <c r="L25" s="935">
        <f>VLOOKUP('Part 1'!L13,DataSheet4!$B$8:$Y$322,11,FALSE)</f>
        <v>25639714791</v>
      </c>
      <c r="M25" s="936"/>
      <c r="N25" s="834" t="str">
        <f>IF('Part 1'!$L$13="E2234","(R)","")</f>
        <v/>
      </c>
      <c r="O25" s="28"/>
    </row>
    <row r="26" spans="1:15" ht="15.75" x14ac:dyDescent="0.25">
      <c r="A26" s="23"/>
      <c r="B26" s="2"/>
      <c r="C26" s="13"/>
      <c r="D26" s="27"/>
      <c r="E26" s="27"/>
      <c r="F26" s="27"/>
      <c r="G26" s="27"/>
      <c r="H26" s="27"/>
      <c r="I26" s="27"/>
      <c r="J26" s="27"/>
      <c r="K26" s="27"/>
      <c r="L26" s="10"/>
      <c r="M26" s="27"/>
      <c r="N26" s="27"/>
      <c r="O26" s="28"/>
    </row>
    <row r="27" spans="1:15" ht="16.5" thickBot="1" x14ac:dyDescent="0.3">
      <c r="A27" s="23"/>
      <c r="B27" s="2"/>
      <c r="C27" s="13" t="s">
        <v>842</v>
      </c>
      <c r="D27" s="27"/>
      <c r="E27" s="27"/>
      <c r="F27" s="27"/>
      <c r="G27" s="27"/>
      <c r="H27" s="27"/>
      <c r="I27" s="63"/>
      <c r="J27" s="63"/>
      <c r="K27" s="63"/>
      <c r="L27" s="63"/>
      <c r="M27" s="63"/>
      <c r="N27" s="27"/>
      <c r="O27" s="28"/>
    </row>
    <row r="28" spans="1:15" ht="16.5" thickBot="1" x14ac:dyDescent="0.25">
      <c r="A28" s="23"/>
      <c r="B28" s="2"/>
      <c r="C28" s="10" t="s">
        <v>1620</v>
      </c>
      <c r="D28" s="27"/>
      <c r="E28" s="27"/>
      <c r="F28" s="27"/>
      <c r="G28" s="27"/>
      <c r="H28" s="27"/>
      <c r="I28" s="878">
        <f>VLOOKUP('Part 1'!L13,DataSheet4!$B$8:$Y$322,12,FALSE)</f>
        <v>179188568</v>
      </c>
      <c r="J28" s="879"/>
      <c r="K28" s="834" t="str">
        <f>IF('Part 1'!$L$13="E2234","(R)","")</f>
        <v/>
      </c>
      <c r="L28" s="63"/>
      <c r="M28" s="63"/>
      <c r="N28" s="27"/>
      <c r="O28" s="28"/>
    </row>
    <row r="29" spans="1:15" ht="15.75" thickBot="1" x14ac:dyDescent="0.25">
      <c r="A29" s="23"/>
      <c r="B29" s="2"/>
      <c r="C29" s="10"/>
      <c r="D29" s="27"/>
      <c r="E29" s="27"/>
      <c r="F29" s="27"/>
      <c r="G29" s="27"/>
      <c r="H29" s="27"/>
      <c r="I29" s="63"/>
      <c r="J29" s="63"/>
      <c r="K29" s="63"/>
      <c r="L29" s="63"/>
      <c r="M29" s="63"/>
      <c r="N29" s="27"/>
      <c r="O29" s="28"/>
    </row>
    <row r="30" spans="1:15" ht="16.5" thickBot="1" x14ac:dyDescent="0.25">
      <c r="A30" s="23"/>
      <c r="B30" s="2"/>
      <c r="C30" s="10" t="s">
        <v>848</v>
      </c>
      <c r="D30" s="27"/>
      <c r="E30" s="27"/>
      <c r="F30" s="27"/>
      <c r="G30" s="27"/>
      <c r="H30" s="27"/>
      <c r="I30" s="878">
        <f>VLOOKUP('Part 1'!L13,DataSheet4!$B$8:$Y$322,13,FALSE)</f>
        <v>15725986</v>
      </c>
      <c r="J30" s="879"/>
      <c r="K30" s="63"/>
      <c r="L30" s="63"/>
      <c r="M30" s="63"/>
      <c r="N30" s="27"/>
      <c r="O30" s="28"/>
    </row>
    <row r="31" spans="1:15" ht="16.5" thickBot="1" x14ac:dyDescent="0.25">
      <c r="A31" s="23"/>
      <c r="B31" s="2"/>
      <c r="C31" s="10"/>
      <c r="D31" s="27"/>
      <c r="E31" s="27"/>
      <c r="F31" s="27"/>
      <c r="G31" s="27"/>
      <c r="H31" s="27"/>
      <c r="I31" s="64"/>
      <c r="J31" s="64"/>
      <c r="K31" s="63"/>
      <c r="L31" s="63"/>
      <c r="M31" s="63"/>
      <c r="N31" s="27"/>
      <c r="O31" s="28"/>
    </row>
    <row r="32" spans="1:15" ht="16.5" thickBot="1" x14ac:dyDescent="0.25">
      <c r="A32" s="23"/>
      <c r="B32" s="2"/>
      <c r="C32" s="10" t="s">
        <v>1560</v>
      </c>
      <c r="D32" s="27"/>
      <c r="E32" s="27"/>
      <c r="F32" s="27"/>
      <c r="G32" s="27"/>
      <c r="H32" s="27"/>
      <c r="I32" s="878">
        <f>VLOOKUP('Part 1'!L13,DataSheet4!$B$8:$Y$322,14,FALSE)</f>
        <v>349939419.69999999</v>
      </c>
      <c r="J32" s="879"/>
      <c r="K32" s="63"/>
      <c r="L32" s="63"/>
      <c r="M32" s="63"/>
      <c r="N32" s="27"/>
      <c r="O32" s="28"/>
    </row>
    <row r="33" spans="1:15" ht="16.5" thickBot="1" x14ac:dyDescent="0.25">
      <c r="A33" s="23"/>
      <c r="B33" s="2"/>
      <c r="C33" s="10"/>
      <c r="D33" s="27"/>
      <c r="E33" s="27"/>
      <c r="F33" s="27"/>
      <c r="G33" s="27"/>
      <c r="H33" s="27"/>
      <c r="I33" s="537"/>
      <c r="J33" s="291"/>
      <c r="K33" s="291"/>
      <c r="L33" s="291"/>
      <c r="M33" s="291"/>
      <c r="N33" s="291"/>
      <c r="O33" s="28"/>
    </row>
    <row r="34" spans="1:15" ht="16.5" thickBot="1" x14ac:dyDescent="0.3">
      <c r="A34" s="23"/>
      <c r="B34" s="2"/>
      <c r="C34" s="13" t="s">
        <v>849</v>
      </c>
      <c r="D34" s="27"/>
      <c r="E34" s="27"/>
      <c r="F34" s="27"/>
      <c r="G34" s="27"/>
      <c r="H34" s="27"/>
      <c r="I34" s="63"/>
      <c r="J34" s="63"/>
      <c r="K34" s="63"/>
      <c r="L34" s="935">
        <f>VLOOKUP('Part 1'!L13,DataSheet4!$B$8:$Y$322,15,FALSE)</f>
        <v>544853973.70000005</v>
      </c>
      <c r="M34" s="936"/>
      <c r="N34" s="834" t="str">
        <f>IF('Part 1'!$L$13="E2234","(R)","")</f>
        <v/>
      </c>
      <c r="O34" s="28"/>
    </row>
    <row r="35" spans="1:15" ht="15" x14ac:dyDescent="0.2">
      <c r="A35" s="23"/>
      <c r="B35" s="2"/>
      <c r="C35" s="27"/>
      <c r="D35" s="27"/>
      <c r="E35" s="27"/>
      <c r="F35" s="27"/>
      <c r="G35" s="27"/>
      <c r="H35" s="27"/>
      <c r="I35" s="63"/>
      <c r="J35" s="63"/>
      <c r="K35" s="63"/>
      <c r="L35" s="63"/>
      <c r="M35" s="63"/>
      <c r="N35" s="27"/>
      <c r="O35" s="28"/>
    </row>
    <row r="36" spans="1:15" ht="16.5" thickBot="1" x14ac:dyDescent="0.3">
      <c r="A36" s="23"/>
      <c r="B36" s="2"/>
      <c r="C36" s="13" t="s">
        <v>840</v>
      </c>
      <c r="D36" s="27"/>
      <c r="E36" s="27"/>
      <c r="F36" s="27"/>
      <c r="G36" s="27"/>
      <c r="H36" s="27"/>
      <c r="I36" s="63"/>
      <c r="J36" s="63"/>
      <c r="K36" s="63"/>
      <c r="L36" s="63"/>
      <c r="M36" s="63"/>
      <c r="N36" s="27"/>
      <c r="O36" s="28"/>
    </row>
    <row r="37" spans="1:15" ht="16.5" thickBot="1" x14ac:dyDescent="0.25">
      <c r="A37" s="23"/>
      <c r="B37" s="2"/>
      <c r="C37" s="10" t="s">
        <v>1621</v>
      </c>
      <c r="D37" s="10"/>
      <c r="E37" s="10"/>
      <c r="F37" s="10"/>
      <c r="G37" s="10"/>
      <c r="H37" s="27"/>
      <c r="I37" s="878">
        <f>VLOOKUP('Part 1'!L13,DataSheet4!$B$8:$Y$322,16,FALSE)</f>
        <v>-229824933</v>
      </c>
      <c r="J37" s="879"/>
      <c r="K37" s="63"/>
      <c r="L37" s="63"/>
      <c r="M37" s="63"/>
      <c r="N37" s="27"/>
      <c r="O37" s="28"/>
    </row>
    <row r="38" spans="1:15" ht="15.75" thickBot="1" x14ac:dyDescent="0.25">
      <c r="A38" s="23"/>
      <c r="B38" s="2"/>
      <c r="C38" s="10"/>
      <c r="D38" s="10"/>
      <c r="E38" s="10"/>
      <c r="F38" s="10"/>
      <c r="G38" s="10"/>
      <c r="H38" s="27"/>
      <c r="I38" s="63"/>
      <c r="J38" s="63"/>
      <c r="K38" s="63"/>
      <c r="L38" s="63"/>
      <c r="M38" s="63"/>
      <c r="N38" s="27"/>
      <c r="O38" s="28"/>
    </row>
    <row r="39" spans="1:15" ht="16.5" thickBot="1" x14ac:dyDescent="0.25">
      <c r="A39" s="23"/>
      <c r="B39" s="2"/>
      <c r="C39" s="918" t="s">
        <v>1622</v>
      </c>
      <c r="D39" s="918"/>
      <c r="E39" s="918"/>
      <c r="F39" s="918"/>
      <c r="G39" s="918"/>
      <c r="H39" s="27"/>
      <c r="I39" s="878">
        <f>VLOOKUP('Part 1'!L13,DataSheet4!$B$8:$Y$322,17,FALSE)</f>
        <v>-7438241451</v>
      </c>
      <c r="J39" s="879"/>
      <c r="K39" s="63"/>
      <c r="L39" s="63"/>
      <c r="M39" s="63"/>
      <c r="N39" s="27"/>
      <c r="O39" s="28"/>
    </row>
    <row r="40" spans="1:15" ht="15" x14ac:dyDescent="0.2">
      <c r="A40" s="23"/>
      <c r="B40" s="2"/>
      <c r="C40" s="918"/>
      <c r="D40" s="918"/>
      <c r="E40" s="918"/>
      <c r="F40" s="918"/>
      <c r="G40" s="918"/>
      <c r="H40" s="27"/>
      <c r="I40" s="63"/>
      <c r="J40" s="63"/>
      <c r="K40" s="63"/>
      <c r="L40" s="63"/>
      <c r="M40" s="63"/>
      <c r="N40" s="27"/>
      <c r="O40" s="28"/>
    </row>
    <row r="41" spans="1:15" ht="15.75" thickBot="1" x14ac:dyDescent="0.25">
      <c r="A41" s="23"/>
      <c r="B41" s="2"/>
      <c r="C41" s="10"/>
      <c r="D41" s="10"/>
      <c r="E41" s="10"/>
      <c r="F41" s="10"/>
      <c r="G41" s="10"/>
      <c r="H41" s="27"/>
      <c r="I41" s="63"/>
      <c r="J41" s="63"/>
      <c r="K41" s="63"/>
      <c r="L41" s="63"/>
      <c r="M41" s="63"/>
      <c r="N41" s="27"/>
      <c r="O41" s="28"/>
    </row>
    <row r="42" spans="1:15" ht="16.5" thickBot="1" x14ac:dyDescent="0.25">
      <c r="A42" s="23"/>
      <c r="B42" s="2"/>
      <c r="C42" s="10" t="s">
        <v>850</v>
      </c>
      <c r="D42" s="10"/>
      <c r="E42" s="10"/>
      <c r="F42" s="10"/>
      <c r="G42" s="10"/>
      <c r="H42" s="27"/>
      <c r="I42" s="878">
        <f>VLOOKUP('Part 1'!L13,DataSheet4!$B$8:$Y$322,18,FALSE)</f>
        <v>-4192570894</v>
      </c>
      <c r="J42" s="879"/>
      <c r="K42" s="63"/>
      <c r="L42" s="63"/>
      <c r="M42" s="63"/>
      <c r="N42" s="27"/>
      <c r="O42" s="28"/>
    </row>
    <row r="43" spans="1:15" ht="15" x14ac:dyDescent="0.2">
      <c r="A43" s="23"/>
      <c r="B43" s="2"/>
      <c r="C43" s="10" t="s">
        <v>1623</v>
      </c>
      <c r="D43" s="10"/>
      <c r="E43" s="10"/>
      <c r="F43" s="10"/>
      <c r="G43" s="10"/>
      <c r="H43" s="27"/>
      <c r="I43" s="27"/>
      <c r="J43" s="27"/>
      <c r="K43" s="27"/>
      <c r="L43" s="63"/>
      <c r="M43" s="63"/>
      <c r="N43" s="27"/>
      <c r="O43" s="28"/>
    </row>
    <row r="44" spans="1:15" ht="15.75" thickBot="1" x14ac:dyDescent="0.25">
      <c r="A44" s="23"/>
      <c r="B44" s="2"/>
      <c r="C44" s="10"/>
      <c r="D44" s="10"/>
      <c r="E44" s="10"/>
      <c r="F44" s="10"/>
      <c r="G44" s="10"/>
      <c r="H44" s="27"/>
      <c r="I44" s="63"/>
      <c r="J44" s="63"/>
      <c r="K44" s="63"/>
      <c r="L44" s="63"/>
      <c r="M44" s="63"/>
      <c r="N44" s="27"/>
      <c r="O44" s="28"/>
    </row>
    <row r="45" spans="1:15" ht="16.5" thickBot="1" x14ac:dyDescent="0.25">
      <c r="A45" s="23"/>
      <c r="B45" s="2"/>
      <c r="C45" s="918" t="s">
        <v>1624</v>
      </c>
      <c r="D45" s="918"/>
      <c r="E45" s="918"/>
      <c r="F45" s="918"/>
      <c r="G45" s="918"/>
      <c r="H45" s="27"/>
      <c r="I45" s="878">
        <f>VLOOKUP('Part 1'!L13,DataSheet4!$B$8:$Y$322,19,FALSE)</f>
        <v>-13322302701</v>
      </c>
      <c r="J45" s="879"/>
      <c r="K45" s="63"/>
      <c r="L45" s="63"/>
      <c r="M45" s="63"/>
      <c r="N45" s="27"/>
      <c r="O45" s="28"/>
    </row>
    <row r="46" spans="1:15" ht="15" x14ac:dyDescent="0.2">
      <c r="A46" s="23"/>
      <c r="B46" s="2"/>
      <c r="C46" s="918"/>
      <c r="D46" s="918"/>
      <c r="E46" s="918"/>
      <c r="F46" s="918"/>
      <c r="G46" s="918"/>
      <c r="H46" s="27"/>
      <c r="I46" s="63"/>
      <c r="J46" s="63"/>
      <c r="K46" s="63"/>
      <c r="L46" s="63"/>
      <c r="M46" s="63"/>
      <c r="N46" s="27"/>
      <c r="O46" s="28"/>
    </row>
    <row r="47" spans="1:15" ht="15.75" thickBot="1" x14ac:dyDescent="0.25">
      <c r="A47" s="23"/>
      <c r="B47" s="2"/>
      <c r="C47" s="285"/>
      <c r="D47" s="285"/>
      <c r="E47" s="285"/>
      <c r="F47" s="285"/>
      <c r="G47" s="285"/>
      <c r="H47" s="27"/>
      <c r="I47" s="63"/>
      <c r="J47" s="63"/>
      <c r="K47" s="63"/>
      <c r="L47" s="63"/>
      <c r="M47" s="63"/>
      <c r="N47" s="27"/>
      <c r="O47" s="28"/>
    </row>
    <row r="48" spans="1:15" ht="16.5" thickBot="1" x14ac:dyDescent="0.25">
      <c r="A48" s="23"/>
      <c r="B48" s="2"/>
      <c r="C48" s="282" t="s">
        <v>851</v>
      </c>
      <c r="D48" s="285"/>
      <c r="E48" s="285"/>
      <c r="F48" s="285"/>
      <c r="G48" s="285"/>
      <c r="H48" s="27"/>
      <c r="I48" s="878">
        <f>VLOOKUP('Part 1'!L13,DataSheet4!$B$8:$Y$322,20,FALSE)</f>
        <v>-242424724</v>
      </c>
      <c r="J48" s="879"/>
      <c r="K48" s="63"/>
      <c r="L48" s="63"/>
      <c r="M48" s="63"/>
      <c r="N48" s="27"/>
      <c r="O48" s="28"/>
    </row>
    <row r="49" spans="1:15" ht="15" x14ac:dyDescent="0.2">
      <c r="A49" s="23"/>
      <c r="B49" s="2"/>
      <c r="C49" s="282" t="s">
        <v>1625</v>
      </c>
      <c r="D49" s="285"/>
      <c r="E49" s="285"/>
      <c r="F49" s="285"/>
      <c r="G49" s="285"/>
      <c r="H49" s="27"/>
      <c r="I49" s="63"/>
      <c r="J49" s="63"/>
      <c r="K49" s="63"/>
      <c r="L49" s="63"/>
      <c r="M49" s="63"/>
      <c r="N49" s="27"/>
      <c r="O49" s="28"/>
    </row>
    <row r="50" spans="1:15" ht="15.75" thickBot="1" x14ac:dyDescent="0.25">
      <c r="A50" s="23"/>
      <c r="B50" s="2"/>
      <c r="C50" s="282"/>
      <c r="D50" s="285"/>
      <c r="E50" s="285"/>
      <c r="F50" s="285"/>
      <c r="G50" s="285"/>
      <c r="H50" s="27"/>
      <c r="I50" s="63"/>
      <c r="J50" s="63"/>
      <c r="K50" s="63"/>
      <c r="L50" s="63"/>
      <c r="M50" s="63"/>
      <c r="N50" s="27"/>
      <c r="O50" s="28"/>
    </row>
    <row r="51" spans="1:15" ht="16.5" thickBot="1" x14ac:dyDescent="0.25">
      <c r="A51" s="23"/>
      <c r="B51" s="322"/>
      <c r="C51" s="10" t="s">
        <v>852</v>
      </c>
      <c r="D51" s="10"/>
      <c r="E51" s="10"/>
      <c r="F51" s="10"/>
      <c r="G51" s="10"/>
      <c r="H51" s="27"/>
      <c r="I51" s="878">
        <f>VLOOKUP('Part 1'!L13,DataSheet4!$B$8:$Y$322,21,FALSE)</f>
        <v>-20038936</v>
      </c>
      <c r="J51" s="879"/>
      <c r="K51" s="2"/>
      <c r="L51" s="63"/>
      <c r="M51" s="63"/>
      <c r="N51" s="27"/>
      <c r="O51" s="28"/>
    </row>
    <row r="52" spans="1:15" ht="16.5" thickBot="1" x14ac:dyDescent="0.25">
      <c r="A52" s="23"/>
      <c r="B52" s="2"/>
      <c r="C52" s="10"/>
      <c r="D52" s="10"/>
      <c r="E52" s="10"/>
      <c r="F52" s="10"/>
      <c r="G52" s="10"/>
      <c r="H52" s="27"/>
      <c r="I52" s="64"/>
      <c r="J52" s="64"/>
      <c r="K52" s="63"/>
      <c r="L52" s="63"/>
      <c r="M52" s="63"/>
      <c r="N52" s="27"/>
      <c r="O52" s="28"/>
    </row>
    <row r="53" spans="1:15" ht="16.5" thickBot="1" x14ac:dyDescent="0.25">
      <c r="A53" s="23"/>
      <c r="B53" s="2"/>
      <c r="C53" s="10" t="s">
        <v>1566</v>
      </c>
      <c r="D53" s="10"/>
      <c r="E53" s="10"/>
      <c r="F53" s="10"/>
      <c r="G53" s="10"/>
      <c r="H53" s="27"/>
      <c r="I53" s="878">
        <f>VLOOKUP('Part 1'!L13,DataSheet4!$B$8:$Y$322,22,FALSE)</f>
        <v>-404495897.60000002</v>
      </c>
      <c r="J53" s="879"/>
      <c r="K53" s="63"/>
      <c r="L53" s="63"/>
      <c r="M53" s="63"/>
      <c r="N53" s="27"/>
      <c r="O53" s="28"/>
    </row>
    <row r="54" spans="1:15" ht="16.5" thickBot="1" x14ac:dyDescent="0.25">
      <c r="A54" s="23"/>
      <c r="B54" s="2"/>
      <c r="C54" s="10"/>
      <c r="D54" s="10"/>
      <c r="E54" s="10"/>
      <c r="F54" s="10"/>
      <c r="G54" s="10"/>
      <c r="H54" s="27"/>
      <c r="I54" s="208"/>
      <c r="J54" s="64"/>
      <c r="K54" s="63"/>
      <c r="L54" s="63"/>
      <c r="M54" s="63"/>
      <c r="N54" s="27"/>
      <c r="O54" s="28"/>
    </row>
    <row r="55" spans="1:15" ht="16.5" thickBot="1" x14ac:dyDescent="0.3">
      <c r="A55" s="23"/>
      <c r="B55" s="2"/>
      <c r="C55" s="13" t="s">
        <v>853</v>
      </c>
      <c r="D55" s="10"/>
      <c r="E55" s="10"/>
      <c r="F55" s="10"/>
      <c r="G55" s="10"/>
      <c r="H55" s="27"/>
      <c r="I55" s="63"/>
      <c r="J55" s="63"/>
      <c r="K55" s="63"/>
      <c r="L55" s="935">
        <f>VLOOKUP('Part 1'!L13,DataSheet4!$B$8:$Y$322,23,FALSE)</f>
        <v>-25849899536.599998</v>
      </c>
      <c r="M55" s="936"/>
      <c r="N55" s="62"/>
      <c r="O55" s="28"/>
    </row>
    <row r="56" spans="1:15" ht="16.5" thickBot="1" x14ac:dyDescent="0.3">
      <c r="A56" s="23"/>
      <c r="B56" s="2"/>
      <c r="C56" s="26"/>
      <c r="D56" s="27"/>
      <c r="E56" s="27"/>
      <c r="F56" s="27"/>
      <c r="G56" s="27"/>
      <c r="H56" s="27"/>
      <c r="I56" s="63"/>
      <c r="J56" s="63"/>
      <c r="K56" s="63"/>
      <c r="L56" s="63"/>
      <c r="M56" s="63"/>
      <c r="N56" s="62"/>
      <c r="O56" s="28"/>
    </row>
    <row r="57" spans="1:15" ht="15.75" x14ac:dyDescent="0.25">
      <c r="A57" s="23"/>
      <c r="B57" s="119"/>
      <c r="C57" s="120"/>
      <c r="D57" s="121"/>
      <c r="E57" s="121"/>
      <c r="F57" s="121"/>
      <c r="G57" s="121"/>
      <c r="H57" s="121"/>
      <c r="I57" s="122"/>
      <c r="J57" s="122"/>
      <c r="K57" s="122"/>
      <c r="L57" s="122"/>
      <c r="M57" s="122"/>
      <c r="N57" s="123"/>
      <c r="O57" s="28"/>
    </row>
    <row r="58" spans="1:15" ht="15.75" x14ac:dyDescent="0.25">
      <c r="A58" s="23"/>
      <c r="B58" s="124"/>
      <c r="C58" s="20" t="s">
        <v>1626</v>
      </c>
      <c r="D58" s="34"/>
      <c r="E58" s="34"/>
      <c r="F58" s="34"/>
      <c r="G58" s="34"/>
      <c r="H58" s="34"/>
      <c r="I58" s="71"/>
      <c r="J58" s="71"/>
      <c r="K58" s="71"/>
      <c r="L58" s="71"/>
      <c r="M58" s="71"/>
      <c r="N58" s="125"/>
      <c r="O58" s="28"/>
    </row>
    <row r="59" spans="1:15" ht="16.5" thickBot="1" x14ac:dyDescent="0.25">
      <c r="A59" s="23"/>
      <c r="B59" s="124"/>
      <c r="C59" s="497"/>
      <c r="D59" s="34"/>
      <c r="E59" s="34"/>
      <c r="F59" s="34"/>
      <c r="G59" s="34"/>
      <c r="H59" s="34"/>
      <c r="I59" s="71"/>
      <c r="J59" s="71"/>
      <c r="K59" s="71"/>
      <c r="L59" s="950" t="s">
        <v>624</v>
      </c>
      <c r="M59" s="950"/>
      <c r="N59" s="125"/>
      <c r="O59" s="28"/>
    </row>
    <row r="60" spans="1:15" ht="16.5" thickBot="1" x14ac:dyDescent="0.25">
      <c r="A60" s="23"/>
      <c r="B60" s="124"/>
      <c r="C60" s="8" t="s">
        <v>865</v>
      </c>
      <c r="D60" s="34"/>
      <c r="E60" s="34"/>
      <c r="F60" s="34"/>
      <c r="G60" s="34"/>
      <c r="H60" s="34"/>
      <c r="I60" s="71"/>
      <c r="J60" s="71"/>
      <c r="K60" s="71"/>
      <c r="L60" s="1011">
        <f>VLOOKUP('Part 1'!L13,DataSheet4!$B$8:$Y$322,24,FALSE)</f>
        <v>360348546.17431927</v>
      </c>
      <c r="M60" s="1012"/>
      <c r="N60" s="126"/>
      <c r="O60" s="28"/>
    </row>
    <row r="61" spans="1:15" ht="16.5" thickBot="1" x14ac:dyDescent="0.3">
      <c r="A61" s="23"/>
      <c r="B61" s="127"/>
      <c r="C61" s="128"/>
      <c r="D61" s="129"/>
      <c r="E61" s="129"/>
      <c r="F61" s="129"/>
      <c r="G61" s="129"/>
      <c r="H61" s="129"/>
      <c r="I61" s="129"/>
      <c r="J61" s="129"/>
      <c r="K61" s="129"/>
      <c r="L61" s="283"/>
      <c r="M61" s="129"/>
      <c r="N61" s="130"/>
      <c r="O61" s="28"/>
    </row>
    <row r="62" spans="1:15" ht="16.5" thickBot="1" x14ac:dyDescent="0.3">
      <c r="A62" s="23"/>
      <c r="B62" s="2"/>
      <c r="C62" s="26"/>
      <c r="D62" s="27"/>
      <c r="E62" s="27"/>
      <c r="F62" s="27"/>
      <c r="G62" s="27"/>
      <c r="H62" s="27"/>
      <c r="I62" s="27"/>
      <c r="J62" s="27"/>
      <c r="K62" s="27"/>
      <c r="L62" s="27"/>
      <c r="M62" s="27"/>
      <c r="N62" s="27"/>
      <c r="O62" s="132"/>
    </row>
    <row r="63" spans="1:15" ht="15.75" x14ac:dyDescent="0.25">
      <c r="A63" s="52"/>
      <c r="B63" s="53"/>
      <c r="C63" s="316"/>
      <c r="D63" s="317"/>
      <c r="E63" s="317"/>
      <c r="F63" s="317"/>
      <c r="G63" s="317"/>
      <c r="H63" s="317"/>
      <c r="I63" s="317"/>
      <c r="J63" s="317"/>
      <c r="K63" s="317"/>
      <c r="L63" s="317"/>
      <c r="M63" s="317"/>
      <c r="N63" s="317"/>
      <c r="O63" s="28"/>
    </row>
    <row r="65" spans="3:4" x14ac:dyDescent="0.2">
      <c r="C65" s="242"/>
      <c r="D65" s="242"/>
    </row>
    <row r="66" spans="3:4" x14ac:dyDescent="0.2">
      <c r="C66" s="223"/>
      <c r="D66" s="242"/>
    </row>
    <row r="67" spans="3:4" x14ac:dyDescent="0.2">
      <c r="C67" s="223"/>
      <c r="D67" s="242"/>
    </row>
    <row r="68" spans="3:4" x14ac:dyDescent="0.2">
      <c r="C68" s="223"/>
      <c r="D68" s="242"/>
    </row>
    <row r="69" spans="3:4" x14ac:dyDescent="0.2">
      <c r="C69" s="242"/>
      <c r="D69" s="242"/>
    </row>
    <row r="70" spans="3:4" x14ac:dyDescent="0.2">
      <c r="C70" s="242"/>
      <c r="D70" s="242"/>
    </row>
    <row r="71" spans="3:4" x14ac:dyDescent="0.2">
      <c r="C71" s="242"/>
      <c r="D71" s="242"/>
    </row>
    <row r="72" spans="3:4" x14ac:dyDescent="0.2">
      <c r="C72" s="242"/>
      <c r="D72" s="242"/>
    </row>
  </sheetData>
  <mergeCells count="28">
    <mergeCell ref="C45:G46"/>
    <mergeCell ref="L59:M59"/>
    <mergeCell ref="L55:M55"/>
    <mergeCell ref="L25:M25"/>
    <mergeCell ref="I45:J45"/>
    <mergeCell ref="I48:J48"/>
    <mergeCell ref="I53:J53"/>
    <mergeCell ref="I51:J51"/>
    <mergeCell ref="I19:J19"/>
    <mergeCell ref="I15:J15"/>
    <mergeCell ref="I42:J42"/>
    <mergeCell ref="I17:J17"/>
    <mergeCell ref="L60:M60"/>
    <mergeCell ref="A2:O2"/>
    <mergeCell ref="C6:D6"/>
    <mergeCell ref="C39:G40"/>
    <mergeCell ref="I37:J37"/>
    <mergeCell ref="I39:J39"/>
    <mergeCell ref="A3:O3"/>
    <mergeCell ref="I28:J28"/>
    <mergeCell ref="L11:M11"/>
    <mergeCell ref="I11:J11"/>
    <mergeCell ref="L12:M12"/>
    <mergeCell ref="I32:J32"/>
    <mergeCell ref="I30:J30"/>
    <mergeCell ref="L34:M34"/>
    <mergeCell ref="I23:J23"/>
    <mergeCell ref="I21:J21"/>
  </mergeCells>
  <phoneticPr fontId="5" type="noConversion"/>
  <printOptions horizontalCentered="1" verticalCentered="1"/>
  <pageMargins left="0.39370078740157483" right="0.39370078740157483" top="0.59055118110236227" bottom="0.59055118110236227" header="0.51181102362204722" footer="0.51181102362204722"/>
  <pageSetup paperSize="9" scale="5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I325"/>
  <sheetViews>
    <sheetView workbookViewId="0">
      <pane xSplit="5" ySplit="7" topLeftCell="F8" activePane="bottomRight" state="frozen"/>
      <selection pane="topRight" activeCell="F1" sqref="F1"/>
      <selection pane="bottomLeft" activeCell="A8" sqref="A8"/>
      <selection pane="bottomRight" activeCell="A8" sqref="A8"/>
    </sheetView>
  </sheetViews>
  <sheetFormatPr defaultRowHeight="15" x14ac:dyDescent="0.2"/>
  <cols>
    <col min="1" max="1" width="7.85546875" style="816" customWidth="1"/>
    <col min="2" max="2" width="8.42578125" style="9" customWidth="1"/>
    <col min="3" max="3" width="6.7109375" style="9" customWidth="1"/>
    <col min="4" max="4" width="8.140625" style="9" customWidth="1"/>
    <col min="5" max="5" width="30.7109375" style="9" customWidth="1"/>
    <col min="6" max="6" width="15.140625" style="118" customWidth="1"/>
    <col min="7" max="8" width="15.140625" style="118" bestFit="1" customWidth="1"/>
    <col min="9" max="9" width="14.140625" style="118" bestFit="1" customWidth="1"/>
    <col min="10" max="10" width="9.42578125" style="118" bestFit="1" customWidth="1"/>
    <col min="11" max="11" width="14.140625" style="118" bestFit="1" customWidth="1"/>
    <col min="12" max="12" width="11.5703125" style="118" customWidth="1"/>
    <col min="13" max="14" width="14.140625" style="118" bestFit="1" customWidth="1"/>
    <col min="15" max="16" width="13" style="118" bestFit="1" customWidth="1"/>
    <col min="17" max="17" width="12.85546875" style="118" customWidth="1"/>
    <col min="18" max="18" width="16.7109375" style="118" bestFit="1" customWidth="1"/>
    <col min="19" max="23" width="9.28515625" style="118" bestFit="1" customWidth="1"/>
    <col min="24" max="25" width="16.7109375" style="118" bestFit="1" customWidth="1"/>
    <col min="26" max="26" width="15.140625" style="118" bestFit="1" customWidth="1"/>
    <col min="27" max="27" width="14.140625" style="118" bestFit="1" customWidth="1"/>
    <col min="28" max="28" width="16.7109375" style="118" bestFit="1" customWidth="1"/>
    <col min="29" max="29" width="13" style="118" bestFit="1" customWidth="1"/>
    <col min="30" max="32" width="9.42578125" style="118" bestFit="1" customWidth="1"/>
    <col min="33" max="33" width="13" style="118" bestFit="1" customWidth="1"/>
    <col min="34" max="35" width="16.7109375" style="118" bestFit="1" customWidth="1"/>
    <col min="36" max="36" width="15.140625" style="118" bestFit="1" customWidth="1"/>
    <col min="37" max="37" width="14.140625" style="118" bestFit="1" customWidth="1"/>
    <col min="38" max="38" width="16.7109375" style="118" bestFit="1" customWidth="1"/>
    <col min="39" max="42" width="14.140625" style="118" bestFit="1" customWidth="1"/>
    <col min="43" max="44" width="13" style="118" bestFit="1" customWidth="1"/>
    <col min="45" max="45" width="14.140625" style="118" bestFit="1" customWidth="1"/>
    <col min="46" max="49" width="14" style="118" customWidth="1"/>
    <col min="50" max="50" width="13" style="118" bestFit="1" customWidth="1"/>
    <col min="51" max="52" width="9.42578125" style="118" bestFit="1" customWidth="1"/>
    <col min="53" max="53" width="13" style="118" bestFit="1" customWidth="1"/>
    <col min="54" max="55" width="11.28515625" style="118" bestFit="1" customWidth="1"/>
    <col min="56" max="56" width="11.42578125" style="118" bestFit="1" customWidth="1"/>
    <col min="57" max="57" width="10.42578125" style="118" bestFit="1" customWidth="1"/>
    <col min="58" max="58" width="9.42578125" style="118" bestFit="1" customWidth="1"/>
    <col min="59" max="61" width="11.42578125" style="118" bestFit="1" customWidth="1"/>
    <col min="62" max="66" width="9.28515625" style="118" bestFit="1" customWidth="1"/>
    <col min="67" max="68" width="12.28515625" style="118" bestFit="1" customWidth="1"/>
    <col min="69" max="69" width="11.28515625" style="118" bestFit="1" customWidth="1"/>
    <col min="70" max="70" width="10.28515625" style="118" bestFit="1" customWidth="1"/>
    <col min="71" max="71" width="12.28515625" style="118" bestFit="1" customWidth="1"/>
    <col min="72" max="76" width="9.28515625" style="118" bestFit="1" customWidth="1"/>
    <col min="77" max="77" width="13.85546875" style="118" customWidth="1"/>
    <col min="78" max="78" width="14.140625" style="118" customWidth="1"/>
    <col min="79" max="79" width="11.42578125" style="118" customWidth="1"/>
    <col min="80" max="80" width="9.28515625" style="118" bestFit="1" customWidth="1"/>
    <col min="81" max="81" width="12" style="118" customWidth="1"/>
    <col min="82" max="82" width="12.28515625" style="118" bestFit="1" customWidth="1"/>
    <col min="83" max="83" width="13.28515625" style="118" customWidth="1"/>
    <col min="84" max="84" width="11.85546875" style="118" bestFit="1" customWidth="1"/>
    <col min="85" max="85" width="10.28515625" style="118" bestFit="1" customWidth="1"/>
    <col min="86" max="86" width="12.28515625" style="118" bestFit="1" customWidth="1"/>
    <col min="87" max="87" width="14" style="118" bestFit="1" customWidth="1"/>
    <col min="88" max="88" width="15" style="118" bestFit="1" customWidth="1"/>
    <col min="89" max="89" width="14" style="118" customWidth="1"/>
    <col min="90" max="90" width="12.28515625" style="118" bestFit="1" customWidth="1"/>
    <col min="91" max="91" width="15" style="118" bestFit="1" customWidth="1"/>
    <col min="92" max="93" width="12.28515625" style="118" bestFit="1" customWidth="1"/>
    <col min="94" max="94" width="10.28515625" style="118" bestFit="1" customWidth="1"/>
    <col min="95" max="97" width="12.28515625" style="118" bestFit="1" customWidth="1"/>
    <col min="98" max="98" width="10.28515625" style="118" bestFit="1" customWidth="1"/>
    <col min="99" max="99" width="12.28515625" style="118" bestFit="1" customWidth="1"/>
    <col min="100" max="103" width="11.140625" style="118" customWidth="1"/>
    <col min="104" max="104" width="10.28515625" style="118" bestFit="1" customWidth="1"/>
    <col min="105" max="106" width="9.42578125" style="118" bestFit="1" customWidth="1"/>
    <col min="107" max="108" width="10.28515625" style="118" bestFit="1" customWidth="1"/>
    <col min="109" max="110" width="9.42578125" style="118" bestFit="1" customWidth="1"/>
    <col min="111" max="111" width="10.28515625" style="118" bestFit="1" customWidth="1"/>
    <col min="112" max="114" width="9.28515625" style="118" customWidth="1"/>
    <col min="115" max="115" width="11.140625" style="118" customWidth="1"/>
    <col min="116" max="116" width="12" style="118" customWidth="1"/>
    <col min="117" max="117" width="10.7109375" style="118" customWidth="1"/>
    <col min="118" max="118" width="9.28515625" style="118" customWidth="1"/>
    <col min="119" max="119" width="11.5703125" style="118" customWidth="1"/>
    <col min="120" max="120" width="10.5703125" style="118" customWidth="1"/>
    <col min="121" max="122" width="9.42578125" style="118" bestFit="1" customWidth="1"/>
    <col min="123" max="127" width="11" style="118" customWidth="1"/>
    <col min="128" max="128" width="15" style="118" customWidth="1"/>
    <col min="129" max="130" width="11" style="118" customWidth="1"/>
    <col min="131" max="131" width="12.42578125" style="118" customWidth="1"/>
    <col min="132" max="132" width="15.42578125" style="118" customWidth="1"/>
    <col min="133" max="133" width="13.140625" style="118" customWidth="1"/>
    <col min="134" max="134" width="11.5703125" style="118" customWidth="1"/>
    <col min="135" max="135" width="16.42578125" style="118" customWidth="1"/>
    <col min="136" max="136" width="27.7109375" style="118" bestFit="1" customWidth="1"/>
    <col min="137" max="137" width="23.42578125" style="118" bestFit="1" customWidth="1"/>
    <col min="138" max="138" width="33.140625" style="118" bestFit="1" customWidth="1"/>
    <col min="139" max="139" width="11.28515625" style="118" customWidth="1"/>
    <col min="140" max="16384" width="9.140625" style="118"/>
  </cols>
  <sheetData>
    <row r="1" spans="1:139" ht="13.5" thickBot="1" x14ac:dyDescent="0.25">
      <c r="A1" s="769"/>
      <c r="B1" s="770"/>
      <c r="C1" s="771"/>
      <c r="D1" s="772"/>
      <c r="E1" s="773"/>
      <c r="F1" s="1052" t="s">
        <v>1175</v>
      </c>
      <c r="G1" s="1053"/>
      <c r="H1" s="1053"/>
      <c r="I1" s="1053"/>
      <c r="J1" s="1053"/>
      <c r="K1" s="1053"/>
      <c r="L1" s="1053"/>
      <c r="M1" s="1053"/>
      <c r="N1" s="1053"/>
      <c r="O1" s="1053"/>
      <c r="P1" s="1053"/>
      <c r="Q1" s="1053"/>
      <c r="R1" s="1054"/>
      <c r="S1" s="1055" t="s">
        <v>1176</v>
      </c>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6"/>
      <c r="BM1" s="1056"/>
      <c r="BN1" s="1056"/>
      <c r="BO1" s="1056"/>
      <c r="BP1" s="1056"/>
      <c r="BQ1" s="1056"/>
      <c r="BR1" s="1056"/>
      <c r="BS1" s="1056"/>
      <c r="BT1" s="1056"/>
      <c r="BU1" s="1056"/>
      <c r="BV1" s="1056"/>
      <c r="BW1" s="1056"/>
      <c r="BX1" s="1056"/>
      <c r="BY1" s="1056"/>
      <c r="BZ1" s="1056"/>
      <c r="CA1" s="1056"/>
      <c r="CB1" s="1056"/>
      <c r="CC1" s="1056"/>
      <c r="CD1" s="1056"/>
      <c r="CE1" s="1056"/>
      <c r="CF1" s="1056"/>
      <c r="CG1" s="1056"/>
      <c r="CH1" s="1056"/>
      <c r="CI1" s="1056"/>
      <c r="CJ1" s="1056"/>
      <c r="CK1" s="1056"/>
      <c r="CL1" s="1056"/>
      <c r="CM1" s="1057"/>
      <c r="CN1" s="1055" t="s">
        <v>1177</v>
      </c>
      <c r="CO1" s="1056"/>
      <c r="CP1" s="1056"/>
      <c r="CQ1" s="1056"/>
      <c r="CR1" s="1056"/>
      <c r="CS1" s="1056"/>
      <c r="CT1" s="1056"/>
      <c r="CU1" s="1056"/>
      <c r="CV1" s="1056"/>
      <c r="CW1" s="1056"/>
      <c r="CX1" s="1056"/>
      <c r="CY1" s="1056"/>
      <c r="CZ1" s="1056"/>
      <c r="DA1" s="1056"/>
      <c r="DB1" s="1056"/>
      <c r="DC1" s="1056"/>
      <c r="DD1" s="1056"/>
      <c r="DE1" s="1056"/>
      <c r="DF1" s="1056"/>
      <c r="DG1" s="1056"/>
      <c r="DH1" s="1056"/>
      <c r="DI1" s="1056"/>
      <c r="DJ1" s="1056"/>
      <c r="DK1" s="1056"/>
      <c r="DL1" s="1056"/>
      <c r="DM1" s="1056"/>
      <c r="DN1" s="1056"/>
      <c r="DO1" s="1056"/>
      <c r="DP1" s="1056"/>
      <c r="DQ1" s="1056"/>
      <c r="DR1" s="1056"/>
      <c r="DS1" s="1056"/>
      <c r="DT1" s="1056"/>
      <c r="DU1" s="1056"/>
      <c r="DV1" s="1056"/>
      <c r="DW1" s="1056"/>
      <c r="DX1" s="1056"/>
      <c r="DY1" s="1056"/>
      <c r="DZ1" s="1056"/>
      <c r="EA1" s="1056"/>
      <c r="EB1" s="1056"/>
      <c r="EC1" s="1056"/>
      <c r="ED1" s="1056"/>
      <c r="EE1" s="1057"/>
    </row>
    <row r="2" spans="1:139" ht="64.150000000000006" customHeight="1" thickBot="1" x14ac:dyDescent="0.25">
      <c r="A2" s="788"/>
      <c r="B2" s="789"/>
      <c r="C2" s="790"/>
      <c r="D2" s="791"/>
      <c r="E2" s="791"/>
      <c r="F2" s="764" t="s">
        <v>1178</v>
      </c>
      <c r="G2" s="762" t="s">
        <v>625</v>
      </c>
      <c r="H2" s="762" t="s">
        <v>626</v>
      </c>
      <c r="I2" s="762" t="s">
        <v>1179</v>
      </c>
      <c r="J2" s="762" t="s">
        <v>644</v>
      </c>
      <c r="K2" s="762" t="s">
        <v>645</v>
      </c>
      <c r="L2" s="762" t="s">
        <v>1180</v>
      </c>
      <c r="M2" s="762" t="s">
        <v>902</v>
      </c>
      <c r="N2" s="762" t="s">
        <v>1181</v>
      </c>
      <c r="O2" s="762" t="s">
        <v>821</v>
      </c>
      <c r="P2" s="762" t="s">
        <v>822</v>
      </c>
      <c r="Q2" s="762" t="s">
        <v>1199</v>
      </c>
      <c r="R2" s="762" t="s">
        <v>1133</v>
      </c>
      <c r="S2" s="1051" t="s">
        <v>1200</v>
      </c>
      <c r="T2" s="1046"/>
      <c r="U2" s="1046"/>
      <c r="V2" s="1046"/>
      <c r="W2" s="1046"/>
      <c r="X2" s="1048" t="s">
        <v>1134</v>
      </c>
      <c r="Y2" s="1046"/>
      <c r="Z2" s="1046"/>
      <c r="AA2" s="1046"/>
      <c r="AB2" s="1046"/>
      <c r="AC2" s="1048" t="s">
        <v>1201</v>
      </c>
      <c r="AD2" s="1046"/>
      <c r="AE2" s="1046"/>
      <c r="AF2" s="1046"/>
      <c r="AG2" s="1046"/>
      <c r="AH2" s="1046" t="s">
        <v>1202</v>
      </c>
      <c r="AI2" s="1046"/>
      <c r="AJ2" s="1046"/>
      <c r="AK2" s="1046"/>
      <c r="AL2" s="1046"/>
      <c r="AM2" s="1046" t="s">
        <v>1136</v>
      </c>
      <c r="AN2" s="1046"/>
      <c r="AO2" s="1048" t="s">
        <v>1137</v>
      </c>
      <c r="AP2" s="1046"/>
      <c r="AQ2" s="1048" t="s">
        <v>1138</v>
      </c>
      <c r="AR2" s="1046"/>
      <c r="AS2" s="1046"/>
      <c r="AT2" s="1046" t="s">
        <v>1139</v>
      </c>
      <c r="AU2" s="1046"/>
      <c r="AV2" s="1046"/>
      <c r="AW2" s="1046"/>
      <c r="AX2" s="1048" t="s">
        <v>1170</v>
      </c>
      <c r="AY2" s="1046"/>
      <c r="AZ2" s="1046"/>
      <c r="BA2" s="1046"/>
      <c r="BB2" s="1048" t="s">
        <v>1141</v>
      </c>
      <c r="BC2" s="1046"/>
      <c r="BD2" s="1046" t="s">
        <v>1142</v>
      </c>
      <c r="BE2" s="1046"/>
      <c r="BF2" s="1046"/>
      <c r="BG2" s="1046"/>
      <c r="BH2" s="1046" t="s">
        <v>1143</v>
      </c>
      <c r="BI2" s="1046"/>
      <c r="BJ2" s="1046" t="s">
        <v>1203</v>
      </c>
      <c r="BK2" s="1046"/>
      <c r="BL2" s="1046"/>
      <c r="BM2" s="1046"/>
      <c r="BN2" s="1046"/>
      <c r="BO2" s="1049" t="s">
        <v>1204</v>
      </c>
      <c r="BP2" s="1049"/>
      <c r="BQ2" s="1049"/>
      <c r="BR2" s="1049"/>
      <c r="BS2" s="1049"/>
      <c r="BT2" s="1046" t="s">
        <v>1205</v>
      </c>
      <c r="BU2" s="1046"/>
      <c r="BV2" s="1046"/>
      <c r="BW2" s="1046"/>
      <c r="BX2" s="1046"/>
      <c r="BY2" s="1049" t="s">
        <v>1206</v>
      </c>
      <c r="BZ2" s="1049"/>
      <c r="CA2" s="1049"/>
      <c r="CB2" s="1049"/>
      <c r="CC2" s="1049"/>
      <c r="CD2" s="1046" t="s">
        <v>1555</v>
      </c>
      <c r="CE2" s="1046"/>
      <c r="CF2" s="1046"/>
      <c r="CG2" s="1046"/>
      <c r="CH2" s="1046"/>
      <c r="CI2" s="1046" t="s">
        <v>1146</v>
      </c>
      <c r="CJ2" s="1046"/>
      <c r="CK2" s="1046"/>
      <c r="CL2" s="1046"/>
      <c r="CM2" s="1050"/>
      <c r="CN2" s="1051" t="s">
        <v>1207</v>
      </c>
      <c r="CO2" s="1046"/>
      <c r="CP2" s="1046"/>
      <c r="CQ2" s="1046"/>
      <c r="CR2" s="1048" t="s">
        <v>1208</v>
      </c>
      <c r="CS2" s="1046"/>
      <c r="CT2" s="1046"/>
      <c r="CU2" s="1046"/>
      <c r="CV2" s="1048" t="s">
        <v>1209</v>
      </c>
      <c r="CW2" s="1046"/>
      <c r="CX2" s="1046"/>
      <c r="CY2" s="1046"/>
      <c r="CZ2" s="1048" t="s">
        <v>1147</v>
      </c>
      <c r="DA2" s="1046"/>
      <c r="DB2" s="1046"/>
      <c r="DC2" s="1046"/>
      <c r="DD2" s="1046" t="s">
        <v>1148</v>
      </c>
      <c r="DE2" s="1046"/>
      <c r="DF2" s="1046"/>
      <c r="DG2" s="1046"/>
      <c r="DH2" s="1047" t="s">
        <v>1491</v>
      </c>
      <c r="DI2" s="1047"/>
      <c r="DJ2" s="1047"/>
      <c r="DK2" s="1047"/>
      <c r="DL2" s="1046" t="s">
        <v>1492</v>
      </c>
      <c r="DM2" s="1046"/>
      <c r="DN2" s="1046"/>
      <c r="DO2" s="1046"/>
      <c r="DP2" s="1046" t="s">
        <v>1493</v>
      </c>
      <c r="DQ2" s="1046"/>
      <c r="DR2" s="1046"/>
      <c r="DS2" s="1046"/>
      <c r="DT2" s="1046" t="s">
        <v>1494</v>
      </c>
      <c r="DU2" s="1046"/>
      <c r="DV2" s="1046"/>
      <c r="DW2" s="1046"/>
      <c r="DX2" s="1046" t="s">
        <v>1495</v>
      </c>
      <c r="DY2" s="1046"/>
      <c r="DZ2" s="1046"/>
      <c r="EA2" s="1046"/>
      <c r="EB2" s="1048" t="s">
        <v>1496</v>
      </c>
      <c r="EC2" s="1046"/>
      <c r="ED2" s="1046"/>
      <c r="EE2" s="1050"/>
      <c r="EF2" s="763"/>
      <c r="EG2" s="763"/>
      <c r="EH2" s="792" t="s">
        <v>1182</v>
      </c>
      <c r="EI2" s="624" t="s">
        <v>1472</v>
      </c>
    </row>
    <row r="3" spans="1:139" ht="12.75" x14ac:dyDescent="0.2">
      <c r="A3" s="575">
        <v>1</v>
      </c>
      <c r="B3" s="576">
        <v>2</v>
      </c>
      <c r="C3" s="576">
        <v>3</v>
      </c>
      <c r="D3" s="577">
        <v>4</v>
      </c>
      <c r="E3" s="576">
        <v>5</v>
      </c>
      <c r="F3" s="578">
        <v>6</v>
      </c>
      <c r="G3" s="579">
        <v>7</v>
      </c>
      <c r="H3" s="579">
        <v>8</v>
      </c>
      <c r="I3" s="579">
        <v>9</v>
      </c>
      <c r="J3" s="579">
        <v>10</v>
      </c>
      <c r="K3" s="579">
        <v>11</v>
      </c>
      <c r="L3" s="579">
        <v>12</v>
      </c>
      <c r="M3" s="579">
        <v>13</v>
      </c>
      <c r="N3" s="579">
        <v>14</v>
      </c>
      <c r="O3" s="579">
        <v>15</v>
      </c>
      <c r="P3" s="579">
        <v>16</v>
      </c>
      <c r="Q3" s="579">
        <v>17</v>
      </c>
      <c r="R3" s="623">
        <v>18</v>
      </c>
      <c r="S3" s="579">
        <v>19</v>
      </c>
      <c r="T3" s="579">
        <v>20</v>
      </c>
      <c r="U3" s="579">
        <v>21</v>
      </c>
      <c r="V3" s="579">
        <v>22</v>
      </c>
      <c r="W3" s="579">
        <v>23</v>
      </c>
      <c r="X3" s="579">
        <v>24</v>
      </c>
      <c r="Y3" s="579">
        <v>25</v>
      </c>
      <c r="Z3" s="579">
        <v>26</v>
      </c>
      <c r="AA3" s="579">
        <v>27</v>
      </c>
      <c r="AB3" s="579">
        <v>28</v>
      </c>
      <c r="AC3" s="579">
        <v>29</v>
      </c>
      <c r="AD3" s="579">
        <v>30</v>
      </c>
      <c r="AE3" s="579">
        <v>31</v>
      </c>
      <c r="AF3" s="579">
        <v>32</v>
      </c>
      <c r="AG3" s="579">
        <v>33</v>
      </c>
      <c r="AH3" s="579">
        <v>34</v>
      </c>
      <c r="AI3" s="579">
        <v>35</v>
      </c>
      <c r="AJ3" s="579">
        <v>36</v>
      </c>
      <c r="AK3" s="579">
        <v>37</v>
      </c>
      <c r="AL3" s="579">
        <v>38</v>
      </c>
      <c r="AM3" s="579">
        <v>39</v>
      </c>
      <c r="AN3" s="579">
        <v>40</v>
      </c>
      <c r="AO3" s="579">
        <v>41</v>
      </c>
      <c r="AP3" s="579">
        <v>42</v>
      </c>
      <c r="AQ3" s="579">
        <v>43</v>
      </c>
      <c r="AR3" s="579">
        <v>44</v>
      </c>
      <c r="AS3" s="579">
        <v>45</v>
      </c>
      <c r="AT3" s="579">
        <v>46</v>
      </c>
      <c r="AU3" s="579">
        <v>47</v>
      </c>
      <c r="AV3" s="579">
        <v>48</v>
      </c>
      <c r="AW3" s="579">
        <v>49</v>
      </c>
      <c r="AX3" s="579">
        <v>50</v>
      </c>
      <c r="AY3" s="579">
        <v>51</v>
      </c>
      <c r="AZ3" s="579">
        <v>52</v>
      </c>
      <c r="BA3" s="579">
        <v>53</v>
      </c>
      <c r="BB3" s="579">
        <v>54</v>
      </c>
      <c r="BC3" s="579">
        <v>55</v>
      </c>
      <c r="BD3" s="579">
        <v>56</v>
      </c>
      <c r="BE3" s="579">
        <v>57</v>
      </c>
      <c r="BF3" s="579">
        <v>58</v>
      </c>
      <c r="BG3" s="579">
        <v>59</v>
      </c>
      <c r="BH3" s="579">
        <v>60</v>
      </c>
      <c r="BI3" s="579">
        <v>61</v>
      </c>
      <c r="BJ3" s="578">
        <v>62</v>
      </c>
      <c r="BK3" s="579">
        <v>63</v>
      </c>
      <c r="BL3" s="579">
        <v>64</v>
      </c>
      <c r="BM3" s="579">
        <v>65</v>
      </c>
      <c r="BN3" s="579">
        <v>66</v>
      </c>
      <c r="BO3" s="579">
        <v>67</v>
      </c>
      <c r="BP3" s="579">
        <v>68</v>
      </c>
      <c r="BQ3" s="579">
        <v>69</v>
      </c>
      <c r="BR3" s="579">
        <v>70</v>
      </c>
      <c r="BS3" s="579">
        <v>71</v>
      </c>
      <c r="BT3" s="579">
        <v>72</v>
      </c>
      <c r="BU3" s="579">
        <v>73</v>
      </c>
      <c r="BV3" s="579">
        <v>74</v>
      </c>
      <c r="BW3" s="579">
        <v>75</v>
      </c>
      <c r="BX3" s="579">
        <v>76</v>
      </c>
      <c r="BY3" s="579">
        <v>77</v>
      </c>
      <c r="BZ3" s="579">
        <v>78</v>
      </c>
      <c r="CA3" s="579">
        <v>79</v>
      </c>
      <c r="CB3" s="579">
        <v>80</v>
      </c>
      <c r="CC3" s="579">
        <v>81</v>
      </c>
      <c r="CD3" s="579">
        <v>82</v>
      </c>
      <c r="CE3" s="579">
        <v>83</v>
      </c>
      <c r="CF3" s="579">
        <v>84</v>
      </c>
      <c r="CG3" s="579">
        <v>85</v>
      </c>
      <c r="CH3" s="579">
        <v>86</v>
      </c>
      <c r="CI3" s="579">
        <v>87</v>
      </c>
      <c r="CJ3" s="579">
        <v>88</v>
      </c>
      <c r="CK3" s="579">
        <v>89</v>
      </c>
      <c r="CL3" s="579">
        <v>90</v>
      </c>
      <c r="CM3" s="579">
        <v>91</v>
      </c>
      <c r="CN3" s="578">
        <v>92</v>
      </c>
      <c r="CO3" s="579">
        <v>93</v>
      </c>
      <c r="CP3" s="579">
        <v>94</v>
      </c>
      <c r="CQ3" s="579">
        <v>95</v>
      </c>
      <c r="CR3" s="579">
        <v>96</v>
      </c>
      <c r="CS3" s="579">
        <v>97</v>
      </c>
      <c r="CT3" s="579">
        <v>98</v>
      </c>
      <c r="CU3" s="579">
        <v>99</v>
      </c>
      <c r="CV3" s="579">
        <v>100</v>
      </c>
      <c r="CW3" s="579">
        <v>101</v>
      </c>
      <c r="CX3" s="579">
        <v>102</v>
      </c>
      <c r="CY3" s="579">
        <v>103</v>
      </c>
      <c r="CZ3" s="579">
        <v>104</v>
      </c>
      <c r="DA3" s="579">
        <v>105</v>
      </c>
      <c r="DB3" s="579">
        <v>106</v>
      </c>
      <c r="DC3" s="579">
        <v>107</v>
      </c>
      <c r="DD3" s="579">
        <v>108</v>
      </c>
      <c r="DE3" s="579">
        <v>109</v>
      </c>
      <c r="DF3" s="579">
        <v>110</v>
      </c>
      <c r="DG3" s="579">
        <v>111</v>
      </c>
      <c r="DH3" s="579">
        <v>112</v>
      </c>
      <c r="DI3" s="579">
        <v>113</v>
      </c>
      <c r="DJ3" s="579">
        <v>114</v>
      </c>
      <c r="DK3" s="579">
        <v>115</v>
      </c>
      <c r="DL3" s="579">
        <v>116</v>
      </c>
      <c r="DM3" s="579">
        <v>117</v>
      </c>
      <c r="DN3" s="579">
        <v>118</v>
      </c>
      <c r="DO3" s="579">
        <v>119</v>
      </c>
      <c r="DP3" s="579">
        <v>120</v>
      </c>
      <c r="DQ3" s="579">
        <v>121</v>
      </c>
      <c r="DR3" s="579">
        <v>122</v>
      </c>
      <c r="DS3" s="579">
        <v>123</v>
      </c>
      <c r="DT3" s="579">
        <v>124</v>
      </c>
      <c r="DU3" s="579">
        <v>125</v>
      </c>
      <c r="DV3" s="579">
        <v>126</v>
      </c>
      <c r="DW3" s="579">
        <v>127</v>
      </c>
      <c r="DX3" s="579">
        <v>128</v>
      </c>
      <c r="DY3" s="579">
        <v>129</v>
      </c>
      <c r="DZ3" s="579">
        <v>130</v>
      </c>
      <c r="EA3" s="579">
        <v>131</v>
      </c>
      <c r="EB3" s="579">
        <v>132</v>
      </c>
      <c r="EC3" s="579">
        <v>133</v>
      </c>
      <c r="ED3" s="579">
        <v>134</v>
      </c>
      <c r="EE3" s="579">
        <v>135</v>
      </c>
      <c r="EF3" s="578">
        <v>136</v>
      </c>
      <c r="EG3" s="579">
        <v>137</v>
      </c>
      <c r="EH3" s="579">
        <v>138</v>
      </c>
    </row>
    <row r="4" spans="1:139" ht="12.75" x14ac:dyDescent="0.2">
      <c r="A4" s="575"/>
      <c r="B4" s="580"/>
      <c r="C4" s="581"/>
      <c r="D4" s="582"/>
      <c r="E4" s="572"/>
      <c r="F4" s="793"/>
      <c r="G4" s="794"/>
      <c r="H4" s="794"/>
      <c r="I4" s="794"/>
      <c r="J4" s="794"/>
      <c r="K4" s="794"/>
      <c r="L4" s="794"/>
      <c r="M4" s="794"/>
      <c r="N4" s="794"/>
      <c r="O4" s="794"/>
      <c r="P4" s="794"/>
      <c r="Q4" s="794"/>
      <c r="R4" s="795"/>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c r="BZ4" s="794"/>
      <c r="CA4" s="794"/>
      <c r="CB4" s="794"/>
      <c r="CC4" s="794"/>
      <c r="CD4" s="794"/>
      <c r="CE4" s="794"/>
      <c r="CF4" s="794"/>
      <c r="CG4" s="794"/>
      <c r="CH4" s="794"/>
      <c r="CI4" s="794"/>
      <c r="CJ4" s="794"/>
      <c r="CK4" s="794"/>
      <c r="CL4" s="794"/>
      <c r="CM4" s="795"/>
      <c r="CN4" s="793"/>
      <c r="CO4" s="794"/>
      <c r="CP4" s="794"/>
      <c r="CQ4" s="794"/>
      <c r="CR4" s="794"/>
      <c r="CS4" s="794"/>
      <c r="CT4" s="794"/>
      <c r="CU4" s="794"/>
      <c r="CV4" s="794"/>
      <c r="CW4" s="794"/>
      <c r="CX4" s="794"/>
      <c r="CY4" s="794"/>
      <c r="CZ4" s="794"/>
      <c r="DA4" s="794"/>
      <c r="DB4" s="794"/>
      <c r="DC4" s="794"/>
      <c r="DD4" s="794"/>
      <c r="DE4" s="794"/>
      <c r="DF4" s="794"/>
      <c r="DG4" s="794"/>
      <c r="DH4" s="794"/>
      <c r="DI4" s="794"/>
      <c r="DJ4" s="794"/>
      <c r="DK4" s="794"/>
      <c r="DL4" s="794"/>
      <c r="DM4" s="794"/>
      <c r="DN4" s="794"/>
      <c r="DO4" s="794"/>
      <c r="DP4" s="794"/>
      <c r="DQ4" s="794"/>
      <c r="DR4" s="794"/>
      <c r="DS4" s="794"/>
      <c r="DT4" s="794"/>
      <c r="DU4" s="794"/>
      <c r="DV4" s="794"/>
      <c r="DW4" s="794"/>
      <c r="DX4" s="794"/>
      <c r="DY4" s="794"/>
      <c r="DZ4" s="794"/>
      <c r="EA4" s="794"/>
      <c r="EB4" s="794"/>
      <c r="EC4" s="794"/>
      <c r="ED4" s="794"/>
      <c r="EE4" s="795"/>
      <c r="EF4" s="324"/>
      <c r="EG4" s="324"/>
      <c r="EH4" s="796"/>
    </row>
    <row r="5" spans="1:139" ht="12.75" x14ac:dyDescent="0.2">
      <c r="A5" s="575"/>
      <c r="B5" s="586" t="s">
        <v>673</v>
      </c>
      <c r="C5" s="586" t="s">
        <v>1183</v>
      </c>
      <c r="D5" s="775" t="s">
        <v>1184</v>
      </c>
      <c r="E5" s="586" t="s">
        <v>672</v>
      </c>
      <c r="F5" s="793"/>
      <c r="G5" s="794"/>
      <c r="H5" s="794"/>
      <c r="I5" s="794"/>
      <c r="J5" s="794"/>
      <c r="K5" s="794"/>
      <c r="L5" s="794"/>
      <c r="M5" s="794"/>
      <c r="N5" s="794"/>
      <c r="O5" s="794"/>
      <c r="P5" s="794"/>
      <c r="Q5" s="794"/>
      <c r="R5" s="795"/>
      <c r="S5" s="794"/>
      <c r="T5" s="79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c r="AU5" s="794"/>
      <c r="AV5" s="794"/>
      <c r="AW5" s="794"/>
      <c r="AX5" s="794"/>
      <c r="AY5" s="794"/>
      <c r="AZ5" s="794"/>
      <c r="BA5" s="794"/>
      <c r="BB5" s="794"/>
      <c r="BC5" s="794"/>
      <c r="BD5" s="794"/>
      <c r="BE5" s="794"/>
      <c r="BF5" s="794"/>
      <c r="BG5" s="794"/>
      <c r="BH5" s="794"/>
      <c r="BI5" s="794"/>
      <c r="BJ5" s="794"/>
      <c r="BK5" s="794"/>
      <c r="BL5" s="794"/>
      <c r="BM5" s="794"/>
      <c r="BN5" s="794"/>
      <c r="BO5" s="794"/>
      <c r="BP5" s="794"/>
      <c r="BQ5" s="794"/>
      <c r="BR5" s="794"/>
      <c r="BS5" s="794"/>
      <c r="BT5" s="794"/>
      <c r="BU5" s="794"/>
      <c r="BV5" s="794"/>
      <c r="BW5" s="794"/>
      <c r="BX5" s="794"/>
      <c r="BY5" s="794"/>
      <c r="BZ5" s="794"/>
      <c r="CA5" s="794"/>
      <c r="CB5" s="794"/>
      <c r="CC5" s="794"/>
      <c r="CD5" s="794"/>
      <c r="CE5" s="794"/>
      <c r="CF5" s="794"/>
      <c r="CG5" s="794"/>
      <c r="CH5" s="794"/>
      <c r="CI5" s="794"/>
      <c r="CJ5" s="794"/>
      <c r="CK5" s="794"/>
      <c r="CL5" s="794"/>
      <c r="CM5" s="795"/>
      <c r="CN5" s="793"/>
      <c r="CO5" s="794"/>
      <c r="CP5" s="794"/>
      <c r="CQ5" s="794"/>
      <c r="CR5" s="794"/>
      <c r="CS5" s="794"/>
      <c r="CT5" s="794"/>
      <c r="CU5" s="794"/>
      <c r="CV5" s="794"/>
      <c r="CW5" s="794"/>
      <c r="CX5" s="794"/>
      <c r="CY5" s="794"/>
      <c r="CZ5" s="794"/>
      <c r="DA5" s="794"/>
      <c r="DB5" s="794"/>
      <c r="DC5" s="794"/>
      <c r="DD5" s="794"/>
      <c r="DE5" s="794"/>
      <c r="DF5" s="794"/>
      <c r="DG5" s="794"/>
      <c r="DH5" s="794"/>
      <c r="DI5" s="794"/>
      <c r="DJ5" s="794"/>
      <c r="DK5" s="794"/>
      <c r="DL5" s="794"/>
      <c r="DM5" s="794"/>
      <c r="DN5" s="794"/>
      <c r="DO5" s="794"/>
      <c r="DP5" s="794"/>
      <c r="DQ5" s="794"/>
      <c r="DR5" s="794"/>
      <c r="DS5" s="794"/>
      <c r="DT5" s="794"/>
      <c r="DU5" s="794"/>
      <c r="DV5" s="794"/>
      <c r="DW5" s="794"/>
      <c r="DX5" s="794"/>
      <c r="DY5" s="794"/>
      <c r="DZ5" s="794"/>
      <c r="EA5" s="794"/>
      <c r="EB5" s="794"/>
      <c r="EC5" s="794"/>
      <c r="ED5" s="794"/>
      <c r="EE5" s="795"/>
      <c r="EF5" s="587"/>
      <c r="EG5" s="587"/>
      <c r="EH5" s="629"/>
    </row>
    <row r="6" spans="1:139" ht="13.5" thickBot="1" x14ac:dyDescent="0.25">
      <c r="A6" s="588"/>
      <c r="B6" s="589"/>
      <c r="C6" s="590"/>
      <c r="D6" s="591"/>
      <c r="E6" s="590"/>
      <c r="F6" s="793"/>
      <c r="G6" s="794"/>
      <c r="H6" s="794"/>
      <c r="I6" s="794"/>
      <c r="J6" s="794"/>
      <c r="K6" s="794"/>
      <c r="L6" s="794"/>
      <c r="M6" s="794"/>
      <c r="N6" s="794"/>
      <c r="O6" s="794"/>
      <c r="P6" s="794"/>
      <c r="Q6" s="794"/>
      <c r="R6" s="797"/>
      <c r="S6" s="798"/>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c r="AU6" s="794"/>
      <c r="AV6" s="794"/>
      <c r="AW6" s="794"/>
      <c r="AX6" s="794"/>
      <c r="AY6" s="794"/>
      <c r="AZ6" s="794"/>
      <c r="BA6" s="794"/>
      <c r="BB6" s="794"/>
      <c r="BC6" s="794"/>
      <c r="BD6" s="794"/>
      <c r="BE6" s="794"/>
      <c r="BF6" s="794"/>
      <c r="BG6" s="794"/>
      <c r="BH6" s="794"/>
      <c r="BI6" s="794"/>
      <c r="BJ6" s="794"/>
      <c r="BK6" s="794"/>
      <c r="BL6" s="794"/>
      <c r="BM6" s="794"/>
      <c r="BN6" s="794"/>
      <c r="BO6" s="794"/>
      <c r="BP6" s="794"/>
      <c r="BQ6" s="794"/>
      <c r="BR6" s="794"/>
      <c r="BS6" s="794"/>
      <c r="BT6" s="794"/>
      <c r="BU6" s="794"/>
      <c r="BV6" s="794"/>
      <c r="BW6" s="794"/>
      <c r="BX6" s="794"/>
      <c r="BY6" s="794"/>
      <c r="BZ6" s="794"/>
      <c r="CA6" s="794"/>
      <c r="CB6" s="794"/>
      <c r="CC6" s="794"/>
      <c r="CD6" s="794"/>
      <c r="CE6" s="794"/>
      <c r="CF6" s="794"/>
      <c r="CG6" s="794"/>
      <c r="CH6" s="794"/>
      <c r="CI6" s="794"/>
      <c r="CJ6" s="794"/>
      <c r="CK6" s="794"/>
      <c r="CL6" s="794"/>
      <c r="CM6" s="795"/>
      <c r="CN6" s="793"/>
      <c r="CO6" s="794"/>
      <c r="CP6" s="794"/>
      <c r="CQ6" s="794"/>
      <c r="CR6" s="794"/>
      <c r="CS6" s="794"/>
      <c r="CT6" s="794"/>
      <c r="CU6" s="794"/>
      <c r="CV6" s="794"/>
      <c r="CW6" s="794"/>
      <c r="CX6" s="794"/>
      <c r="CY6" s="794"/>
      <c r="CZ6" s="794"/>
      <c r="DA6" s="794"/>
      <c r="DB6" s="794"/>
      <c r="DC6" s="794"/>
      <c r="DD6" s="794"/>
      <c r="DE6" s="794"/>
      <c r="DF6" s="794"/>
      <c r="DG6" s="794"/>
      <c r="DH6" s="794"/>
      <c r="DI6" s="794"/>
      <c r="DJ6" s="794"/>
      <c r="DK6" s="794"/>
      <c r="DL6" s="794"/>
      <c r="DM6" s="794"/>
      <c r="DN6" s="794"/>
      <c r="DO6" s="794"/>
      <c r="DP6" s="794"/>
      <c r="DQ6" s="794"/>
      <c r="DR6" s="794"/>
      <c r="DS6" s="794"/>
      <c r="DT6" s="794"/>
      <c r="DU6" s="794"/>
      <c r="DV6" s="794"/>
      <c r="DW6" s="794"/>
      <c r="DX6" s="794"/>
      <c r="DY6" s="794"/>
      <c r="DZ6" s="794"/>
      <c r="EA6" s="794"/>
      <c r="EB6" s="794"/>
      <c r="EC6" s="794"/>
      <c r="ED6" s="794"/>
      <c r="EE6" s="795"/>
      <c r="EF6" s="587"/>
      <c r="EG6" s="587"/>
      <c r="EH6" s="629"/>
    </row>
    <row r="7" spans="1:139" s="800" customFormat="1" ht="13.5" thickBot="1" x14ac:dyDescent="0.25">
      <c r="A7" s="593"/>
      <c r="B7" s="594"/>
      <c r="C7" s="595"/>
      <c r="D7" s="596"/>
      <c r="E7" s="597"/>
      <c r="F7" s="821">
        <v>3</v>
      </c>
      <c r="G7" s="595">
        <v>4</v>
      </c>
      <c r="H7" s="595">
        <v>5</v>
      </c>
      <c r="I7" s="595">
        <v>6</v>
      </c>
      <c r="J7" s="595">
        <v>7</v>
      </c>
      <c r="K7" s="595">
        <v>8</v>
      </c>
      <c r="L7" s="595">
        <v>9</v>
      </c>
      <c r="M7" s="595">
        <v>10</v>
      </c>
      <c r="N7" s="595">
        <v>11</v>
      </c>
      <c r="O7" s="595">
        <v>12</v>
      </c>
      <c r="P7" s="595">
        <v>13</v>
      </c>
      <c r="Q7" s="595">
        <v>14</v>
      </c>
      <c r="R7" s="595">
        <v>15</v>
      </c>
      <c r="S7" s="595">
        <v>16</v>
      </c>
      <c r="T7" s="595">
        <v>17</v>
      </c>
      <c r="U7" s="595">
        <v>18</v>
      </c>
      <c r="V7" s="595">
        <v>19</v>
      </c>
      <c r="W7" s="595">
        <v>20</v>
      </c>
      <c r="X7" s="595">
        <v>21</v>
      </c>
      <c r="Y7" s="595">
        <v>22</v>
      </c>
      <c r="Z7" s="595">
        <v>23</v>
      </c>
      <c r="AA7" s="595">
        <v>24</v>
      </c>
      <c r="AB7" s="595">
        <v>25</v>
      </c>
      <c r="AC7" s="595">
        <v>26</v>
      </c>
      <c r="AD7" s="595">
        <v>27</v>
      </c>
      <c r="AE7" s="595">
        <v>28</v>
      </c>
      <c r="AF7" s="595">
        <v>29</v>
      </c>
      <c r="AG7" s="595">
        <v>30</v>
      </c>
      <c r="AH7" s="595">
        <v>31</v>
      </c>
      <c r="AI7" s="595">
        <v>32</v>
      </c>
      <c r="AJ7" s="595">
        <v>33</v>
      </c>
      <c r="AK7" s="595">
        <v>34</v>
      </c>
      <c r="AL7" s="595">
        <v>35</v>
      </c>
      <c r="AM7" s="595">
        <v>36</v>
      </c>
      <c r="AN7" s="595">
        <v>37</v>
      </c>
      <c r="AO7" s="595">
        <v>38</v>
      </c>
      <c r="AP7" s="595">
        <v>39</v>
      </c>
      <c r="AQ7" s="595">
        <v>40</v>
      </c>
      <c r="AR7" s="595">
        <v>41</v>
      </c>
      <c r="AS7" s="595">
        <v>42</v>
      </c>
      <c r="AT7" s="595">
        <v>43</v>
      </c>
      <c r="AU7" s="595">
        <v>44</v>
      </c>
      <c r="AV7" s="595">
        <v>45</v>
      </c>
      <c r="AW7" s="595">
        <v>46</v>
      </c>
      <c r="AX7" s="595">
        <v>47</v>
      </c>
      <c r="AY7" s="595">
        <v>48</v>
      </c>
      <c r="AZ7" s="595">
        <v>49</v>
      </c>
      <c r="BA7" s="595">
        <v>50</v>
      </c>
      <c r="BB7" s="595">
        <v>51</v>
      </c>
      <c r="BC7" s="595">
        <v>52</v>
      </c>
      <c r="BD7" s="595">
        <v>53</v>
      </c>
      <c r="BE7" s="595">
        <v>54</v>
      </c>
      <c r="BF7" s="595">
        <v>55</v>
      </c>
      <c r="BG7" s="595">
        <v>56</v>
      </c>
      <c r="BH7" s="595">
        <v>57</v>
      </c>
      <c r="BI7" s="595">
        <v>58</v>
      </c>
      <c r="BJ7" s="595">
        <v>59</v>
      </c>
      <c r="BK7" s="595">
        <v>60</v>
      </c>
      <c r="BL7" s="595">
        <v>61</v>
      </c>
      <c r="BM7" s="595">
        <v>62</v>
      </c>
      <c r="BN7" s="595">
        <v>63</v>
      </c>
      <c r="BO7" s="595">
        <v>64</v>
      </c>
      <c r="BP7" s="595">
        <v>65</v>
      </c>
      <c r="BQ7" s="595">
        <v>66</v>
      </c>
      <c r="BR7" s="595">
        <v>67</v>
      </c>
      <c r="BS7" s="595">
        <v>68</v>
      </c>
      <c r="BT7" s="595">
        <v>69</v>
      </c>
      <c r="BU7" s="595">
        <v>70</v>
      </c>
      <c r="BV7" s="595">
        <v>71</v>
      </c>
      <c r="BW7" s="595">
        <v>72</v>
      </c>
      <c r="BX7" s="595">
        <v>73</v>
      </c>
      <c r="BY7" s="595">
        <v>74</v>
      </c>
      <c r="BZ7" s="595">
        <v>75</v>
      </c>
      <c r="CA7" s="595">
        <v>76</v>
      </c>
      <c r="CB7" s="595">
        <v>77</v>
      </c>
      <c r="CC7" s="595">
        <v>78</v>
      </c>
      <c r="CD7" s="595">
        <v>79</v>
      </c>
      <c r="CE7" s="595">
        <v>80</v>
      </c>
      <c r="CF7" s="595">
        <v>81</v>
      </c>
      <c r="CG7" s="595">
        <v>82</v>
      </c>
      <c r="CH7" s="595">
        <v>83</v>
      </c>
      <c r="CI7" s="595">
        <v>84</v>
      </c>
      <c r="CJ7" s="595">
        <v>85</v>
      </c>
      <c r="CK7" s="595">
        <v>86</v>
      </c>
      <c r="CL7" s="595">
        <v>87</v>
      </c>
      <c r="CM7" s="595">
        <v>88</v>
      </c>
      <c r="CN7" s="595">
        <v>89</v>
      </c>
      <c r="CO7" s="595">
        <v>90</v>
      </c>
      <c r="CP7" s="595">
        <v>91</v>
      </c>
      <c r="CQ7" s="595">
        <v>92</v>
      </c>
      <c r="CR7" s="595">
        <v>93</v>
      </c>
      <c r="CS7" s="595">
        <v>94</v>
      </c>
      <c r="CT7" s="595">
        <v>95</v>
      </c>
      <c r="CU7" s="595">
        <v>96</v>
      </c>
      <c r="CV7" s="595">
        <v>97</v>
      </c>
      <c r="CW7" s="595">
        <v>98</v>
      </c>
      <c r="CX7" s="595">
        <v>99</v>
      </c>
      <c r="CY7" s="595">
        <v>100</v>
      </c>
      <c r="CZ7" s="595">
        <v>101</v>
      </c>
      <c r="DA7" s="595">
        <v>102</v>
      </c>
      <c r="DB7" s="595">
        <v>103</v>
      </c>
      <c r="DC7" s="595">
        <v>104</v>
      </c>
      <c r="DD7" s="595">
        <v>105</v>
      </c>
      <c r="DE7" s="595">
        <v>106</v>
      </c>
      <c r="DF7" s="595">
        <v>107</v>
      </c>
      <c r="DG7" s="595">
        <v>108</v>
      </c>
      <c r="DH7" s="595">
        <v>109</v>
      </c>
      <c r="DI7" s="595">
        <v>110</v>
      </c>
      <c r="DJ7" s="595">
        <v>111</v>
      </c>
      <c r="DK7" s="595">
        <v>112</v>
      </c>
      <c r="DL7" s="595">
        <v>113</v>
      </c>
      <c r="DM7" s="595">
        <v>114</v>
      </c>
      <c r="DN7" s="595">
        <v>115</v>
      </c>
      <c r="DO7" s="595">
        <v>116</v>
      </c>
      <c r="DP7" s="595">
        <v>117</v>
      </c>
      <c r="DQ7" s="595">
        <v>118</v>
      </c>
      <c r="DR7" s="595">
        <v>119</v>
      </c>
      <c r="DS7" s="595">
        <v>120</v>
      </c>
      <c r="DT7" s="595">
        <v>121</v>
      </c>
      <c r="DU7" s="595">
        <v>122</v>
      </c>
      <c r="DV7" s="595">
        <v>123</v>
      </c>
      <c r="DW7" s="595">
        <v>124</v>
      </c>
      <c r="DX7" s="595">
        <v>125</v>
      </c>
      <c r="DY7" s="595">
        <v>126</v>
      </c>
      <c r="DZ7" s="595">
        <v>127</v>
      </c>
      <c r="EA7" s="595">
        <v>128</v>
      </c>
      <c r="EB7" s="595">
        <v>129</v>
      </c>
      <c r="EC7" s="595">
        <v>130</v>
      </c>
      <c r="ED7" s="595">
        <v>131</v>
      </c>
      <c r="EE7" s="799">
        <v>132</v>
      </c>
      <c r="EF7" s="324"/>
      <c r="EG7" s="324"/>
      <c r="EH7" s="796"/>
    </row>
    <row r="8" spans="1:139" ht="12.75" x14ac:dyDescent="0.2">
      <c r="A8" s="801">
        <v>1</v>
      </c>
      <c r="B8" s="600" t="s">
        <v>675</v>
      </c>
      <c r="C8" s="601" t="s">
        <v>1185</v>
      </c>
      <c r="D8" s="602" t="s">
        <v>1186</v>
      </c>
      <c r="E8" s="603" t="s">
        <v>674</v>
      </c>
      <c r="F8" s="802">
        <v>19141295</v>
      </c>
      <c r="G8" s="803">
        <v>0</v>
      </c>
      <c r="H8" s="803">
        <v>787991</v>
      </c>
      <c r="I8" s="803">
        <v>83823</v>
      </c>
      <c r="J8" s="803">
        <v>0</v>
      </c>
      <c r="K8" s="803">
        <v>83823</v>
      </c>
      <c r="L8" s="803">
        <v>0</v>
      </c>
      <c r="M8" s="803">
        <v>0</v>
      </c>
      <c r="N8" s="803">
        <v>0</v>
      </c>
      <c r="O8" s="803">
        <v>0</v>
      </c>
      <c r="P8" s="803">
        <v>0</v>
      </c>
      <c r="Q8" s="803">
        <v>0</v>
      </c>
      <c r="R8" s="803">
        <v>18269481</v>
      </c>
      <c r="S8" s="803">
        <v>0.5</v>
      </c>
      <c r="T8" s="803">
        <v>0.4</v>
      </c>
      <c r="U8" s="803">
        <v>0.1</v>
      </c>
      <c r="V8" s="803">
        <v>0</v>
      </c>
      <c r="W8" s="803">
        <v>1</v>
      </c>
      <c r="X8" s="803">
        <v>9134741</v>
      </c>
      <c r="Y8" s="803">
        <v>7307792</v>
      </c>
      <c r="Z8" s="803">
        <v>1826948</v>
      </c>
      <c r="AA8" s="803">
        <v>0</v>
      </c>
      <c r="AB8" s="803">
        <v>18269481</v>
      </c>
      <c r="AC8" s="803">
        <v>0</v>
      </c>
      <c r="AD8" s="803">
        <v>0</v>
      </c>
      <c r="AE8" s="803">
        <v>0</v>
      </c>
      <c r="AF8" s="803">
        <v>0</v>
      </c>
      <c r="AG8" s="803">
        <v>0</v>
      </c>
      <c r="AH8" s="803">
        <v>9134741</v>
      </c>
      <c r="AI8" s="803">
        <v>7307792</v>
      </c>
      <c r="AJ8" s="803">
        <v>1826948</v>
      </c>
      <c r="AK8" s="803">
        <v>0</v>
      </c>
      <c r="AL8" s="803">
        <v>18269481</v>
      </c>
      <c r="AM8" s="803">
        <v>83823</v>
      </c>
      <c r="AN8" s="803">
        <v>83823</v>
      </c>
      <c r="AO8" s="803">
        <v>0</v>
      </c>
      <c r="AP8" s="803">
        <v>0</v>
      </c>
      <c r="AQ8" s="803">
        <v>0</v>
      </c>
      <c r="AR8" s="803">
        <v>0</v>
      </c>
      <c r="AS8" s="803">
        <v>0</v>
      </c>
      <c r="AT8" s="803">
        <v>0</v>
      </c>
      <c r="AU8" s="803">
        <v>0</v>
      </c>
      <c r="AV8" s="803">
        <v>0</v>
      </c>
      <c r="AW8" s="803">
        <v>0</v>
      </c>
      <c r="AX8" s="803">
        <v>0</v>
      </c>
      <c r="AY8" s="803">
        <v>0</v>
      </c>
      <c r="AZ8" s="803">
        <v>0</v>
      </c>
      <c r="BA8" s="803">
        <v>0</v>
      </c>
      <c r="BB8" s="803">
        <v>0</v>
      </c>
      <c r="BC8" s="803">
        <v>0</v>
      </c>
      <c r="BD8" s="803">
        <v>0</v>
      </c>
      <c r="BE8" s="803">
        <v>0</v>
      </c>
      <c r="BF8" s="803">
        <v>0</v>
      </c>
      <c r="BG8" s="803">
        <v>0</v>
      </c>
      <c r="BH8" s="803">
        <v>0</v>
      </c>
      <c r="BI8" s="803">
        <v>0</v>
      </c>
      <c r="BJ8" s="803">
        <v>0.24999999999999994</v>
      </c>
      <c r="BK8" s="803">
        <v>0.2</v>
      </c>
      <c r="BL8" s="803">
        <v>0.55000000000000004</v>
      </c>
      <c r="BM8" s="803">
        <v>0</v>
      </c>
      <c r="BN8" s="803">
        <v>1</v>
      </c>
      <c r="BO8" s="803">
        <v>-302886.00000000093</v>
      </c>
      <c r="BP8" s="803">
        <v>-242309</v>
      </c>
      <c r="BQ8" s="803">
        <v>-666350</v>
      </c>
      <c r="BR8" s="803">
        <v>0</v>
      </c>
      <c r="BS8" s="803">
        <v>-1211545.0000000009</v>
      </c>
      <c r="BT8" s="803">
        <v>0.5</v>
      </c>
      <c r="BU8" s="803">
        <v>0.4</v>
      </c>
      <c r="BV8" s="803">
        <v>0.1</v>
      </c>
      <c r="BW8" s="803">
        <v>0</v>
      </c>
      <c r="BX8" s="803">
        <v>1</v>
      </c>
      <c r="BY8" s="803">
        <v>16407.890000001527</v>
      </c>
      <c r="BZ8" s="803">
        <v>13126</v>
      </c>
      <c r="CA8" s="803">
        <v>3282</v>
      </c>
      <c r="CB8" s="803">
        <v>0</v>
      </c>
      <c r="CC8" s="803">
        <v>32815.890000001527</v>
      </c>
      <c r="CD8" s="803">
        <v>-286478</v>
      </c>
      <c r="CE8" s="803">
        <v>-229183</v>
      </c>
      <c r="CF8" s="803">
        <v>-663068</v>
      </c>
      <c r="CG8" s="803">
        <v>0</v>
      </c>
      <c r="CH8" s="803">
        <v>-1178729.1099999994</v>
      </c>
      <c r="CI8" s="803">
        <v>8848263</v>
      </c>
      <c r="CJ8" s="803">
        <v>7162432</v>
      </c>
      <c r="CK8" s="803">
        <v>1163880</v>
      </c>
      <c r="CL8" s="803">
        <v>0</v>
      </c>
      <c r="CM8" s="803">
        <v>17174575</v>
      </c>
      <c r="CN8" s="803">
        <v>292897</v>
      </c>
      <c r="CO8" s="803">
        <v>73224</v>
      </c>
      <c r="CP8" s="803">
        <v>0</v>
      </c>
      <c r="CQ8" s="803">
        <v>366121</v>
      </c>
      <c r="CR8" s="803">
        <v>639022</v>
      </c>
      <c r="CS8" s="803">
        <v>159756</v>
      </c>
      <c r="CT8" s="803">
        <v>0</v>
      </c>
      <c r="CU8" s="803">
        <v>798778</v>
      </c>
      <c r="CV8" s="803">
        <v>39085</v>
      </c>
      <c r="CW8" s="803">
        <v>9771</v>
      </c>
      <c r="CX8" s="803">
        <v>0</v>
      </c>
      <c r="CY8" s="803">
        <v>48856</v>
      </c>
      <c r="CZ8" s="803">
        <v>0</v>
      </c>
      <c r="DA8" s="803">
        <v>0</v>
      </c>
      <c r="DB8" s="803">
        <v>0</v>
      </c>
      <c r="DC8" s="803">
        <v>0</v>
      </c>
      <c r="DD8" s="803">
        <v>0</v>
      </c>
      <c r="DE8" s="803">
        <v>0</v>
      </c>
      <c r="DF8" s="803">
        <v>0</v>
      </c>
      <c r="DG8" s="803">
        <v>0</v>
      </c>
      <c r="DH8" s="803">
        <v>6035</v>
      </c>
      <c r="DI8" s="803">
        <v>1509</v>
      </c>
      <c r="DJ8" s="803">
        <v>0</v>
      </c>
      <c r="DK8" s="803">
        <v>7544</v>
      </c>
      <c r="DL8" s="803">
        <v>0</v>
      </c>
      <c r="DM8" s="803">
        <v>0</v>
      </c>
      <c r="DN8" s="803">
        <v>0</v>
      </c>
      <c r="DO8" s="803">
        <v>0</v>
      </c>
      <c r="DP8" s="803">
        <v>0</v>
      </c>
      <c r="DQ8" s="803">
        <v>0</v>
      </c>
      <c r="DR8" s="803">
        <v>0</v>
      </c>
      <c r="DS8" s="803">
        <v>0</v>
      </c>
      <c r="DT8" s="803">
        <v>0</v>
      </c>
      <c r="DU8" s="803">
        <v>0</v>
      </c>
      <c r="DV8" s="803">
        <v>0</v>
      </c>
      <c r="DW8" s="803">
        <v>0</v>
      </c>
      <c r="DX8" s="803">
        <v>122517</v>
      </c>
      <c r="DY8" s="803">
        <v>30629</v>
      </c>
      <c r="DZ8" s="803">
        <v>0</v>
      </c>
      <c r="EA8" s="803">
        <v>153146</v>
      </c>
      <c r="EB8" s="803">
        <v>1099556</v>
      </c>
      <c r="EC8" s="803">
        <v>274889</v>
      </c>
      <c r="ED8" s="803">
        <v>0</v>
      </c>
      <c r="EE8" s="804">
        <v>1374445</v>
      </c>
      <c r="EF8" s="604" t="s">
        <v>674</v>
      </c>
      <c r="EG8" s="497" t="s">
        <v>613</v>
      </c>
      <c r="EH8" s="630" t="s">
        <v>551</v>
      </c>
      <c r="EI8" s="118" t="s">
        <v>1661</v>
      </c>
    </row>
    <row r="9" spans="1:139" ht="12.75" x14ac:dyDescent="0.2">
      <c r="A9" s="805">
        <v>2</v>
      </c>
      <c r="B9" s="606" t="s">
        <v>677</v>
      </c>
      <c r="C9" s="607" t="s">
        <v>1185</v>
      </c>
      <c r="D9" s="608" t="s">
        <v>1187</v>
      </c>
      <c r="E9" s="609" t="s">
        <v>676</v>
      </c>
      <c r="F9" s="802">
        <v>28484454</v>
      </c>
      <c r="G9" s="804">
        <v>151993</v>
      </c>
      <c r="H9" s="804">
        <v>0</v>
      </c>
      <c r="I9" s="804">
        <v>181416</v>
      </c>
      <c r="J9" s="804">
        <v>0</v>
      </c>
      <c r="K9" s="804">
        <v>181416</v>
      </c>
      <c r="L9" s="804">
        <v>0</v>
      </c>
      <c r="M9" s="804">
        <v>0</v>
      </c>
      <c r="N9" s="804">
        <v>535363</v>
      </c>
      <c r="O9" s="804">
        <v>521694</v>
      </c>
      <c r="P9" s="804">
        <v>13669</v>
      </c>
      <c r="Q9" s="804">
        <v>0</v>
      </c>
      <c r="R9" s="804">
        <v>27919668</v>
      </c>
      <c r="S9" s="804">
        <v>0.5</v>
      </c>
      <c r="T9" s="804">
        <v>0.4</v>
      </c>
      <c r="U9" s="804">
        <v>0.1</v>
      </c>
      <c r="V9" s="804">
        <v>0</v>
      </c>
      <c r="W9" s="804">
        <v>1</v>
      </c>
      <c r="X9" s="804">
        <v>13959834</v>
      </c>
      <c r="Y9" s="804">
        <v>11167867</v>
      </c>
      <c r="Z9" s="804">
        <v>2791967</v>
      </c>
      <c r="AA9" s="804">
        <v>0</v>
      </c>
      <c r="AB9" s="804">
        <v>27919668</v>
      </c>
      <c r="AC9" s="804">
        <v>0</v>
      </c>
      <c r="AD9" s="804">
        <v>0</v>
      </c>
      <c r="AE9" s="804">
        <v>0</v>
      </c>
      <c r="AF9" s="804">
        <v>0</v>
      </c>
      <c r="AG9" s="804">
        <v>0</v>
      </c>
      <c r="AH9" s="804">
        <v>13959834</v>
      </c>
      <c r="AI9" s="804">
        <v>11167867</v>
      </c>
      <c r="AJ9" s="804">
        <v>2791967</v>
      </c>
      <c r="AK9" s="804">
        <v>0</v>
      </c>
      <c r="AL9" s="804">
        <v>27919668</v>
      </c>
      <c r="AM9" s="804">
        <v>181416</v>
      </c>
      <c r="AN9" s="804">
        <v>181416</v>
      </c>
      <c r="AO9" s="804">
        <v>0</v>
      </c>
      <c r="AP9" s="804">
        <v>0</v>
      </c>
      <c r="AQ9" s="804">
        <v>521694</v>
      </c>
      <c r="AR9" s="804">
        <v>13669</v>
      </c>
      <c r="AS9" s="804">
        <v>535363</v>
      </c>
      <c r="AT9" s="804">
        <v>0</v>
      </c>
      <c r="AU9" s="804">
        <v>0</v>
      </c>
      <c r="AV9" s="804">
        <v>0</v>
      </c>
      <c r="AW9" s="804">
        <v>0</v>
      </c>
      <c r="AX9" s="804">
        <v>0</v>
      </c>
      <c r="AY9" s="804">
        <v>0</v>
      </c>
      <c r="AZ9" s="804">
        <v>0</v>
      </c>
      <c r="BA9" s="804">
        <v>0</v>
      </c>
      <c r="BB9" s="804">
        <v>0</v>
      </c>
      <c r="BC9" s="804">
        <v>0</v>
      </c>
      <c r="BD9" s="804">
        <v>0</v>
      </c>
      <c r="BE9" s="804">
        <v>0</v>
      </c>
      <c r="BF9" s="804">
        <v>0</v>
      </c>
      <c r="BG9" s="804">
        <v>0</v>
      </c>
      <c r="BH9" s="804">
        <v>0</v>
      </c>
      <c r="BI9" s="804">
        <v>0</v>
      </c>
      <c r="BJ9" s="804">
        <v>0.5</v>
      </c>
      <c r="BK9" s="804">
        <v>0.4</v>
      </c>
      <c r="BL9" s="804">
        <v>0.1</v>
      </c>
      <c r="BM9" s="804">
        <v>0</v>
      </c>
      <c r="BN9" s="804">
        <v>1</v>
      </c>
      <c r="BO9" s="804">
        <v>155578</v>
      </c>
      <c r="BP9" s="804">
        <v>124463</v>
      </c>
      <c r="BQ9" s="804">
        <v>31116</v>
      </c>
      <c r="BR9" s="804">
        <v>0</v>
      </c>
      <c r="BS9" s="804">
        <v>311157</v>
      </c>
      <c r="BT9" s="804">
        <v>0.5</v>
      </c>
      <c r="BU9" s="804">
        <v>0.4</v>
      </c>
      <c r="BV9" s="804">
        <v>0.1</v>
      </c>
      <c r="BW9" s="804">
        <v>0</v>
      </c>
      <c r="BX9" s="804">
        <v>1</v>
      </c>
      <c r="BY9" s="804">
        <v>16657</v>
      </c>
      <c r="BZ9" s="804">
        <v>13326</v>
      </c>
      <c r="CA9" s="804">
        <v>3331</v>
      </c>
      <c r="CB9" s="804">
        <v>0</v>
      </c>
      <c r="CC9" s="804">
        <v>33314</v>
      </c>
      <c r="CD9" s="804">
        <v>172235</v>
      </c>
      <c r="CE9" s="804">
        <v>137789</v>
      </c>
      <c r="CF9" s="804">
        <v>34447</v>
      </c>
      <c r="CG9" s="804">
        <v>0</v>
      </c>
      <c r="CH9" s="804">
        <v>344471</v>
      </c>
      <c r="CI9" s="804">
        <v>14132069</v>
      </c>
      <c r="CJ9" s="804">
        <v>12008766</v>
      </c>
      <c r="CK9" s="804">
        <v>2840083</v>
      </c>
      <c r="CL9" s="804">
        <v>0</v>
      </c>
      <c r="CM9" s="804">
        <v>28980918</v>
      </c>
      <c r="CN9" s="804">
        <v>468519</v>
      </c>
      <c r="CO9" s="804">
        <v>112450</v>
      </c>
      <c r="CP9" s="804">
        <v>0</v>
      </c>
      <c r="CQ9" s="804">
        <v>580969</v>
      </c>
      <c r="CR9" s="804">
        <v>1581416</v>
      </c>
      <c r="CS9" s="804">
        <v>395354</v>
      </c>
      <c r="CT9" s="804">
        <v>0</v>
      </c>
      <c r="CU9" s="804">
        <v>1976770</v>
      </c>
      <c r="CV9" s="804">
        <v>74642</v>
      </c>
      <c r="CW9" s="804">
        <v>18660</v>
      </c>
      <c r="CX9" s="804">
        <v>0</v>
      </c>
      <c r="CY9" s="804">
        <v>93302</v>
      </c>
      <c r="CZ9" s="804">
        <v>5968</v>
      </c>
      <c r="DA9" s="804">
        <v>1492</v>
      </c>
      <c r="DB9" s="804">
        <v>0</v>
      </c>
      <c r="DC9" s="804">
        <v>7460</v>
      </c>
      <c r="DD9" s="804">
        <v>17630</v>
      </c>
      <c r="DE9" s="804">
        <v>4408</v>
      </c>
      <c r="DF9" s="804">
        <v>0</v>
      </c>
      <c r="DG9" s="804">
        <v>22038</v>
      </c>
      <c r="DH9" s="804">
        <v>11450</v>
      </c>
      <c r="DI9" s="804">
        <v>2862</v>
      </c>
      <c r="DJ9" s="804">
        <v>0</v>
      </c>
      <c r="DK9" s="804">
        <v>14312</v>
      </c>
      <c r="DL9" s="804">
        <v>4236</v>
      </c>
      <c r="DM9" s="804">
        <v>1059</v>
      </c>
      <c r="DN9" s="804">
        <v>0</v>
      </c>
      <c r="DO9" s="804">
        <v>5295</v>
      </c>
      <c r="DP9" s="804">
        <v>0</v>
      </c>
      <c r="DQ9" s="804">
        <v>0</v>
      </c>
      <c r="DR9" s="804">
        <v>0</v>
      </c>
      <c r="DS9" s="804">
        <v>0</v>
      </c>
      <c r="DT9" s="804">
        <v>0</v>
      </c>
      <c r="DU9" s="804">
        <v>0</v>
      </c>
      <c r="DV9" s="804">
        <v>0</v>
      </c>
      <c r="DW9" s="804">
        <v>0</v>
      </c>
      <c r="DX9" s="804">
        <v>431766</v>
      </c>
      <c r="DY9" s="804">
        <v>107941</v>
      </c>
      <c r="DZ9" s="804">
        <v>0</v>
      </c>
      <c r="EA9" s="804">
        <v>539707</v>
      </c>
      <c r="EB9" s="804">
        <v>2595627</v>
      </c>
      <c r="EC9" s="804">
        <v>644226</v>
      </c>
      <c r="ED9" s="804">
        <v>0</v>
      </c>
      <c r="EE9" s="804">
        <v>3239853</v>
      </c>
      <c r="EF9" s="604" t="s">
        <v>676</v>
      </c>
      <c r="EG9" s="497" t="s">
        <v>552</v>
      </c>
      <c r="EH9" s="630" t="s">
        <v>551</v>
      </c>
      <c r="EI9" s="118" t="s">
        <v>1662</v>
      </c>
    </row>
    <row r="10" spans="1:139" ht="12.75" x14ac:dyDescent="0.2">
      <c r="A10" s="805">
        <v>3</v>
      </c>
      <c r="B10" s="606" t="s">
        <v>679</v>
      </c>
      <c r="C10" s="607" t="s">
        <v>1185</v>
      </c>
      <c r="D10" s="608" t="s">
        <v>1188</v>
      </c>
      <c r="E10" s="609" t="s">
        <v>678</v>
      </c>
      <c r="F10" s="802">
        <v>30260805</v>
      </c>
      <c r="G10" s="804">
        <v>183509</v>
      </c>
      <c r="H10" s="804">
        <v>0</v>
      </c>
      <c r="I10" s="804">
        <v>146420</v>
      </c>
      <c r="J10" s="804">
        <v>0</v>
      </c>
      <c r="K10" s="804">
        <v>146420</v>
      </c>
      <c r="L10" s="804">
        <v>0</v>
      </c>
      <c r="M10" s="804">
        <v>0</v>
      </c>
      <c r="N10" s="804">
        <v>8282</v>
      </c>
      <c r="O10" s="804">
        <v>8282</v>
      </c>
      <c r="P10" s="804">
        <v>0</v>
      </c>
      <c r="Q10" s="804">
        <v>0</v>
      </c>
      <c r="R10" s="804">
        <v>30289612</v>
      </c>
      <c r="S10" s="804">
        <v>0.5</v>
      </c>
      <c r="T10" s="804">
        <v>0.4</v>
      </c>
      <c r="U10" s="804">
        <v>0.09</v>
      </c>
      <c r="V10" s="804">
        <v>0.01</v>
      </c>
      <c r="W10" s="804">
        <v>1</v>
      </c>
      <c r="X10" s="804">
        <v>15144806</v>
      </c>
      <c r="Y10" s="804">
        <v>12115845</v>
      </c>
      <c r="Z10" s="804">
        <v>2726065</v>
      </c>
      <c r="AA10" s="804">
        <v>302896</v>
      </c>
      <c r="AB10" s="804">
        <v>30289612</v>
      </c>
      <c r="AC10" s="804">
        <v>0</v>
      </c>
      <c r="AD10" s="804">
        <v>0</v>
      </c>
      <c r="AE10" s="804">
        <v>0</v>
      </c>
      <c r="AF10" s="804">
        <v>0</v>
      </c>
      <c r="AG10" s="804">
        <v>0</v>
      </c>
      <c r="AH10" s="804">
        <v>15144806</v>
      </c>
      <c r="AI10" s="804">
        <v>12115845</v>
      </c>
      <c r="AJ10" s="804">
        <v>2726065</v>
      </c>
      <c r="AK10" s="804">
        <v>302896</v>
      </c>
      <c r="AL10" s="804">
        <v>30289612</v>
      </c>
      <c r="AM10" s="804">
        <v>146420</v>
      </c>
      <c r="AN10" s="804">
        <v>146420</v>
      </c>
      <c r="AO10" s="804">
        <v>0</v>
      </c>
      <c r="AP10" s="804">
        <v>0</v>
      </c>
      <c r="AQ10" s="804">
        <v>8282</v>
      </c>
      <c r="AR10" s="804">
        <v>0</v>
      </c>
      <c r="AS10" s="804">
        <v>8282</v>
      </c>
      <c r="AT10" s="804">
        <v>0</v>
      </c>
      <c r="AU10" s="804">
        <v>0</v>
      </c>
      <c r="AV10" s="804">
        <v>0</v>
      </c>
      <c r="AW10" s="804">
        <v>0</v>
      </c>
      <c r="AX10" s="804">
        <v>0</v>
      </c>
      <c r="AY10" s="804">
        <v>0</v>
      </c>
      <c r="AZ10" s="804">
        <v>0</v>
      </c>
      <c r="BA10" s="804">
        <v>0</v>
      </c>
      <c r="BB10" s="804">
        <v>0</v>
      </c>
      <c r="BC10" s="804">
        <v>0</v>
      </c>
      <c r="BD10" s="804">
        <v>0</v>
      </c>
      <c r="BE10" s="804">
        <v>0</v>
      </c>
      <c r="BF10" s="804">
        <v>0</v>
      </c>
      <c r="BG10" s="804">
        <v>0</v>
      </c>
      <c r="BH10" s="804">
        <v>0</v>
      </c>
      <c r="BI10" s="804">
        <v>0</v>
      </c>
      <c r="BJ10" s="804">
        <v>0.5</v>
      </c>
      <c r="BK10" s="804">
        <v>0.4</v>
      </c>
      <c r="BL10" s="804">
        <v>0.09</v>
      </c>
      <c r="BM10" s="804">
        <v>0.01</v>
      </c>
      <c r="BN10" s="804">
        <v>1</v>
      </c>
      <c r="BO10" s="804">
        <v>177380</v>
      </c>
      <c r="BP10" s="804">
        <v>141905</v>
      </c>
      <c r="BQ10" s="804">
        <v>31929</v>
      </c>
      <c r="BR10" s="804">
        <v>3548</v>
      </c>
      <c r="BS10" s="804">
        <v>354762</v>
      </c>
      <c r="BT10" s="804">
        <v>0</v>
      </c>
      <c r="BU10" s="804">
        <v>0.5</v>
      </c>
      <c r="BV10" s="804">
        <v>0.49</v>
      </c>
      <c r="BW10" s="804">
        <v>0.01</v>
      </c>
      <c r="BX10" s="804">
        <v>1</v>
      </c>
      <c r="BY10" s="804">
        <v>0</v>
      </c>
      <c r="BZ10" s="804">
        <v>97566</v>
      </c>
      <c r="CA10" s="804">
        <v>95615</v>
      </c>
      <c r="CB10" s="804">
        <v>1951</v>
      </c>
      <c r="CC10" s="804">
        <v>195132</v>
      </c>
      <c r="CD10" s="804">
        <v>177380</v>
      </c>
      <c r="CE10" s="804">
        <v>239471</v>
      </c>
      <c r="CF10" s="804">
        <v>127544</v>
      </c>
      <c r="CG10" s="804">
        <v>5499</v>
      </c>
      <c r="CH10" s="804">
        <v>549894</v>
      </c>
      <c r="CI10" s="804">
        <v>15322186</v>
      </c>
      <c r="CJ10" s="804">
        <v>12510018</v>
      </c>
      <c r="CK10" s="804">
        <v>2853609</v>
      </c>
      <c r="CL10" s="804">
        <v>308395</v>
      </c>
      <c r="CM10" s="804">
        <v>30994208</v>
      </c>
      <c r="CN10" s="804">
        <v>485937</v>
      </c>
      <c r="CO10" s="804">
        <v>109261</v>
      </c>
      <c r="CP10" s="804">
        <v>12140</v>
      </c>
      <c r="CQ10" s="804">
        <v>607338</v>
      </c>
      <c r="CR10" s="804">
        <v>1394873</v>
      </c>
      <c r="CS10" s="804">
        <v>313846</v>
      </c>
      <c r="CT10" s="804">
        <v>34872</v>
      </c>
      <c r="CU10" s="804">
        <v>1743591</v>
      </c>
      <c r="CV10" s="804">
        <v>72141</v>
      </c>
      <c r="CW10" s="804">
        <v>16232</v>
      </c>
      <c r="CX10" s="804">
        <v>1804</v>
      </c>
      <c r="CY10" s="804">
        <v>90177</v>
      </c>
      <c r="CZ10" s="804">
        <v>0</v>
      </c>
      <c r="DA10" s="804">
        <v>0</v>
      </c>
      <c r="DB10" s="804">
        <v>0</v>
      </c>
      <c r="DC10" s="804">
        <v>0</v>
      </c>
      <c r="DD10" s="804">
        <v>5837</v>
      </c>
      <c r="DE10" s="804">
        <v>1313</v>
      </c>
      <c r="DF10" s="804">
        <v>146</v>
      </c>
      <c r="DG10" s="804">
        <v>7296</v>
      </c>
      <c r="DH10" s="804">
        <v>14219</v>
      </c>
      <c r="DI10" s="804">
        <v>3199</v>
      </c>
      <c r="DJ10" s="804">
        <v>355</v>
      </c>
      <c r="DK10" s="804">
        <v>17773</v>
      </c>
      <c r="DL10" s="804">
        <v>686</v>
      </c>
      <c r="DM10" s="804">
        <v>154</v>
      </c>
      <c r="DN10" s="804">
        <v>17</v>
      </c>
      <c r="DO10" s="804">
        <v>857</v>
      </c>
      <c r="DP10" s="804">
        <v>0</v>
      </c>
      <c r="DQ10" s="804">
        <v>0</v>
      </c>
      <c r="DR10" s="804">
        <v>0</v>
      </c>
      <c r="DS10" s="804">
        <v>0</v>
      </c>
      <c r="DT10" s="804">
        <v>0</v>
      </c>
      <c r="DU10" s="804">
        <v>0</v>
      </c>
      <c r="DV10" s="804">
        <v>0</v>
      </c>
      <c r="DW10" s="804">
        <v>0</v>
      </c>
      <c r="DX10" s="804">
        <v>268217</v>
      </c>
      <c r="DY10" s="804">
        <v>60349</v>
      </c>
      <c r="DZ10" s="804">
        <v>6705</v>
      </c>
      <c r="EA10" s="804">
        <v>335271</v>
      </c>
      <c r="EB10" s="804">
        <v>2241910</v>
      </c>
      <c r="EC10" s="804">
        <v>504354</v>
      </c>
      <c r="ED10" s="804">
        <v>56039</v>
      </c>
      <c r="EE10" s="804">
        <v>2802303</v>
      </c>
      <c r="EF10" s="604" t="s">
        <v>678</v>
      </c>
      <c r="EG10" s="497" t="s">
        <v>555</v>
      </c>
      <c r="EH10" s="630" t="s">
        <v>554</v>
      </c>
      <c r="EI10" s="118" t="s">
        <v>1663</v>
      </c>
    </row>
    <row r="11" spans="1:139" ht="12.75" x14ac:dyDescent="0.2">
      <c r="A11" s="805">
        <v>4</v>
      </c>
      <c r="B11" s="606" t="s">
        <v>681</v>
      </c>
      <c r="C11" s="607" t="s">
        <v>1185</v>
      </c>
      <c r="D11" s="608" t="s">
        <v>1186</v>
      </c>
      <c r="E11" s="609" t="s">
        <v>680</v>
      </c>
      <c r="F11" s="802">
        <v>35011576</v>
      </c>
      <c r="G11" s="804">
        <v>258201</v>
      </c>
      <c r="H11" s="804">
        <v>0</v>
      </c>
      <c r="I11" s="804">
        <v>182456</v>
      </c>
      <c r="J11" s="804">
        <v>0</v>
      </c>
      <c r="K11" s="804">
        <v>182456</v>
      </c>
      <c r="L11" s="804">
        <v>0</v>
      </c>
      <c r="M11" s="804">
        <v>0</v>
      </c>
      <c r="N11" s="804">
        <v>0</v>
      </c>
      <c r="O11" s="804">
        <v>0</v>
      </c>
      <c r="P11" s="804">
        <v>0</v>
      </c>
      <c r="Q11" s="804">
        <v>0</v>
      </c>
      <c r="R11" s="804">
        <v>35087321</v>
      </c>
      <c r="S11" s="804">
        <v>0.5</v>
      </c>
      <c r="T11" s="804">
        <v>0.4</v>
      </c>
      <c r="U11" s="804">
        <v>0.1</v>
      </c>
      <c r="V11" s="804">
        <v>0</v>
      </c>
      <c r="W11" s="804">
        <v>1</v>
      </c>
      <c r="X11" s="804">
        <v>17543661</v>
      </c>
      <c r="Y11" s="804">
        <v>14034928</v>
      </c>
      <c r="Z11" s="804">
        <v>3508732</v>
      </c>
      <c r="AA11" s="804">
        <v>0</v>
      </c>
      <c r="AB11" s="804">
        <v>35087321</v>
      </c>
      <c r="AC11" s="804">
        <v>0</v>
      </c>
      <c r="AD11" s="804">
        <v>0</v>
      </c>
      <c r="AE11" s="804">
        <v>0</v>
      </c>
      <c r="AF11" s="804">
        <v>0</v>
      </c>
      <c r="AG11" s="804">
        <v>0</v>
      </c>
      <c r="AH11" s="804">
        <v>17543661</v>
      </c>
      <c r="AI11" s="804">
        <v>14034928</v>
      </c>
      <c r="AJ11" s="804">
        <v>3508732</v>
      </c>
      <c r="AK11" s="804">
        <v>0</v>
      </c>
      <c r="AL11" s="804">
        <v>35087321</v>
      </c>
      <c r="AM11" s="804">
        <v>182456</v>
      </c>
      <c r="AN11" s="804">
        <v>182456</v>
      </c>
      <c r="AO11" s="804">
        <v>0</v>
      </c>
      <c r="AP11" s="804">
        <v>0</v>
      </c>
      <c r="AQ11" s="804">
        <v>0</v>
      </c>
      <c r="AR11" s="804">
        <v>0</v>
      </c>
      <c r="AS11" s="804">
        <v>0</v>
      </c>
      <c r="AT11" s="804">
        <v>0</v>
      </c>
      <c r="AU11" s="804">
        <v>0</v>
      </c>
      <c r="AV11" s="804">
        <v>0</v>
      </c>
      <c r="AW11" s="804">
        <v>0</v>
      </c>
      <c r="AX11" s="804">
        <v>0</v>
      </c>
      <c r="AY11" s="804">
        <v>0</v>
      </c>
      <c r="AZ11" s="804">
        <v>0</v>
      </c>
      <c r="BA11" s="804">
        <v>0</v>
      </c>
      <c r="BB11" s="804">
        <v>0</v>
      </c>
      <c r="BC11" s="804">
        <v>0</v>
      </c>
      <c r="BD11" s="804">
        <v>0</v>
      </c>
      <c r="BE11" s="804">
        <v>0</v>
      </c>
      <c r="BF11" s="804">
        <v>0</v>
      </c>
      <c r="BG11" s="804">
        <v>0</v>
      </c>
      <c r="BH11" s="804">
        <v>0</v>
      </c>
      <c r="BI11" s="804">
        <v>0</v>
      </c>
      <c r="BJ11" s="804">
        <v>0.24999999999999994</v>
      </c>
      <c r="BK11" s="804">
        <v>0.2</v>
      </c>
      <c r="BL11" s="804">
        <v>0.55000000000000004</v>
      </c>
      <c r="BM11" s="804">
        <v>0</v>
      </c>
      <c r="BN11" s="804">
        <v>1</v>
      </c>
      <c r="BO11" s="804">
        <v>272019.99999999627</v>
      </c>
      <c r="BP11" s="804">
        <v>217616</v>
      </c>
      <c r="BQ11" s="804">
        <v>598443</v>
      </c>
      <c r="BR11" s="804">
        <v>0</v>
      </c>
      <c r="BS11" s="804">
        <v>1088078.9999999963</v>
      </c>
      <c r="BT11" s="804">
        <v>0.5</v>
      </c>
      <c r="BU11" s="804">
        <v>0.4</v>
      </c>
      <c r="BV11" s="804">
        <v>0.1</v>
      </c>
      <c r="BW11" s="804">
        <v>0</v>
      </c>
      <c r="BX11" s="804">
        <v>1</v>
      </c>
      <c r="BY11" s="804">
        <v>-428129.69999999925</v>
      </c>
      <c r="BZ11" s="804">
        <v>-342504</v>
      </c>
      <c r="CA11" s="804">
        <v>-85626</v>
      </c>
      <c r="CB11" s="804">
        <v>0</v>
      </c>
      <c r="CC11" s="804">
        <v>-856259.69999999925</v>
      </c>
      <c r="CD11" s="804">
        <v>-156110</v>
      </c>
      <c r="CE11" s="804">
        <v>-124888</v>
      </c>
      <c r="CF11" s="804">
        <v>512817</v>
      </c>
      <c r="CG11" s="804">
        <v>0</v>
      </c>
      <c r="CH11" s="804">
        <v>231819.29999999702</v>
      </c>
      <c r="CI11" s="804">
        <v>17387551</v>
      </c>
      <c r="CJ11" s="804">
        <v>14092496</v>
      </c>
      <c r="CK11" s="804">
        <v>4021549</v>
      </c>
      <c r="CL11" s="804">
        <v>0</v>
      </c>
      <c r="CM11" s="804">
        <v>35501596</v>
      </c>
      <c r="CN11" s="804">
        <v>562522</v>
      </c>
      <c r="CO11" s="804">
        <v>140631</v>
      </c>
      <c r="CP11" s="804">
        <v>0</v>
      </c>
      <c r="CQ11" s="804">
        <v>703153</v>
      </c>
      <c r="CR11" s="804">
        <v>1636726</v>
      </c>
      <c r="CS11" s="804">
        <v>409181</v>
      </c>
      <c r="CT11" s="804">
        <v>0</v>
      </c>
      <c r="CU11" s="804">
        <v>2045907</v>
      </c>
      <c r="CV11" s="804">
        <v>90265</v>
      </c>
      <c r="CW11" s="804">
        <v>22566</v>
      </c>
      <c r="CX11" s="804">
        <v>0</v>
      </c>
      <c r="CY11" s="804">
        <v>112831</v>
      </c>
      <c r="CZ11" s="804">
        <v>11144</v>
      </c>
      <c r="DA11" s="804">
        <v>2786</v>
      </c>
      <c r="DB11" s="804">
        <v>0</v>
      </c>
      <c r="DC11" s="804">
        <v>13930</v>
      </c>
      <c r="DD11" s="804">
        <v>0</v>
      </c>
      <c r="DE11" s="804">
        <v>0</v>
      </c>
      <c r="DF11" s="804">
        <v>0</v>
      </c>
      <c r="DG11" s="804">
        <v>0</v>
      </c>
      <c r="DH11" s="804">
        <v>16026</v>
      </c>
      <c r="DI11" s="804">
        <v>4006</v>
      </c>
      <c r="DJ11" s="804">
        <v>0</v>
      </c>
      <c r="DK11" s="804">
        <v>20032</v>
      </c>
      <c r="DL11" s="804">
        <v>0</v>
      </c>
      <c r="DM11" s="804">
        <v>0</v>
      </c>
      <c r="DN11" s="804">
        <v>0</v>
      </c>
      <c r="DO11" s="804">
        <v>0</v>
      </c>
      <c r="DP11" s="804">
        <v>0</v>
      </c>
      <c r="DQ11" s="804">
        <v>0</v>
      </c>
      <c r="DR11" s="804">
        <v>0</v>
      </c>
      <c r="DS11" s="804">
        <v>0</v>
      </c>
      <c r="DT11" s="804">
        <v>0</v>
      </c>
      <c r="DU11" s="804">
        <v>0</v>
      </c>
      <c r="DV11" s="804">
        <v>0</v>
      </c>
      <c r="DW11" s="804">
        <v>0</v>
      </c>
      <c r="DX11" s="804">
        <v>1556356</v>
      </c>
      <c r="DY11" s="804">
        <v>389089</v>
      </c>
      <c r="DZ11" s="804">
        <v>0</v>
      </c>
      <c r="EA11" s="804">
        <v>1945445</v>
      </c>
      <c r="EB11" s="804">
        <v>3873039</v>
      </c>
      <c r="EC11" s="804">
        <v>968259</v>
      </c>
      <c r="ED11" s="804">
        <v>0</v>
      </c>
      <c r="EE11" s="804">
        <v>4841298</v>
      </c>
      <c r="EF11" s="604" t="s">
        <v>680</v>
      </c>
      <c r="EG11" s="497" t="s">
        <v>613</v>
      </c>
      <c r="EH11" s="630" t="s">
        <v>551</v>
      </c>
      <c r="EI11" s="118" t="s">
        <v>1664</v>
      </c>
    </row>
    <row r="12" spans="1:139" ht="14.25" x14ac:dyDescent="0.2">
      <c r="A12" s="805">
        <v>5</v>
      </c>
      <c r="B12" s="606" t="s">
        <v>683</v>
      </c>
      <c r="C12" s="607" t="s">
        <v>1185</v>
      </c>
      <c r="D12" s="608" t="s">
        <v>1188</v>
      </c>
      <c r="E12" s="609" t="s">
        <v>1976</v>
      </c>
      <c r="F12" s="802">
        <v>38425953.549999997</v>
      </c>
      <c r="G12" s="804">
        <v>128027</v>
      </c>
      <c r="H12" s="804">
        <v>0</v>
      </c>
      <c r="I12" s="804">
        <v>148328</v>
      </c>
      <c r="J12" s="804">
        <v>0</v>
      </c>
      <c r="K12" s="804">
        <v>148328</v>
      </c>
      <c r="L12" s="804">
        <v>0</v>
      </c>
      <c r="M12" s="804">
        <v>0</v>
      </c>
      <c r="N12" s="804">
        <v>24215</v>
      </c>
      <c r="O12" s="804">
        <v>24215</v>
      </c>
      <c r="P12" s="804">
        <v>0</v>
      </c>
      <c r="Q12" s="804">
        <v>0</v>
      </c>
      <c r="R12" s="804">
        <v>38381438</v>
      </c>
      <c r="S12" s="804">
        <v>0.5</v>
      </c>
      <c r="T12" s="804">
        <v>0.4</v>
      </c>
      <c r="U12" s="804">
        <v>0.09</v>
      </c>
      <c r="V12" s="804">
        <v>0.01</v>
      </c>
      <c r="W12" s="804">
        <v>1</v>
      </c>
      <c r="X12" s="804">
        <v>19190720</v>
      </c>
      <c r="Y12" s="804">
        <v>15352575</v>
      </c>
      <c r="Z12" s="804">
        <v>3454329</v>
      </c>
      <c r="AA12" s="804">
        <v>383814</v>
      </c>
      <c r="AB12" s="804">
        <v>38381438</v>
      </c>
      <c r="AC12" s="804">
        <v>0</v>
      </c>
      <c r="AD12" s="804">
        <v>0</v>
      </c>
      <c r="AE12" s="804">
        <v>0</v>
      </c>
      <c r="AF12" s="804">
        <v>0</v>
      </c>
      <c r="AG12" s="804">
        <v>0</v>
      </c>
      <c r="AH12" s="804">
        <v>19190720</v>
      </c>
      <c r="AI12" s="804">
        <v>15352575</v>
      </c>
      <c r="AJ12" s="804">
        <v>3454329</v>
      </c>
      <c r="AK12" s="804">
        <v>383814</v>
      </c>
      <c r="AL12" s="804">
        <v>38381438</v>
      </c>
      <c r="AM12" s="804">
        <v>148328</v>
      </c>
      <c r="AN12" s="804">
        <v>148328</v>
      </c>
      <c r="AO12" s="804">
        <v>0</v>
      </c>
      <c r="AP12" s="804">
        <v>0</v>
      </c>
      <c r="AQ12" s="804">
        <v>24215</v>
      </c>
      <c r="AR12" s="804">
        <v>0</v>
      </c>
      <c r="AS12" s="804">
        <v>24215</v>
      </c>
      <c r="AT12" s="804">
        <v>0</v>
      </c>
      <c r="AU12" s="804">
        <v>0</v>
      </c>
      <c r="AV12" s="804">
        <v>0</v>
      </c>
      <c r="AW12" s="804">
        <v>0</v>
      </c>
      <c r="AX12" s="804">
        <v>0</v>
      </c>
      <c r="AY12" s="804">
        <v>0</v>
      </c>
      <c r="AZ12" s="804">
        <v>0</v>
      </c>
      <c r="BA12" s="804">
        <v>0</v>
      </c>
      <c r="BB12" s="804">
        <v>0</v>
      </c>
      <c r="BC12" s="804">
        <v>0</v>
      </c>
      <c r="BD12" s="804">
        <v>0</v>
      </c>
      <c r="BE12" s="804">
        <v>0</v>
      </c>
      <c r="BF12" s="804">
        <v>0</v>
      </c>
      <c r="BG12" s="804">
        <v>0</v>
      </c>
      <c r="BH12" s="804">
        <v>0</v>
      </c>
      <c r="BI12" s="804">
        <v>0</v>
      </c>
      <c r="BJ12" s="804">
        <v>0.5</v>
      </c>
      <c r="BK12" s="804">
        <v>0.4</v>
      </c>
      <c r="BL12" s="804">
        <v>0.09</v>
      </c>
      <c r="BM12" s="804">
        <v>0.01</v>
      </c>
      <c r="BN12" s="804">
        <v>1</v>
      </c>
      <c r="BO12" s="804">
        <v>-595514</v>
      </c>
      <c r="BP12" s="804">
        <v>-476412</v>
      </c>
      <c r="BQ12" s="804">
        <v>-107193</v>
      </c>
      <c r="BR12" s="804">
        <v>-11910</v>
      </c>
      <c r="BS12" s="804">
        <v>-1191029</v>
      </c>
      <c r="BT12" s="804">
        <v>0.5</v>
      </c>
      <c r="BU12" s="804">
        <v>0.4</v>
      </c>
      <c r="BV12" s="804">
        <v>0.09</v>
      </c>
      <c r="BW12" s="804">
        <v>0.01</v>
      </c>
      <c r="BX12" s="804">
        <v>1</v>
      </c>
      <c r="BY12" s="804">
        <v>55231</v>
      </c>
      <c r="BZ12" s="804">
        <v>44185</v>
      </c>
      <c r="CA12" s="804">
        <v>9942</v>
      </c>
      <c r="CB12" s="804">
        <v>1105</v>
      </c>
      <c r="CC12" s="804">
        <v>110463</v>
      </c>
      <c r="CD12" s="804">
        <v>-540283</v>
      </c>
      <c r="CE12" s="804">
        <v>-432227</v>
      </c>
      <c r="CF12" s="804">
        <v>-97251</v>
      </c>
      <c r="CG12" s="804">
        <v>-10805</v>
      </c>
      <c r="CH12" s="804">
        <v>-1080566</v>
      </c>
      <c r="CI12" s="804">
        <v>18650437</v>
      </c>
      <c r="CJ12" s="804">
        <v>15092891</v>
      </c>
      <c r="CK12" s="804">
        <v>3357078</v>
      </c>
      <c r="CL12" s="804">
        <v>373009</v>
      </c>
      <c r="CM12" s="804">
        <v>37473415</v>
      </c>
      <c r="CN12" s="804">
        <v>616304</v>
      </c>
      <c r="CO12" s="804">
        <v>138450</v>
      </c>
      <c r="CP12" s="804">
        <v>15383</v>
      </c>
      <c r="CQ12" s="804">
        <v>770137</v>
      </c>
      <c r="CR12" s="804">
        <v>976734</v>
      </c>
      <c r="CS12" s="804">
        <v>219765</v>
      </c>
      <c r="CT12" s="804">
        <v>24418</v>
      </c>
      <c r="CU12" s="804">
        <v>1220917</v>
      </c>
      <c r="CV12" s="804">
        <v>63533</v>
      </c>
      <c r="CW12" s="804">
        <v>14158</v>
      </c>
      <c r="CX12" s="804">
        <v>1573</v>
      </c>
      <c r="CY12" s="804">
        <v>79264</v>
      </c>
      <c r="CZ12" s="804">
        <v>0</v>
      </c>
      <c r="DA12" s="804">
        <v>0</v>
      </c>
      <c r="DB12" s="804">
        <v>0</v>
      </c>
      <c r="DC12" s="804">
        <v>0</v>
      </c>
      <c r="DD12" s="804">
        <v>0</v>
      </c>
      <c r="DE12" s="804">
        <v>0</v>
      </c>
      <c r="DF12" s="804">
        <v>0</v>
      </c>
      <c r="DG12" s="804">
        <v>0</v>
      </c>
      <c r="DH12" s="804">
        <v>6224</v>
      </c>
      <c r="DI12" s="804">
        <v>1401</v>
      </c>
      <c r="DJ12" s="804">
        <v>156</v>
      </c>
      <c r="DK12" s="804">
        <v>7781</v>
      </c>
      <c r="DL12" s="804">
        <v>2296</v>
      </c>
      <c r="DM12" s="804">
        <v>516</v>
      </c>
      <c r="DN12" s="804">
        <v>57</v>
      </c>
      <c r="DO12" s="804">
        <v>2869</v>
      </c>
      <c r="DP12" s="804">
        <v>0</v>
      </c>
      <c r="DQ12" s="804">
        <v>0</v>
      </c>
      <c r="DR12" s="804">
        <v>0</v>
      </c>
      <c r="DS12" s="804">
        <v>0</v>
      </c>
      <c r="DT12" s="804">
        <v>0</v>
      </c>
      <c r="DU12" s="804">
        <v>0</v>
      </c>
      <c r="DV12" s="804">
        <v>0</v>
      </c>
      <c r="DW12" s="804">
        <v>0</v>
      </c>
      <c r="DX12" s="804">
        <v>196530</v>
      </c>
      <c r="DY12" s="804">
        <v>44219</v>
      </c>
      <c r="DZ12" s="804">
        <v>4913</v>
      </c>
      <c r="EA12" s="804">
        <v>245662</v>
      </c>
      <c r="EB12" s="804">
        <v>1861621</v>
      </c>
      <c r="EC12" s="804">
        <v>418509</v>
      </c>
      <c r="ED12" s="804">
        <v>46500</v>
      </c>
      <c r="EE12" s="804">
        <v>2326630</v>
      </c>
      <c r="EF12" s="604" t="s">
        <v>682</v>
      </c>
      <c r="EG12" s="497" t="s">
        <v>603</v>
      </c>
      <c r="EH12" s="630" t="s">
        <v>602</v>
      </c>
      <c r="EI12" s="118" t="s">
        <v>1665</v>
      </c>
    </row>
    <row r="13" spans="1:139" ht="12.75" x14ac:dyDescent="0.2">
      <c r="A13" s="805">
        <v>6</v>
      </c>
      <c r="B13" s="606" t="s">
        <v>685</v>
      </c>
      <c r="C13" s="607" t="s">
        <v>1185</v>
      </c>
      <c r="D13" s="608" t="s">
        <v>1186</v>
      </c>
      <c r="E13" s="609" t="s">
        <v>684</v>
      </c>
      <c r="F13" s="802">
        <v>53041621</v>
      </c>
      <c r="G13" s="804">
        <v>221779</v>
      </c>
      <c r="H13" s="804">
        <v>0</v>
      </c>
      <c r="I13" s="804">
        <v>191808</v>
      </c>
      <c r="J13" s="804">
        <v>0</v>
      </c>
      <c r="K13" s="804">
        <v>191808</v>
      </c>
      <c r="L13" s="804">
        <v>0</v>
      </c>
      <c r="M13" s="804">
        <v>0</v>
      </c>
      <c r="N13" s="804">
        <v>110785</v>
      </c>
      <c r="O13" s="804">
        <v>110785</v>
      </c>
      <c r="P13" s="804">
        <v>0</v>
      </c>
      <c r="Q13" s="804">
        <v>0</v>
      </c>
      <c r="R13" s="804">
        <v>52960807</v>
      </c>
      <c r="S13" s="804">
        <v>0.5</v>
      </c>
      <c r="T13" s="804">
        <v>0.4</v>
      </c>
      <c r="U13" s="804">
        <v>0.09</v>
      </c>
      <c r="V13" s="804">
        <v>0.01</v>
      </c>
      <c r="W13" s="804">
        <v>1</v>
      </c>
      <c r="X13" s="804">
        <v>26480403</v>
      </c>
      <c r="Y13" s="804">
        <v>21184323</v>
      </c>
      <c r="Z13" s="804">
        <v>4766473</v>
      </c>
      <c r="AA13" s="804">
        <v>529608</v>
      </c>
      <c r="AB13" s="804">
        <v>52960807</v>
      </c>
      <c r="AC13" s="804">
        <v>0</v>
      </c>
      <c r="AD13" s="804">
        <v>0</v>
      </c>
      <c r="AE13" s="804">
        <v>0</v>
      </c>
      <c r="AF13" s="804">
        <v>0</v>
      </c>
      <c r="AG13" s="804">
        <v>0</v>
      </c>
      <c r="AH13" s="804">
        <v>26480403</v>
      </c>
      <c r="AI13" s="804">
        <v>21184323</v>
      </c>
      <c r="AJ13" s="804">
        <v>4766473</v>
      </c>
      <c r="AK13" s="804">
        <v>529608</v>
      </c>
      <c r="AL13" s="804">
        <v>52960807</v>
      </c>
      <c r="AM13" s="804">
        <v>191808</v>
      </c>
      <c r="AN13" s="804">
        <v>191808</v>
      </c>
      <c r="AO13" s="804">
        <v>0</v>
      </c>
      <c r="AP13" s="804">
        <v>0</v>
      </c>
      <c r="AQ13" s="804">
        <v>110785</v>
      </c>
      <c r="AR13" s="804">
        <v>0</v>
      </c>
      <c r="AS13" s="804">
        <v>110785</v>
      </c>
      <c r="AT13" s="804">
        <v>0</v>
      </c>
      <c r="AU13" s="804">
        <v>0</v>
      </c>
      <c r="AV13" s="804">
        <v>0</v>
      </c>
      <c r="AW13" s="804">
        <v>0</v>
      </c>
      <c r="AX13" s="804">
        <v>0</v>
      </c>
      <c r="AY13" s="804">
        <v>0</v>
      </c>
      <c r="AZ13" s="804">
        <v>0</v>
      </c>
      <c r="BA13" s="804">
        <v>0</v>
      </c>
      <c r="BB13" s="804">
        <v>0</v>
      </c>
      <c r="BC13" s="804">
        <v>0</v>
      </c>
      <c r="BD13" s="804">
        <v>0</v>
      </c>
      <c r="BE13" s="804">
        <v>0</v>
      </c>
      <c r="BF13" s="804">
        <v>0</v>
      </c>
      <c r="BG13" s="804">
        <v>0</v>
      </c>
      <c r="BH13" s="804">
        <v>0</v>
      </c>
      <c r="BI13" s="804">
        <v>0</v>
      </c>
      <c r="BJ13" s="804">
        <v>0.5</v>
      </c>
      <c r="BK13" s="804">
        <v>0.4</v>
      </c>
      <c r="BL13" s="804">
        <v>0.09</v>
      </c>
      <c r="BM13" s="804">
        <v>0.01</v>
      </c>
      <c r="BN13" s="804">
        <v>1</v>
      </c>
      <c r="BO13" s="804">
        <v>830704.99999999953</v>
      </c>
      <c r="BP13" s="804">
        <v>664564</v>
      </c>
      <c r="BQ13" s="804">
        <v>149527</v>
      </c>
      <c r="BR13" s="804">
        <v>16614</v>
      </c>
      <c r="BS13" s="804">
        <v>1661409.9999999995</v>
      </c>
      <c r="BT13" s="804">
        <v>0</v>
      </c>
      <c r="BU13" s="804">
        <v>0.4</v>
      </c>
      <c r="BV13" s="804">
        <v>0.59</v>
      </c>
      <c r="BW13" s="804">
        <v>0.01</v>
      </c>
      <c r="BX13" s="804">
        <v>1</v>
      </c>
      <c r="BY13" s="804">
        <v>0</v>
      </c>
      <c r="BZ13" s="804">
        <v>-10352.39000000013</v>
      </c>
      <c r="CA13" s="804">
        <v>-15270</v>
      </c>
      <c r="CB13" s="804">
        <v>-259</v>
      </c>
      <c r="CC13" s="804">
        <v>-25881.39000000013</v>
      </c>
      <c r="CD13" s="804">
        <v>830705</v>
      </c>
      <c r="CE13" s="804">
        <v>654211.60999999987</v>
      </c>
      <c r="CF13" s="804">
        <v>134257</v>
      </c>
      <c r="CG13" s="804">
        <v>16355</v>
      </c>
      <c r="CH13" s="804">
        <v>1635528.6099999994</v>
      </c>
      <c r="CI13" s="804">
        <v>27311108</v>
      </c>
      <c r="CJ13" s="804">
        <v>22141128</v>
      </c>
      <c r="CK13" s="804">
        <v>4900730</v>
      </c>
      <c r="CL13" s="804">
        <v>545963</v>
      </c>
      <c r="CM13" s="804">
        <v>54898929</v>
      </c>
      <c r="CN13" s="804">
        <v>853511</v>
      </c>
      <c r="CO13" s="804">
        <v>191041</v>
      </c>
      <c r="CP13" s="804">
        <v>21227</v>
      </c>
      <c r="CQ13" s="804">
        <v>1065779</v>
      </c>
      <c r="CR13" s="804">
        <v>1451268</v>
      </c>
      <c r="CS13" s="804">
        <v>326535</v>
      </c>
      <c r="CT13" s="804">
        <v>36282</v>
      </c>
      <c r="CU13" s="804">
        <v>1814085</v>
      </c>
      <c r="CV13" s="804">
        <v>84583</v>
      </c>
      <c r="CW13" s="804">
        <v>19031</v>
      </c>
      <c r="CX13" s="804">
        <v>2115</v>
      </c>
      <c r="CY13" s="804">
        <v>105729</v>
      </c>
      <c r="CZ13" s="804">
        <v>8398</v>
      </c>
      <c r="DA13" s="804">
        <v>1889</v>
      </c>
      <c r="DB13" s="804">
        <v>210</v>
      </c>
      <c r="DC13" s="804">
        <v>10497</v>
      </c>
      <c r="DD13" s="804">
        <v>6365</v>
      </c>
      <c r="DE13" s="804">
        <v>1432</v>
      </c>
      <c r="DF13" s="804">
        <v>159</v>
      </c>
      <c r="DG13" s="804">
        <v>7956</v>
      </c>
      <c r="DH13" s="804">
        <v>14210</v>
      </c>
      <c r="DI13" s="804">
        <v>3197</v>
      </c>
      <c r="DJ13" s="804">
        <v>355</v>
      </c>
      <c r="DK13" s="804">
        <v>17762</v>
      </c>
      <c r="DL13" s="804">
        <v>4160</v>
      </c>
      <c r="DM13" s="804">
        <v>936</v>
      </c>
      <c r="DN13" s="804">
        <v>104</v>
      </c>
      <c r="DO13" s="804">
        <v>5200</v>
      </c>
      <c r="DP13" s="804">
        <v>0</v>
      </c>
      <c r="DQ13" s="804">
        <v>0</v>
      </c>
      <c r="DR13" s="804">
        <v>0</v>
      </c>
      <c r="DS13" s="804">
        <v>0</v>
      </c>
      <c r="DT13" s="804">
        <v>0</v>
      </c>
      <c r="DU13" s="804">
        <v>0</v>
      </c>
      <c r="DV13" s="804">
        <v>0</v>
      </c>
      <c r="DW13" s="804">
        <v>0</v>
      </c>
      <c r="DX13" s="804">
        <v>471932</v>
      </c>
      <c r="DY13" s="804">
        <v>106185</v>
      </c>
      <c r="DZ13" s="804">
        <v>11798</v>
      </c>
      <c r="EA13" s="804">
        <v>589915</v>
      </c>
      <c r="EB13" s="804">
        <v>2894427</v>
      </c>
      <c r="EC13" s="804">
        <v>650246</v>
      </c>
      <c r="ED13" s="804">
        <v>72250</v>
      </c>
      <c r="EE13" s="804">
        <v>3616923</v>
      </c>
      <c r="EF13" s="604" t="s">
        <v>684</v>
      </c>
      <c r="EG13" s="497" t="s">
        <v>586</v>
      </c>
      <c r="EH13" s="630" t="s">
        <v>585</v>
      </c>
      <c r="EI13" s="118" t="s">
        <v>1666</v>
      </c>
    </row>
    <row r="14" spans="1:139" ht="12.75" x14ac:dyDescent="0.2">
      <c r="A14" s="805">
        <v>7</v>
      </c>
      <c r="B14" s="606" t="s">
        <v>689</v>
      </c>
      <c r="C14" s="607" t="s">
        <v>1185</v>
      </c>
      <c r="D14" s="608" t="s">
        <v>1189</v>
      </c>
      <c r="E14" s="609" t="s">
        <v>688</v>
      </c>
      <c r="F14" s="802">
        <v>23470911</v>
      </c>
      <c r="G14" s="804">
        <v>0</v>
      </c>
      <c r="H14" s="804">
        <v>46223</v>
      </c>
      <c r="I14" s="804">
        <v>130952</v>
      </c>
      <c r="J14" s="804">
        <v>0</v>
      </c>
      <c r="K14" s="804">
        <v>130952</v>
      </c>
      <c r="L14" s="804">
        <v>0</v>
      </c>
      <c r="M14" s="804">
        <v>456931</v>
      </c>
      <c r="N14" s="804">
        <v>28444</v>
      </c>
      <c r="O14" s="804">
        <v>28346</v>
      </c>
      <c r="P14" s="804">
        <v>97</v>
      </c>
      <c r="Q14" s="804">
        <v>0</v>
      </c>
      <c r="R14" s="804">
        <v>22808361</v>
      </c>
      <c r="S14" s="804">
        <v>0.5</v>
      </c>
      <c r="T14" s="804">
        <v>0.4</v>
      </c>
      <c r="U14" s="804">
        <v>0.1</v>
      </c>
      <c r="V14" s="804">
        <v>0</v>
      </c>
      <c r="W14" s="804">
        <v>1</v>
      </c>
      <c r="X14" s="804">
        <v>11404181</v>
      </c>
      <c r="Y14" s="804">
        <v>9123344</v>
      </c>
      <c r="Z14" s="804">
        <v>2280836</v>
      </c>
      <c r="AA14" s="804">
        <v>0</v>
      </c>
      <c r="AB14" s="804">
        <v>22808361</v>
      </c>
      <c r="AC14" s="804">
        <v>0</v>
      </c>
      <c r="AD14" s="804">
        <v>0</v>
      </c>
      <c r="AE14" s="804">
        <v>0</v>
      </c>
      <c r="AF14" s="804">
        <v>0</v>
      </c>
      <c r="AG14" s="804">
        <v>0</v>
      </c>
      <c r="AH14" s="804">
        <v>11404181</v>
      </c>
      <c r="AI14" s="804">
        <v>9123344</v>
      </c>
      <c r="AJ14" s="804">
        <v>2280836</v>
      </c>
      <c r="AK14" s="804">
        <v>0</v>
      </c>
      <c r="AL14" s="804">
        <v>22808361</v>
      </c>
      <c r="AM14" s="804">
        <v>130952</v>
      </c>
      <c r="AN14" s="804">
        <v>130952</v>
      </c>
      <c r="AO14" s="804">
        <v>456931</v>
      </c>
      <c r="AP14" s="804">
        <v>456931</v>
      </c>
      <c r="AQ14" s="804">
        <v>28346</v>
      </c>
      <c r="AR14" s="804">
        <v>97</v>
      </c>
      <c r="AS14" s="804">
        <v>28444</v>
      </c>
      <c r="AT14" s="804">
        <v>0</v>
      </c>
      <c r="AU14" s="804">
        <v>0</v>
      </c>
      <c r="AV14" s="804">
        <v>0</v>
      </c>
      <c r="AW14" s="804">
        <v>0</v>
      </c>
      <c r="AX14" s="804">
        <v>0</v>
      </c>
      <c r="AY14" s="804">
        <v>0</v>
      </c>
      <c r="AZ14" s="804">
        <v>0</v>
      </c>
      <c r="BA14" s="804">
        <v>0</v>
      </c>
      <c r="BB14" s="804">
        <v>0</v>
      </c>
      <c r="BC14" s="804">
        <v>0</v>
      </c>
      <c r="BD14" s="804">
        <v>0</v>
      </c>
      <c r="BE14" s="804">
        <v>0</v>
      </c>
      <c r="BF14" s="804">
        <v>0</v>
      </c>
      <c r="BG14" s="804">
        <v>0</v>
      </c>
      <c r="BH14" s="804">
        <v>0</v>
      </c>
      <c r="BI14" s="804">
        <v>0</v>
      </c>
      <c r="BJ14" s="804">
        <v>0.5</v>
      </c>
      <c r="BK14" s="804">
        <v>0.4</v>
      </c>
      <c r="BL14" s="804">
        <v>0.1</v>
      </c>
      <c r="BM14" s="804">
        <v>0</v>
      </c>
      <c r="BN14" s="804">
        <v>1</v>
      </c>
      <c r="BO14" s="804">
        <v>-81359.999999999534</v>
      </c>
      <c r="BP14" s="804">
        <v>-65088</v>
      </c>
      <c r="BQ14" s="804">
        <v>-16272</v>
      </c>
      <c r="BR14" s="804">
        <v>0</v>
      </c>
      <c r="BS14" s="804">
        <v>-162719.99999999953</v>
      </c>
      <c r="BT14" s="804">
        <v>0</v>
      </c>
      <c r="BU14" s="804">
        <v>0.8</v>
      </c>
      <c r="BV14" s="804">
        <v>0.2</v>
      </c>
      <c r="BW14" s="804">
        <v>0</v>
      </c>
      <c r="BX14" s="804">
        <v>1</v>
      </c>
      <c r="BY14" s="804">
        <v>-5.999999912455678E-2</v>
      </c>
      <c r="BZ14" s="804">
        <v>149786</v>
      </c>
      <c r="CA14" s="804">
        <v>37447</v>
      </c>
      <c r="CB14" s="804">
        <v>0</v>
      </c>
      <c r="CC14" s="804">
        <v>187232.94000000088</v>
      </c>
      <c r="CD14" s="804">
        <v>-81360</v>
      </c>
      <c r="CE14" s="804">
        <v>84698</v>
      </c>
      <c r="CF14" s="804">
        <v>21175</v>
      </c>
      <c r="CG14" s="804">
        <v>0</v>
      </c>
      <c r="CH14" s="804">
        <v>24512.940000001341</v>
      </c>
      <c r="CI14" s="804">
        <v>11322821</v>
      </c>
      <c r="CJ14" s="804">
        <v>9824271</v>
      </c>
      <c r="CK14" s="804">
        <v>2302108</v>
      </c>
      <c r="CL14" s="804">
        <v>0</v>
      </c>
      <c r="CM14" s="804">
        <v>23449201</v>
      </c>
      <c r="CN14" s="804">
        <v>385115</v>
      </c>
      <c r="CO14" s="804">
        <v>91420</v>
      </c>
      <c r="CP14" s="804">
        <v>0</v>
      </c>
      <c r="CQ14" s="804">
        <v>476535</v>
      </c>
      <c r="CR14" s="804">
        <v>1129161</v>
      </c>
      <c r="CS14" s="804">
        <v>282157</v>
      </c>
      <c r="CT14" s="804">
        <v>0</v>
      </c>
      <c r="CU14" s="804">
        <v>1411318</v>
      </c>
      <c r="CV14" s="804">
        <v>62100</v>
      </c>
      <c r="CW14" s="804">
        <v>15525</v>
      </c>
      <c r="CX14" s="804">
        <v>0</v>
      </c>
      <c r="CY14" s="804">
        <v>77625</v>
      </c>
      <c r="CZ14" s="804">
        <v>3259</v>
      </c>
      <c r="DA14" s="804">
        <v>815</v>
      </c>
      <c r="DB14" s="804">
        <v>0</v>
      </c>
      <c r="DC14" s="804">
        <v>4074</v>
      </c>
      <c r="DD14" s="804">
        <v>32134</v>
      </c>
      <c r="DE14" s="804">
        <v>8033</v>
      </c>
      <c r="DF14" s="804">
        <v>0</v>
      </c>
      <c r="DG14" s="804">
        <v>40167</v>
      </c>
      <c r="DH14" s="804">
        <v>14466</v>
      </c>
      <c r="DI14" s="804">
        <v>3616</v>
      </c>
      <c r="DJ14" s="804">
        <v>0</v>
      </c>
      <c r="DK14" s="804">
        <v>18082</v>
      </c>
      <c r="DL14" s="804">
        <v>2080</v>
      </c>
      <c r="DM14" s="804">
        <v>520</v>
      </c>
      <c r="DN14" s="804">
        <v>0</v>
      </c>
      <c r="DO14" s="804">
        <v>2600</v>
      </c>
      <c r="DP14" s="804">
        <v>0</v>
      </c>
      <c r="DQ14" s="804">
        <v>0</v>
      </c>
      <c r="DR14" s="804">
        <v>0</v>
      </c>
      <c r="DS14" s="804">
        <v>0</v>
      </c>
      <c r="DT14" s="804">
        <v>0</v>
      </c>
      <c r="DU14" s="804">
        <v>0</v>
      </c>
      <c r="DV14" s="804">
        <v>0</v>
      </c>
      <c r="DW14" s="804">
        <v>0</v>
      </c>
      <c r="DX14" s="804">
        <v>237289</v>
      </c>
      <c r="DY14" s="804">
        <v>59322</v>
      </c>
      <c r="DZ14" s="804">
        <v>0</v>
      </c>
      <c r="EA14" s="804">
        <v>296611</v>
      </c>
      <c r="EB14" s="804">
        <v>1865604</v>
      </c>
      <c r="EC14" s="804">
        <v>461408</v>
      </c>
      <c r="ED14" s="804">
        <v>0</v>
      </c>
      <c r="EE14" s="804">
        <v>2327012</v>
      </c>
      <c r="EF14" s="604" t="s">
        <v>688</v>
      </c>
      <c r="EG14" s="497" t="s">
        <v>610</v>
      </c>
      <c r="EH14" s="630" t="s">
        <v>551</v>
      </c>
      <c r="EI14" s="118" t="s">
        <v>1667</v>
      </c>
    </row>
    <row r="15" spans="1:139" ht="12.75" x14ac:dyDescent="0.2">
      <c r="A15" s="805">
        <v>8</v>
      </c>
      <c r="B15" s="606" t="s">
        <v>691</v>
      </c>
      <c r="C15" s="607" t="s">
        <v>1190</v>
      </c>
      <c r="D15" s="608" t="s">
        <v>1191</v>
      </c>
      <c r="E15" s="609" t="s">
        <v>690</v>
      </c>
      <c r="F15" s="802">
        <v>64782856</v>
      </c>
      <c r="G15" s="804">
        <v>58792</v>
      </c>
      <c r="H15" s="804">
        <v>0</v>
      </c>
      <c r="I15" s="804">
        <v>199469</v>
      </c>
      <c r="J15" s="804">
        <v>0</v>
      </c>
      <c r="K15" s="804">
        <v>199469</v>
      </c>
      <c r="L15" s="804">
        <v>0</v>
      </c>
      <c r="M15" s="804">
        <v>0</v>
      </c>
      <c r="N15" s="804">
        <v>0</v>
      </c>
      <c r="O15" s="804">
        <v>0</v>
      </c>
      <c r="P15" s="804">
        <v>0</v>
      </c>
      <c r="Q15" s="804">
        <v>0</v>
      </c>
      <c r="R15" s="804">
        <v>64642179</v>
      </c>
      <c r="S15" s="804">
        <v>0.33</v>
      </c>
      <c r="T15" s="804">
        <v>0.3</v>
      </c>
      <c r="U15" s="804">
        <v>0.37</v>
      </c>
      <c r="V15" s="804">
        <v>0</v>
      </c>
      <c r="W15" s="804">
        <v>1</v>
      </c>
      <c r="X15" s="804">
        <v>21331919</v>
      </c>
      <c r="Y15" s="804">
        <v>19392654</v>
      </c>
      <c r="Z15" s="804">
        <v>23917606</v>
      </c>
      <c r="AA15" s="804">
        <v>0</v>
      </c>
      <c r="AB15" s="804">
        <v>64642179</v>
      </c>
      <c r="AC15" s="804">
        <v>0</v>
      </c>
      <c r="AD15" s="804">
        <v>0</v>
      </c>
      <c r="AE15" s="804">
        <v>0</v>
      </c>
      <c r="AF15" s="804">
        <v>0</v>
      </c>
      <c r="AG15" s="804">
        <v>0</v>
      </c>
      <c r="AH15" s="804">
        <v>21331919</v>
      </c>
      <c r="AI15" s="804">
        <v>19392654</v>
      </c>
      <c r="AJ15" s="804">
        <v>23917606</v>
      </c>
      <c r="AK15" s="804">
        <v>0</v>
      </c>
      <c r="AL15" s="804">
        <v>64642179</v>
      </c>
      <c r="AM15" s="804">
        <v>199469</v>
      </c>
      <c r="AN15" s="804">
        <v>199469</v>
      </c>
      <c r="AO15" s="804">
        <v>0</v>
      </c>
      <c r="AP15" s="804">
        <v>0</v>
      </c>
      <c r="AQ15" s="804">
        <v>0</v>
      </c>
      <c r="AR15" s="804">
        <v>0</v>
      </c>
      <c r="AS15" s="804">
        <v>0</v>
      </c>
      <c r="AT15" s="804">
        <v>0</v>
      </c>
      <c r="AU15" s="804">
        <v>0</v>
      </c>
      <c r="AV15" s="804">
        <v>0</v>
      </c>
      <c r="AW15" s="804">
        <v>0</v>
      </c>
      <c r="AX15" s="804">
        <v>0</v>
      </c>
      <c r="AY15" s="804">
        <v>0</v>
      </c>
      <c r="AZ15" s="804">
        <v>0</v>
      </c>
      <c r="BA15" s="804">
        <v>0</v>
      </c>
      <c r="BB15" s="804">
        <v>0</v>
      </c>
      <c r="BC15" s="804">
        <v>0</v>
      </c>
      <c r="BD15" s="804">
        <v>0</v>
      </c>
      <c r="BE15" s="804">
        <v>0</v>
      </c>
      <c r="BF15" s="804">
        <v>0</v>
      </c>
      <c r="BG15" s="804">
        <v>0</v>
      </c>
      <c r="BH15" s="804">
        <v>0</v>
      </c>
      <c r="BI15" s="804">
        <v>0</v>
      </c>
      <c r="BJ15" s="804">
        <v>0.25</v>
      </c>
      <c r="BK15" s="804">
        <v>0.48</v>
      </c>
      <c r="BL15" s="804">
        <v>0.27</v>
      </c>
      <c r="BM15" s="804">
        <v>0</v>
      </c>
      <c r="BN15" s="804">
        <v>1</v>
      </c>
      <c r="BO15" s="804">
        <v>-105891</v>
      </c>
      <c r="BP15" s="804">
        <v>-203310</v>
      </c>
      <c r="BQ15" s="804">
        <v>-114362</v>
      </c>
      <c r="BR15" s="804">
        <v>0</v>
      </c>
      <c r="BS15" s="804">
        <v>-423563</v>
      </c>
      <c r="BT15" s="804">
        <v>0</v>
      </c>
      <c r="BU15" s="804">
        <v>0.64</v>
      </c>
      <c r="BV15" s="804">
        <v>0.36</v>
      </c>
      <c r="BW15" s="804">
        <v>0</v>
      </c>
      <c r="BX15" s="804">
        <v>1</v>
      </c>
      <c r="BY15" s="804">
        <v>0.5</v>
      </c>
      <c r="BZ15" s="804">
        <v>2148466</v>
      </c>
      <c r="CA15" s="804">
        <v>1208512</v>
      </c>
      <c r="CB15" s="804">
        <v>0</v>
      </c>
      <c r="CC15" s="804">
        <v>3356978.5</v>
      </c>
      <c r="CD15" s="804">
        <v>-105891</v>
      </c>
      <c r="CE15" s="804">
        <v>1945156</v>
      </c>
      <c r="CF15" s="804">
        <v>1094150</v>
      </c>
      <c r="CG15" s="804">
        <v>0</v>
      </c>
      <c r="CH15" s="804">
        <v>2933415.5</v>
      </c>
      <c r="CI15" s="804">
        <v>21226028</v>
      </c>
      <c r="CJ15" s="804">
        <v>21537279</v>
      </c>
      <c r="CK15" s="804">
        <v>25011756</v>
      </c>
      <c r="CL15" s="804">
        <v>0</v>
      </c>
      <c r="CM15" s="804">
        <v>67775064</v>
      </c>
      <c r="CN15" s="804">
        <v>777261</v>
      </c>
      <c r="CO15" s="804">
        <v>958621</v>
      </c>
      <c r="CP15" s="804">
        <v>0</v>
      </c>
      <c r="CQ15" s="804">
        <v>1735882</v>
      </c>
      <c r="CR15" s="804">
        <v>1306966</v>
      </c>
      <c r="CS15" s="804">
        <v>1611925</v>
      </c>
      <c r="CT15" s="804">
        <v>0</v>
      </c>
      <c r="CU15" s="804">
        <v>2918891</v>
      </c>
      <c r="CV15" s="804">
        <v>0</v>
      </c>
      <c r="CW15" s="804">
        <v>0</v>
      </c>
      <c r="CX15" s="804">
        <v>0</v>
      </c>
      <c r="CY15" s="804">
        <v>0</v>
      </c>
      <c r="CZ15" s="804">
        <v>5614</v>
      </c>
      <c r="DA15" s="804">
        <v>6924</v>
      </c>
      <c r="DB15" s="804">
        <v>0</v>
      </c>
      <c r="DC15" s="804">
        <v>12538</v>
      </c>
      <c r="DD15" s="804">
        <v>0</v>
      </c>
      <c r="DE15" s="804">
        <v>0</v>
      </c>
      <c r="DF15" s="804">
        <v>0</v>
      </c>
      <c r="DG15" s="804">
        <v>0</v>
      </c>
      <c r="DH15" s="804">
        <v>6126</v>
      </c>
      <c r="DI15" s="804">
        <v>7555</v>
      </c>
      <c r="DJ15" s="804">
        <v>0</v>
      </c>
      <c r="DK15" s="804">
        <v>13681</v>
      </c>
      <c r="DL15" s="804">
        <v>4681</v>
      </c>
      <c r="DM15" s="804">
        <v>5772</v>
      </c>
      <c r="DN15" s="804">
        <v>0</v>
      </c>
      <c r="DO15" s="804">
        <v>10453</v>
      </c>
      <c r="DP15" s="804">
        <v>0</v>
      </c>
      <c r="DQ15" s="804">
        <v>0</v>
      </c>
      <c r="DR15" s="804">
        <v>0</v>
      </c>
      <c r="DS15" s="804">
        <v>0</v>
      </c>
      <c r="DT15" s="804">
        <v>0</v>
      </c>
      <c r="DU15" s="804">
        <v>0</v>
      </c>
      <c r="DV15" s="804">
        <v>0</v>
      </c>
      <c r="DW15" s="804">
        <v>0</v>
      </c>
      <c r="DX15" s="804">
        <v>387557</v>
      </c>
      <c r="DY15" s="804">
        <v>477987</v>
      </c>
      <c r="DZ15" s="804">
        <v>0</v>
      </c>
      <c r="EA15" s="804">
        <v>865544</v>
      </c>
      <c r="EB15" s="804">
        <v>2488205</v>
      </c>
      <c r="EC15" s="804">
        <v>3068784</v>
      </c>
      <c r="ED15" s="804">
        <v>0</v>
      </c>
      <c r="EE15" s="804">
        <v>5556989</v>
      </c>
      <c r="EF15" s="604" t="s">
        <v>690</v>
      </c>
      <c r="EG15" s="497" t="s">
        <v>623</v>
      </c>
      <c r="EH15" s="243" t="s">
        <v>523</v>
      </c>
      <c r="EI15" s="118" t="s">
        <v>1668</v>
      </c>
    </row>
    <row r="16" spans="1:139" ht="12.75" x14ac:dyDescent="0.2">
      <c r="A16" s="805">
        <v>9</v>
      </c>
      <c r="B16" s="606" t="s">
        <v>693</v>
      </c>
      <c r="C16" s="607" t="s">
        <v>1190</v>
      </c>
      <c r="D16" s="608" t="s">
        <v>1191</v>
      </c>
      <c r="E16" s="609" t="s">
        <v>692</v>
      </c>
      <c r="F16" s="802">
        <v>109917632</v>
      </c>
      <c r="G16" s="804">
        <v>329613</v>
      </c>
      <c r="H16" s="804">
        <v>0</v>
      </c>
      <c r="I16" s="804">
        <v>395432</v>
      </c>
      <c r="J16" s="804">
        <v>0</v>
      </c>
      <c r="K16" s="804">
        <v>395432</v>
      </c>
      <c r="L16" s="804">
        <v>0</v>
      </c>
      <c r="M16" s="804">
        <v>0</v>
      </c>
      <c r="N16" s="804">
        <v>0</v>
      </c>
      <c r="O16" s="804">
        <v>0</v>
      </c>
      <c r="P16" s="804">
        <v>0</v>
      </c>
      <c r="Q16" s="804">
        <v>0</v>
      </c>
      <c r="R16" s="804">
        <v>109851813</v>
      </c>
      <c r="S16" s="804">
        <v>0.33</v>
      </c>
      <c r="T16" s="804">
        <v>0.3</v>
      </c>
      <c r="U16" s="804">
        <v>0.37</v>
      </c>
      <c r="V16" s="804">
        <v>0</v>
      </c>
      <c r="W16" s="804">
        <v>1</v>
      </c>
      <c r="X16" s="804">
        <v>36251098</v>
      </c>
      <c r="Y16" s="804">
        <v>32955544</v>
      </c>
      <c r="Z16" s="804">
        <v>40645171</v>
      </c>
      <c r="AA16" s="804">
        <v>0</v>
      </c>
      <c r="AB16" s="804">
        <v>109851813</v>
      </c>
      <c r="AC16" s="804">
        <v>0</v>
      </c>
      <c r="AD16" s="804">
        <v>0</v>
      </c>
      <c r="AE16" s="804">
        <v>0</v>
      </c>
      <c r="AF16" s="804">
        <v>0</v>
      </c>
      <c r="AG16" s="804">
        <v>0</v>
      </c>
      <c r="AH16" s="804">
        <v>36251098</v>
      </c>
      <c r="AI16" s="804">
        <v>32955544</v>
      </c>
      <c r="AJ16" s="804">
        <v>40645171</v>
      </c>
      <c r="AK16" s="804">
        <v>0</v>
      </c>
      <c r="AL16" s="804">
        <v>109851813</v>
      </c>
      <c r="AM16" s="804">
        <v>395432</v>
      </c>
      <c r="AN16" s="804">
        <v>395432</v>
      </c>
      <c r="AO16" s="804">
        <v>0</v>
      </c>
      <c r="AP16" s="804">
        <v>0</v>
      </c>
      <c r="AQ16" s="804">
        <v>0</v>
      </c>
      <c r="AR16" s="804">
        <v>0</v>
      </c>
      <c r="AS16" s="804">
        <v>0</v>
      </c>
      <c r="AT16" s="804">
        <v>0</v>
      </c>
      <c r="AU16" s="804">
        <v>0</v>
      </c>
      <c r="AV16" s="804">
        <v>0</v>
      </c>
      <c r="AW16" s="804">
        <v>0</v>
      </c>
      <c r="AX16" s="804">
        <v>0</v>
      </c>
      <c r="AY16" s="804">
        <v>0</v>
      </c>
      <c r="AZ16" s="804">
        <v>0</v>
      </c>
      <c r="BA16" s="804">
        <v>0</v>
      </c>
      <c r="BB16" s="804">
        <v>0</v>
      </c>
      <c r="BC16" s="804">
        <v>0</v>
      </c>
      <c r="BD16" s="804">
        <v>0</v>
      </c>
      <c r="BE16" s="804">
        <v>0</v>
      </c>
      <c r="BF16" s="804">
        <v>0</v>
      </c>
      <c r="BG16" s="804">
        <v>0</v>
      </c>
      <c r="BH16" s="804">
        <v>0</v>
      </c>
      <c r="BI16" s="804">
        <v>0</v>
      </c>
      <c r="BJ16" s="804">
        <v>0.25</v>
      </c>
      <c r="BK16" s="804">
        <v>0.48</v>
      </c>
      <c r="BL16" s="804">
        <v>0.27</v>
      </c>
      <c r="BM16" s="804">
        <v>0</v>
      </c>
      <c r="BN16" s="804">
        <v>1</v>
      </c>
      <c r="BO16" s="804">
        <v>272402</v>
      </c>
      <c r="BP16" s="804">
        <v>523011</v>
      </c>
      <c r="BQ16" s="804">
        <v>294194</v>
      </c>
      <c r="BR16" s="804">
        <v>0</v>
      </c>
      <c r="BS16" s="804">
        <v>1089607</v>
      </c>
      <c r="BT16" s="804">
        <v>0</v>
      </c>
      <c r="BU16" s="804">
        <v>0.64</v>
      </c>
      <c r="BV16" s="804">
        <v>0.36</v>
      </c>
      <c r="BW16" s="804">
        <v>0</v>
      </c>
      <c r="BX16" s="804">
        <v>1</v>
      </c>
      <c r="BY16" s="804">
        <v>0</v>
      </c>
      <c r="BZ16" s="804">
        <v>-207563</v>
      </c>
      <c r="CA16" s="804">
        <v>-116754</v>
      </c>
      <c r="CB16" s="804">
        <v>0</v>
      </c>
      <c r="CC16" s="804">
        <v>-324317</v>
      </c>
      <c r="CD16" s="804">
        <v>272402</v>
      </c>
      <c r="CE16" s="804">
        <v>315448</v>
      </c>
      <c r="CF16" s="804">
        <v>177440</v>
      </c>
      <c r="CG16" s="804">
        <v>0</v>
      </c>
      <c r="CH16" s="804">
        <v>765290</v>
      </c>
      <c r="CI16" s="804">
        <v>36523500</v>
      </c>
      <c r="CJ16" s="804">
        <v>33666424</v>
      </c>
      <c r="CK16" s="804">
        <v>40822611</v>
      </c>
      <c r="CL16" s="804">
        <v>0</v>
      </c>
      <c r="CM16" s="804">
        <v>111012535</v>
      </c>
      <c r="CN16" s="804">
        <v>1320863</v>
      </c>
      <c r="CO16" s="804">
        <v>1629065</v>
      </c>
      <c r="CP16" s="804">
        <v>0</v>
      </c>
      <c r="CQ16" s="804">
        <v>2949928</v>
      </c>
      <c r="CR16" s="804">
        <v>2000232</v>
      </c>
      <c r="CS16" s="804">
        <v>2461350</v>
      </c>
      <c r="CT16" s="804">
        <v>0</v>
      </c>
      <c r="CU16" s="804">
        <v>4461582</v>
      </c>
      <c r="CV16" s="804">
        <v>149838</v>
      </c>
      <c r="CW16" s="804">
        <v>178159</v>
      </c>
      <c r="CX16" s="804">
        <v>0</v>
      </c>
      <c r="CY16" s="804">
        <v>327997</v>
      </c>
      <c r="CZ16" s="804">
        <v>0</v>
      </c>
      <c r="DA16" s="804">
        <v>0</v>
      </c>
      <c r="DB16" s="804">
        <v>0</v>
      </c>
      <c r="DC16" s="804">
        <v>0</v>
      </c>
      <c r="DD16" s="804">
        <v>0</v>
      </c>
      <c r="DE16" s="804">
        <v>0</v>
      </c>
      <c r="DF16" s="804">
        <v>0</v>
      </c>
      <c r="DG16" s="804">
        <v>0</v>
      </c>
      <c r="DH16" s="804">
        <v>41535</v>
      </c>
      <c r="DI16" s="804">
        <v>51227</v>
      </c>
      <c r="DJ16" s="804">
        <v>0</v>
      </c>
      <c r="DK16" s="804">
        <v>92762</v>
      </c>
      <c r="DL16" s="804">
        <v>12335</v>
      </c>
      <c r="DM16" s="804">
        <v>15214</v>
      </c>
      <c r="DN16" s="804">
        <v>0</v>
      </c>
      <c r="DO16" s="804">
        <v>27549</v>
      </c>
      <c r="DP16" s="804">
        <v>0</v>
      </c>
      <c r="DQ16" s="804">
        <v>0</v>
      </c>
      <c r="DR16" s="804">
        <v>0</v>
      </c>
      <c r="DS16" s="804">
        <v>0</v>
      </c>
      <c r="DT16" s="804">
        <v>0</v>
      </c>
      <c r="DU16" s="804">
        <v>0</v>
      </c>
      <c r="DV16" s="804">
        <v>0</v>
      </c>
      <c r="DW16" s="804">
        <v>0</v>
      </c>
      <c r="DX16" s="804">
        <v>2096964</v>
      </c>
      <c r="DY16" s="804">
        <v>2509608</v>
      </c>
      <c r="DZ16" s="804">
        <v>0</v>
      </c>
      <c r="EA16" s="804">
        <v>4606572</v>
      </c>
      <c r="EB16" s="804">
        <v>5621767</v>
      </c>
      <c r="EC16" s="804">
        <v>6844623</v>
      </c>
      <c r="ED16" s="804">
        <v>0</v>
      </c>
      <c r="EE16" s="804">
        <v>12466390</v>
      </c>
      <c r="EF16" s="604" t="s">
        <v>692</v>
      </c>
      <c r="EG16" s="497" t="s">
        <v>623</v>
      </c>
      <c r="EH16" s="243" t="s">
        <v>523</v>
      </c>
      <c r="EI16" s="118" t="s">
        <v>1669</v>
      </c>
    </row>
    <row r="17" spans="1:139" ht="12.75" x14ac:dyDescent="0.2">
      <c r="A17" s="805">
        <v>10</v>
      </c>
      <c r="B17" s="606" t="s">
        <v>695</v>
      </c>
      <c r="C17" s="607" t="s">
        <v>1192</v>
      </c>
      <c r="D17" s="608" t="s">
        <v>1193</v>
      </c>
      <c r="E17" s="609" t="s">
        <v>694</v>
      </c>
      <c r="F17" s="802">
        <v>50033456</v>
      </c>
      <c r="G17" s="804">
        <v>0</v>
      </c>
      <c r="H17" s="804">
        <v>897942</v>
      </c>
      <c r="I17" s="804">
        <v>314763</v>
      </c>
      <c r="J17" s="804">
        <v>0</v>
      </c>
      <c r="K17" s="804">
        <v>314763</v>
      </c>
      <c r="L17" s="804">
        <v>0</v>
      </c>
      <c r="M17" s="804">
        <v>681366</v>
      </c>
      <c r="N17" s="804">
        <v>50176</v>
      </c>
      <c r="O17" s="804">
        <v>50176</v>
      </c>
      <c r="P17" s="804">
        <v>0</v>
      </c>
      <c r="Q17" s="804">
        <v>0</v>
      </c>
      <c r="R17" s="804">
        <v>48089209</v>
      </c>
      <c r="S17" s="804">
        <v>0.5</v>
      </c>
      <c r="T17" s="804">
        <v>0.49</v>
      </c>
      <c r="U17" s="804">
        <v>0</v>
      </c>
      <c r="V17" s="804">
        <v>0.01</v>
      </c>
      <c r="W17" s="804">
        <v>1</v>
      </c>
      <c r="X17" s="804">
        <v>24044605</v>
      </c>
      <c r="Y17" s="804">
        <v>23563712</v>
      </c>
      <c r="Z17" s="804">
        <v>0</v>
      </c>
      <c r="AA17" s="804">
        <v>480892</v>
      </c>
      <c r="AB17" s="804">
        <v>48089209</v>
      </c>
      <c r="AC17" s="804">
        <v>129306</v>
      </c>
      <c r="AD17" s="804">
        <v>0</v>
      </c>
      <c r="AE17" s="804">
        <v>0</v>
      </c>
      <c r="AF17" s="804">
        <v>0</v>
      </c>
      <c r="AG17" s="804">
        <v>129306</v>
      </c>
      <c r="AH17" s="804">
        <v>23915299</v>
      </c>
      <c r="AI17" s="804">
        <v>23563712</v>
      </c>
      <c r="AJ17" s="804">
        <v>0</v>
      </c>
      <c r="AK17" s="804">
        <v>480892</v>
      </c>
      <c r="AL17" s="804">
        <v>47959903</v>
      </c>
      <c r="AM17" s="804">
        <v>314763</v>
      </c>
      <c r="AN17" s="804">
        <v>314763</v>
      </c>
      <c r="AO17" s="804">
        <v>681366</v>
      </c>
      <c r="AP17" s="804">
        <v>681366</v>
      </c>
      <c r="AQ17" s="804">
        <v>50176</v>
      </c>
      <c r="AR17" s="804">
        <v>0</v>
      </c>
      <c r="AS17" s="804">
        <v>50176</v>
      </c>
      <c r="AT17" s="804">
        <v>0</v>
      </c>
      <c r="AU17" s="804">
        <v>0</v>
      </c>
      <c r="AV17" s="804">
        <v>0</v>
      </c>
      <c r="AW17" s="804">
        <v>0</v>
      </c>
      <c r="AX17" s="804">
        <v>129306</v>
      </c>
      <c r="AY17" s="804">
        <v>0</v>
      </c>
      <c r="AZ17" s="804">
        <v>0</v>
      </c>
      <c r="BA17" s="804">
        <v>129306</v>
      </c>
      <c r="BB17" s="804">
        <v>0</v>
      </c>
      <c r="BC17" s="804">
        <v>0</v>
      </c>
      <c r="BD17" s="804">
        <v>0</v>
      </c>
      <c r="BE17" s="804">
        <v>0</v>
      </c>
      <c r="BF17" s="804">
        <v>0</v>
      </c>
      <c r="BG17" s="804">
        <v>0</v>
      </c>
      <c r="BH17" s="804">
        <v>0</v>
      </c>
      <c r="BI17" s="804">
        <v>0</v>
      </c>
      <c r="BJ17" s="804">
        <v>0.5</v>
      </c>
      <c r="BK17" s="804">
        <v>0.49</v>
      </c>
      <c r="BL17" s="804">
        <v>0</v>
      </c>
      <c r="BM17" s="804">
        <v>0.01</v>
      </c>
      <c r="BN17" s="804">
        <v>1</v>
      </c>
      <c r="BO17" s="804">
        <v>501830.0000000014</v>
      </c>
      <c r="BP17" s="804">
        <v>491793</v>
      </c>
      <c r="BQ17" s="804">
        <v>0</v>
      </c>
      <c r="BR17" s="804">
        <v>10037</v>
      </c>
      <c r="BS17" s="804">
        <v>1003660.0000000014</v>
      </c>
      <c r="BT17" s="804">
        <v>0.5</v>
      </c>
      <c r="BU17" s="804">
        <v>0.49</v>
      </c>
      <c r="BV17" s="804">
        <v>0</v>
      </c>
      <c r="BW17" s="804">
        <v>0.01</v>
      </c>
      <c r="BX17" s="804">
        <v>1</v>
      </c>
      <c r="BY17" s="804">
        <v>276896.10000000009</v>
      </c>
      <c r="BZ17" s="804">
        <v>271358</v>
      </c>
      <c r="CA17" s="804">
        <v>0</v>
      </c>
      <c r="CB17" s="804">
        <v>5538</v>
      </c>
      <c r="CC17" s="804">
        <v>553792.10000000009</v>
      </c>
      <c r="CD17" s="804">
        <v>778725</v>
      </c>
      <c r="CE17" s="804">
        <v>763152</v>
      </c>
      <c r="CF17" s="804">
        <v>0</v>
      </c>
      <c r="CG17" s="804">
        <v>15575</v>
      </c>
      <c r="CH17" s="804">
        <v>1557452.1000000015</v>
      </c>
      <c r="CI17" s="804">
        <v>24694024</v>
      </c>
      <c r="CJ17" s="804">
        <v>25502475</v>
      </c>
      <c r="CK17" s="804">
        <v>0</v>
      </c>
      <c r="CL17" s="804">
        <v>496467</v>
      </c>
      <c r="CM17" s="804">
        <v>50692966</v>
      </c>
      <c r="CN17" s="804">
        <v>978940</v>
      </c>
      <c r="CO17" s="804">
        <v>0</v>
      </c>
      <c r="CP17" s="804">
        <v>19274</v>
      </c>
      <c r="CQ17" s="804">
        <v>998214</v>
      </c>
      <c r="CR17" s="804">
        <v>2707012</v>
      </c>
      <c r="CS17" s="804">
        <v>0</v>
      </c>
      <c r="CT17" s="804">
        <v>55245</v>
      </c>
      <c r="CU17" s="804">
        <v>2762257</v>
      </c>
      <c r="CV17" s="804">
        <v>127379</v>
      </c>
      <c r="CW17" s="804">
        <v>0</v>
      </c>
      <c r="CX17" s="804">
        <v>2525</v>
      </c>
      <c r="CY17" s="804">
        <v>129904</v>
      </c>
      <c r="CZ17" s="804">
        <v>0</v>
      </c>
      <c r="DA17" s="804">
        <v>0</v>
      </c>
      <c r="DB17" s="804">
        <v>0</v>
      </c>
      <c r="DC17" s="804">
        <v>0</v>
      </c>
      <c r="DD17" s="804">
        <v>949</v>
      </c>
      <c r="DE17" s="804">
        <v>0</v>
      </c>
      <c r="DF17" s="804">
        <v>19</v>
      </c>
      <c r="DG17" s="804">
        <v>968</v>
      </c>
      <c r="DH17" s="804">
        <v>11507</v>
      </c>
      <c r="DI17" s="804">
        <v>0</v>
      </c>
      <c r="DJ17" s="804">
        <v>235</v>
      </c>
      <c r="DK17" s="804">
        <v>11742</v>
      </c>
      <c r="DL17" s="804">
        <v>4024</v>
      </c>
      <c r="DM17" s="804">
        <v>0</v>
      </c>
      <c r="DN17" s="804">
        <v>82</v>
      </c>
      <c r="DO17" s="804">
        <v>4106</v>
      </c>
      <c r="DP17" s="804">
        <v>0</v>
      </c>
      <c r="DQ17" s="804">
        <v>0</v>
      </c>
      <c r="DR17" s="804">
        <v>0</v>
      </c>
      <c r="DS17" s="804">
        <v>0</v>
      </c>
      <c r="DT17" s="804">
        <v>0</v>
      </c>
      <c r="DU17" s="804">
        <v>0</v>
      </c>
      <c r="DV17" s="804">
        <v>0</v>
      </c>
      <c r="DW17" s="804">
        <v>0</v>
      </c>
      <c r="DX17" s="804">
        <v>543067</v>
      </c>
      <c r="DY17" s="804">
        <v>0</v>
      </c>
      <c r="DZ17" s="804">
        <v>11083</v>
      </c>
      <c r="EA17" s="804">
        <v>554150</v>
      </c>
      <c r="EB17" s="804">
        <v>4372878</v>
      </c>
      <c r="EC17" s="804">
        <v>0</v>
      </c>
      <c r="ED17" s="804">
        <v>88463</v>
      </c>
      <c r="EE17" s="804">
        <v>4461341</v>
      </c>
      <c r="EF17" s="604" t="s">
        <v>694</v>
      </c>
      <c r="EG17" s="497" t="s">
        <v>616</v>
      </c>
      <c r="EH17" s="630" t="s">
        <v>619</v>
      </c>
      <c r="EI17" s="118" t="s">
        <v>1670</v>
      </c>
    </row>
    <row r="18" spans="1:139" ht="12.75" x14ac:dyDescent="0.2">
      <c r="A18" s="805">
        <v>11</v>
      </c>
      <c r="B18" s="606" t="s">
        <v>697</v>
      </c>
      <c r="C18" s="607" t="s">
        <v>1185</v>
      </c>
      <c r="D18" s="608" t="s">
        <v>1187</v>
      </c>
      <c r="E18" s="609" t="s">
        <v>696</v>
      </c>
      <c r="F18" s="802">
        <v>22649651</v>
      </c>
      <c r="G18" s="804">
        <v>0</v>
      </c>
      <c r="H18" s="804">
        <v>720016</v>
      </c>
      <c r="I18" s="804">
        <v>90352</v>
      </c>
      <c r="J18" s="804">
        <v>0</v>
      </c>
      <c r="K18" s="804">
        <v>90352</v>
      </c>
      <c r="L18" s="804">
        <v>0</v>
      </c>
      <c r="M18" s="804">
        <v>0</v>
      </c>
      <c r="N18" s="804">
        <v>162485</v>
      </c>
      <c r="O18" s="804">
        <v>162485</v>
      </c>
      <c r="P18" s="804">
        <v>0</v>
      </c>
      <c r="Q18" s="804">
        <v>0</v>
      </c>
      <c r="R18" s="804">
        <v>21676798</v>
      </c>
      <c r="S18" s="804">
        <v>0.5</v>
      </c>
      <c r="T18" s="804">
        <v>0.4</v>
      </c>
      <c r="U18" s="804">
        <v>0.1</v>
      </c>
      <c r="V18" s="804">
        <v>0</v>
      </c>
      <c r="W18" s="804">
        <v>1</v>
      </c>
      <c r="X18" s="804">
        <v>10838399</v>
      </c>
      <c r="Y18" s="804">
        <v>8670719</v>
      </c>
      <c r="Z18" s="804">
        <v>2167680</v>
      </c>
      <c r="AA18" s="804">
        <v>0</v>
      </c>
      <c r="AB18" s="804">
        <v>21676798</v>
      </c>
      <c r="AC18" s="804">
        <v>0</v>
      </c>
      <c r="AD18" s="804">
        <v>0</v>
      </c>
      <c r="AE18" s="804">
        <v>0</v>
      </c>
      <c r="AF18" s="804">
        <v>0</v>
      </c>
      <c r="AG18" s="804">
        <v>0</v>
      </c>
      <c r="AH18" s="804">
        <v>10838399</v>
      </c>
      <c r="AI18" s="804">
        <v>8670719</v>
      </c>
      <c r="AJ18" s="804">
        <v>2167680</v>
      </c>
      <c r="AK18" s="804">
        <v>0</v>
      </c>
      <c r="AL18" s="804">
        <v>21676798</v>
      </c>
      <c r="AM18" s="804">
        <v>90352</v>
      </c>
      <c r="AN18" s="804">
        <v>90352</v>
      </c>
      <c r="AO18" s="804">
        <v>0</v>
      </c>
      <c r="AP18" s="804">
        <v>0</v>
      </c>
      <c r="AQ18" s="804">
        <v>162485</v>
      </c>
      <c r="AR18" s="804">
        <v>0</v>
      </c>
      <c r="AS18" s="804">
        <v>162485</v>
      </c>
      <c r="AT18" s="804">
        <v>0</v>
      </c>
      <c r="AU18" s="804">
        <v>0</v>
      </c>
      <c r="AV18" s="804">
        <v>0</v>
      </c>
      <c r="AW18" s="804">
        <v>0</v>
      </c>
      <c r="AX18" s="804">
        <v>0</v>
      </c>
      <c r="AY18" s="804">
        <v>0</v>
      </c>
      <c r="AZ18" s="804">
        <v>0</v>
      </c>
      <c r="BA18" s="804">
        <v>0</v>
      </c>
      <c r="BB18" s="804">
        <v>0</v>
      </c>
      <c r="BC18" s="804">
        <v>0</v>
      </c>
      <c r="BD18" s="804">
        <v>0</v>
      </c>
      <c r="BE18" s="804">
        <v>0</v>
      </c>
      <c r="BF18" s="804">
        <v>0</v>
      </c>
      <c r="BG18" s="804">
        <v>0</v>
      </c>
      <c r="BH18" s="804">
        <v>0</v>
      </c>
      <c r="BI18" s="804">
        <v>0</v>
      </c>
      <c r="BJ18" s="804">
        <v>0.5</v>
      </c>
      <c r="BK18" s="804">
        <v>0.4</v>
      </c>
      <c r="BL18" s="804">
        <v>0.1</v>
      </c>
      <c r="BM18" s="804">
        <v>0</v>
      </c>
      <c r="BN18" s="804">
        <v>1</v>
      </c>
      <c r="BO18" s="804">
        <v>-339568</v>
      </c>
      <c r="BP18" s="804">
        <v>-271655</v>
      </c>
      <c r="BQ18" s="804">
        <v>-67914</v>
      </c>
      <c r="BR18" s="804">
        <v>0</v>
      </c>
      <c r="BS18" s="804">
        <v>-679137</v>
      </c>
      <c r="BT18" s="804">
        <v>0.5</v>
      </c>
      <c r="BU18" s="804">
        <v>0.4</v>
      </c>
      <c r="BV18" s="804">
        <v>0.1</v>
      </c>
      <c r="BW18" s="804">
        <v>0</v>
      </c>
      <c r="BX18" s="804">
        <v>1</v>
      </c>
      <c r="BY18" s="804">
        <v>103972</v>
      </c>
      <c r="BZ18" s="804">
        <v>83178</v>
      </c>
      <c r="CA18" s="804">
        <v>20794</v>
      </c>
      <c r="CB18" s="804">
        <v>0</v>
      </c>
      <c r="CC18" s="804">
        <v>207944</v>
      </c>
      <c r="CD18" s="804">
        <v>-235596</v>
      </c>
      <c r="CE18" s="804">
        <v>-188477</v>
      </c>
      <c r="CF18" s="804">
        <v>-47120</v>
      </c>
      <c r="CG18" s="804">
        <v>0</v>
      </c>
      <c r="CH18" s="804">
        <v>-471193</v>
      </c>
      <c r="CI18" s="804">
        <v>10602803</v>
      </c>
      <c r="CJ18" s="804">
        <v>8735079</v>
      </c>
      <c r="CK18" s="804">
        <v>2120560</v>
      </c>
      <c r="CL18" s="804">
        <v>0</v>
      </c>
      <c r="CM18" s="804">
        <v>21458442</v>
      </c>
      <c r="CN18" s="804">
        <v>354036</v>
      </c>
      <c r="CO18" s="804">
        <v>86881</v>
      </c>
      <c r="CP18" s="804">
        <v>0</v>
      </c>
      <c r="CQ18" s="804">
        <v>440917</v>
      </c>
      <c r="CR18" s="804">
        <v>633534</v>
      </c>
      <c r="CS18" s="804">
        <v>158384</v>
      </c>
      <c r="CT18" s="804">
        <v>0</v>
      </c>
      <c r="CU18" s="804">
        <v>791918</v>
      </c>
      <c r="CV18" s="804">
        <v>34692</v>
      </c>
      <c r="CW18" s="804">
        <v>8673</v>
      </c>
      <c r="CX18" s="804">
        <v>0</v>
      </c>
      <c r="CY18" s="804">
        <v>43365</v>
      </c>
      <c r="CZ18" s="804">
        <v>0</v>
      </c>
      <c r="DA18" s="804">
        <v>0</v>
      </c>
      <c r="DB18" s="804">
        <v>0</v>
      </c>
      <c r="DC18" s="804">
        <v>0</v>
      </c>
      <c r="DD18" s="804">
        <v>0</v>
      </c>
      <c r="DE18" s="804">
        <v>0</v>
      </c>
      <c r="DF18" s="804">
        <v>0</v>
      </c>
      <c r="DG18" s="804">
        <v>0</v>
      </c>
      <c r="DH18" s="804">
        <v>1664</v>
      </c>
      <c r="DI18" s="804">
        <v>416</v>
      </c>
      <c r="DJ18" s="804">
        <v>0</v>
      </c>
      <c r="DK18" s="804">
        <v>2080</v>
      </c>
      <c r="DL18" s="804">
        <v>637</v>
      </c>
      <c r="DM18" s="804">
        <v>159</v>
      </c>
      <c r="DN18" s="804">
        <v>0</v>
      </c>
      <c r="DO18" s="804">
        <v>796</v>
      </c>
      <c r="DP18" s="804">
        <v>0</v>
      </c>
      <c r="DQ18" s="804">
        <v>0</v>
      </c>
      <c r="DR18" s="804">
        <v>0</v>
      </c>
      <c r="DS18" s="804">
        <v>0</v>
      </c>
      <c r="DT18" s="804">
        <v>0</v>
      </c>
      <c r="DU18" s="804">
        <v>0</v>
      </c>
      <c r="DV18" s="804">
        <v>0</v>
      </c>
      <c r="DW18" s="804">
        <v>0</v>
      </c>
      <c r="DX18" s="804">
        <v>152438</v>
      </c>
      <c r="DY18" s="804">
        <v>38110</v>
      </c>
      <c r="DZ18" s="804">
        <v>0</v>
      </c>
      <c r="EA18" s="804">
        <v>190548</v>
      </c>
      <c r="EB18" s="804">
        <v>1177001</v>
      </c>
      <c r="EC18" s="804">
        <v>292623</v>
      </c>
      <c r="ED18" s="804">
        <v>0</v>
      </c>
      <c r="EE18" s="804">
        <v>1469624</v>
      </c>
      <c r="EF18" s="604" t="s">
        <v>696</v>
      </c>
      <c r="EG18" s="497" t="s">
        <v>552</v>
      </c>
      <c r="EH18" s="630" t="s">
        <v>551</v>
      </c>
      <c r="EI18" s="118" t="s">
        <v>1671</v>
      </c>
    </row>
    <row r="19" spans="1:139" ht="12.75" x14ac:dyDescent="0.2">
      <c r="A19" s="805">
        <v>12</v>
      </c>
      <c r="B19" s="606" t="s">
        <v>699</v>
      </c>
      <c r="C19" s="607" t="s">
        <v>1185</v>
      </c>
      <c r="D19" s="608" t="s">
        <v>1189</v>
      </c>
      <c r="E19" s="609" t="s">
        <v>698</v>
      </c>
      <c r="F19" s="802">
        <v>79560116</v>
      </c>
      <c r="G19" s="804">
        <v>0</v>
      </c>
      <c r="H19" s="804">
        <v>395447</v>
      </c>
      <c r="I19" s="804">
        <v>222381</v>
      </c>
      <c r="J19" s="804">
        <v>0</v>
      </c>
      <c r="K19" s="804">
        <v>222381</v>
      </c>
      <c r="L19" s="804">
        <v>0</v>
      </c>
      <c r="M19" s="804">
        <v>0</v>
      </c>
      <c r="N19" s="804">
        <v>23736</v>
      </c>
      <c r="O19" s="804">
        <v>23736</v>
      </c>
      <c r="P19" s="804">
        <v>0</v>
      </c>
      <c r="Q19" s="804">
        <v>0</v>
      </c>
      <c r="R19" s="804">
        <v>78918552</v>
      </c>
      <c r="S19" s="804">
        <v>0.5</v>
      </c>
      <c r="T19" s="804">
        <v>0.4</v>
      </c>
      <c r="U19" s="804">
        <v>0.09</v>
      </c>
      <c r="V19" s="804">
        <v>0.01</v>
      </c>
      <c r="W19" s="804">
        <v>1</v>
      </c>
      <c r="X19" s="804">
        <v>39459275</v>
      </c>
      <c r="Y19" s="804">
        <v>31567421</v>
      </c>
      <c r="Z19" s="804">
        <v>7102670</v>
      </c>
      <c r="AA19" s="804">
        <v>789186</v>
      </c>
      <c r="AB19" s="804">
        <v>78918552</v>
      </c>
      <c r="AC19" s="804">
        <v>0</v>
      </c>
      <c r="AD19" s="804">
        <v>0</v>
      </c>
      <c r="AE19" s="804">
        <v>0</v>
      </c>
      <c r="AF19" s="804">
        <v>0</v>
      </c>
      <c r="AG19" s="804">
        <v>0</v>
      </c>
      <c r="AH19" s="804">
        <v>39459275</v>
      </c>
      <c r="AI19" s="804">
        <v>31567421</v>
      </c>
      <c r="AJ19" s="804">
        <v>7102670</v>
      </c>
      <c r="AK19" s="804">
        <v>789186</v>
      </c>
      <c r="AL19" s="804">
        <v>78918552</v>
      </c>
      <c r="AM19" s="804">
        <v>222381</v>
      </c>
      <c r="AN19" s="804">
        <v>222381</v>
      </c>
      <c r="AO19" s="804">
        <v>0</v>
      </c>
      <c r="AP19" s="804">
        <v>0</v>
      </c>
      <c r="AQ19" s="804">
        <v>23736</v>
      </c>
      <c r="AR19" s="804">
        <v>0</v>
      </c>
      <c r="AS19" s="804">
        <v>23736</v>
      </c>
      <c r="AT19" s="804">
        <v>0</v>
      </c>
      <c r="AU19" s="804">
        <v>0</v>
      </c>
      <c r="AV19" s="804">
        <v>0</v>
      </c>
      <c r="AW19" s="804">
        <v>0</v>
      </c>
      <c r="AX19" s="804">
        <v>0</v>
      </c>
      <c r="AY19" s="804">
        <v>0</v>
      </c>
      <c r="AZ19" s="804">
        <v>0</v>
      </c>
      <c r="BA19" s="804">
        <v>0</v>
      </c>
      <c r="BB19" s="804">
        <v>0</v>
      </c>
      <c r="BC19" s="804">
        <v>0</v>
      </c>
      <c r="BD19" s="804">
        <v>0</v>
      </c>
      <c r="BE19" s="804">
        <v>0</v>
      </c>
      <c r="BF19" s="804">
        <v>0</v>
      </c>
      <c r="BG19" s="804">
        <v>0</v>
      </c>
      <c r="BH19" s="804">
        <v>0</v>
      </c>
      <c r="BI19" s="804">
        <v>0</v>
      </c>
      <c r="BJ19" s="804">
        <v>0.5</v>
      </c>
      <c r="BK19" s="804">
        <v>0.4</v>
      </c>
      <c r="BL19" s="804">
        <v>0.09</v>
      </c>
      <c r="BM19" s="804">
        <v>0.01</v>
      </c>
      <c r="BN19" s="804">
        <v>1</v>
      </c>
      <c r="BO19" s="804">
        <v>-734402</v>
      </c>
      <c r="BP19" s="804">
        <v>-587521</v>
      </c>
      <c r="BQ19" s="804">
        <v>-132192</v>
      </c>
      <c r="BR19" s="804">
        <v>-14688</v>
      </c>
      <c r="BS19" s="804">
        <v>-1468803</v>
      </c>
      <c r="BT19" s="804">
        <v>0.5</v>
      </c>
      <c r="BU19" s="804">
        <v>0.4</v>
      </c>
      <c r="BV19" s="804">
        <v>0.09</v>
      </c>
      <c r="BW19" s="804">
        <v>0.01</v>
      </c>
      <c r="BX19" s="804">
        <v>1</v>
      </c>
      <c r="BY19" s="804">
        <v>-733953.20000000298</v>
      </c>
      <c r="BZ19" s="804">
        <v>-587163</v>
      </c>
      <c r="CA19" s="804">
        <v>-132112</v>
      </c>
      <c r="CB19" s="804">
        <v>-14679</v>
      </c>
      <c r="CC19" s="804">
        <v>-1467907.200000003</v>
      </c>
      <c r="CD19" s="804">
        <v>-1468355</v>
      </c>
      <c r="CE19" s="804">
        <v>-1174684</v>
      </c>
      <c r="CF19" s="804">
        <v>-264304</v>
      </c>
      <c r="CG19" s="804">
        <v>-29367</v>
      </c>
      <c r="CH19" s="804">
        <v>-2936710.200000003</v>
      </c>
      <c r="CI19" s="804">
        <v>37990920</v>
      </c>
      <c r="CJ19" s="804">
        <v>30638854</v>
      </c>
      <c r="CK19" s="804">
        <v>6838366</v>
      </c>
      <c r="CL19" s="804">
        <v>759819</v>
      </c>
      <c r="CM19" s="804">
        <v>76227959</v>
      </c>
      <c r="CN19" s="804">
        <v>1266179</v>
      </c>
      <c r="CO19" s="804">
        <v>284676</v>
      </c>
      <c r="CP19" s="804">
        <v>31631</v>
      </c>
      <c r="CQ19" s="804">
        <v>1582486</v>
      </c>
      <c r="CR19" s="804">
        <v>1698034</v>
      </c>
      <c r="CS19" s="804">
        <v>382058</v>
      </c>
      <c r="CT19" s="804">
        <v>42451</v>
      </c>
      <c r="CU19" s="804">
        <v>2122543</v>
      </c>
      <c r="CV19" s="804">
        <v>151016</v>
      </c>
      <c r="CW19" s="804">
        <v>33979</v>
      </c>
      <c r="CX19" s="804">
        <v>3775</v>
      </c>
      <c r="CY19" s="804">
        <v>188770</v>
      </c>
      <c r="CZ19" s="804">
        <v>0</v>
      </c>
      <c r="DA19" s="804">
        <v>0</v>
      </c>
      <c r="DB19" s="804">
        <v>0</v>
      </c>
      <c r="DC19" s="804">
        <v>0</v>
      </c>
      <c r="DD19" s="804">
        <v>713</v>
      </c>
      <c r="DE19" s="804">
        <v>161</v>
      </c>
      <c r="DF19" s="804">
        <v>18</v>
      </c>
      <c r="DG19" s="804">
        <v>892</v>
      </c>
      <c r="DH19" s="804">
        <v>8384</v>
      </c>
      <c r="DI19" s="804">
        <v>1887</v>
      </c>
      <c r="DJ19" s="804">
        <v>210</v>
      </c>
      <c r="DK19" s="804">
        <v>10481</v>
      </c>
      <c r="DL19" s="804">
        <v>3099</v>
      </c>
      <c r="DM19" s="804">
        <v>698</v>
      </c>
      <c r="DN19" s="804">
        <v>78</v>
      </c>
      <c r="DO19" s="804">
        <v>3875</v>
      </c>
      <c r="DP19" s="804">
        <v>0</v>
      </c>
      <c r="DQ19" s="804">
        <v>0</v>
      </c>
      <c r="DR19" s="804">
        <v>0</v>
      </c>
      <c r="DS19" s="804">
        <v>0</v>
      </c>
      <c r="DT19" s="804">
        <v>0</v>
      </c>
      <c r="DU19" s="804">
        <v>0</v>
      </c>
      <c r="DV19" s="804">
        <v>0</v>
      </c>
      <c r="DW19" s="804">
        <v>0</v>
      </c>
      <c r="DX19" s="804">
        <v>707102</v>
      </c>
      <c r="DY19" s="804">
        <v>159098</v>
      </c>
      <c r="DZ19" s="804">
        <v>17678</v>
      </c>
      <c r="EA19" s="804">
        <v>883878</v>
      </c>
      <c r="EB19" s="804">
        <v>3834527</v>
      </c>
      <c r="EC19" s="804">
        <v>862557</v>
      </c>
      <c r="ED19" s="804">
        <v>95841</v>
      </c>
      <c r="EE19" s="804">
        <v>4792925</v>
      </c>
      <c r="EF19" s="604" t="s">
        <v>698</v>
      </c>
      <c r="EG19" s="497" t="s">
        <v>570</v>
      </c>
      <c r="EH19" s="630" t="s">
        <v>568</v>
      </c>
      <c r="EI19" s="118" t="s">
        <v>1672</v>
      </c>
    </row>
    <row r="20" spans="1:139" ht="12.75" x14ac:dyDescent="0.2">
      <c r="A20" s="805">
        <v>13</v>
      </c>
      <c r="B20" s="606" t="s">
        <v>701</v>
      </c>
      <c r="C20" s="607" t="s">
        <v>1185</v>
      </c>
      <c r="D20" s="608" t="s">
        <v>1186</v>
      </c>
      <c r="E20" s="609" t="s">
        <v>917</v>
      </c>
      <c r="F20" s="802">
        <v>77635045</v>
      </c>
      <c r="G20" s="804">
        <v>0</v>
      </c>
      <c r="H20" s="804">
        <v>3633301</v>
      </c>
      <c r="I20" s="804">
        <v>201296</v>
      </c>
      <c r="J20" s="804">
        <v>0</v>
      </c>
      <c r="K20" s="804">
        <v>201296</v>
      </c>
      <c r="L20" s="804">
        <v>0</v>
      </c>
      <c r="M20" s="804">
        <v>0</v>
      </c>
      <c r="N20" s="804">
        <v>495245</v>
      </c>
      <c r="O20" s="804">
        <v>89898</v>
      </c>
      <c r="P20" s="804">
        <v>405347</v>
      </c>
      <c r="Q20" s="804">
        <v>0</v>
      </c>
      <c r="R20" s="804">
        <v>73305203</v>
      </c>
      <c r="S20" s="804">
        <v>0.5</v>
      </c>
      <c r="T20" s="804">
        <v>0.4</v>
      </c>
      <c r="U20" s="804">
        <v>0.09</v>
      </c>
      <c r="V20" s="804">
        <v>0.01</v>
      </c>
      <c r="W20" s="804">
        <v>1</v>
      </c>
      <c r="X20" s="804">
        <v>36652602</v>
      </c>
      <c r="Y20" s="804">
        <v>29322081</v>
      </c>
      <c r="Z20" s="804">
        <v>6597468</v>
      </c>
      <c r="AA20" s="804">
        <v>733052</v>
      </c>
      <c r="AB20" s="804">
        <v>73305203</v>
      </c>
      <c r="AC20" s="804">
        <v>600000</v>
      </c>
      <c r="AD20" s="804">
        <v>0</v>
      </c>
      <c r="AE20" s="804">
        <v>0</v>
      </c>
      <c r="AF20" s="804">
        <v>0</v>
      </c>
      <c r="AG20" s="804">
        <v>600000</v>
      </c>
      <c r="AH20" s="804">
        <v>36052602</v>
      </c>
      <c r="AI20" s="804">
        <v>29322081</v>
      </c>
      <c r="AJ20" s="804">
        <v>6597468</v>
      </c>
      <c r="AK20" s="804">
        <v>733052</v>
      </c>
      <c r="AL20" s="804">
        <v>72705203</v>
      </c>
      <c r="AM20" s="804">
        <v>201296</v>
      </c>
      <c r="AN20" s="804">
        <v>201296</v>
      </c>
      <c r="AO20" s="804">
        <v>0</v>
      </c>
      <c r="AP20" s="804">
        <v>0</v>
      </c>
      <c r="AQ20" s="804">
        <v>89898</v>
      </c>
      <c r="AR20" s="804">
        <v>405347</v>
      </c>
      <c r="AS20" s="804">
        <v>495245</v>
      </c>
      <c r="AT20" s="804">
        <v>0</v>
      </c>
      <c r="AU20" s="804">
        <v>0</v>
      </c>
      <c r="AV20" s="804">
        <v>0</v>
      </c>
      <c r="AW20" s="804">
        <v>0</v>
      </c>
      <c r="AX20" s="804">
        <v>600000</v>
      </c>
      <c r="AY20" s="804">
        <v>0</v>
      </c>
      <c r="AZ20" s="804">
        <v>0</v>
      </c>
      <c r="BA20" s="804">
        <v>600000</v>
      </c>
      <c r="BB20" s="804">
        <v>0</v>
      </c>
      <c r="BC20" s="804">
        <v>0</v>
      </c>
      <c r="BD20" s="804">
        <v>0</v>
      </c>
      <c r="BE20" s="804">
        <v>0</v>
      </c>
      <c r="BF20" s="804">
        <v>0</v>
      </c>
      <c r="BG20" s="804">
        <v>0</v>
      </c>
      <c r="BH20" s="804">
        <v>0</v>
      </c>
      <c r="BI20" s="804">
        <v>0</v>
      </c>
      <c r="BJ20" s="804">
        <v>0.5</v>
      </c>
      <c r="BK20" s="804">
        <v>0.4</v>
      </c>
      <c r="BL20" s="804">
        <v>0.09</v>
      </c>
      <c r="BM20" s="804">
        <v>0.01</v>
      </c>
      <c r="BN20" s="804">
        <v>1</v>
      </c>
      <c r="BO20" s="804">
        <v>-629223</v>
      </c>
      <c r="BP20" s="804">
        <v>-503378</v>
      </c>
      <c r="BQ20" s="804">
        <v>-113260</v>
      </c>
      <c r="BR20" s="804">
        <v>-12584</v>
      </c>
      <c r="BS20" s="804">
        <v>-1258445</v>
      </c>
      <c r="BT20" s="804">
        <v>0.5</v>
      </c>
      <c r="BU20" s="804">
        <v>0.4</v>
      </c>
      <c r="BV20" s="804">
        <v>0.09</v>
      </c>
      <c r="BW20" s="804">
        <v>0.01</v>
      </c>
      <c r="BX20" s="804">
        <v>1</v>
      </c>
      <c r="BY20" s="804">
        <v>89085.90000000596</v>
      </c>
      <c r="BZ20" s="804">
        <v>71269</v>
      </c>
      <c r="CA20" s="804">
        <v>16036</v>
      </c>
      <c r="CB20" s="804">
        <v>1782</v>
      </c>
      <c r="CC20" s="804">
        <v>178172.90000000596</v>
      </c>
      <c r="CD20" s="804">
        <v>-540136</v>
      </c>
      <c r="CE20" s="804">
        <v>-432109</v>
      </c>
      <c r="CF20" s="804">
        <v>-97224</v>
      </c>
      <c r="CG20" s="804">
        <v>-10803</v>
      </c>
      <c r="CH20" s="804">
        <v>-1080272.099999994</v>
      </c>
      <c r="CI20" s="804">
        <v>35512466</v>
      </c>
      <c r="CJ20" s="804">
        <v>29781166</v>
      </c>
      <c r="CK20" s="804">
        <v>6905591</v>
      </c>
      <c r="CL20" s="804">
        <v>722249</v>
      </c>
      <c r="CM20" s="804">
        <v>72921472</v>
      </c>
      <c r="CN20" s="804">
        <v>1202885</v>
      </c>
      <c r="CO20" s="804">
        <v>280674</v>
      </c>
      <c r="CP20" s="804">
        <v>29381</v>
      </c>
      <c r="CQ20" s="804">
        <v>1512940</v>
      </c>
      <c r="CR20" s="804">
        <v>887727</v>
      </c>
      <c r="CS20" s="804">
        <v>195635</v>
      </c>
      <c r="CT20" s="804">
        <v>21737</v>
      </c>
      <c r="CU20" s="804">
        <v>1105099</v>
      </c>
      <c r="CV20" s="804">
        <v>132008</v>
      </c>
      <c r="CW20" s="804">
        <v>28292</v>
      </c>
      <c r="CX20" s="804">
        <v>3144</v>
      </c>
      <c r="CY20" s="804">
        <v>163444</v>
      </c>
      <c r="CZ20" s="804">
        <v>29712</v>
      </c>
      <c r="DA20" s="804">
        <v>6685</v>
      </c>
      <c r="DB20" s="804">
        <v>743</v>
      </c>
      <c r="DC20" s="804">
        <v>37140</v>
      </c>
      <c r="DD20" s="804">
        <v>10138</v>
      </c>
      <c r="DE20" s="804">
        <v>2281</v>
      </c>
      <c r="DF20" s="804">
        <v>253</v>
      </c>
      <c r="DG20" s="804">
        <v>12672</v>
      </c>
      <c r="DH20" s="804">
        <v>12503</v>
      </c>
      <c r="DI20" s="804">
        <v>2813</v>
      </c>
      <c r="DJ20" s="804">
        <v>313</v>
      </c>
      <c r="DK20" s="804">
        <v>15629</v>
      </c>
      <c r="DL20" s="804">
        <v>5913</v>
      </c>
      <c r="DM20" s="804">
        <v>1297</v>
      </c>
      <c r="DN20" s="804">
        <v>144</v>
      </c>
      <c r="DO20" s="804">
        <v>7354</v>
      </c>
      <c r="DP20" s="804">
        <v>0</v>
      </c>
      <c r="DQ20" s="804">
        <v>0</v>
      </c>
      <c r="DR20" s="804">
        <v>0</v>
      </c>
      <c r="DS20" s="804">
        <v>0</v>
      </c>
      <c r="DT20" s="804">
        <v>62405</v>
      </c>
      <c r="DU20" s="804">
        <v>14041</v>
      </c>
      <c r="DV20" s="804">
        <v>1560</v>
      </c>
      <c r="DW20" s="804">
        <v>78006</v>
      </c>
      <c r="DX20" s="804">
        <v>522312</v>
      </c>
      <c r="DY20" s="804">
        <v>117332</v>
      </c>
      <c r="DZ20" s="804">
        <v>13037</v>
      </c>
      <c r="EA20" s="804">
        <v>652681</v>
      </c>
      <c r="EB20" s="804">
        <v>2865603</v>
      </c>
      <c r="EC20" s="804">
        <v>649050</v>
      </c>
      <c r="ED20" s="804">
        <v>70312</v>
      </c>
      <c r="EE20" s="804">
        <v>3584965</v>
      </c>
      <c r="EF20" s="604" t="s">
        <v>917</v>
      </c>
      <c r="EG20" s="497" t="s">
        <v>575</v>
      </c>
      <c r="EH20" s="630" t="s">
        <v>573</v>
      </c>
      <c r="EI20" s="118" t="s">
        <v>1673</v>
      </c>
    </row>
    <row r="21" spans="1:139" ht="12.75" x14ac:dyDescent="0.2">
      <c r="A21" s="805">
        <v>14</v>
      </c>
      <c r="B21" s="606" t="s">
        <v>703</v>
      </c>
      <c r="C21" s="607" t="s">
        <v>1185</v>
      </c>
      <c r="D21" s="608" t="s">
        <v>1188</v>
      </c>
      <c r="E21" s="609" t="s">
        <v>702</v>
      </c>
      <c r="F21" s="802">
        <v>46972913</v>
      </c>
      <c r="G21" s="804">
        <v>0</v>
      </c>
      <c r="H21" s="804">
        <v>3317193</v>
      </c>
      <c r="I21" s="804">
        <v>167984</v>
      </c>
      <c r="J21" s="804">
        <v>0</v>
      </c>
      <c r="K21" s="804">
        <v>167984</v>
      </c>
      <c r="L21" s="804">
        <v>0</v>
      </c>
      <c r="M21" s="804">
        <v>0</v>
      </c>
      <c r="N21" s="804">
        <v>832772</v>
      </c>
      <c r="O21" s="804">
        <v>832772</v>
      </c>
      <c r="P21" s="804">
        <v>0</v>
      </c>
      <c r="Q21" s="804">
        <v>0</v>
      </c>
      <c r="R21" s="804">
        <v>42654964</v>
      </c>
      <c r="S21" s="804">
        <v>0.5</v>
      </c>
      <c r="T21" s="804">
        <v>0.4</v>
      </c>
      <c r="U21" s="804">
        <v>0.09</v>
      </c>
      <c r="V21" s="804">
        <v>0.01</v>
      </c>
      <c r="W21" s="804">
        <v>1</v>
      </c>
      <c r="X21" s="804">
        <v>21327481</v>
      </c>
      <c r="Y21" s="804">
        <v>17061986</v>
      </c>
      <c r="Z21" s="804">
        <v>3838947</v>
      </c>
      <c r="AA21" s="804">
        <v>426550</v>
      </c>
      <c r="AB21" s="804">
        <v>42654964</v>
      </c>
      <c r="AC21" s="804">
        <v>0</v>
      </c>
      <c r="AD21" s="804">
        <v>0</v>
      </c>
      <c r="AE21" s="804">
        <v>0</v>
      </c>
      <c r="AF21" s="804">
        <v>0</v>
      </c>
      <c r="AG21" s="804">
        <v>0</v>
      </c>
      <c r="AH21" s="804">
        <v>21327481</v>
      </c>
      <c r="AI21" s="804">
        <v>17061986</v>
      </c>
      <c r="AJ21" s="804">
        <v>3838947</v>
      </c>
      <c r="AK21" s="804">
        <v>426550</v>
      </c>
      <c r="AL21" s="804">
        <v>42654964</v>
      </c>
      <c r="AM21" s="804">
        <v>167984</v>
      </c>
      <c r="AN21" s="804">
        <v>167984</v>
      </c>
      <c r="AO21" s="804">
        <v>0</v>
      </c>
      <c r="AP21" s="804">
        <v>0</v>
      </c>
      <c r="AQ21" s="804">
        <v>832772</v>
      </c>
      <c r="AR21" s="804">
        <v>0</v>
      </c>
      <c r="AS21" s="804">
        <v>832772</v>
      </c>
      <c r="AT21" s="804">
        <v>0</v>
      </c>
      <c r="AU21" s="804">
        <v>0</v>
      </c>
      <c r="AV21" s="804">
        <v>0</v>
      </c>
      <c r="AW21" s="804">
        <v>0</v>
      </c>
      <c r="AX21" s="804">
        <v>0</v>
      </c>
      <c r="AY21" s="804">
        <v>0</v>
      </c>
      <c r="AZ21" s="804">
        <v>0</v>
      </c>
      <c r="BA21" s="804">
        <v>0</v>
      </c>
      <c r="BB21" s="804">
        <v>0</v>
      </c>
      <c r="BC21" s="804">
        <v>0</v>
      </c>
      <c r="BD21" s="804">
        <v>0</v>
      </c>
      <c r="BE21" s="804">
        <v>0</v>
      </c>
      <c r="BF21" s="804">
        <v>0</v>
      </c>
      <c r="BG21" s="804">
        <v>0</v>
      </c>
      <c r="BH21" s="804">
        <v>0</v>
      </c>
      <c r="BI21" s="804">
        <v>0</v>
      </c>
      <c r="BJ21" s="804">
        <v>0.5</v>
      </c>
      <c r="BK21" s="804">
        <v>0.4</v>
      </c>
      <c r="BL21" s="804">
        <v>0.09</v>
      </c>
      <c r="BM21" s="804">
        <v>0.01</v>
      </c>
      <c r="BN21" s="804">
        <v>1</v>
      </c>
      <c r="BO21" s="804">
        <v>1307636</v>
      </c>
      <c r="BP21" s="804">
        <v>1046109</v>
      </c>
      <c r="BQ21" s="804">
        <v>235374</v>
      </c>
      <c r="BR21" s="804">
        <v>26153</v>
      </c>
      <c r="BS21" s="804">
        <v>2615272</v>
      </c>
      <c r="BT21" s="804">
        <v>0.5</v>
      </c>
      <c r="BU21" s="804">
        <v>0.4</v>
      </c>
      <c r="BV21" s="804">
        <v>0.09</v>
      </c>
      <c r="BW21" s="804">
        <v>0.01</v>
      </c>
      <c r="BX21" s="804">
        <v>1</v>
      </c>
      <c r="BY21" s="804">
        <v>-517238</v>
      </c>
      <c r="BZ21" s="804">
        <v>-413791</v>
      </c>
      <c r="CA21" s="804">
        <v>-93103</v>
      </c>
      <c r="CB21" s="804">
        <v>-10345</v>
      </c>
      <c r="CC21" s="804">
        <v>-1034477</v>
      </c>
      <c r="CD21" s="804">
        <v>790397</v>
      </c>
      <c r="CE21" s="804">
        <v>632318</v>
      </c>
      <c r="CF21" s="804">
        <v>142272</v>
      </c>
      <c r="CG21" s="804">
        <v>15808</v>
      </c>
      <c r="CH21" s="804">
        <v>1580795</v>
      </c>
      <c r="CI21" s="804">
        <v>22117878</v>
      </c>
      <c r="CJ21" s="804">
        <v>18695060</v>
      </c>
      <c r="CK21" s="804">
        <v>3981219</v>
      </c>
      <c r="CL21" s="804">
        <v>442358</v>
      </c>
      <c r="CM21" s="804">
        <v>45236515</v>
      </c>
      <c r="CN21" s="804">
        <v>717225</v>
      </c>
      <c r="CO21" s="804">
        <v>153866</v>
      </c>
      <c r="CP21" s="804">
        <v>17096</v>
      </c>
      <c r="CQ21" s="804">
        <v>888187</v>
      </c>
      <c r="CR21" s="804">
        <v>1253162</v>
      </c>
      <c r="CS21" s="804">
        <v>281962</v>
      </c>
      <c r="CT21" s="804">
        <v>31329</v>
      </c>
      <c r="CU21" s="804">
        <v>1566453</v>
      </c>
      <c r="CV21" s="804">
        <v>74068</v>
      </c>
      <c r="CW21" s="804">
        <v>16665</v>
      </c>
      <c r="CX21" s="804">
        <v>1852</v>
      </c>
      <c r="CY21" s="804">
        <v>92585</v>
      </c>
      <c r="CZ21" s="804">
        <v>5201</v>
      </c>
      <c r="DA21" s="804">
        <v>1170</v>
      </c>
      <c r="DB21" s="804">
        <v>130</v>
      </c>
      <c r="DC21" s="804">
        <v>6501</v>
      </c>
      <c r="DD21" s="804">
        <v>13312</v>
      </c>
      <c r="DE21" s="804">
        <v>2995</v>
      </c>
      <c r="DF21" s="804">
        <v>333</v>
      </c>
      <c r="DG21" s="804">
        <v>16640</v>
      </c>
      <c r="DH21" s="804">
        <v>18191</v>
      </c>
      <c r="DI21" s="804">
        <v>4093</v>
      </c>
      <c r="DJ21" s="804">
        <v>455</v>
      </c>
      <c r="DK21" s="804">
        <v>22739</v>
      </c>
      <c r="DL21" s="804">
        <v>3328</v>
      </c>
      <c r="DM21" s="804">
        <v>749</v>
      </c>
      <c r="DN21" s="804">
        <v>83</v>
      </c>
      <c r="DO21" s="804">
        <v>4160</v>
      </c>
      <c r="DP21" s="804">
        <v>0</v>
      </c>
      <c r="DQ21" s="804">
        <v>0</v>
      </c>
      <c r="DR21" s="804">
        <v>0</v>
      </c>
      <c r="DS21" s="804">
        <v>0</v>
      </c>
      <c r="DT21" s="804">
        <v>0</v>
      </c>
      <c r="DU21" s="804">
        <v>0</v>
      </c>
      <c r="DV21" s="804">
        <v>0</v>
      </c>
      <c r="DW21" s="804">
        <v>0</v>
      </c>
      <c r="DX21" s="804">
        <v>329030</v>
      </c>
      <c r="DY21" s="804">
        <v>74032</v>
      </c>
      <c r="DZ21" s="804">
        <v>8226</v>
      </c>
      <c r="EA21" s="804">
        <v>411288</v>
      </c>
      <c r="EB21" s="804">
        <v>2413517</v>
      </c>
      <c r="EC21" s="804">
        <v>535532</v>
      </c>
      <c r="ED21" s="804">
        <v>59504</v>
      </c>
      <c r="EE21" s="804">
        <v>3008553</v>
      </c>
      <c r="EF21" s="604" t="s">
        <v>702</v>
      </c>
      <c r="EG21" s="497" t="s">
        <v>603</v>
      </c>
      <c r="EH21" s="630" t="s">
        <v>602</v>
      </c>
      <c r="EI21" s="118" t="s">
        <v>1674</v>
      </c>
    </row>
    <row r="22" spans="1:139" ht="12.75" x14ac:dyDescent="0.2">
      <c r="A22" s="805">
        <v>15</v>
      </c>
      <c r="B22" s="606" t="s">
        <v>705</v>
      </c>
      <c r="C22" s="607" t="s">
        <v>524</v>
      </c>
      <c r="D22" s="608" t="s">
        <v>1194</v>
      </c>
      <c r="E22" s="609" t="s">
        <v>918</v>
      </c>
      <c r="F22" s="802">
        <v>67307824</v>
      </c>
      <c r="G22" s="804">
        <v>0</v>
      </c>
      <c r="H22" s="804">
        <v>80807</v>
      </c>
      <c r="I22" s="804">
        <v>268778</v>
      </c>
      <c r="J22" s="804">
        <v>0</v>
      </c>
      <c r="K22" s="804">
        <v>268778</v>
      </c>
      <c r="L22" s="804">
        <v>0</v>
      </c>
      <c r="M22" s="804">
        <v>94219</v>
      </c>
      <c r="N22" s="804">
        <v>29920</v>
      </c>
      <c r="O22" s="804">
        <v>29920</v>
      </c>
      <c r="P22" s="804">
        <v>0</v>
      </c>
      <c r="Q22" s="804">
        <v>0</v>
      </c>
      <c r="R22" s="804">
        <v>66834100</v>
      </c>
      <c r="S22" s="804">
        <v>0</v>
      </c>
      <c r="T22" s="804">
        <v>0.94</v>
      </c>
      <c r="U22" s="804">
        <v>0.05</v>
      </c>
      <c r="V22" s="804">
        <v>0.01</v>
      </c>
      <c r="W22" s="804">
        <v>1</v>
      </c>
      <c r="X22" s="804">
        <v>0</v>
      </c>
      <c r="Y22" s="804">
        <v>62824054</v>
      </c>
      <c r="Z22" s="804">
        <v>3341705</v>
      </c>
      <c r="AA22" s="804">
        <v>668341</v>
      </c>
      <c r="AB22" s="804">
        <v>66834100</v>
      </c>
      <c r="AC22" s="804">
        <v>0</v>
      </c>
      <c r="AD22" s="804">
        <v>0</v>
      </c>
      <c r="AE22" s="804">
        <v>0</v>
      </c>
      <c r="AF22" s="804">
        <v>0</v>
      </c>
      <c r="AG22" s="804">
        <v>0</v>
      </c>
      <c r="AH22" s="804">
        <v>0</v>
      </c>
      <c r="AI22" s="804">
        <v>62824054</v>
      </c>
      <c r="AJ22" s="804">
        <v>3341705</v>
      </c>
      <c r="AK22" s="804">
        <v>668341</v>
      </c>
      <c r="AL22" s="804">
        <v>66834100</v>
      </c>
      <c r="AM22" s="804">
        <v>268778</v>
      </c>
      <c r="AN22" s="804">
        <v>268778</v>
      </c>
      <c r="AO22" s="804">
        <v>94219</v>
      </c>
      <c r="AP22" s="804">
        <v>94219</v>
      </c>
      <c r="AQ22" s="804">
        <v>29920</v>
      </c>
      <c r="AR22" s="804">
        <v>0</v>
      </c>
      <c r="AS22" s="804">
        <v>29920</v>
      </c>
      <c r="AT22" s="804">
        <v>0</v>
      </c>
      <c r="AU22" s="804">
        <v>0</v>
      </c>
      <c r="AV22" s="804">
        <v>0</v>
      </c>
      <c r="AW22" s="804">
        <v>0</v>
      </c>
      <c r="AX22" s="804">
        <v>0</v>
      </c>
      <c r="AY22" s="804">
        <v>0</v>
      </c>
      <c r="AZ22" s="804">
        <v>0</v>
      </c>
      <c r="BA22" s="804">
        <v>0</v>
      </c>
      <c r="BB22" s="804">
        <v>0</v>
      </c>
      <c r="BC22" s="804">
        <v>0</v>
      </c>
      <c r="BD22" s="804">
        <v>0</v>
      </c>
      <c r="BE22" s="804">
        <v>0</v>
      </c>
      <c r="BF22" s="804">
        <v>0</v>
      </c>
      <c r="BG22" s="804">
        <v>0</v>
      </c>
      <c r="BH22" s="804">
        <v>0</v>
      </c>
      <c r="BI22" s="804">
        <v>0</v>
      </c>
      <c r="BJ22" s="804">
        <v>0</v>
      </c>
      <c r="BK22" s="804">
        <v>0.94</v>
      </c>
      <c r="BL22" s="804">
        <v>0.05</v>
      </c>
      <c r="BM22" s="804">
        <v>0.01</v>
      </c>
      <c r="BN22" s="804">
        <v>1</v>
      </c>
      <c r="BO22" s="804">
        <v>0</v>
      </c>
      <c r="BP22" s="804">
        <v>483404</v>
      </c>
      <c r="BQ22" s="804">
        <v>25713</v>
      </c>
      <c r="BR22" s="804">
        <v>5143</v>
      </c>
      <c r="BS22" s="804">
        <v>514260</v>
      </c>
      <c r="BT22" s="804">
        <v>0</v>
      </c>
      <c r="BU22" s="804">
        <v>0.94</v>
      </c>
      <c r="BV22" s="804">
        <v>0.05</v>
      </c>
      <c r="BW22" s="804">
        <v>0.01</v>
      </c>
      <c r="BX22" s="804">
        <v>1</v>
      </c>
      <c r="BY22" s="804">
        <v>0</v>
      </c>
      <c r="BZ22" s="804">
        <v>1034431</v>
      </c>
      <c r="CA22" s="804">
        <v>55023</v>
      </c>
      <c r="CB22" s="804">
        <v>11005</v>
      </c>
      <c r="CC22" s="804">
        <v>1100459</v>
      </c>
      <c r="CD22" s="804">
        <v>0</v>
      </c>
      <c r="CE22" s="804">
        <v>1517835</v>
      </c>
      <c r="CF22" s="804">
        <v>80736</v>
      </c>
      <c r="CG22" s="804">
        <v>16148</v>
      </c>
      <c r="CH22" s="804">
        <v>1614719</v>
      </c>
      <c r="CI22" s="804">
        <v>0</v>
      </c>
      <c r="CJ22" s="804">
        <v>64734806</v>
      </c>
      <c r="CK22" s="804">
        <v>3422441</v>
      </c>
      <c r="CL22" s="804">
        <v>684489</v>
      </c>
      <c r="CM22" s="804">
        <v>68841736</v>
      </c>
      <c r="CN22" s="804">
        <v>2522974</v>
      </c>
      <c r="CO22" s="804">
        <v>133936</v>
      </c>
      <c r="CP22" s="804">
        <v>26787</v>
      </c>
      <c r="CQ22" s="804">
        <v>2683697</v>
      </c>
      <c r="CR22" s="804">
        <v>4847336</v>
      </c>
      <c r="CS22" s="804">
        <v>253165</v>
      </c>
      <c r="CT22" s="804">
        <v>50633</v>
      </c>
      <c r="CU22" s="804">
        <v>5151134</v>
      </c>
      <c r="CV22" s="804">
        <v>351156</v>
      </c>
      <c r="CW22" s="804">
        <v>17852</v>
      </c>
      <c r="CX22" s="804">
        <v>3570</v>
      </c>
      <c r="CY22" s="804">
        <v>372578</v>
      </c>
      <c r="CZ22" s="804">
        <v>24284</v>
      </c>
      <c r="DA22" s="804">
        <v>1292</v>
      </c>
      <c r="DB22" s="804">
        <v>258</v>
      </c>
      <c r="DC22" s="804">
        <v>25834</v>
      </c>
      <c r="DD22" s="804">
        <v>16906</v>
      </c>
      <c r="DE22" s="804">
        <v>899</v>
      </c>
      <c r="DF22" s="804">
        <v>180</v>
      </c>
      <c r="DG22" s="804">
        <v>17985</v>
      </c>
      <c r="DH22" s="804">
        <v>29331</v>
      </c>
      <c r="DI22" s="804">
        <v>1560</v>
      </c>
      <c r="DJ22" s="804">
        <v>312</v>
      </c>
      <c r="DK22" s="804">
        <v>31203</v>
      </c>
      <c r="DL22" s="804">
        <v>10862</v>
      </c>
      <c r="DM22" s="804">
        <v>556</v>
      </c>
      <c r="DN22" s="804">
        <v>111</v>
      </c>
      <c r="DO22" s="804">
        <v>11529</v>
      </c>
      <c r="DP22" s="804">
        <v>37000</v>
      </c>
      <c r="DQ22" s="804">
        <v>0</v>
      </c>
      <c r="DR22" s="804">
        <v>0</v>
      </c>
      <c r="DS22" s="804">
        <v>37000</v>
      </c>
      <c r="DT22" s="804">
        <v>0</v>
      </c>
      <c r="DU22" s="804">
        <v>0</v>
      </c>
      <c r="DV22" s="804">
        <v>0</v>
      </c>
      <c r="DW22" s="804">
        <v>0</v>
      </c>
      <c r="DX22" s="804">
        <v>1646181</v>
      </c>
      <c r="DY22" s="804">
        <v>82731</v>
      </c>
      <c r="DZ22" s="804">
        <v>16546</v>
      </c>
      <c r="EA22" s="804">
        <v>1745458</v>
      </c>
      <c r="EB22" s="804">
        <v>9486030</v>
      </c>
      <c r="EC22" s="804">
        <v>491991</v>
      </c>
      <c r="ED22" s="804">
        <v>98397</v>
      </c>
      <c r="EE22" s="804">
        <v>10076418</v>
      </c>
      <c r="EF22" s="604" t="s">
        <v>918</v>
      </c>
      <c r="EG22" s="497" t="s">
        <v>524</v>
      </c>
      <c r="EH22" s="630" t="s">
        <v>525</v>
      </c>
      <c r="EI22" s="118" t="s">
        <v>1675</v>
      </c>
    </row>
    <row r="23" spans="1:139" ht="12.75" x14ac:dyDescent="0.2">
      <c r="A23" s="805">
        <v>16</v>
      </c>
      <c r="B23" s="606" t="s">
        <v>707</v>
      </c>
      <c r="C23" s="607" t="s">
        <v>524</v>
      </c>
      <c r="D23" s="608" t="s">
        <v>1189</v>
      </c>
      <c r="E23" s="609" t="s">
        <v>706</v>
      </c>
      <c r="F23" s="802">
        <v>67733193</v>
      </c>
      <c r="G23" s="804">
        <v>0</v>
      </c>
      <c r="H23" s="804">
        <v>1170680</v>
      </c>
      <c r="I23" s="804">
        <v>230177</v>
      </c>
      <c r="J23" s="804">
        <v>0</v>
      </c>
      <c r="K23" s="804">
        <v>230177</v>
      </c>
      <c r="L23" s="804">
        <v>0</v>
      </c>
      <c r="M23" s="804">
        <v>0</v>
      </c>
      <c r="N23" s="804">
        <v>641609</v>
      </c>
      <c r="O23" s="804">
        <v>641609</v>
      </c>
      <c r="P23" s="804">
        <v>0</v>
      </c>
      <c r="Q23" s="804">
        <v>0</v>
      </c>
      <c r="R23" s="804">
        <v>65690727</v>
      </c>
      <c r="S23" s="804">
        <v>0.5</v>
      </c>
      <c r="T23" s="804">
        <v>0.49</v>
      </c>
      <c r="U23" s="804">
        <v>0</v>
      </c>
      <c r="V23" s="804">
        <v>0.01</v>
      </c>
      <c r="W23" s="804">
        <v>1</v>
      </c>
      <c r="X23" s="804">
        <v>32845364</v>
      </c>
      <c r="Y23" s="804">
        <v>32188456</v>
      </c>
      <c r="Z23" s="804">
        <v>0</v>
      </c>
      <c r="AA23" s="804">
        <v>656907</v>
      </c>
      <c r="AB23" s="804">
        <v>65690727</v>
      </c>
      <c r="AC23" s="804">
        <v>0</v>
      </c>
      <c r="AD23" s="804">
        <v>0</v>
      </c>
      <c r="AE23" s="804">
        <v>0</v>
      </c>
      <c r="AF23" s="804">
        <v>0</v>
      </c>
      <c r="AG23" s="804">
        <v>0</v>
      </c>
      <c r="AH23" s="804">
        <v>32845364</v>
      </c>
      <c r="AI23" s="804">
        <v>32188456</v>
      </c>
      <c r="AJ23" s="804">
        <v>0</v>
      </c>
      <c r="AK23" s="804">
        <v>656907</v>
      </c>
      <c r="AL23" s="804">
        <v>65690727</v>
      </c>
      <c r="AM23" s="804">
        <v>230177</v>
      </c>
      <c r="AN23" s="804">
        <v>230177</v>
      </c>
      <c r="AO23" s="804">
        <v>0</v>
      </c>
      <c r="AP23" s="804">
        <v>0</v>
      </c>
      <c r="AQ23" s="804">
        <v>641609</v>
      </c>
      <c r="AR23" s="804">
        <v>0</v>
      </c>
      <c r="AS23" s="804">
        <v>641609</v>
      </c>
      <c r="AT23" s="804">
        <v>0</v>
      </c>
      <c r="AU23" s="804">
        <v>0</v>
      </c>
      <c r="AV23" s="804">
        <v>0</v>
      </c>
      <c r="AW23" s="804">
        <v>0</v>
      </c>
      <c r="AX23" s="804">
        <v>0</v>
      </c>
      <c r="AY23" s="804">
        <v>0</v>
      </c>
      <c r="AZ23" s="804">
        <v>0</v>
      </c>
      <c r="BA23" s="804">
        <v>0</v>
      </c>
      <c r="BB23" s="804">
        <v>0</v>
      </c>
      <c r="BC23" s="804">
        <v>0</v>
      </c>
      <c r="BD23" s="804">
        <v>0</v>
      </c>
      <c r="BE23" s="804">
        <v>0</v>
      </c>
      <c r="BF23" s="804">
        <v>0</v>
      </c>
      <c r="BG23" s="804">
        <v>0</v>
      </c>
      <c r="BH23" s="804">
        <v>0</v>
      </c>
      <c r="BI23" s="804">
        <v>0</v>
      </c>
      <c r="BJ23" s="804">
        <v>0.5</v>
      </c>
      <c r="BK23" s="804">
        <v>0.49</v>
      </c>
      <c r="BL23" s="804">
        <v>0</v>
      </c>
      <c r="BM23" s="804">
        <v>0.01</v>
      </c>
      <c r="BN23" s="804">
        <v>1</v>
      </c>
      <c r="BO23" s="804">
        <v>-1749721.9999999981</v>
      </c>
      <c r="BP23" s="804">
        <v>-1714728</v>
      </c>
      <c r="BQ23" s="804">
        <v>0</v>
      </c>
      <c r="BR23" s="804">
        <v>-34994</v>
      </c>
      <c r="BS23" s="804">
        <v>-3499443.9999999981</v>
      </c>
      <c r="BT23" s="804">
        <v>0.5</v>
      </c>
      <c r="BU23" s="804">
        <v>0.49</v>
      </c>
      <c r="BV23" s="804">
        <v>0</v>
      </c>
      <c r="BW23" s="804">
        <v>0.01</v>
      </c>
      <c r="BX23" s="804">
        <v>1</v>
      </c>
      <c r="BY23" s="804">
        <v>-122841.83000000007</v>
      </c>
      <c r="BZ23" s="804">
        <v>-120386</v>
      </c>
      <c r="CA23" s="804">
        <v>0</v>
      </c>
      <c r="CB23" s="804">
        <v>-2457</v>
      </c>
      <c r="CC23" s="804">
        <v>-245684.83000000007</v>
      </c>
      <c r="CD23" s="804">
        <v>-1872564</v>
      </c>
      <c r="CE23" s="804">
        <v>-1835114</v>
      </c>
      <c r="CF23" s="804">
        <v>0</v>
      </c>
      <c r="CG23" s="804">
        <v>-37451</v>
      </c>
      <c r="CH23" s="804">
        <v>-3745128.8299999982</v>
      </c>
      <c r="CI23" s="804">
        <v>30972800</v>
      </c>
      <c r="CJ23" s="804">
        <v>31225128</v>
      </c>
      <c r="CK23" s="804">
        <v>0</v>
      </c>
      <c r="CL23" s="804">
        <v>619456</v>
      </c>
      <c r="CM23" s="804">
        <v>62817384</v>
      </c>
      <c r="CN23" s="804">
        <v>1315834</v>
      </c>
      <c r="CO23" s="804">
        <v>0</v>
      </c>
      <c r="CP23" s="804">
        <v>26329</v>
      </c>
      <c r="CQ23" s="804">
        <v>1342163</v>
      </c>
      <c r="CR23" s="804">
        <v>2081859</v>
      </c>
      <c r="CS23" s="804">
        <v>0</v>
      </c>
      <c r="CT23" s="804">
        <v>42487</v>
      </c>
      <c r="CU23" s="804">
        <v>2124346</v>
      </c>
      <c r="CV23" s="804">
        <v>131973</v>
      </c>
      <c r="CW23" s="804">
        <v>0</v>
      </c>
      <c r="CX23" s="804">
        <v>2693</v>
      </c>
      <c r="CY23" s="804">
        <v>134666</v>
      </c>
      <c r="CZ23" s="804">
        <v>2771</v>
      </c>
      <c r="DA23" s="804">
        <v>0</v>
      </c>
      <c r="DB23" s="804">
        <v>57</v>
      </c>
      <c r="DC23" s="804">
        <v>2828</v>
      </c>
      <c r="DD23" s="804">
        <v>18897</v>
      </c>
      <c r="DE23" s="804">
        <v>0</v>
      </c>
      <c r="DF23" s="804">
        <v>386</v>
      </c>
      <c r="DG23" s="804">
        <v>19283</v>
      </c>
      <c r="DH23" s="804">
        <v>5396</v>
      </c>
      <c r="DI23" s="804">
        <v>0</v>
      </c>
      <c r="DJ23" s="804">
        <v>110</v>
      </c>
      <c r="DK23" s="804">
        <v>5506</v>
      </c>
      <c r="DL23" s="804">
        <v>3058</v>
      </c>
      <c r="DM23" s="804">
        <v>0</v>
      </c>
      <c r="DN23" s="804">
        <v>62</v>
      </c>
      <c r="DO23" s="804">
        <v>3120</v>
      </c>
      <c r="DP23" s="804">
        <v>0</v>
      </c>
      <c r="DQ23" s="804">
        <v>0</v>
      </c>
      <c r="DR23" s="804">
        <v>0</v>
      </c>
      <c r="DS23" s="804">
        <v>0</v>
      </c>
      <c r="DT23" s="804">
        <v>0</v>
      </c>
      <c r="DU23" s="804">
        <v>0</v>
      </c>
      <c r="DV23" s="804">
        <v>0</v>
      </c>
      <c r="DW23" s="804">
        <v>0</v>
      </c>
      <c r="DX23" s="804">
        <v>721949</v>
      </c>
      <c r="DY23" s="804">
        <v>0</v>
      </c>
      <c r="DZ23" s="804">
        <v>14734</v>
      </c>
      <c r="EA23" s="804">
        <v>736683</v>
      </c>
      <c r="EB23" s="804">
        <v>4281737</v>
      </c>
      <c r="EC23" s="804">
        <v>0</v>
      </c>
      <c r="ED23" s="804">
        <v>86858</v>
      </c>
      <c r="EE23" s="804">
        <v>4368595</v>
      </c>
      <c r="EF23" s="604" t="s">
        <v>706</v>
      </c>
      <c r="EG23" s="497" t="s">
        <v>524</v>
      </c>
      <c r="EH23" s="630" t="s">
        <v>530</v>
      </c>
      <c r="EI23" s="118" t="s">
        <v>1676</v>
      </c>
    </row>
    <row r="24" spans="1:139" ht="12.75" x14ac:dyDescent="0.2">
      <c r="A24" s="805">
        <v>17</v>
      </c>
      <c r="B24" s="606" t="s">
        <v>709</v>
      </c>
      <c r="C24" s="607" t="s">
        <v>1190</v>
      </c>
      <c r="D24" s="608" t="s">
        <v>1191</v>
      </c>
      <c r="E24" s="609" t="s">
        <v>708</v>
      </c>
      <c r="F24" s="802">
        <v>77273007</v>
      </c>
      <c r="G24" s="804">
        <v>0</v>
      </c>
      <c r="H24" s="804">
        <v>177685</v>
      </c>
      <c r="I24" s="804">
        <v>245296</v>
      </c>
      <c r="J24" s="804">
        <v>0</v>
      </c>
      <c r="K24" s="804">
        <v>245296</v>
      </c>
      <c r="L24" s="804">
        <v>0</v>
      </c>
      <c r="M24" s="804">
        <v>0</v>
      </c>
      <c r="N24" s="804">
        <v>0</v>
      </c>
      <c r="O24" s="804">
        <v>0</v>
      </c>
      <c r="P24" s="804">
        <v>0</v>
      </c>
      <c r="Q24" s="804">
        <v>0</v>
      </c>
      <c r="R24" s="804">
        <v>76850026</v>
      </c>
      <c r="S24" s="804">
        <v>0.33</v>
      </c>
      <c r="T24" s="804">
        <v>0.3</v>
      </c>
      <c r="U24" s="804">
        <v>0.37</v>
      </c>
      <c r="V24" s="804">
        <v>0</v>
      </c>
      <c r="W24" s="804">
        <v>1</v>
      </c>
      <c r="X24" s="804">
        <v>25360508</v>
      </c>
      <c r="Y24" s="804">
        <v>23055008</v>
      </c>
      <c r="Z24" s="804">
        <v>28434510</v>
      </c>
      <c r="AA24" s="804">
        <v>0</v>
      </c>
      <c r="AB24" s="804">
        <v>76850026</v>
      </c>
      <c r="AC24" s="804">
        <v>0</v>
      </c>
      <c r="AD24" s="804">
        <v>0</v>
      </c>
      <c r="AE24" s="804">
        <v>0</v>
      </c>
      <c r="AF24" s="804">
        <v>0</v>
      </c>
      <c r="AG24" s="804">
        <v>0</v>
      </c>
      <c r="AH24" s="804">
        <v>25360508</v>
      </c>
      <c r="AI24" s="804">
        <v>23055008</v>
      </c>
      <c r="AJ24" s="804">
        <v>28434510</v>
      </c>
      <c r="AK24" s="804">
        <v>0</v>
      </c>
      <c r="AL24" s="804">
        <v>76850026</v>
      </c>
      <c r="AM24" s="804">
        <v>245296</v>
      </c>
      <c r="AN24" s="804">
        <v>245296</v>
      </c>
      <c r="AO24" s="804">
        <v>0</v>
      </c>
      <c r="AP24" s="804">
        <v>0</v>
      </c>
      <c r="AQ24" s="804">
        <v>0</v>
      </c>
      <c r="AR24" s="804">
        <v>0</v>
      </c>
      <c r="AS24" s="804">
        <v>0</v>
      </c>
      <c r="AT24" s="804">
        <v>0</v>
      </c>
      <c r="AU24" s="804">
        <v>0</v>
      </c>
      <c r="AV24" s="804">
        <v>0</v>
      </c>
      <c r="AW24" s="804">
        <v>0</v>
      </c>
      <c r="AX24" s="804">
        <v>0</v>
      </c>
      <c r="AY24" s="804">
        <v>0</v>
      </c>
      <c r="AZ24" s="804">
        <v>0</v>
      </c>
      <c r="BA24" s="804">
        <v>0</v>
      </c>
      <c r="BB24" s="804">
        <v>0</v>
      </c>
      <c r="BC24" s="804">
        <v>0</v>
      </c>
      <c r="BD24" s="804">
        <v>0</v>
      </c>
      <c r="BE24" s="804">
        <v>0</v>
      </c>
      <c r="BF24" s="804">
        <v>0</v>
      </c>
      <c r="BG24" s="804">
        <v>0</v>
      </c>
      <c r="BH24" s="804">
        <v>0</v>
      </c>
      <c r="BI24" s="804">
        <v>0</v>
      </c>
      <c r="BJ24" s="804">
        <v>0.25</v>
      </c>
      <c r="BK24" s="804">
        <v>0.48</v>
      </c>
      <c r="BL24" s="804">
        <v>0.27</v>
      </c>
      <c r="BM24" s="804">
        <v>0</v>
      </c>
      <c r="BN24" s="804">
        <v>1</v>
      </c>
      <c r="BO24" s="804">
        <v>840929.00000000559</v>
      </c>
      <c r="BP24" s="804">
        <v>1614584</v>
      </c>
      <c r="BQ24" s="804">
        <v>908204</v>
      </c>
      <c r="BR24" s="804">
        <v>0</v>
      </c>
      <c r="BS24" s="804">
        <v>3363717.0000000056</v>
      </c>
      <c r="BT24" s="804">
        <v>0</v>
      </c>
      <c r="BU24" s="804">
        <v>0.64</v>
      </c>
      <c r="BV24" s="804">
        <v>0.36</v>
      </c>
      <c r="BW24" s="804">
        <v>0</v>
      </c>
      <c r="BX24" s="804">
        <v>1</v>
      </c>
      <c r="BY24" s="804">
        <v>-0.30000000260770321</v>
      </c>
      <c r="BZ24" s="804">
        <v>1621107</v>
      </c>
      <c r="CA24" s="804">
        <v>911873</v>
      </c>
      <c r="CB24" s="804">
        <v>0</v>
      </c>
      <c r="CC24" s="804">
        <v>2532979.6999999974</v>
      </c>
      <c r="CD24" s="804">
        <v>840929</v>
      </c>
      <c r="CE24" s="804">
        <v>3235691</v>
      </c>
      <c r="CF24" s="804">
        <v>1820077</v>
      </c>
      <c r="CG24" s="804">
        <v>0</v>
      </c>
      <c r="CH24" s="804">
        <v>5896696.700000003</v>
      </c>
      <c r="CI24" s="804">
        <v>26201437</v>
      </c>
      <c r="CJ24" s="804">
        <v>26535995</v>
      </c>
      <c r="CK24" s="804">
        <v>30254587</v>
      </c>
      <c r="CL24" s="804">
        <v>0</v>
      </c>
      <c r="CM24" s="804">
        <v>82992019</v>
      </c>
      <c r="CN24" s="804">
        <v>924048</v>
      </c>
      <c r="CO24" s="804">
        <v>1139660</v>
      </c>
      <c r="CP24" s="804">
        <v>0</v>
      </c>
      <c r="CQ24" s="804">
        <v>2063708</v>
      </c>
      <c r="CR24" s="804">
        <v>1472260</v>
      </c>
      <c r="CS24" s="804">
        <v>1815787</v>
      </c>
      <c r="CT24" s="804">
        <v>0</v>
      </c>
      <c r="CU24" s="804">
        <v>3288047</v>
      </c>
      <c r="CV24" s="804">
        <v>71598</v>
      </c>
      <c r="CW24" s="804">
        <v>88304</v>
      </c>
      <c r="CX24" s="804">
        <v>0</v>
      </c>
      <c r="CY24" s="804">
        <v>159902</v>
      </c>
      <c r="CZ24" s="804">
        <v>1028</v>
      </c>
      <c r="DA24" s="804">
        <v>1267</v>
      </c>
      <c r="DB24" s="804">
        <v>0</v>
      </c>
      <c r="DC24" s="804">
        <v>2295</v>
      </c>
      <c r="DD24" s="804">
        <v>0</v>
      </c>
      <c r="DE24" s="804">
        <v>0</v>
      </c>
      <c r="DF24" s="804">
        <v>0</v>
      </c>
      <c r="DG24" s="804">
        <v>0</v>
      </c>
      <c r="DH24" s="804">
        <v>9788</v>
      </c>
      <c r="DI24" s="804">
        <v>12072</v>
      </c>
      <c r="DJ24" s="804">
        <v>0</v>
      </c>
      <c r="DK24" s="804">
        <v>21860</v>
      </c>
      <c r="DL24" s="804">
        <v>4889</v>
      </c>
      <c r="DM24" s="804">
        <v>6030</v>
      </c>
      <c r="DN24" s="804">
        <v>0</v>
      </c>
      <c r="DO24" s="804">
        <v>10919</v>
      </c>
      <c r="DP24" s="804">
        <v>0</v>
      </c>
      <c r="DQ24" s="804">
        <v>0</v>
      </c>
      <c r="DR24" s="804">
        <v>0</v>
      </c>
      <c r="DS24" s="804">
        <v>0</v>
      </c>
      <c r="DT24" s="804">
        <v>0</v>
      </c>
      <c r="DU24" s="804">
        <v>0</v>
      </c>
      <c r="DV24" s="804">
        <v>0</v>
      </c>
      <c r="DW24" s="804">
        <v>0</v>
      </c>
      <c r="DX24" s="804">
        <v>361389</v>
      </c>
      <c r="DY24" s="804">
        <v>445713</v>
      </c>
      <c r="DZ24" s="804">
        <v>0</v>
      </c>
      <c r="EA24" s="804">
        <v>807102</v>
      </c>
      <c r="EB24" s="804">
        <v>2845000</v>
      </c>
      <c r="EC24" s="804">
        <v>3508833</v>
      </c>
      <c r="ED24" s="804">
        <v>0</v>
      </c>
      <c r="EE24" s="804">
        <v>6353833</v>
      </c>
      <c r="EF24" s="604" t="s">
        <v>708</v>
      </c>
      <c r="EG24" s="497" t="s">
        <v>623</v>
      </c>
      <c r="EH24" s="243" t="s">
        <v>523</v>
      </c>
      <c r="EI24" s="118" t="s">
        <v>1677</v>
      </c>
    </row>
    <row r="25" spans="1:139" ht="12.75" x14ac:dyDescent="0.2">
      <c r="A25" s="805">
        <v>18</v>
      </c>
      <c r="B25" s="606" t="s">
        <v>711</v>
      </c>
      <c r="C25" s="607" t="s">
        <v>1192</v>
      </c>
      <c r="D25" s="608" t="s">
        <v>1195</v>
      </c>
      <c r="E25" s="609" t="s">
        <v>710</v>
      </c>
      <c r="F25" s="802">
        <v>458735204</v>
      </c>
      <c r="G25" s="804">
        <v>0</v>
      </c>
      <c r="H25" s="804">
        <v>1068250</v>
      </c>
      <c r="I25" s="804">
        <v>1822825</v>
      </c>
      <c r="J25" s="804">
        <v>0</v>
      </c>
      <c r="K25" s="804">
        <v>1822825</v>
      </c>
      <c r="L25" s="804">
        <v>0</v>
      </c>
      <c r="M25" s="804">
        <v>10183118</v>
      </c>
      <c r="N25" s="804">
        <v>0</v>
      </c>
      <c r="O25" s="804">
        <v>0</v>
      </c>
      <c r="P25" s="804">
        <v>0</v>
      </c>
      <c r="Q25" s="804">
        <v>0</v>
      </c>
      <c r="R25" s="804">
        <v>445661011</v>
      </c>
      <c r="S25" s="804">
        <v>0</v>
      </c>
      <c r="T25" s="804">
        <v>0.99</v>
      </c>
      <c r="U25" s="804">
        <v>0</v>
      </c>
      <c r="V25" s="804">
        <v>0.01</v>
      </c>
      <c r="W25" s="804">
        <v>1</v>
      </c>
      <c r="X25" s="804">
        <v>0</v>
      </c>
      <c r="Y25" s="804">
        <v>441204401</v>
      </c>
      <c r="Z25" s="804">
        <v>0</v>
      </c>
      <c r="AA25" s="804">
        <v>4456610</v>
      </c>
      <c r="AB25" s="804">
        <v>445661011</v>
      </c>
      <c r="AC25" s="804">
        <v>0</v>
      </c>
      <c r="AD25" s="804">
        <v>0</v>
      </c>
      <c r="AE25" s="804">
        <v>0</v>
      </c>
      <c r="AF25" s="804">
        <v>0</v>
      </c>
      <c r="AG25" s="804">
        <v>0</v>
      </c>
      <c r="AH25" s="804">
        <v>0</v>
      </c>
      <c r="AI25" s="804">
        <v>441204401</v>
      </c>
      <c r="AJ25" s="804">
        <v>0</v>
      </c>
      <c r="AK25" s="804">
        <v>4456610</v>
      </c>
      <c r="AL25" s="804">
        <v>445661011</v>
      </c>
      <c r="AM25" s="804">
        <v>1822825</v>
      </c>
      <c r="AN25" s="804">
        <v>1822825</v>
      </c>
      <c r="AO25" s="804">
        <v>10183118</v>
      </c>
      <c r="AP25" s="804">
        <v>10183118</v>
      </c>
      <c r="AQ25" s="804">
        <v>0</v>
      </c>
      <c r="AR25" s="804">
        <v>0</v>
      </c>
      <c r="AS25" s="804">
        <v>0</v>
      </c>
      <c r="AT25" s="804">
        <v>0</v>
      </c>
      <c r="AU25" s="804">
        <v>0</v>
      </c>
      <c r="AV25" s="804">
        <v>0</v>
      </c>
      <c r="AW25" s="804">
        <v>0</v>
      </c>
      <c r="AX25" s="804">
        <v>0</v>
      </c>
      <c r="AY25" s="804">
        <v>0</v>
      </c>
      <c r="AZ25" s="804">
        <v>0</v>
      </c>
      <c r="BA25" s="804">
        <v>0</v>
      </c>
      <c r="BB25" s="804">
        <v>0</v>
      </c>
      <c r="BC25" s="804">
        <v>0</v>
      </c>
      <c r="BD25" s="804">
        <v>0</v>
      </c>
      <c r="BE25" s="804">
        <v>0</v>
      </c>
      <c r="BF25" s="804">
        <v>0</v>
      </c>
      <c r="BG25" s="804">
        <v>0</v>
      </c>
      <c r="BH25" s="804">
        <v>0</v>
      </c>
      <c r="BI25" s="804">
        <v>0</v>
      </c>
      <c r="BJ25" s="804">
        <v>0</v>
      </c>
      <c r="BK25" s="804">
        <v>0.99</v>
      </c>
      <c r="BL25" s="804">
        <v>0</v>
      </c>
      <c r="BM25" s="804">
        <v>0.01</v>
      </c>
      <c r="BN25" s="804">
        <v>1</v>
      </c>
      <c r="BO25" s="804">
        <v>0</v>
      </c>
      <c r="BP25" s="804">
        <v>-10150572</v>
      </c>
      <c r="BQ25" s="804">
        <v>0</v>
      </c>
      <c r="BR25" s="804">
        <v>-102531</v>
      </c>
      <c r="BS25" s="804">
        <v>-10253103</v>
      </c>
      <c r="BT25" s="804">
        <v>0</v>
      </c>
      <c r="BU25" s="804">
        <v>0.99</v>
      </c>
      <c r="BV25" s="804">
        <v>0</v>
      </c>
      <c r="BW25" s="804">
        <v>0.01</v>
      </c>
      <c r="BX25" s="804">
        <v>1</v>
      </c>
      <c r="BY25" s="804">
        <v>0</v>
      </c>
      <c r="BZ25" s="804">
        <v>-5209540</v>
      </c>
      <c r="CA25" s="804">
        <v>0</v>
      </c>
      <c r="CB25" s="804">
        <v>-52622</v>
      </c>
      <c r="CC25" s="804">
        <v>-5262162</v>
      </c>
      <c r="CD25" s="804">
        <v>0</v>
      </c>
      <c r="CE25" s="804">
        <v>-15360112</v>
      </c>
      <c r="CF25" s="804">
        <v>0</v>
      </c>
      <c r="CG25" s="804">
        <v>-155153</v>
      </c>
      <c r="CH25" s="804">
        <v>-15515265</v>
      </c>
      <c r="CI25" s="804">
        <v>0</v>
      </c>
      <c r="CJ25" s="804">
        <v>437850232</v>
      </c>
      <c r="CK25" s="804">
        <v>0</v>
      </c>
      <c r="CL25" s="804">
        <v>4301457</v>
      </c>
      <c r="CM25" s="804">
        <v>442151689</v>
      </c>
      <c r="CN25" s="804">
        <v>18091684</v>
      </c>
      <c r="CO25" s="804">
        <v>0</v>
      </c>
      <c r="CP25" s="804">
        <v>178622</v>
      </c>
      <c r="CQ25" s="804">
        <v>18270306</v>
      </c>
      <c r="CR25" s="804">
        <v>29328142</v>
      </c>
      <c r="CS25" s="804">
        <v>0</v>
      </c>
      <c r="CT25" s="804">
        <v>288847</v>
      </c>
      <c r="CU25" s="804">
        <v>29616989</v>
      </c>
      <c r="CV25" s="804">
        <v>1766065</v>
      </c>
      <c r="CW25" s="804">
        <v>0</v>
      </c>
      <c r="CX25" s="804">
        <v>17330</v>
      </c>
      <c r="CY25" s="804">
        <v>1783395</v>
      </c>
      <c r="CZ25" s="804">
        <v>0</v>
      </c>
      <c r="DA25" s="804">
        <v>0</v>
      </c>
      <c r="DB25" s="804">
        <v>0</v>
      </c>
      <c r="DC25" s="804">
        <v>0</v>
      </c>
      <c r="DD25" s="804">
        <v>0</v>
      </c>
      <c r="DE25" s="804">
        <v>0</v>
      </c>
      <c r="DF25" s="804">
        <v>0</v>
      </c>
      <c r="DG25" s="804">
        <v>0</v>
      </c>
      <c r="DH25" s="804">
        <v>542561</v>
      </c>
      <c r="DI25" s="804">
        <v>0</v>
      </c>
      <c r="DJ25" s="804">
        <v>5480</v>
      </c>
      <c r="DK25" s="804">
        <v>548041</v>
      </c>
      <c r="DL25" s="804">
        <v>77226</v>
      </c>
      <c r="DM25" s="804">
        <v>0</v>
      </c>
      <c r="DN25" s="804">
        <v>780</v>
      </c>
      <c r="DO25" s="804">
        <v>78006</v>
      </c>
      <c r="DP25" s="804">
        <v>872371</v>
      </c>
      <c r="DQ25" s="804">
        <v>0</v>
      </c>
      <c r="DR25" s="804">
        <v>0</v>
      </c>
      <c r="DS25" s="804">
        <v>872371</v>
      </c>
      <c r="DT25" s="804">
        <v>0</v>
      </c>
      <c r="DU25" s="804">
        <v>0</v>
      </c>
      <c r="DV25" s="804">
        <v>0</v>
      </c>
      <c r="DW25" s="804">
        <v>0</v>
      </c>
      <c r="DX25" s="804">
        <v>7170919</v>
      </c>
      <c r="DY25" s="804">
        <v>0</v>
      </c>
      <c r="DZ25" s="804">
        <v>70731</v>
      </c>
      <c r="EA25" s="804">
        <v>7241650</v>
      </c>
      <c r="EB25" s="804">
        <v>57848968</v>
      </c>
      <c r="EC25" s="804">
        <v>0</v>
      </c>
      <c r="ED25" s="804">
        <v>561790</v>
      </c>
      <c r="EE25" s="804">
        <v>58410758</v>
      </c>
      <c r="EF25" s="604" t="s">
        <v>710</v>
      </c>
      <c r="EG25" s="497" t="s">
        <v>616</v>
      </c>
      <c r="EH25" s="630" t="s">
        <v>621</v>
      </c>
      <c r="EI25" s="118" t="s">
        <v>1678</v>
      </c>
    </row>
    <row r="26" spans="1:139" ht="12.75" x14ac:dyDescent="0.2">
      <c r="A26" s="805">
        <v>19</v>
      </c>
      <c r="B26" s="606" t="s">
        <v>713</v>
      </c>
      <c r="C26" s="607" t="s">
        <v>1185</v>
      </c>
      <c r="D26" s="608" t="s">
        <v>1188</v>
      </c>
      <c r="E26" s="609" t="s">
        <v>712</v>
      </c>
      <c r="F26" s="802">
        <v>49964419.99000001</v>
      </c>
      <c r="G26" s="804">
        <v>0</v>
      </c>
      <c r="H26" s="804">
        <v>31649.209999999992</v>
      </c>
      <c r="I26" s="804">
        <v>103266</v>
      </c>
      <c r="J26" s="804">
        <v>0</v>
      </c>
      <c r="K26" s="804">
        <v>103266</v>
      </c>
      <c r="L26" s="804">
        <v>0</v>
      </c>
      <c r="M26" s="804">
        <v>0</v>
      </c>
      <c r="N26" s="804">
        <v>0</v>
      </c>
      <c r="O26" s="804">
        <v>0</v>
      </c>
      <c r="P26" s="804">
        <v>0</v>
      </c>
      <c r="Q26" s="804">
        <v>0</v>
      </c>
      <c r="R26" s="804">
        <v>49829505</v>
      </c>
      <c r="S26" s="804">
        <v>0.5</v>
      </c>
      <c r="T26" s="804">
        <v>0.4</v>
      </c>
      <c r="U26" s="804">
        <v>0.09</v>
      </c>
      <c r="V26" s="804">
        <v>0.01</v>
      </c>
      <c r="W26" s="804">
        <v>1</v>
      </c>
      <c r="X26" s="804">
        <v>24914753</v>
      </c>
      <c r="Y26" s="804">
        <v>19931802</v>
      </c>
      <c r="Z26" s="804">
        <v>4484655</v>
      </c>
      <c r="AA26" s="804">
        <v>498295</v>
      </c>
      <c r="AB26" s="804">
        <v>49829505</v>
      </c>
      <c r="AC26" s="804">
        <v>0</v>
      </c>
      <c r="AD26" s="804">
        <v>0</v>
      </c>
      <c r="AE26" s="804">
        <v>0</v>
      </c>
      <c r="AF26" s="804">
        <v>0</v>
      </c>
      <c r="AG26" s="804">
        <v>0</v>
      </c>
      <c r="AH26" s="804">
        <v>24914753</v>
      </c>
      <c r="AI26" s="804">
        <v>19931802</v>
      </c>
      <c r="AJ26" s="804">
        <v>4484655</v>
      </c>
      <c r="AK26" s="804">
        <v>498295</v>
      </c>
      <c r="AL26" s="804">
        <v>49829505</v>
      </c>
      <c r="AM26" s="804">
        <v>103266</v>
      </c>
      <c r="AN26" s="804">
        <v>103266</v>
      </c>
      <c r="AO26" s="804">
        <v>0</v>
      </c>
      <c r="AP26" s="804">
        <v>0</v>
      </c>
      <c r="AQ26" s="804">
        <v>0</v>
      </c>
      <c r="AR26" s="804">
        <v>0</v>
      </c>
      <c r="AS26" s="804">
        <v>0</v>
      </c>
      <c r="AT26" s="804">
        <v>0</v>
      </c>
      <c r="AU26" s="804">
        <v>0</v>
      </c>
      <c r="AV26" s="804">
        <v>0</v>
      </c>
      <c r="AW26" s="804">
        <v>0</v>
      </c>
      <c r="AX26" s="804">
        <v>0</v>
      </c>
      <c r="AY26" s="804">
        <v>0</v>
      </c>
      <c r="AZ26" s="804">
        <v>0</v>
      </c>
      <c r="BA26" s="804">
        <v>0</v>
      </c>
      <c r="BB26" s="804">
        <v>0</v>
      </c>
      <c r="BC26" s="804">
        <v>0</v>
      </c>
      <c r="BD26" s="804">
        <v>0</v>
      </c>
      <c r="BE26" s="804">
        <v>0</v>
      </c>
      <c r="BF26" s="804">
        <v>0</v>
      </c>
      <c r="BG26" s="804">
        <v>0</v>
      </c>
      <c r="BH26" s="804">
        <v>0</v>
      </c>
      <c r="BI26" s="804">
        <v>0</v>
      </c>
      <c r="BJ26" s="804">
        <v>0.25</v>
      </c>
      <c r="BK26" s="804">
        <v>0.375</v>
      </c>
      <c r="BL26" s="804">
        <v>0.36499999999999999</v>
      </c>
      <c r="BM26" s="804">
        <v>0.01</v>
      </c>
      <c r="BN26" s="804">
        <v>1</v>
      </c>
      <c r="BO26" s="804">
        <v>-298830</v>
      </c>
      <c r="BP26" s="804">
        <v>-448245</v>
      </c>
      <c r="BQ26" s="804">
        <v>-436292</v>
      </c>
      <c r="BR26" s="804">
        <v>-11953</v>
      </c>
      <c r="BS26" s="804">
        <v>-1195320</v>
      </c>
      <c r="BT26" s="804">
        <v>0.5</v>
      </c>
      <c r="BU26" s="804">
        <v>0.4</v>
      </c>
      <c r="BV26" s="804">
        <v>0.09</v>
      </c>
      <c r="BW26" s="804">
        <v>0.01</v>
      </c>
      <c r="BX26" s="804">
        <v>1</v>
      </c>
      <c r="BY26" s="804">
        <v>170808</v>
      </c>
      <c r="BZ26" s="804">
        <v>136647</v>
      </c>
      <c r="CA26" s="804">
        <v>30746</v>
      </c>
      <c r="CB26" s="804">
        <v>3416</v>
      </c>
      <c r="CC26" s="804">
        <v>341617</v>
      </c>
      <c r="CD26" s="804">
        <v>-128022</v>
      </c>
      <c r="CE26" s="804">
        <v>-311598</v>
      </c>
      <c r="CF26" s="804">
        <v>-405546</v>
      </c>
      <c r="CG26" s="804">
        <v>-8537</v>
      </c>
      <c r="CH26" s="804">
        <v>-853703</v>
      </c>
      <c r="CI26" s="804">
        <v>24786731</v>
      </c>
      <c r="CJ26" s="804">
        <v>19723470</v>
      </c>
      <c r="CK26" s="804">
        <v>4079109</v>
      </c>
      <c r="CL26" s="804">
        <v>489758</v>
      </c>
      <c r="CM26" s="804">
        <v>49079068</v>
      </c>
      <c r="CN26" s="804">
        <v>798870</v>
      </c>
      <c r="CO26" s="804">
        <v>179746</v>
      </c>
      <c r="CP26" s="804">
        <v>19972</v>
      </c>
      <c r="CQ26" s="804">
        <v>998588</v>
      </c>
      <c r="CR26" s="804">
        <v>683537</v>
      </c>
      <c r="CS26" s="804">
        <v>153796</v>
      </c>
      <c r="CT26" s="804">
        <v>17088</v>
      </c>
      <c r="CU26" s="804">
        <v>854421</v>
      </c>
      <c r="CV26" s="804">
        <v>53774</v>
      </c>
      <c r="CW26" s="804">
        <v>12099</v>
      </c>
      <c r="CX26" s="804">
        <v>1344</v>
      </c>
      <c r="CY26" s="804">
        <v>67217</v>
      </c>
      <c r="CZ26" s="804">
        <v>2398</v>
      </c>
      <c r="DA26" s="804">
        <v>539</v>
      </c>
      <c r="DB26" s="804">
        <v>60</v>
      </c>
      <c r="DC26" s="804">
        <v>2997</v>
      </c>
      <c r="DD26" s="804">
        <v>0</v>
      </c>
      <c r="DE26" s="804">
        <v>0</v>
      </c>
      <c r="DF26" s="804">
        <v>0</v>
      </c>
      <c r="DG26" s="804">
        <v>0</v>
      </c>
      <c r="DH26" s="804">
        <v>7565</v>
      </c>
      <c r="DI26" s="804">
        <v>1702</v>
      </c>
      <c r="DJ26" s="804">
        <v>189</v>
      </c>
      <c r="DK26" s="804">
        <v>9456</v>
      </c>
      <c r="DL26" s="804">
        <v>2327</v>
      </c>
      <c r="DM26" s="804">
        <v>523</v>
      </c>
      <c r="DN26" s="804">
        <v>58</v>
      </c>
      <c r="DO26" s="804">
        <v>2908</v>
      </c>
      <c r="DP26" s="804">
        <v>0</v>
      </c>
      <c r="DQ26" s="804">
        <v>0</v>
      </c>
      <c r="DR26" s="804">
        <v>0</v>
      </c>
      <c r="DS26" s="804">
        <v>0</v>
      </c>
      <c r="DT26" s="804">
        <v>0</v>
      </c>
      <c r="DU26" s="804">
        <v>0</v>
      </c>
      <c r="DV26" s="804">
        <v>0</v>
      </c>
      <c r="DW26" s="804">
        <v>0</v>
      </c>
      <c r="DX26" s="804">
        <v>46481</v>
      </c>
      <c r="DY26" s="804">
        <v>10458</v>
      </c>
      <c r="DZ26" s="804">
        <v>1162</v>
      </c>
      <c r="EA26" s="804">
        <v>58101</v>
      </c>
      <c r="EB26" s="804">
        <v>1594952</v>
      </c>
      <c r="EC26" s="804">
        <v>358863</v>
      </c>
      <c r="ED26" s="804">
        <v>39873</v>
      </c>
      <c r="EE26" s="804">
        <v>1993688</v>
      </c>
      <c r="EF26" s="604" t="s">
        <v>712</v>
      </c>
      <c r="EG26" s="497" t="s">
        <v>594</v>
      </c>
      <c r="EH26" s="630" t="s">
        <v>592</v>
      </c>
      <c r="EI26" s="118" t="s">
        <v>1679</v>
      </c>
    </row>
    <row r="27" spans="1:139" ht="12.75" x14ac:dyDescent="0.2">
      <c r="A27" s="805">
        <v>20</v>
      </c>
      <c r="B27" s="606" t="s">
        <v>715</v>
      </c>
      <c r="C27" s="607" t="s">
        <v>524</v>
      </c>
      <c r="D27" s="608" t="s">
        <v>1187</v>
      </c>
      <c r="E27" s="609" t="s">
        <v>587</v>
      </c>
      <c r="F27" s="802">
        <v>43261669</v>
      </c>
      <c r="G27" s="804">
        <v>0</v>
      </c>
      <c r="H27" s="804">
        <v>1000000</v>
      </c>
      <c r="I27" s="804">
        <v>246883</v>
      </c>
      <c r="J27" s="804">
        <v>0</v>
      </c>
      <c r="K27" s="804">
        <v>246883</v>
      </c>
      <c r="L27" s="804">
        <v>0</v>
      </c>
      <c r="M27" s="804">
        <v>0</v>
      </c>
      <c r="N27" s="804">
        <v>0</v>
      </c>
      <c r="O27" s="804">
        <v>0</v>
      </c>
      <c r="P27" s="804">
        <v>0</v>
      </c>
      <c r="Q27" s="804">
        <v>0</v>
      </c>
      <c r="R27" s="804">
        <v>42014786</v>
      </c>
      <c r="S27" s="804">
        <v>0.5</v>
      </c>
      <c r="T27" s="804">
        <v>0.49</v>
      </c>
      <c r="U27" s="804">
        <v>0</v>
      </c>
      <c r="V27" s="804">
        <v>0.01</v>
      </c>
      <c r="W27" s="804">
        <v>1</v>
      </c>
      <c r="X27" s="804">
        <v>21007393</v>
      </c>
      <c r="Y27" s="804">
        <v>20587245</v>
      </c>
      <c r="Z27" s="804">
        <v>0</v>
      </c>
      <c r="AA27" s="804">
        <v>420148</v>
      </c>
      <c r="AB27" s="804">
        <v>42014786</v>
      </c>
      <c r="AC27" s="804">
        <v>0</v>
      </c>
      <c r="AD27" s="804">
        <v>0</v>
      </c>
      <c r="AE27" s="804">
        <v>0</v>
      </c>
      <c r="AF27" s="804">
        <v>0</v>
      </c>
      <c r="AG27" s="804">
        <v>0</v>
      </c>
      <c r="AH27" s="804">
        <v>21007393</v>
      </c>
      <c r="AI27" s="804">
        <v>20587245</v>
      </c>
      <c r="AJ27" s="804">
        <v>0</v>
      </c>
      <c r="AK27" s="804">
        <v>420148</v>
      </c>
      <c r="AL27" s="804">
        <v>42014786</v>
      </c>
      <c r="AM27" s="804">
        <v>246883</v>
      </c>
      <c r="AN27" s="804">
        <v>246883</v>
      </c>
      <c r="AO27" s="804">
        <v>0</v>
      </c>
      <c r="AP27" s="804">
        <v>0</v>
      </c>
      <c r="AQ27" s="804">
        <v>0</v>
      </c>
      <c r="AR27" s="804">
        <v>0</v>
      </c>
      <c r="AS27" s="804">
        <v>0</v>
      </c>
      <c r="AT27" s="804">
        <v>0</v>
      </c>
      <c r="AU27" s="804">
        <v>0</v>
      </c>
      <c r="AV27" s="804">
        <v>0</v>
      </c>
      <c r="AW27" s="804">
        <v>0</v>
      </c>
      <c r="AX27" s="804">
        <v>0</v>
      </c>
      <c r="AY27" s="804">
        <v>0</v>
      </c>
      <c r="AZ27" s="804">
        <v>0</v>
      </c>
      <c r="BA27" s="804">
        <v>0</v>
      </c>
      <c r="BB27" s="804">
        <v>0</v>
      </c>
      <c r="BC27" s="804">
        <v>0</v>
      </c>
      <c r="BD27" s="804">
        <v>0</v>
      </c>
      <c r="BE27" s="804">
        <v>0</v>
      </c>
      <c r="BF27" s="804">
        <v>0</v>
      </c>
      <c r="BG27" s="804">
        <v>0</v>
      </c>
      <c r="BH27" s="804">
        <v>0</v>
      </c>
      <c r="BI27" s="804">
        <v>0</v>
      </c>
      <c r="BJ27" s="804">
        <v>0.25</v>
      </c>
      <c r="BK27" s="804">
        <v>0.73499999999999999</v>
      </c>
      <c r="BL27" s="804">
        <v>0</v>
      </c>
      <c r="BM27" s="804">
        <v>1.4999999999999999E-2</v>
      </c>
      <c r="BN27" s="804">
        <v>1</v>
      </c>
      <c r="BO27" s="804">
        <v>-213153</v>
      </c>
      <c r="BP27" s="804">
        <v>-626670</v>
      </c>
      <c r="BQ27" s="804">
        <v>0</v>
      </c>
      <c r="BR27" s="804">
        <v>-12789</v>
      </c>
      <c r="BS27" s="804">
        <v>-852612</v>
      </c>
      <c r="BT27" s="804">
        <v>0.5</v>
      </c>
      <c r="BU27" s="804">
        <v>0.49</v>
      </c>
      <c r="BV27" s="804">
        <v>0</v>
      </c>
      <c r="BW27" s="804">
        <v>0.01</v>
      </c>
      <c r="BX27" s="804">
        <v>1</v>
      </c>
      <c r="BY27" s="804">
        <v>671546</v>
      </c>
      <c r="BZ27" s="804">
        <v>658116</v>
      </c>
      <c r="CA27" s="804">
        <v>0</v>
      </c>
      <c r="CB27" s="804">
        <v>13431</v>
      </c>
      <c r="CC27" s="804">
        <v>1343093</v>
      </c>
      <c r="CD27" s="804">
        <v>458393</v>
      </c>
      <c r="CE27" s="804">
        <v>31446</v>
      </c>
      <c r="CF27" s="804">
        <v>0</v>
      </c>
      <c r="CG27" s="804">
        <v>642</v>
      </c>
      <c r="CH27" s="804">
        <v>490481</v>
      </c>
      <c r="CI27" s="804">
        <v>21465786</v>
      </c>
      <c r="CJ27" s="804">
        <v>20865574</v>
      </c>
      <c r="CK27" s="804">
        <v>0</v>
      </c>
      <c r="CL27" s="804">
        <v>420790</v>
      </c>
      <c r="CM27" s="804">
        <v>42752150</v>
      </c>
      <c r="CN27" s="804">
        <v>825140</v>
      </c>
      <c r="CO27" s="804">
        <v>0</v>
      </c>
      <c r="CP27" s="804">
        <v>16840</v>
      </c>
      <c r="CQ27" s="804">
        <v>841980</v>
      </c>
      <c r="CR27" s="804">
        <v>2648973</v>
      </c>
      <c r="CS27" s="804">
        <v>0</v>
      </c>
      <c r="CT27" s="804">
        <v>54061</v>
      </c>
      <c r="CU27" s="804">
        <v>2703034</v>
      </c>
      <c r="CV27" s="804">
        <v>34104</v>
      </c>
      <c r="CW27" s="804">
        <v>0</v>
      </c>
      <c r="CX27" s="804">
        <v>696</v>
      </c>
      <c r="CY27" s="804">
        <v>34800</v>
      </c>
      <c r="CZ27" s="804">
        <v>18601</v>
      </c>
      <c r="DA27" s="804">
        <v>0</v>
      </c>
      <c r="DB27" s="804">
        <v>380</v>
      </c>
      <c r="DC27" s="804">
        <v>18981</v>
      </c>
      <c r="DD27" s="804">
        <v>1019</v>
      </c>
      <c r="DE27" s="804">
        <v>0</v>
      </c>
      <c r="DF27" s="804">
        <v>21</v>
      </c>
      <c r="DG27" s="804">
        <v>1040</v>
      </c>
      <c r="DH27" s="804">
        <v>10193</v>
      </c>
      <c r="DI27" s="804">
        <v>0</v>
      </c>
      <c r="DJ27" s="804">
        <v>208</v>
      </c>
      <c r="DK27" s="804">
        <v>10401</v>
      </c>
      <c r="DL27" s="804">
        <v>2548</v>
      </c>
      <c r="DM27" s="804">
        <v>0</v>
      </c>
      <c r="DN27" s="804">
        <v>52</v>
      </c>
      <c r="DO27" s="804">
        <v>2600</v>
      </c>
      <c r="DP27" s="804">
        <v>0</v>
      </c>
      <c r="DQ27" s="804">
        <v>0</v>
      </c>
      <c r="DR27" s="804">
        <v>0</v>
      </c>
      <c r="DS27" s="804">
        <v>0</v>
      </c>
      <c r="DT27" s="804">
        <v>0</v>
      </c>
      <c r="DU27" s="804">
        <v>0</v>
      </c>
      <c r="DV27" s="804">
        <v>0</v>
      </c>
      <c r="DW27" s="804">
        <v>0</v>
      </c>
      <c r="DX27" s="804">
        <v>662531</v>
      </c>
      <c r="DY27" s="804">
        <v>0</v>
      </c>
      <c r="DZ27" s="804">
        <v>13521</v>
      </c>
      <c r="EA27" s="804">
        <v>676052</v>
      </c>
      <c r="EB27" s="804">
        <v>4203109</v>
      </c>
      <c r="EC27" s="804">
        <v>0</v>
      </c>
      <c r="ED27" s="804">
        <v>85779</v>
      </c>
      <c r="EE27" s="804">
        <v>4288888</v>
      </c>
      <c r="EF27" s="604" t="s">
        <v>587</v>
      </c>
      <c r="EG27" s="497" t="s">
        <v>524</v>
      </c>
      <c r="EH27" s="630" t="s">
        <v>588</v>
      </c>
      <c r="EI27" s="118" t="s">
        <v>1680</v>
      </c>
    </row>
    <row r="28" spans="1:139" ht="12.75" x14ac:dyDescent="0.2">
      <c r="A28" s="805">
        <v>21</v>
      </c>
      <c r="B28" s="606" t="s">
        <v>717</v>
      </c>
      <c r="C28" s="607" t="s">
        <v>524</v>
      </c>
      <c r="D28" s="608" t="s">
        <v>1187</v>
      </c>
      <c r="E28" s="609" t="s">
        <v>589</v>
      </c>
      <c r="F28" s="802">
        <v>40319502</v>
      </c>
      <c r="G28" s="804">
        <v>0</v>
      </c>
      <c r="H28" s="804">
        <v>258337</v>
      </c>
      <c r="I28" s="804">
        <v>248229</v>
      </c>
      <c r="J28" s="804">
        <v>0</v>
      </c>
      <c r="K28" s="804">
        <v>248229</v>
      </c>
      <c r="L28" s="804">
        <v>0</v>
      </c>
      <c r="M28" s="804">
        <v>0</v>
      </c>
      <c r="N28" s="804">
        <v>2592</v>
      </c>
      <c r="O28" s="804">
        <v>2592</v>
      </c>
      <c r="P28" s="804">
        <v>0</v>
      </c>
      <c r="Q28" s="804">
        <v>0</v>
      </c>
      <c r="R28" s="804">
        <v>39810344</v>
      </c>
      <c r="S28" s="804">
        <v>0.5</v>
      </c>
      <c r="T28" s="804">
        <v>0.49</v>
      </c>
      <c r="U28" s="804">
        <v>0</v>
      </c>
      <c r="V28" s="804">
        <v>0.01</v>
      </c>
      <c r="W28" s="804">
        <v>1</v>
      </c>
      <c r="X28" s="804">
        <v>19905172</v>
      </c>
      <c r="Y28" s="804">
        <v>19507069</v>
      </c>
      <c r="Z28" s="804">
        <v>0</v>
      </c>
      <c r="AA28" s="804">
        <v>398103</v>
      </c>
      <c r="AB28" s="804">
        <v>39810344</v>
      </c>
      <c r="AC28" s="804">
        <v>323998</v>
      </c>
      <c r="AD28" s="804">
        <v>0</v>
      </c>
      <c r="AE28" s="804">
        <v>0</v>
      </c>
      <c r="AF28" s="804">
        <v>0</v>
      </c>
      <c r="AG28" s="804">
        <v>323998</v>
      </c>
      <c r="AH28" s="804">
        <v>19581174</v>
      </c>
      <c r="AI28" s="804">
        <v>19507069</v>
      </c>
      <c r="AJ28" s="804">
        <v>0</v>
      </c>
      <c r="AK28" s="804">
        <v>398103</v>
      </c>
      <c r="AL28" s="804">
        <v>39486346</v>
      </c>
      <c r="AM28" s="804">
        <v>248229</v>
      </c>
      <c r="AN28" s="804">
        <v>248229</v>
      </c>
      <c r="AO28" s="804">
        <v>0</v>
      </c>
      <c r="AP28" s="804">
        <v>0</v>
      </c>
      <c r="AQ28" s="804">
        <v>2592</v>
      </c>
      <c r="AR28" s="804">
        <v>0</v>
      </c>
      <c r="AS28" s="804">
        <v>2592</v>
      </c>
      <c r="AT28" s="804">
        <v>0</v>
      </c>
      <c r="AU28" s="804">
        <v>0</v>
      </c>
      <c r="AV28" s="804">
        <v>0</v>
      </c>
      <c r="AW28" s="804">
        <v>0</v>
      </c>
      <c r="AX28" s="804">
        <v>323998</v>
      </c>
      <c r="AY28" s="804">
        <v>0</v>
      </c>
      <c r="AZ28" s="804">
        <v>0</v>
      </c>
      <c r="BA28" s="804">
        <v>323998</v>
      </c>
      <c r="BB28" s="804">
        <v>0</v>
      </c>
      <c r="BC28" s="804">
        <v>0</v>
      </c>
      <c r="BD28" s="804">
        <v>0</v>
      </c>
      <c r="BE28" s="804">
        <v>0</v>
      </c>
      <c r="BF28" s="804">
        <v>0</v>
      </c>
      <c r="BG28" s="804">
        <v>0</v>
      </c>
      <c r="BH28" s="804">
        <v>0</v>
      </c>
      <c r="BI28" s="804">
        <v>0</v>
      </c>
      <c r="BJ28" s="804">
        <v>0.25</v>
      </c>
      <c r="BK28" s="804">
        <v>0.73499999999999999</v>
      </c>
      <c r="BL28" s="804">
        <v>0</v>
      </c>
      <c r="BM28" s="804">
        <v>1.4999999999999999E-2</v>
      </c>
      <c r="BN28" s="804">
        <v>1</v>
      </c>
      <c r="BO28" s="804">
        <v>407761</v>
      </c>
      <c r="BP28" s="804">
        <v>1198817</v>
      </c>
      <c r="BQ28" s="804">
        <v>0</v>
      </c>
      <c r="BR28" s="804">
        <v>24466</v>
      </c>
      <c r="BS28" s="804">
        <v>1631044</v>
      </c>
      <c r="BT28" s="804">
        <v>0.5</v>
      </c>
      <c r="BU28" s="804">
        <v>0.49</v>
      </c>
      <c r="BV28" s="804">
        <v>0</v>
      </c>
      <c r="BW28" s="804">
        <v>0.01</v>
      </c>
      <c r="BX28" s="804">
        <v>1</v>
      </c>
      <c r="BY28" s="804">
        <v>347578</v>
      </c>
      <c r="BZ28" s="804">
        <v>340626</v>
      </c>
      <c r="CA28" s="804">
        <v>0</v>
      </c>
      <c r="CB28" s="804">
        <v>6952</v>
      </c>
      <c r="CC28" s="804">
        <v>695156</v>
      </c>
      <c r="CD28" s="804">
        <v>755339</v>
      </c>
      <c r="CE28" s="804">
        <v>1539443</v>
      </c>
      <c r="CF28" s="804">
        <v>0</v>
      </c>
      <c r="CG28" s="804">
        <v>31418</v>
      </c>
      <c r="CH28" s="804">
        <v>2326200</v>
      </c>
      <c r="CI28" s="804">
        <v>20336513</v>
      </c>
      <c r="CJ28" s="804">
        <v>21621331</v>
      </c>
      <c r="CK28" s="804">
        <v>0</v>
      </c>
      <c r="CL28" s="804">
        <v>429521</v>
      </c>
      <c r="CM28" s="804">
        <v>42387365</v>
      </c>
      <c r="CN28" s="804">
        <v>794936</v>
      </c>
      <c r="CO28" s="804">
        <v>0</v>
      </c>
      <c r="CP28" s="804">
        <v>15956</v>
      </c>
      <c r="CQ28" s="804">
        <v>810892</v>
      </c>
      <c r="CR28" s="804">
        <v>3261246</v>
      </c>
      <c r="CS28" s="804">
        <v>0</v>
      </c>
      <c r="CT28" s="804">
        <v>63148</v>
      </c>
      <c r="CU28" s="804">
        <v>3324394</v>
      </c>
      <c r="CV28" s="804">
        <v>113579</v>
      </c>
      <c r="CW28" s="804">
        <v>0</v>
      </c>
      <c r="CX28" s="804">
        <v>2035</v>
      </c>
      <c r="CY28" s="804">
        <v>115614</v>
      </c>
      <c r="CZ28" s="804">
        <v>2417</v>
      </c>
      <c r="DA28" s="804">
        <v>0</v>
      </c>
      <c r="DB28" s="804">
        <v>49</v>
      </c>
      <c r="DC28" s="804">
        <v>2466</v>
      </c>
      <c r="DD28" s="804">
        <v>0</v>
      </c>
      <c r="DE28" s="804">
        <v>0</v>
      </c>
      <c r="DF28" s="804">
        <v>0</v>
      </c>
      <c r="DG28" s="804">
        <v>0</v>
      </c>
      <c r="DH28" s="804">
        <v>6561</v>
      </c>
      <c r="DI28" s="804">
        <v>0</v>
      </c>
      <c r="DJ28" s="804">
        <v>134</v>
      </c>
      <c r="DK28" s="804">
        <v>6695</v>
      </c>
      <c r="DL28" s="804">
        <v>3400</v>
      </c>
      <c r="DM28" s="804">
        <v>0</v>
      </c>
      <c r="DN28" s="804">
        <v>67</v>
      </c>
      <c r="DO28" s="804">
        <v>3467</v>
      </c>
      <c r="DP28" s="804">
        <v>0</v>
      </c>
      <c r="DQ28" s="804">
        <v>0</v>
      </c>
      <c r="DR28" s="804">
        <v>0</v>
      </c>
      <c r="DS28" s="804">
        <v>0</v>
      </c>
      <c r="DT28" s="804">
        <v>0</v>
      </c>
      <c r="DU28" s="804">
        <v>0</v>
      </c>
      <c r="DV28" s="804">
        <v>0</v>
      </c>
      <c r="DW28" s="804">
        <v>0</v>
      </c>
      <c r="DX28" s="804">
        <v>854506</v>
      </c>
      <c r="DY28" s="804">
        <v>0</v>
      </c>
      <c r="DZ28" s="804">
        <v>17439</v>
      </c>
      <c r="EA28" s="804">
        <v>871945</v>
      </c>
      <c r="EB28" s="804">
        <v>5036645</v>
      </c>
      <c r="EC28" s="804">
        <v>0</v>
      </c>
      <c r="ED28" s="804">
        <v>98828</v>
      </c>
      <c r="EE28" s="804">
        <v>5135473</v>
      </c>
      <c r="EF28" s="604" t="s">
        <v>589</v>
      </c>
      <c r="EG28" s="497" t="s">
        <v>524</v>
      </c>
      <c r="EH28" s="630" t="s">
        <v>588</v>
      </c>
      <c r="EI28" s="118" t="s">
        <v>1681</v>
      </c>
    </row>
    <row r="29" spans="1:139" ht="12.75" x14ac:dyDescent="0.2">
      <c r="A29" s="805">
        <v>22</v>
      </c>
      <c r="B29" s="606" t="s">
        <v>719</v>
      </c>
      <c r="C29" s="607" t="s">
        <v>1185</v>
      </c>
      <c r="D29" s="608" t="s">
        <v>1188</v>
      </c>
      <c r="E29" s="609" t="s">
        <v>718</v>
      </c>
      <c r="F29" s="802">
        <v>27771104</v>
      </c>
      <c r="G29" s="804">
        <v>0</v>
      </c>
      <c r="H29" s="804">
        <v>18725</v>
      </c>
      <c r="I29" s="804">
        <v>94339</v>
      </c>
      <c r="J29" s="804">
        <v>0</v>
      </c>
      <c r="K29" s="804">
        <v>94339</v>
      </c>
      <c r="L29" s="804">
        <v>0</v>
      </c>
      <c r="M29" s="804">
        <v>0</v>
      </c>
      <c r="N29" s="804">
        <v>57260</v>
      </c>
      <c r="O29" s="804">
        <v>57260</v>
      </c>
      <c r="P29" s="804">
        <v>0</v>
      </c>
      <c r="Q29" s="804">
        <v>0</v>
      </c>
      <c r="R29" s="804">
        <v>27600780</v>
      </c>
      <c r="S29" s="804">
        <v>0.5</v>
      </c>
      <c r="T29" s="804">
        <v>0.4</v>
      </c>
      <c r="U29" s="804">
        <v>0.09</v>
      </c>
      <c r="V29" s="804">
        <v>0.01</v>
      </c>
      <c r="W29" s="804">
        <v>1</v>
      </c>
      <c r="X29" s="804">
        <v>13800390</v>
      </c>
      <c r="Y29" s="804">
        <v>11040312</v>
      </c>
      <c r="Z29" s="804">
        <v>2484070</v>
      </c>
      <c r="AA29" s="804">
        <v>276008</v>
      </c>
      <c r="AB29" s="804">
        <v>27600780</v>
      </c>
      <c r="AC29" s="804">
        <v>0</v>
      </c>
      <c r="AD29" s="804">
        <v>0</v>
      </c>
      <c r="AE29" s="804">
        <v>0</v>
      </c>
      <c r="AF29" s="804">
        <v>0</v>
      </c>
      <c r="AG29" s="804">
        <v>0</v>
      </c>
      <c r="AH29" s="804">
        <v>13800390</v>
      </c>
      <c r="AI29" s="804">
        <v>11040312</v>
      </c>
      <c r="AJ29" s="804">
        <v>2484070</v>
      </c>
      <c r="AK29" s="804">
        <v>276008</v>
      </c>
      <c r="AL29" s="804">
        <v>27600780</v>
      </c>
      <c r="AM29" s="804">
        <v>94339</v>
      </c>
      <c r="AN29" s="804">
        <v>94339</v>
      </c>
      <c r="AO29" s="804">
        <v>0</v>
      </c>
      <c r="AP29" s="804">
        <v>0</v>
      </c>
      <c r="AQ29" s="804">
        <v>57260</v>
      </c>
      <c r="AR29" s="804">
        <v>0</v>
      </c>
      <c r="AS29" s="804">
        <v>57260</v>
      </c>
      <c r="AT29" s="804">
        <v>0</v>
      </c>
      <c r="AU29" s="804">
        <v>0</v>
      </c>
      <c r="AV29" s="804">
        <v>0</v>
      </c>
      <c r="AW29" s="804">
        <v>0</v>
      </c>
      <c r="AX29" s="804">
        <v>0</v>
      </c>
      <c r="AY29" s="804">
        <v>0</v>
      </c>
      <c r="AZ29" s="804">
        <v>0</v>
      </c>
      <c r="BA29" s="804">
        <v>0</v>
      </c>
      <c r="BB29" s="804">
        <v>0</v>
      </c>
      <c r="BC29" s="804">
        <v>0</v>
      </c>
      <c r="BD29" s="804">
        <v>0</v>
      </c>
      <c r="BE29" s="804">
        <v>0</v>
      </c>
      <c r="BF29" s="804">
        <v>0</v>
      </c>
      <c r="BG29" s="804">
        <v>0</v>
      </c>
      <c r="BH29" s="804">
        <v>0</v>
      </c>
      <c r="BI29" s="804">
        <v>0</v>
      </c>
      <c r="BJ29" s="804">
        <v>0.5</v>
      </c>
      <c r="BK29" s="804">
        <v>0.4</v>
      </c>
      <c r="BL29" s="804">
        <v>0.09</v>
      </c>
      <c r="BM29" s="804">
        <v>0.01</v>
      </c>
      <c r="BN29" s="804">
        <v>1</v>
      </c>
      <c r="BO29" s="804">
        <v>545096</v>
      </c>
      <c r="BP29" s="804">
        <v>436076</v>
      </c>
      <c r="BQ29" s="804">
        <v>98117</v>
      </c>
      <c r="BR29" s="804">
        <v>10902</v>
      </c>
      <c r="BS29" s="804">
        <v>1090191</v>
      </c>
      <c r="BT29" s="804">
        <v>0</v>
      </c>
      <c r="BU29" s="804">
        <v>0.5</v>
      </c>
      <c r="BV29" s="804">
        <v>0.49</v>
      </c>
      <c r="BW29" s="804">
        <v>0.01</v>
      </c>
      <c r="BX29" s="804">
        <v>1</v>
      </c>
      <c r="BY29" s="804">
        <v>0</v>
      </c>
      <c r="BZ29" s="804">
        <v>692161</v>
      </c>
      <c r="CA29" s="804">
        <v>678317</v>
      </c>
      <c r="CB29" s="804">
        <v>13843</v>
      </c>
      <c r="CC29" s="804">
        <v>1384321</v>
      </c>
      <c r="CD29" s="804">
        <v>545096</v>
      </c>
      <c r="CE29" s="804">
        <v>1128237</v>
      </c>
      <c r="CF29" s="804">
        <v>776434</v>
      </c>
      <c r="CG29" s="804">
        <v>24745</v>
      </c>
      <c r="CH29" s="804">
        <v>2474512</v>
      </c>
      <c r="CI29" s="804">
        <v>14345486</v>
      </c>
      <c r="CJ29" s="804">
        <v>12320148</v>
      </c>
      <c r="CK29" s="804">
        <v>3260504</v>
      </c>
      <c r="CL29" s="804">
        <v>300753</v>
      </c>
      <c r="CM29" s="804">
        <v>30226891</v>
      </c>
      <c r="CN29" s="804">
        <v>444792</v>
      </c>
      <c r="CO29" s="804">
        <v>99562</v>
      </c>
      <c r="CP29" s="804">
        <v>11062</v>
      </c>
      <c r="CQ29" s="804">
        <v>555416</v>
      </c>
      <c r="CR29" s="804">
        <v>614678</v>
      </c>
      <c r="CS29" s="804">
        <v>138303</v>
      </c>
      <c r="CT29" s="804">
        <v>15367</v>
      </c>
      <c r="CU29" s="804">
        <v>768348</v>
      </c>
      <c r="CV29" s="804">
        <v>40620</v>
      </c>
      <c r="CW29" s="804">
        <v>9139</v>
      </c>
      <c r="CX29" s="804">
        <v>1015</v>
      </c>
      <c r="CY29" s="804">
        <v>50774</v>
      </c>
      <c r="CZ29" s="804">
        <v>0</v>
      </c>
      <c r="DA29" s="804">
        <v>0</v>
      </c>
      <c r="DB29" s="804">
        <v>0</v>
      </c>
      <c r="DC29" s="804">
        <v>0</v>
      </c>
      <c r="DD29" s="804">
        <v>3910</v>
      </c>
      <c r="DE29" s="804">
        <v>880</v>
      </c>
      <c r="DF29" s="804">
        <v>98</v>
      </c>
      <c r="DG29" s="804">
        <v>4888</v>
      </c>
      <c r="DH29" s="804">
        <v>6872</v>
      </c>
      <c r="DI29" s="804">
        <v>1546</v>
      </c>
      <c r="DJ29" s="804">
        <v>172</v>
      </c>
      <c r="DK29" s="804">
        <v>8590</v>
      </c>
      <c r="DL29" s="804">
        <v>2517</v>
      </c>
      <c r="DM29" s="804">
        <v>566</v>
      </c>
      <c r="DN29" s="804">
        <v>63</v>
      </c>
      <c r="DO29" s="804">
        <v>3146</v>
      </c>
      <c r="DP29" s="804">
        <v>0</v>
      </c>
      <c r="DQ29" s="804">
        <v>0</v>
      </c>
      <c r="DR29" s="804">
        <v>0</v>
      </c>
      <c r="DS29" s="804">
        <v>0</v>
      </c>
      <c r="DT29" s="804">
        <v>0</v>
      </c>
      <c r="DU29" s="804">
        <v>0</v>
      </c>
      <c r="DV29" s="804">
        <v>0</v>
      </c>
      <c r="DW29" s="804">
        <v>0</v>
      </c>
      <c r="DX29" s="804">
        <v>202602</v>
      </c>
      <c r="DY29" s="804">
        <v>45585</v>
      </c>
      <c r="DZ29" s="804">
        <v>5065</v>
      </c>
      <c r="EA29" s="804">
        <v>253252</v>
      </c>
      <c r="EB29" s="804">
        <v>1315991</v>
      </c>
      <c r="EC29" s="804">
        <v>295581</v>
      </c>
      <c r="ED29" s="804">
        <v>32842</v>
      </c>
      <c r="EE29" s="804">
        <v>1644414</v>
      </c>
      <c r="EF29" s="604" t="s">
        <v>718</v>
      </c>
      <c r="EG29" s="497" t="s">
        <v>555</v>
      </c>
      <c r="EH29" s="630" t="s">
        <v>554</v>
      </c>
      <c r="EI29" s="118" t="s">
        <v>1682</v>
      </c>
    </row>
    <row r="30" spans="1:139" ht="12.75" x14ac:dyDescent="0.2">
      <c r="A30" s="805">
        <v>23</v>
      </c>
      <c r="B30" s="606" t="s">
        <v>721</v>
      </c>
      <c r="C30" s="607" t="s">
        <v>1192</v>
      </c>
      <c r="D30" s="608" t="s">
        <v>1187</v>
      </c>
      <c r="E30" s="609" t="s">
        <v>720</v>
      </c>
      <c r="F30" s="802">
        <v>85223855</v>
      </c>
      <c r="G30" s="804">
        <v>0</v>
      </c>
      <c r="H30" s="804">
        <v>1552000</v>
      </c>
      <c r="I30" s="804">
        <v>398909</v>
      </c>
      <c r="J30" s="804">
        <v>0</v>
      </c>
      <c r="K30" s="804">
        <v>398909</v>
      </c>
      <c r="L30" s="804">
        <v>0</v>
      </c>
      <c r="M30" s="804">
        <v>0</v>
      </c>
      <c r="N30" s="804">
        <v>0</v>
      </c>
      <c r="O30" s="804">
        <v>0</v>
      </c>
      <c r="P30" s="804">
        <v>0</v>
      </c>
      <c r="Q30" s="804">
        <v>0</v>
      </c>
      <c r="R30" s="804">
        <v>83272946</v>
      </c>
      <c r="S30" s="804">
        <v>0</v>
      </c>
      <c r="T30" s="804">
        <v>0.99</v>
      </c>
      <c r="U30" s="804">
        <v>0</v>
      </c>
      <c r="V30" s="804">
        <v>0.01</v>
      </c>
      <c r="W30" s="804">
        <v>1</v>
      </c>
      <c r="X30" s="804">
        <v>0</v>
      </c>
      <c r="Y30" s="804">
        <v>82440217</v>
      </c>
      <c r="Z30" s="804">
        <v>0</v>
      </c>
      <c r="AA30" s="804">
        <v>832729</v>
      </c>
      <c r="AB30" s="804">
        <v>83272946</v>
      </c>
      <c r="AC30" s="804">
        <v>0</v>
      </c>
      <c r="AD30" s="804">
        <v>0</v>
      </c>
      <c r="AE30" s="804">
        <v>0</v>
      </c>
      <c r="AF30" s="804">
        <v>0</v>
      </c>
      <c r="AG30" s="804">
        <v>0</v>
      </c>
      <c r="AH30" s="804">
        <v>0</v>
      </c>
      <c r="AI30" s="804">
        <v>82440217</v>
      </c>
      <c r="AJ30" s="804">
        <v>0</v>
      </c>
      <c r="AK30" s="804">
        <v>832729</v>
      </c>
      <c r="AL30" s="804">
        <v>83272946</v>
      </c>
      <c r="AM30" s="804">
        <v>398909</v>
      </c>
      <c r="AN30" s="804">
        <v>398909</v>
      </c>
      <c r="AO30" s="804">
        <v>0</v>
      </c>
      <c r="AP30" s="804">
        <v>0</v>
      </c>
      <c r="AQ30" s="804">
        <v>0</v>
      </c>
      <c r="AR30" s="804">
        <v>0</v>
      </c>
      <c r="AS30" s="804">
        <v>0</v>
      </c>
      <c r="AT30" s="804">
        <v>0</v>
      </c>
      <c r="AU30" s="804">
        <v>0</v>
      </c>
      <c r="AV30" s="804">
        <v>0</v>
      </c>
      <c r="AW30" s="804">
        <v>0</v>
      </c>
      <c r="AX30" s="804">
        <v>0</v>
      </c>
      <c r="AY30" s="804">
        <v>0</v>
      </c>
      <c r="AZ30" s="804">
        <v>0</v>
      </c>
      <c r="BA30" s="804">
        <v>0</v>
      </c>
      <c r="BB30" s="804">
        <v>0</v>
      </c>
      <c r="BC30" s="804">
        <v>0</v>
      </c>
      <c r="BD30" s="804">
        <v>0</v>
      </c>
      <c r="BE30" s="804">
        <v>0</v>
      </c>
      <c r="BF30" s="804">
        <v>0</v>
      </c>
      <c r="BG30" s="804">
        <v>0</v>
      </c>
      <c r="BH30" s="804">
        <v>0</v>
      </c>
      <c r="BI30" s="804">
        <v>0</v>
      </c>
      <c r="BJ30" s="804">
        <v>0</v>
      </c>
      <c r="BK30" s="804">
        <v>0.99</v>
      </c>
      <c r="BL30" s="804">
        <v>0</v>
      </c>
      <c r="BM30" s="804">
        <v>0.01</v>
      </c>
      <c r="BN30" s="804">
        <v>1</v>
      </c>
      <c r="BO30" s="804">
        <v>0</v>
      </c>
      <c r="BP30" s="804">
        <v>1739850</v>
      </c>
      <c r="BQ30" s="804">
        <v>0</v>
      </c>
      <c r="BR30" s="804">
        <v>17574</v>
      </c>
      <c r="BS30" s="804">
        <v>1757424</v>
      </c>
      <c r="BT30" s="804">
        <v>0</v>
      </c>
      <c r="BU30" s="804">
        <v>0.99</v>
      </c>
      <c r="BV30" s="804">
        <v>0</v>
      </c>
      <c r="BW30" s="804">
        <v>0.01</v>
      </c>
      <c r="BX30" s="804">
        <v>1</v>
      </c>
      <c r="BY30" s="804">
        <v>0</v>
      </c>
      <c r="BZ30" s="804">
        <v>-423313</v>
      </c>
      <c r="CA30" s="804">
        <v>0</v>
      </c>
      <c r="CB30" s="804">
        <v>-4276</v>
      </c>
      <c r="CC30" s="804">
        <v>-427589</v>
      </c>
      <c r="CD30" s="804">
        <v>0</v>
      </c>
      <c r="CE30" s="804">
        <v>1316537</v>
      </c>
      <c r="CF30" s="804">
        <v>0</v>
      </c>
      <c r="CG30" s="804">
        <v>13298</v>
      </c>
      <c r="CH30" s="804">
        <v>1329835</v>
      </c>
      <c r="CI30" s="804">
        <v>0</v>
      </c>
      <c r="CJ30" s="804">
        <v>84155663</v>
      </c>
      <c r="CK30" s="804">
        <v>0</v>
      </c>
      <c r="CL30" s="804">
        <v>846027</v>
      </c>
      <c r="CM30" s="804">
        <v>85001690</v>
      </c>
      <c r="CN30" s="804">
        <v>3304217</v>
      </c>
      <c r="CO30" s="804">
        <v>0</v>
      </c>
      <c r="CP30" s="804">
        <v>33376</v>
      </c>
      <c r="CQ30" s="804">
        <v>3337593</v>
      </c>
      <c r="CR30" s="804">
        <v>8632832</v>
      </c>
      <c r="CS30" s="804">
        <v>0</v>
      </c>
      <c r="CT30" s="804">
        <v>87200</v>
      </c>
      <c r="CU30" s="804">
        <v>8720032</v>
      </c>
      <c r="CV30" s="804">
        <v>389762</v>
      </c>
      <c r="CW30" s="804">
        <v>0</v>
      </c>
      <c r="CX30" s="804">
        <v>3937</v>
      </c>
      <c r="CY30" s="804">
        <v>393699</v>
      </c>
      <c r="CZ30" s="804">
        <v>0</v>
      </c>
      <c r="DA30" s="804">
        <v>0</v>
      </c>
      <c r="DB30" s="804">
        <v>0</v>
      </c>
      <c r="DC30" s="804">
        <v>0</v>
      </c>
      <c r="DD30" s="804">
        <v>0</v>
      </c>
      <c r="DE30" s="804">
        <v>0</v>
      </c>
      <c r="DF30" s="804">
        <v>0</v>
      </c>
      <c r="DG30" s="804">
        <v>0</v>
      </c>
      <c r="DH30" s="804">
        <v>41187</v>
      </c>
      <c r="DI30" s="804">
        <v>0</v>
      </c>
      <c r="DJ30" s="804">
        <v>416</v>
      </c>
      <c r="DK30" s="804">
        <v>41603</v>
      </c>
      <c r="DL30" s="804">
        <v>12335</v>
      </c>
      <c r="DM30" s="804">
        <v>0</v>
      </c>
      <c r="DN30" s="804">
        <v>125</v>
      </c>
      <c r="DO30" s="804">
        <v>12460</v>
      </c>
      <c r="DP30" s="804">
        <v>0</v>
      </c>
      <c r="DQ30" s="804">
        <v>0</v>
      </c>
      <c r="DR30" s="804">
        <v>0</v>
      </c>
      <c r="DS30" s="804">
        <v>0</v>
      </c>
      <c r="DT30" s="804">
        <v>0</v>
      </c>
      <c r="DU30" s="804">
        <v>0</v>
      </c>
      <c r="DV30" s="804">
        <v>0</v>
      </c>
      <c r="DW30" s="804">
        <v>0</v>
      </c>
      <c r="DX30" s="804">
        <v>1750455</v>
      </c>
      <c r="DY30" s="804">
        <v>0</v>
      </c>
      <c r="DZ30" s="804">
        <v>17681</v>
      </c>
      <c r="EA30" s="804">
        <v>1768136</v>
      </c>
      <c r="EB30" s="804">
        <v>14130788</v>
      </c>
      <c r="EC30" s="804">
        <v>0</v>
      </c>
      <c r="ED30" s="804">
        <v>142735</v>
      </c>
      <c r="EE30" s="804">
        <v>14273523</v>
      </c>
      <c r="EF30" s="604" t="s">
        <v>720</v>
      </c>
      <c r="EG30" s="497" t="s">
        <v>616</v>
      </c>
      <c r="EH30" s="630" t="s">
        <v>617</v>
      </c>
      <c r="EI30" s="118" t="s">
        <v>1683</v>
      </c>
    </row>
    <row r="31" spans="1:139" ht="12.75" x14ac:dyDescent="0.2">
      <c r="A31" s="805">
        <v>24</v>
      </c>
      <c r="B31" s="606" t="s">
        <v>723</v>
      </c>
      <c r="C31" s="607" t="s">
        <v>1185</v>
      </c>
      <c r="D31" s="608" t="s">
        <v>1188</v>
      </c>
      <c r="E31" s="609" t="s">
        <v>722</v>
      </c>
      <c r="F31" s="802">
        <v>20248590</v>
      </c>
      <c r="G31" s="804">
        <v>93237</v>
      </c>
      <c r="H31" s="804">
        <v>0</v>
      </c>
      <c r="I31" s="804">
        <v>92263</v>
      </c>
      <c r="J31" s="804">
        <v>0</v>
      </c>
      <c r="K31" s="804">
        <v>92263</v>
      </c>
      <c r="L31" s="804">
        <v>0</v>
      </c>
      <c r="M31" s="804">
        <v>0</v>
      </c>
      <c r="N31" s="804">
        <v>205753</v>
      </c>
      <c r="O31" s="804">
        <v>205753</v>
      </c>
      <c r="P31" s="804">
        <v>0</v>
      </c>
      <c r="Q31" s="804">
        <v>0</v>
      </c>
      <c r="R31" s="804">
        <v>20043811</v>
      </c>
      <c r="S31" s="804">
        <v>0.5</v>
      </c>
      <c r="T31" s="804">
        <v>0.4</v>
      </c>
      <c r="U31" s="804">
        <v>0.1</v>
      </c>
      <c r="V31" s="804">
        <v>0</v>
      </c>
      <c r="W31" s="804">
        <v>1</v>
      </c>
      <c r="X31" s="804">
        <v>10021906</v>
      </c>
      <c r="Y31" s="804">
        <v>8017524</v>
      </c>
      <c r="Z31" s="804">
        <v>2004381</v>
      </c>
      <c r="AA31" s="804">
        <v>0</v>
      </c>
      <c r="AB31" s="804">
        <v>20043811</v>
      </c>
      <c r="AC31" s="804">
        <v>0</v>
      </c>
      <c r="AD31" s="804">
        <v>0</v>
      </c>
      <c r="AE31" s="804">
        <v>0</v>
      </c>
      <c r="AF31" s="804">
        <v>0</v>
      </c>
      <c r="AG31" s="804">
        <v>0</v>
      </c>
      <c r="AH31" s="804">
        <v>10021906</v>
      </c>
      <c r="AI31" s="804">
        <v>8017524</v>
      </c>
      <c r="AJ31" s="804">
        <v>2004381</v>
      </c>
      <c r="AK31" s="804">
        <v>0</v>
      </c>
      <c r="AL31" s="804">
        <v>20043811</v>
      </c>
      <c r="AM31" s="804">
        <v>92263</v>
      </c>
      <c r="AN31" s="804">
        <v>92263</v>
      </c>
      <c r="AO31" s="804">
        <v>0</v>
      </c>
      <c r="AP31" s="804">
        <v>0</v>
      </c>
      <c r="AQ31" s="804">
        <v>205753</v>
      </c>
      <c r="AR31" s="804">
        <v>0</v>
      </c>
      <c r="AS31" s="804">
        <v>205753</v>
      </c>
      <c r="AT31" s="804">
        <v>0</v>
      </c>
      <c r="AU31" s="804">
        <v>0</v>
      </c>
      <c r="AV31" s="804">
        <v>0</v>
      </c>
      <c r="AW31" s="804">
        <v>0</v>
      </c>
      <c r="AX31" s="804">
        <v>0</v>
      </c>
      <c r="AY31" s="804">
        <v>0</v>
      </c>
      <c r="AZ31" s="804">
        <v>0</v>
      </c>
      <c r="BA31" s="804">
        <v>0</v>
      </c>
      <c r="BB31" s="804">
        <v>0</v>
      </c>
      <c r="BC31" s="804">
        <v>0</v>
      </c>
      <c r="BD31" s="804">
        <v>0</v>
      </c>
      <c r="BE31" s="804">
        <v>0</v>
      </c>
      <c r="BF31" s="804">
        <v>0</v>
      </c>
      <c r="BG31" s="804">
        <v>0</v>
      </c>
      <c r="BH31" s="804">
        <v>0</v>
      </c>
      <c r="BI31" s="804">
        <v>0</v>
      </c>
      <c r="BJ31" s="804">
        <v>0.5</v>
      </c>
      <c r="BK31" s="804">
        <v>0.4</v>
      </c>
      <c r="BL31" s="804">
        <v>0.1</v>
      </c>
      <c r="BM31" s="804">
        <v>0</v>
      </c>
      <c r="BN31" s="804">
        <v>1</v>
      </c>
      <c r="BO31" s="804">
        <v>-132757.9999999986</v>
      </c>
      <c r="BP31" s="804">
        <v>-106206</v>
      </c>
      <c r="BQ31" s="804">
        <v>-26552</v>
      </c>
      <c r="BR31" s="804">
        <v>0</v>
      </c>
      <c r="BS31" s="804">
        <v>-265515.9999999986</v>
      </c>
      <c r="BT31" s="804">
        <v>0</v>
      </c>
      <c r="BU31" s="804">
        <v>0.6</v>
      </c>
      <c r="BV31" s="804">
        <v>0.4</v>
      </c>
      <c r="BW31" s="804">
        <v>0</v>
      </c>
      <c r="BX31" s="804">
        <v>1</v>
      </c>
      <c r="BY31" s="804">
        <v>-0.39999999990686774</v>
      </c>
      <c r="BZ31" s="804">
        <v>-166635</v>
      </c>
      <c r="CA31" s="804">
        <v>-111091</v>
      </c>
      <c r="CB31" s="804">
        <v>0</v>
      </c>
      <c r="CC31" s="804">
        <v>-277726.39999999991</v>
      </c>
      <c r="CD31" s="804">
        <v>-132758</v>
      </c>
      <c r="CE31" s="804">
        <v>-272841</v>
      </c>
      <c r="CF31" s="804">
        <v>-137643</v>
      </c>
      <c r="CG31" s="804">
        <v>0</v>
      </c>
      <c r="CH31" s="804">
        <v>-543242.39999999851</v>
      </c>
      <c r="CI31" s="804">
        <v>9889148</v>
      </c>
      <c r="CJ31" s="804">
        <v>8042699</v>
      </c>
      <c r="CK31" s="804">
        <v>1866738</v>
      </c>
      <c r="CL31" s="804">
        <v>0</v>
      </c>
      <c r="CM31" s="804">
        <v>19798585</v>
      </c>
      <c r="CN31" s="804">
        <v>329590</v>
      </c>
      <c r="CO31" s="804">
        <v>80336</v>
      </c>
      <c r="CP31" s="804">
        <v>0</v>
      </c>
      <c r="CQ31" s="804">
        <v>409926</v>
      </c>
      <c r="CR31" s="804">
        <v>794244</v>
      </c>
      <c r="CS31" s="804">
        <v>198561</v>
      </c>
      <c r="CT31" s="804">
        <v>0</v>
      </c>
      <c r="CU31" s="804">
        <v>992805</v>
      </c>
      <c r="CV31" s="804">
        <v>41252</v>
      </c>
      <c r="CW31" s="804">
        <v>10313</v>
      </c>
      <c r="CX31" s="804">
        <v>0</v>
      </c>
      <c r="CY31" s="804">
        <v>51565</v>
      </c>
      <c r="CZ31" s="804">
        <v>0</v>
      </c>
      <c r="DA31" s="804">
        <v>0</v>
      </c>
      <c r="DB31" s="804">
        <v>0</v>
      </c>
      <c r="DC31" s="804">
        <v>0</v>
      </c>
      <c r="DD31" s="804">
        <v>8053</v>
      </c>
      <c r="DE31" s="804">
        <v>2013</v>
      </c>
      <c r="DF31" s="804">
        <v>0</v>
      </c>
      <c r="DG31" s="804">
        <v>10066</v>
      </c>
      <c r="DH31" s="804">
        <v>3992</v>
      </c>
      <c r="DI31" s="804">
        <v>998</v>
      </c>
      <c r="DJ31" s="804">
        <v>0</v>
      </c>
      <c r="DK31" s="804">
        <v>4990</v>
      </c>
      <c r="DL31" s="804">
        <v>1583</v>
      </c>
      <c r="DM31" s="804">
        <v>396</v>
      </c>
      <c r="DN31" s="804">
        <v>0</v>
      </c>
      <c r="DO31" s="804">
        <v>1979</v>
      </c>
      <c r="DP31" s="804">
        <v>0</v>
      </c>
      <c r="DQ31" s="804">
        <v>0</v>
      </c>
      <c r="DR31" s="804">
        <v>0</v>
      </c>
      <c r="DS31" s="804">
        <v>0</v>
      </c>
      <c r="DT31" s="804">
        <v>0</v>
      </c>
      <c r="DU31" s="804">
        <v>0</v>
      </c>
      <c r="DV31" s="804">
        <v>0</v>
      </c>
      <c r="DW31" s="804">
        <v>0</v>
      </c>
      <c r="DX31" s="804">
        <v>157019</v>
      </c>
      <c r="DY31" s="804">
        <v>39255</v>
      </c>
      <c r="DZ31" s="804">
        <v>0</v>
      </c>
      <c r="EA31" s="804">
        <v>196274</v>
      </c>
      <c r="EB31" s="804">
        <v>1335733</v>
      </c>
      <c r="EC31" s="804">
        <v>331872</v>
      </c>
      <c r="ED31" s="804">
        <v>0</v>
      </c>
      <c r="EE31" s="804">
        <v>1667605</v>
      </c>
      <c r="EF31" s="604" t="s">
        <v>722</v>
      </c>
      <c r="EG31" s="497" t="s">
        <v>595</v>
      </c>
      <c r="EH31" s="630" t="s">
        <v>551</v>
      </c>
      <c r="EI31" s="118" t="s">
        <v>1684</v>
      </c>
    </row>
    <row r="32" spans="1:139" ht="12.75" x14ac:dyDescent="0.2">
      <c r="A32" s="805">
        <v>25</v>
      </c>
      <c r="B32" s="606" t="s">
        <v>1124</v>
      </c>
      <c r="C32" s="607" t="s">
        <v>524</v>
      </c>
      <c r="D32" s="608" t="s">
        <v>1194</v>
      </c>
      <c r="E32" s="609" t="s">
        <v>1145</v>
      </c>
      <c r="F32" s="802">
        <v>135015191</v>
      </c>
      <c r="G32" s="804">
        <v>0</v>
      </c>
      <c r="H32" s="804">
        <v>472828</v>
      </c>
      <c r="I32" s="804">
        <v>596261</v>
      </c>
      <c r="J32" s="804">
        <v>0</v>
      </c>
      <c r="K32" s="804">
        <v>596261</v>
      </c>
      <c r="L32" s="804">
        <v>0</v>
      </c>
      <c r="M32" s="804">
        <v>0</v>
      </c>
      <c r="N32" s="804">
        <v>318901</v>
      </c>
      <c r="O32" s="804">
        <v>318901</v>
      </c>
      <c r="P32" s="804">
        <v>0</v>
      </c>
      <c r="Q32" s="804">
        <v>0</v>
      </c>
      <c r="R32" s="804">
        <v>133627201</v>
      </c>
      <c r="S32" s="804">
        <v>0.5</v>
      </c>
      <c r="T32" s="804">
        <v>0.49</v>
      </c>
      <c r="U32" s="804">
        <v>0</v>
      </c>
      <c r="V32" s="804">
        <v>0.01</v>
      </c>
      <c r="W32" s="804">
        <v>1</v>
      </c>
      <c r="X32" s="804">
        <v>66813601</v>
      </c>
      <c r="Y32" s="804">
        <v>65477328</v>
      </c>
      <c r="Z32" s="804">
        <v>0</v>
      </c>
      <c r="AA32" s="804">
        <v>1336272</v>
      </c>
      <c r="AB32" s="804">
        <v>133627201</v>
      </c>
      <c r="AC32" s="804">
        <v>0</v>
      </c>
      <c r="AD32" s="804">
        <v>0</v>
      </c>
      <c r="AE32" s="804">
        <v>0</v>
      </c>
      <c r="AF32" s="804">
        <v>0</v>
      </c>
      <c r="AG32" s="804">
        <v>0</v>
      </c>
      <c r="AH32" s="804">
        <v>66813601</v>
      </c>
      <c r="AI32" s="804">
        <v>65477328</v>
      </c>
      <c r="AJ32" s="804">
        <v>0</v>
      </c>
      <c r="AK32" s="804">
        <v>1336272</v>
      </c>
      <c r="AL32" s="804">
        <v>133627201</v>
      </c>
      <c r="AM32" s="804">
        <v>596261</v>
      </c>
      <c r="AN32" s="804">
        <v>596261</v>
      </c>
      <c r="AO32" s="804">
        <v>0</v>
      </c>
      <c r="AP32" s="804">
        <v>0</v>
      </c>
      <c r="AQ32" s="804">
        <v>318901</v>
      </c>
      <c r="AR32" s="804">
        <v>0</v>
      </c>
      <c r="AS32" s="804">
        <v>318901</v>
      </c>
      <c r="AT32" s="804">
        <v>0</v>
      </c>
      <c r="AU32" s="804">
        <v>0</v>
      </c>
      <c r="AV32" s="804">
        <v>0</v>
      </c>
      <c r="AW32" s="804">
        <v>0</v>
      </c>
      <c r="AX32" s="804">
        <v>0</v>
      </c>
      <c r="AY32" s="804">
        <v>0</v>
      </c>
      <c r="AZ32" s="804">
        <v>0</v>
      </c>
      <c r="BA32" s="804">
        <v>0</v>
      </c>
      <c r="BB32" s="804">
        <v>0</v>
      </c>
      <c r="BC32" s="804">
        <v>0</v>
      </c>
      <c r="BD32" s="804">
        <v>0</v>
      </c>
      <c r="BE32" s="804">
        <v>0</v>
      </c>
      <c r="BF32" s="804">
        <v>0</v>
      </c>
      <c r="BG32" s="804">
        <v>0</v>
      </c>
      <c r="BH32" s="804">
        <v>0</v>
      </c>
      <c r="BI32" s="804">
        <v>0</v>
      </c>
      <c r="BJ32" s="804">
        <v>0.5</v>
      </c>
      <c r="BK32" s="804">
        <v>0.49</v>
      </c>
      <c r="BL32" s="804">
        <v>0</v>
      </c>
      <c r="BM32" s="804">
        <v>0.01</v>
      </c>
      <c r="BN32" s="804">
        <v>1</v>
      </c>
      <c r="BO32" s="804">
        <v>764731.0000000149</v>
      </c>
      <c r="BP32" s="804">
        <v>749437</v>
      </c>
      <c r="BQ32" s="804">
        <v>0</v>
      </c>
      <c r="BR32" s="804">
        <v>15295</v>
      </c>
      <c r="BS32" s="804">
        <v>1529463.0000000149</v>
      </c>
      <c r="BT32" s="804">
        <v>0.5</v>
      </c>
      <c r="BU32" s="804">
        <v>0.49</v>
      </c>
      <c r="BV32" s="804">
        <v>0</v>
      </c>
      <c r="BW32" s="804">
        <v>0.01</v>
      </c>
      <c r="BX32" s="804">
        <v>1</v>
      </c>
      <c r="BY32" s="804">
        <v>-764730.70999999344</v>
      </c>
      <c r="BZ32" s="804">
        <v>-749437</v>
      </c>
      <c r="CA32" s="804">
        <v>0</v>
      </c>
      <c r="CB32" s="804">
        <v>-15295</v>
      </c>
      <c r="CC32" s="804">
        <v>-1529462.7099999934</v>
      </c>
      <c r="CD32" s="804">
        <v>0</v>
      </c>
      <c r="CE32" s="804">
        <v>0</v>
      </c>
      <c r="CF32" s="804">
        <v>0</v>
      </c>
      <c r="CG32" s="804">
        <v>0</v>
      </c>
      <c r="CH32" s="804">
        <v>0.29000002145767212</v>
      </c>
      <c r="CI32" s="804">
        <v>66813601</v>
      </c>
      <c r="CJ32" s="804">
        <v>66392490</v>
      </c>
      <c r="CK32" s="804">
        <v>0</v>
      </c>
      <c r="CL32" s="804">
        <v>1336272</v>
      </c>
      <c r="CM32" s="804">
        <v>134542363</v>
      </c>
      <c r="CN32" s="804">
        <v>2637123</v>
      </c>
      <c r="CO32" s="804">
        <v>0</v>
      </c>
      <c r="CP32" s="804">
        <v>53558</v>
      </c>
      <c r="CQ32" s="804">
        <v>2690681</v>
      </c>
      <c r="CR32" s="804">
        <v>5905457</v>
      </c>
      <c r="CS32" s="804">
        <v>0</v>
      </c>
      <c r="CT32" s="804">
        <v>120520</v>
      </c>
      <c r="CU32" s="804">
        <v>6025977</v>
      </c>
      <c r="CV32" s="804">
        <v>352051</v>
      </c>
      <c r="CW32" s="804">
        <v>0</v>
      </c>
      <c r="CX32" s="804">
        <v>7185</v>
      </c>
      <c r="CY32" s="804">
        <v>359236</v>
      </c>
      <c r="CZ32" s="804">
        <v>915</v>
      </c>
      <c r="DA32" s="804">
        <v>0</v>
      </c>
      <c r="DB32" s="804">
        <v>19</v>
      </c>
      <c r="DC32" s="804">
        <v>934</v>
      </c>
      <c r="DD32" s="804">
        <v>0</v>
      </c>
      <c r="DE32" s="804">
        <v>0</v>
      </c>
      <c r="DF32" s="804">
        <v>0</v>
      </c>
      <c r="DG32" s="804">
        <v>0</v>
      </c>
      <c r="DH32" s="804">
        <v>37049</v>
      </c>
      <c r="DI32" s="804">
        <v>0</v>
      </c>
      <c r="DJ32" s="804">
        <v>756</v>
      </c>
      <c r="DK32" s="804">
        <v>37805</v>
      </c>
      <c r="DL32" s="804">
        <v>12337</v>
      </c>
      <c r="DM32" s="804">
        <v>0</v>
      </c>
      <c r="DN32" s="804">
        <v>252</v>
      </c>
      <c r="DO32" s="804">
        <v>12589</v>
      </c>
      <c r="DP32" s="804">
        <v>0</v>
      </c>
      <c r="DQ32" s="804">
        <v>0</v>
      </c>
      <c r="DR32" s="804">
        <v>0</v>
      </c>
      <c r="DS32" s="804">
        <v>0</v>
      </c>
      <c r="DT32" s="804">
        <v>0</v>
      </c>
      <c r="DU32" s="804">
        <v>0</v>
      </c>
      <c r="DV32" s="804">
        <v>0</v>
      </c>
      <c r="DW32" s="804">
        <v>0</v>
      </c>
      <c r="DX32" s="804">
        <v>2985897</v>
      </c>
      <c r="DY32" s="804">
        <v>0</v>
      </c>
      <c r="DZ32" s="804">
        <v>60937</v>
      </c>
      <c r="EA32" s="804">
        <v>3046834</v>
      </c>
      <c r="EB32" s="804">
        <v>11930829</v>
      </c>
      <c r="EC32" s="804">
        <v>0</v>
      </c>
      <c r="ED32" s="804">
        <v>243227</v>
      </c>
      <c r="EE32" s="804">
        <v>12174056</v>
      </c>
      <c r="EF32" s="604" t="s">
        <v>1145</v>
      </c>
      <c r="EG32" s="497" t="s">
        <v>524</v>
      </c>
      <c r="EH32" s="630" t="s">
        <v>561</v>
      </c>
      <c r="EI32" s="118" t="s">
        <v>1685</v>
      </c>
    </row>
    <row r="33" spans="1:139" ht="12.75" x14ac:dyDescent="0.2">
      <c r="A33" s="805">
        <v>26</v>
      </c>
      <c r="B33" s="606" t="s">
        <v>725</v>
      </c>
      <c r="C33" s="607" t="s">
        <v>524</v>
      </c>
      <c r="D33" s="608" t="s">
        <v>1186</v>
      </c>
      <c r="E33" s="609" t="s">
        <v>531</v>
      </c>
      <c r="F33" s="802">
        <v>69862909</v>
      </c>
      <c r="G33" s="804">
        <v>146383</v>
      </c>
      <c r="H33" s="804">
        <v>0</v>
      </c>
      <c r="I33" s="804">
        <v>151487</v>
      </c>
      <c r="J33" s="804">
        <v>0</v>
      </c>
      <c r="K33" s="804">
        <v>151487</v>
      </c>
      <c r="L33" s="804">
        <v>0</v>
      </c>
      <c r="M33" s="804">
        <v>0</v>
      </c>
      <c r="N33" s="804">
        <v>0</v>
      </c>
      <c r="O33" s="804">
        <v>0</v>
      </c>
      <c r="P33" s="804">
        <v>0</v>
      </c>
      <c r="Q33" s="804">
        <v>0</v>
      </c>
      <c r="R33" s="804">
        <v>69857805</v>
      </c>
      <c r="S33" s="804">
        <v>0.5</v>
      </c>
      <c r="T33" s="804">
        <v>0.49</v>
      </c>
      <c r="U33" s="804">
        <v>0</v>
      </c>
      <c r="V33" s="804">
        <v>0.01</v>
      </c>
      <c r="W33" s="804">
        <v>1</v>
      </c>
      <c r="X33" s="804">
        <v>34928903</v>
      </c>
      <c r="Y33" s="804">
        <v>34230324</v>
      </c>
      <c r="Z33" s="804">
        <v>0</v>
      </c>
      <c r="AA33" s="804">
        <v>698578</v>
      </c>
      <c r="AB33" s="804">
        <v>69857805</v>
      </c>
      <c r="AC33" s="804">
        <v>0</v>
      </c>
      <c r="AD33" s="804">
        <v>0</v>
      </c>
      <c r="AE33" s="804">
        <v>0</v>
      </c>
      <c r="AF33" s="804">
        <v>0</v>
      </c>
      <c r="AG33" s="804">
        <v>0</v>
      </c>
      <c r="AH33" s="804">
        <v>34928903</v>
      </c>
      <c r="AI33" s="804">
        <v>34230324</v>
      </c>
      <c r="AJ33" s="804">
        <v>0</v>
      </c>
      <c r="AK33" s="804">
        <v>698578</v>
      </c>
      <c r="AL33" s="804">
        <v>69857805</v>
      </c>
      <c r="AM33" s="804">
        <v>151487</v>
      </c>
      <c r="AN33" s="804">
        <v>151487</v>
      </c>
      <c r="AO33" s="804">
        <v>0</v>
      </c>
      <c r="AP33" s="804">
        <v>0</v>
      </c>
      <c r="AQ33" s="804">
        <v>0</v>
      </c>
      <c r="AR33" s="804">
        <v>0</v>
      </c>
      <c r="AS33" s="804">
        <v>0</v>
      </c>
      <c r="AT33" s="804">
        <v>0</v>
      </c>
      <c r="AU33" s="804">
        <v>0</v>
      </c>
      <c r="AV33" s="804">
        <v>0</v>
      </c>
      <c r="AW33" s="804">
        <v>0</v>
      </c>
      <c r="AX33" s="804">
        <v>0</v>
      </c>
      <c r="AY33" s="804">
        <v>0</v>
      </c>
      <c r="AZ33" s="804">
        <v>0</v>
      </c>
      <c r="BA33" s="804">
        <v>0</v>
      </c>
      <c r="BB33" s="804">
        <v>0</v>
      </c>
      <c r="BC33" s="804">
        <v>0</v>
      </c>
      <c r="BD33" s="804">
        <v>0</v>
      </c>
      <c r="BE33" s="804">
        <v>0</v>
      </c>
      <c r="BF33" s="804">
        <v>0</v>
      </c>
      <c r="BG33" s="804">
        <v>0</v>
      </c>
      <c r="BH33" s="804">
        <v>0</v>
      </c>
      <c r="BI33" s="804">
        <v>0</v>
      </c>
      <c r="BJ33" s="804">
        <v>0.25</v>
      </c>
      <c r="BK33" s="804">
        <v>0.74</v>
      </c>
      <c r="BL33" s="804">
        <v>0</v>
      </c>
      <c r="BM33" s="804">
        <v>0.01</v>
      </c>
      <c r="BN33" s="804">
        <v>1</v>
      </c>
      <c r="BO33" s="804">
        <v>-450441</v>
      </c>
      <c r="BP33" s="804">
        <v>-1333306</v>
      </c>
      <c r="BQ33" s="804">
        <v>0</v>
      </c>
      <c r="BR33" s="804">
        <v>-18018</v>
      </c>
      <c r="BS33" s="804">
        <v>-1801765</v>
      </c>
      <c r="BT33" s="804">
        <v>0</v>
      </c>
      <c r="BU33" s="804">
        <v>0.99</v>
      </c>
      <c r="BV33" s="804">
        <v>0</v>
      </c>
      <c r="BW33" s="804">
        <v>0.01</v>
      </c>
      <c r="BX33" s="804">
        <v>1</v>
      </c>
      <c r="BY33" s="804">
        <v>0</v>
      </c>
      <c r="BZ33" s="804">
        <v>9574319</v>
      </c>
      <c r="CA33" s="804">
        <v>0</v>
      </c>
      <c r="CB33" s="804">
        <v>96710</v>
      </c>
      <c r="CC33" s="804">
        <v>9671029</v>
      </c>
      <c r="CD33" s="804">
        <v>-450441</v>
      </c>
      <c r="CE33" s="804">
        <v>8241013</v>
      </c>
      <c r="CF33" s="804">
        <v>0</v>
      </c>
      <c r="CG33" s="804">
        <v>78692</v>
      </c>
      <c r="CH33" s="804">
        <v>7869264</v>
      </c>
      <c r="CI33" s="804">
        <v>34478462</v>
      </c>
      <c r="CJ33" s="804">
        <v>42622824</v>
      </c>
      <c r="CK33" s="804">
        <v>0</v>
      </c>
      <c r="CL33" s="804">
        <v>777270</v>
      </c>
      <c r="CM33" s="804">
        <v>77878556</v>
      </c>
      <c r="CN33" s="804">
        <v>1371957</v>
      </c>
      <c r="CO33" s="804">
        <v>0</v>
      </c>
      <c r="CP33" s="804">
        <v>27999</v>
      </c>
      <c r="CQ33" s="804">
        <v>1399956</v>
      </c>
      <c r="CR33" s="804">
        <v>649940</v>
      </c>
      <c r="CS33" s="804">
        <v>0</v>
      </c>
      <c r="CT33" s="804">
        <v>13264</v>
      </c>
      <c r="CU33" s="804">
        <v>663204</v>
      </c>
      <c r="CV33" s="804">
        <v>63453</v>
      </c>
      <c r="CW33" s="804">
        <v>0</v>
      </c>
      <c r="CX33" s="804">
        <v>1295</v>
      </c>
      <c r="CY33" s="804">
        <v>64748</v>
      </c>
      <c r="CZ33" s="804">
        <v>2007</v>
      </c>
      <c r="DA33" s="804">
        <v>0</v>
      </c>
      <c r="DB33" s="804">
        <v>41</v>
      </c>
      <c r="DC33" s="804">
        <v>2048</v>
      </c>
      <c r="DD33" s="804">
        <v>0</v>
      </c>
      <c r="DE33" s="804">
        <v>0</v>
      </c>
      <c r="DF33" s="804">
        <v>0</v>
      </c>
      <c r="DG33" s="804">
        <v>0</v>
      </c>
      <c r="DH33" s="804">
        <v>56126</v>
      </c>
      <c r="DI33" s="804">
        <v>0</v>
      </c>
      <c r="DJ33" s="804">
        <v>1145</v>
      </c>
      <c r="DK33" s="804">
        <v>57271</v>
      </c>
      <c r="DL33" s="804">
        <v>0</v>
      </c>
      <c r="DM33" s="804">
        <v>0</v>
      </c>
      <c r="DN33" s="804">
        <v>0</v>
      </c>
      <c r="DO33" s="804">
        <v>0</v>
      </c>
      <c r="DP33" s="804">
        <v>0</v>
      </c>
      <c r="DQ33" s="804">
        <v>0</v>
      </c>
      <c r="DR33" s="804">
        <v>0</v>
      </c>
      <c r="DS33" s="804">
        <v>0</v>
      </c>
      <c r="DT33" s="804">
        <v>0</v>
      </c>
      <c r="DU33" s="804">
        <v>0</v>
      </c>
      <c r="DV33" s="804">
        <v>0</v>
      </c>
      <c r="DW33" s="804">
        <v>0</v>
      </c>
      <c r="DX33" s="804">
        <v>539066</v>
      </c>
      <c r="DY33" s="804">
        <v>0</v>
      </c>
      <c r="DZ33" s="804">
        <v>11001</v>
      </c>
      <c r="EA33" s="804">
        <v>550067</v>
      </c>
      <c r="EB33" s="804">
        <v>2682549</v>
      </c>
      <c r="EC33" s="804">
        <v>0</v>
      </c>
      <c r="ED33" s="804">
        <v>54745</v>
      </c>
      <c r="EE33" s="804">
        <v>2737294</v>
      </c>
      <c r="EF33" s="604" t="s">
        <v>531</v>
      </c>
      <c r="EG33" s="497" t="s">
        <v>524</v>
      </c>
      <c r="EH33" s="630" t="s">
        <v>532</v>
      </c>
      <c r="EI33" s="118" t="s">
        <v>1686</v>
      </c>
    </row>
    <row r="34" spans="1:139" ht="12.75" x14ac:dyDescent="0.2">
      <c r="A34" s="805">
        <v>27</v>
      </c>
      <c r="B34" s="606" t="s">
        <v>727</v>
      </c>
      <c r="C34" s="607" t="s">
        <v>1192</v>
      </c>
      <c r="D34" s="608" t="s">
        <v>1193</v>
      </c>
      <c r="E34" s="609" t="s">
        <v>726</v>
      </c>
      <c r="F34" s="802">
        <v>135261078</v>
      </c>
      <c r="G34" s="804">
        <v>0</v>
      </c>
      <c r="H34" s="804">
        <v>696929</v>
      </c>
      <c r="I34" s="804">
        <v>720021</v>
      </c>
      <c r="J34" s="804">
        <v>0</v>
      </c>
      <c r="K34" s="804">
        <v>720021</v>
      </c>
      <c r="L34" s="804">
        <v>0</v>
      </c>
      <c r="M34" s="804">
        <v>0</v>
      </c>
      <c r="N34" s="804">
        <v>0</v>
      </c>
      <c r="O34" s="804">
        <v>0</v>
      </c>
      <c r="P34" s="804">
        <v>0</v>
      </c>
      <c r="Q34" s="804">
        <v>0</v>
      </c>
      <c r="R34" s="804">
        <v>133844128</v>
      </c>
      <c r="S34" s="804">
        <v>0.5</v>
      </c>
      <c r="T34" s="804">
        <v>0.49</v>
      </c>
      <c r="U34" s="804">
        <v>0</v>
      </c>
      <c r="V34" s="804">
        <v>0.01</v>
      </c>
      <c r="W34" s="804">
        <v>1</v>
      </c>
      <c r="X34" s="804">
        <v>66922064</v>
      </c>
      <c r="Y34" s="804">
        <v>65583623</v>
      </c>
      <c r="Z34" s="804">
        <v>0</v>
      </c>
      <c r="AA34" s="804">
        <v>1338441</v>
      </c>
      <c r="AB34" s="804">
        <v>133844128</v>
      </c>
      <c r="AC34" s="804">
        <v>0</v>
      </c>
      <c r="AD34" s="804">
        <v>0</v>
      </c>
      <c r="AE34" s="804">
        <v>0</v>
      </c>
      <c r="AF34" s="804">
        <v>0</v>
      </c>
      <c r="AG34" s="804">
        <v>0</v>
      </c>
      <c r="AH34" s="804">
        <v>66922064</v>
      </c>
      <c r="AI34" s="804">
        <v>65583623</v>
      </c>
      <c r="AJ34" s="804">
        <v>0</v>
      </c>
      <c r="AK34" s="804">
        <v>1338441</v>
      </c>
      <c r="AL34" s="804">
        <v>133844128</v>
      </c>
      <c r="AM34" s="804">
        <v>720021</v>
      </c>
      <c r="AN34" s="804">
        <v>720021</v>
      </c>
      <c r="AO34" s="804">
        <v>0</v>
      </c>
      <c r="AP34" s="804">
        <v>0</v>
      </c>
      <c r="AQ34" s="804">
        <v>0</v>
      </c>
      <c r="AR34" s="804">
        <v>0</v>
      </c>
      <c r="AS34" s="804">
        <v>0</v>
      </c>
      <c r="AT34" s="804">
        <v>0</v>
      </c>
      <c r="AU34" s="804">
        <v>0</v>
      </c>
      <c r="AV34" s="804">
        <v>0</v>
      </c>
      <c r="AW34" s="804">
        <v>0</v>
      </c>
      <c r="AX34" s="804">
        <v>0</v>
      </c>
      <c r="AY34" s="804">
        <v>0</v>
      </c>
      <c r="AZ34" s="804">
        <v>0</v>
      </c>
      <c r="BA34" s="804">
        <v>0</v>
      </c>
      <c r="BB34" s="804">
        <v>0</v>
      </c>
      <c r="BC34" s="804">
        <v>0</v>
      </c>
      <c r="BD34" s="804">
        <v>0</v>
      </c>
      <c r="BE34" s="804">
        <v>0</v>
      </c>
      <c r="BF34" s="804">
        <v>0</v>
      </c>
      <c r="BG34" s="804">
        <v>0</v>
      </c>
      <c r="BH34" s="804">
        <v>0</v>
      </c>
      <c r="BI34" s="804">
        <v>0</v>
      </c>
      <c r="BJ34" s="804">
        <v>0.25</v>
      </c>
      <c r="BK34" s="804">
        <v>0.74</v>
      </c>
      <c r="BL34" s="804">
        <v>0</v>
      </c>
      <c r="BM34" s="804">
        <v>0.01</v>
      </c>
      <c r="BN34" s="804">
        <v>1</v>
      </c>
      <c r="BO34" s="804">
        <v>79129</v>
      </c>
      <c r="BP34" s="804">
        <v>234222</v>
      </c>
      <c r="BQ34" s="804">
        <v>0</v>
      </c>
      <c r="BR34" s="804">
        <v>3165</v>
      </c>
      <c r="BS34" s="804">
        <v>316516</v>
      </c>
      <c r="BT34" s="804">
        <v>0</v>
      </c>
      <c r="BU34" s="804">
        <v>0.99</v>
      </c>
      <c r="BV34" s="804">
        <v>0</v>
      </c>
      <c r="BW34" s="804">
        <v>0.01</v>
      </c>
      <c r="BX34" s="804">
        <v>1</v>
      </c>
      <c r="BY34" s="804">
        <v>0</v>
      </c>
      <c r="BZ34" s="804">
        <v>534271</v>
      </c>
      <c r="CA34" s="804">
        <v>0</v>
      </c>
      <c r="CB34" s="804">
        <v>5397</v>
      </c>
      <c r="CC34" s="804">
        <v>539668</v>
      </c>
      <c r="CD34" s="804">
        <v>79129</v>
      </c>
      <c r="CE34" s="804">
        <v>768493</v>
      </c>
      <c r="CF34" s="804">
        <v>0</v>
      </c>
      <c r="CG34" s="804">
        <v>8562</v>
      </c>
      <c r="CH34" s="804">
        <v>856184</v>
      </c>
      <c r="CI34" s="804">
        <v>67001193</v>
      </c>
      <c r="CJ34" s="804">
        <v>67072137</v>
      </c>
      <c r="CK34" s="804">
        <v>0</v>
      </c>
      <c r="CL34" s="804">
        <v>1347003</v>
      </c>
      <c r="CM34" s="804">
        <v>135420333</v>
      </c>
      <c r="CN34" s="804">
        <v>2628602</v>
      </c>
      <c r="CO34" s="804">
        <v>0</v>
      </c>
      <c r="CP34" s="804">
        <v>53645</v>
      </c>
      <c r="CQ34" s="804">
        <v>2682247</v>
      </c>
      <c r="CR34" s="804">
        <v>9274227</v>
      </c>
      <c r="CS34" s="804">
        <v>0</v>
      </c>
      <c r="CT34" s="804">
        <v>189270</v>
      </c>
      <c r="CU34" s="804">
        <v>9463497</v>
      </c>
      <c r="CV34" s="804">
        <v>340600</v>
      </c>
      <c r="CW34" s="804">
        <v>0</v>
      </c>
      <c r="CX34" s="804">
        <v>6951</v>
      </c>
      <c r="CY34" s="804">
        <v>347551</v>
      </c>
      <c r="CZ34" s="804">
        <v>30778</v>
      </c>
      <c r="DA34" s="804">
        <v>0</v>
      </c>
      <c r="DB34" s="804">
        <v>628</v>
      </c>
      <c r="DC34" s="804">
        <v>31406</v>
      </c>
      <c r="DD34" s="804">
        <v>2798</v>
      </c>
      <c r="DE34" s="804">
        <v>0</v>
      </c>
      <c r="DF34" s="804">
        <v>57</v>
      </c>
      <c r="DG34" s="804">
        <v>2855</v>
      </c>
      <c r="DH34" s="804">
        <v>31838</v>
      </c>
      <c r="DI34" s="804">
        <v>0</v>
      </c>
      <c r="DJ34" s="804">
        <v>650</v>
      </c>
      <c r="DK34" s="804">
        <v>32488</v>
      </c>
      <c r="DL34" s="804">
        <v>0</v>
      </c>
      <c r="DM34" s="804">
        <v>0</v>
      </c>
      <c r="DN34" s="804">
        <v>0</v>
      </c>
      <c r="DO34" s="804">
        <v>0</v>
      </c>
      <c r="DP34" s="804">
        <v>0</v>
      </c>
      <c r="DQ34" s="804">
        <v>0</v>
      </c>
      <c r="DR34" s="804">
        <v>0</v>
      </c>
      <c r="DS34" s="804">
        <v>0</v>
      </c>
      <c r="DT34" s="804">
        <v>0</v>
      </c>
      <c r="DU34" s="804">
        <v>0</v>
      </c>
      <c r="DV34" s="804">
        <v>0</v>
      </c>
      <c r="DW34" s="804">
        <v>0</v>
      </c>
      <c r="DX34" s="804">
        <v>1768827</v>
      </c>
      <c r="DY34" s="804">
        <v>0</v>
      </c>
      <c r="DZ34" s="804">
        <v>36098</v>
      </c>
      <c r="EA34" s="804">
        <v>1804925</v>
      </c>
      <c r="EB34" s="804">
        <v>14077670</v>
      </c>
      <c r="EC34" s="804">
        <v>0</v>
      </c>
      <c r="ED34" s="804">
        <v>287299</v>
      </c>
      <c r="EE34" s="804">
        <v>14364969</v>
      </c>
      <c r="EF34" s="604" t="s">
        <v>726</v>
      </c>
      <c r="EG34" s="497" t="s">
        <v>616</v>
      </c>
      <c r="EH34" s="630" t="s">
        <v>622</v>
      </c>
      <c r="EI34" s="118" t="s">
        <v>1687</v>
      </c>
    </row>
    <row r="35" spans="1:139" ht="12.75" x14ac:dyDescent="0.2">
      <c r="A35" s="805">
        <v>28</v>
      </c>
      <c r="B35" s="606" t="s">
        <v>729</v>
      </c>
      <c r="C35" s="607" t="s">
        <v>1185</v>
      </c>
      <c r="D35" s="608" t="s">
        <v>1189</v>
      </c>
      <c r="E35" s="609" t="s">
        <v>728</v>
      </c>
      <c r="F35" s="802">
        <v>42924034</v>
      </c>
      <c r="G35" s="804">
        <v>154700</v>
      </c>
      <c r="H35" s="804">
        <v>0</v>
      </c>
      <c r="I35" s="804">
        <v>186947</v>
      </c>
      <c r="J35" s="804">
        <v>0</v>
      </c>
      <c r="K35" s="804">
        <v>186947</v>
      </c>
      <c r="L35" s="804">
        <v>0</v>
      </c>
      <c r="M35" s="804">
        <v>0</v>
      </c>
      <c r="N35" s="804">
        <v>186000</v>
      </c>
      <c r="O35" s="804">
        <v>74000</v>
      </c>
      <c r="P35" s="804">
        <v>112000</v>
      </c>
      <c r="Q35" s="804">
        <v>0</v>
      </c>
      <c r="R35" s="804">
        <v>42705787</v>
      </c>
      <c r="S35" s="804">
        <v>0.5</v>
      </c>
      <c r="T35" s="804">
        <v>0.4</v>
      </c>
      <c r="U35" s="804">
        <v>0.09</v>
      </c>
      <c r="V35" s="804">
        <v>0.01</v>
      </c>
      <c r="W35" s="804">
        <v>1</v>
      </c>
      <c r="X35" s="804">
        <v>21352893</v>
      </c>
      <c r="Y35" s="804">
        <v>17082315</v>
      </c>
      <c r="Z35" s="804">
        <v>3843521</v>
      </c>
      <c r="AA35" s="804">
        <v>427058</v>
      </c>
      <c r="AB35" s="804">
        <v>42705787</v>
      </c>
      <c r="AC35" s="804">
        <v>0</v>
      </c>
      <c r="AD35" s="804">
        <v>0</v>
      </c>
      <c r="AE35" s="804">
        <v>0</v>
      </c>
      <c r="AF35" s="804">
        <v>0</v>
      </c>
      <c r="AG35" s="804">
        <v>0</v>
      </c>
      <c r="AH35" s="804">
        <v>21352893</v>
      </c>
      <c r="AI35" s="804">
        <v>17082315</v>
      </c>
      <c r="AJ35" s="804">
        <v>3843521</v>
      </c>
      <c r="AK35" s="804">
        <v>427058</v>
      </c>
      <c r="AL35" s="804">
        <v>42705787</v>
      </c>
      <c r="AM35" s="804">
        <v>186947</v>
      </c>
      <c r="AN35" s="804">
        <v>186947</v>
      </c>
      <c r="AO35" s="804">
        <v>0</v>
      </c>
      <c r="AP35" s="804">
        <v>0</v>
      </c>
      <c r="AQ35" s="804">
        <v>74000</v>
      </c>
      <c r="AR35" s="804">
        <v>112000</v>
      </c>
      <c r="AS35" s="804">
        <v>186000</v>
      </c>
      <c r="AT35" s="804">
        <v>0</v>
      </c>
      <c r="AU35" s="804">
        <v>0</v>
      </c>
      <c r="AV35" s="804">
        <v>0</v>
      </c>
      <c r="AW35" s="804">
        <v>0</v>
      </c>
      <c r="AX35" s="804">
        <v>0</v>
      </c>
      <c r="AY35" s="804">
        <v>0</v>
      </c>
      <c r="AZ35" s="804">
        <v>0</v>
      </c>
      <c r="BA35" s="804">
        <v>0</v>
      </c>
      <c r="BB35" s="804">
        <v>0</v>
      </c>
      <c r="BC35" s="804">
        <v>0</v>
      </c>
      <c r="BD35" s="804">
        <v>0</v>
      </c>
      <c r="BE35" s="804">
        <v>0</v>
      </c>
      <c r="BF35" s="804">
        <v>0</v>
      </c>
      <c r="BG35" s="804">
        <v>0</v>
      </c>
      <c r="BH35" s="804">
        <v>0</v>
      </c>
      <c r="BI35" s="804">
        <v>0</v>
      </c>
      <c r="BJ35" s="804">
        <v>0.5</v>
      </c>
      <c r="BK35" s="804">
        <v>0.4</v>
      </c>
      <c r="BL35" s="804">
        <v>0.09</v>
      </c>
      <c r="BM35" s="804">
        <v>0.01</v>
      </c>
      <c r="BN35" s="804">
        <v>1</v>
      </c>
      <c r="BO35" s="804">
        <v>-105424</v>
      </c>
      <c r="BP35" s="804">
        <v>-84338</v>
      </c>
      <c r="BQ35" s="804">
        <v>-18976</v>
      </c>
      <c r="BR35" s="804">
        <v>-2108</v>
      </c>
      <c r="BS35" s="804">
        <v>-210846</v>
      </c>
      <c r="BT35" s="804">
        <v>0.5</v>
      </c>
      <c r="BU35" s="804">
        <v>0.4</v>
      </c>
      <c r="BV35" s="804">
        <v>0.09</v>
      </c>
      <c r="BW35" s="804">
        <v>0.01</v>
      </c>
      <c r="BX35" s="804">
        <v>1</v>
      </c>
      <c r="BY35" s="804">
        <v>341617</v>
      </c>
      <c r="BZ35" s="804">
        <v>273293</v>
      </c>
      <c r="CA35" s="804">
        <v>61491</v>
      </c>
      <c r="CB35" s="804">
        <v>6832</v>
      </c>
      <c r="CC35" s="804">
        <v>683233</v>
      </c>
      <c r="CD35" s="804">
        <v>236193</v>
      </c>
      <c r="CE35" s="804">
        <v>188955</v>
      </c>
      <c r="CF35" s="804">
        <v>42515</v>
      </c>
      <c r="CG35" s="804">
        <v>4724</v>
      </c>
      <c r="CH35" s="804">
        <v>472387</v>
      </c>
      <c r="CI35" s="804">
        <v>21589086</v>
      </c>
      <c r="CJ35" s="804">
        <v>17532217</v>
      </c>
      <c r="CK35" s="804">
        <v>3998036</v>
      </c>
      <c r="CL35" s="804">
        <v>431782</v>
      </c>
      <c r="CM35" s="804">
        <v>43551121</v>
      </c>
      <c r="CN35" s="804">
        <v>687628</v>
      </c>
      <c r="CO35" s="804">
        <v>158538</v>
      </c>
      <c r="CP35" s="804">
        <v>17117</v>
      </c>
      <c r="CQ35" s="804">
        <v>863283</v>
      </c>
      <c r="CR35" s="804">
        <v>1649941</v>
      </c>
      <c r="CS35" s="804">
        <v>371237</v>
      </c>
      <c r="CT35" s="804">
        <v>41249</v>
      </c>
      <c r="CU35" s="804">
        <v>2062427</v>
      </c>
      <c r="CV35" s="804">
        <v>122713</v>
      </c>
      <c r="CW35" s="804">
        <v>27610</v>
      </c>
      <c r="CX35" s="804">
        <v>3068</v>
      </c>
      <c r="CY35" s="804">
        <v>153391</v>
      </c>
      <c r="CZ35" s="804">
        <v>0</v>
      </c>
      <c r="DA35" s="804">
        <v>0</v>
      </c>
      <c r="DB35" s="804">
        <v>0</v>
      </c>
      <c r="DC35" s="804">
        <v>0</v>
      </c>
      <c r="DD35" s="804">
        <v>4006</v>
      </c>
      <c r="DE35" s="804">
        <v>901</v>
      </c>
      <c r="DF35" s="804">
        <v>100</v>
      </c>
      <c r="DG35" s="804">
        <v>5007</v>
      </c>
      <c r="DH35" s="804">
        <v>5869</v>
      </c>
      <c r="DI35" s="804">
        <v>1320</v>
      </c>
      <c r="DJ35" s="804">
        <v>147</v>
      </c>
      <c r="DK35" s="804">
        <v>7336</v>
      </c>
      <c r="DL35" s="804">
        <v>3411</v>
      </c>
      <c r="DM35" s="804">
        <v>768</v>
      </c>
      <c r="DN35" s="804">
        <v>85</v>
      </c>
      <c r="DO35" s="804">
        <v>4264</v>
      </c>
      <c r="DP35" s="804">
        <v>0</v>
      </c>
      <c r="DQ35" s="804">
        <v>0</v>
      </c>
      <c r="DR35" s="804">
        <v>0</v>
      </c>
      <c r="DS35" s="804">
        <v>0</v>
      </c>
      <c r="DT35" s="804">
        <v>0</v>
      </c>
      <c r="DU35" s="804">
        <v>0</v>
      </c>
      <c r="DV35" s="804">
        <v>0</v>
      </c>
      <c r="DW35" s="804">
        <v>0</v>
      </c>
      <c r="DX35" s="804">
        <v>345632</v>
      </c>
      <c r="DY35" s="804">
        <v>77767</v>
      </c>
      <c r="DZ35" s="804">
        <v>8641</v>
      </c>
      <c r="EA35" s="804">
        <v>432040</v>
      </c>
      <c r="EB35" s="804">
        <v>2819200</v>
      </c>
      <c r="EC35" s="804">
        <v>638141</v>
      </c>
      <c r="ED35" s="804">
        <v>70407</v>
      </c>
      <c r="EE35" s="804">
        <v>3527748</v>
      </c>
      <c r="EF35" s="604" t="s">
        <v>728</v>
      </c>
      <c r="EG35" s="497" t="s">
        <v>570</v>
      </c>
      <c r="EH35" s="630" t="s">
        <v>568</v>
      </c>
      <c r="EI35" s="118" t="s">
        <v>1688</v>
      </c>
    </row>
    <row r="36" spans="1:139" ht="12.75" x14ac:dyDescent="0.2">
      <c r="A36" s="805">
        <v>29</v>
      </c>
      <c r="B36" s="606" t="s">
        <v>731</v>
      </c>
      <c r="C36" s="607" t="s">
        <v>1185</v>
      </c>
      <c r="D36" s="608" t="s">
        <v>1189</v>
      </c>
      <c r="E36" s="609" t="s">
        <v>730</v>
      </c>
      <c r="F36" s="802">
        <v>34698741</v>
      </c>
      <c r="G36" s="804">
        <v>120611</v>
      </c>
      <c r="H36" s="804">
        <v>0</v>
      </c>
      <c r="I36" s="804">
        <v>166471</v>
      </c>
      <c r="J36" s="804">
        <v>0</v>
      </c>
      <c r="K36" s="804">
        <v>166471</v>
      </c>
      <c r="L36" s="804">
        <v>0</v>
      </c>
      <c r="M36" s="804">
        <v>0</v>
      </c>
      <c r="N36" s="804">
        <v>2511918</v>
      </c>
      <c r="O36" s="804">
        <v>2511918</v>
      </c>
      <c r="P36" s="804">
        <v>0</v>
      </c>
      <c r="Q36" s="804">
        <v>0</v>
      </c>
      <c r="R36" s="804">
        <v>32140963</v>
      </c>
      <c r="S36" s="804">
        <v>0.5</v>
      </c>
      <c r="T36" s="804">
        <v>0.4</v>
      </c>
      <c r="U36" s="804">
        <v>0.1</v>
      </c>
      <c r="V36" s="804">
        <v>0</v>
      </c>
      <c r="W36" s="804">
        <v>1</v>
      </c>
      <c r="X36" s="804">
        <v>16070482</v>
      </c>
      <c r="Y36" s="804">
        <v>12856385</v>
      </c>
      <c r="Z36" s="804">
        <v>3214096</v>
      </c>
      <c r="AA36" s="804">
        <v>0</v>
      </c>
      <c r="AB36" s="804">
        <v>32140963</v>
      </c>
      <c r="AC36" s="804">
        <v>0</v>
      </c>
      <c r="AD36" s="804">
        <v>0</v>
      </c>
      <c r="AE36" s="804">
        <v>0</v>
      </c>
      <c r="AF36" s="804">
        <v>0</v>
      </c>
      <c r="AG36" s="804">
        <v>0</v>
      </c>
      <c r="AH36" s="804">
        <v>16070482</v>
      </c>
      <c r="AI36" s="804">
        <v>12856385</v>
      </c>
      <c r="AJ36" s="804">
        <v>3214096</v>
      </c>
      <c r="AK36" s="804">
        <v>0</v>
      </c>
      <c r="AL36" s="804">
        <v>32140963</v>
      </c>
      <c r="AM36" s="804">
        <v>166471</v>
      </c>
      <c r="AN36" s="804">
        <v>166471</v>
      </c>
      <c r="AO36" s="804">
        <v>0</v>
      </c>
      <c r="AP36" s="804">
        <v>0</v>
      </c>
      <c r="AQ36" s="804">
        <v>2511918</v>
      </c>
      <c r="AR36" s="804">
        <v>0</v>
      </c>
      <c r="AS36" s="804">
        <v>2511918</v>
      </c>
      <c r="AT36" s="804">
        <v>0</v>
      </c>
      <c r="AU36" s="804">
        <v>0</v>
      </c>
      <c r="AV36" s="804">
        <v>0</v>
      </c>
      <c r="AW36" s="804">
        <v>0</v>
      </c>
      <c r="AX36" s="804">
        <v>0</v>
      </c>
      <c r="AY36" s="804">
        <v>0</v>
      </c>
      <c r="AZ36" s="804">
        <v>0</v>
      </c>
      <c r="BA36" s="804">
        <v>0</v>
      </c>
      <c r="BB36" s="804">
        <v>0</v>
      </c>
      <c r="BC36" s="804">
        <v>0</v>
      </c>
      <c r="BD36" s="804">
        <v>0</v>
      </c>
      <c r="BE36" s="804">
        <v>0</v>
      </c>
      <c r="BF36" s="804">
        <v>0</v>
      </c>
      <c r="BG36" s="804">
        <v>0</v>
      </c>
      <c r="BH36" s="804">
        <v>0</v>
      </c>
      <c r="BI36" s="804">
        <v>0</v>
      </c>
      <c r="BJ36" s="804">
        <v>0.25000000000000006</v>
      </c>
      <c r="BK36" s="804">
        <v>0.42499999999999999</v>
      </c>
      <c r="BL36" s="804">
        <v>0.32500000000000001</v>
      </c>
      <c r="BM36" s="804">
        <v>0</v>
      </c>
      <c r="BN36" s="804">
        <v>1</v>
      </c>
      <c r="BO36" s="804">
        <v>245188</v>
      </c>
      <c r="BP36" s="804">
        <v>416820</v>
      </c>
      <c r="BQ36" s="804">
        <v>318744</v>
      </c>
      <c r="BR36" s="804">
        <v>0</v>
      </c>
      <c r="BS36" s="804">
        <v>980752</v>
      </c>
      <c r="BT36" s="804">
        <v>0.5</v>
      </c>
      <c r="BU36" s="804">
        <v>0.4</v>
      </c>
      <c r="BV36" s="804">
        <v>0.1</v>
      </c>
      <c r="BW36" s="804">
        <v>0</v>
      </c>
      <c r="BX36" s="804">
        <v>1</v>
      </c>
      <c r="BY36" s="804">
        <v>-259744</v>
      </c>
      <c r="BZ36" s="804">
        <v>-207795</v>
      </c>
      <c r="CA36" s="804">
        <v>-51949</v>
      </c>
      <c r="CB36" s="804">
        <v>0</v>
      </c>
      <c r="CC36" s="804">
        <v>-519488</v>
      </c>
      <c r="CD36" s="804">
        <v>-14556</v>
      </c>
      <c r="CE36" s="804">
        <v>209025</v>
      </c>
      <c r="CF36" s="804">
        <v>266795</v>
      </c>
      <c r="CG36" s="804">
        <v>0</v>
      </c>
      <c r="CH36" s="804">
        <v>461264</v>
      </c>
      <c r="CI36" s="804">
        <v>16055926</v>
      </c>
      <c r="CJ36" s="804">
        <v>15743799</v>
      </c>
      <c r="CK36" s="804">
        <v>3480891</v>
      </c>
      <c r="CL36" s="804">
        <v>0</v>
      </c>
      <c r="CM36" s="804">
        <v>35280616</v>
      </c>
      <c r="CN36" s="804">
        <v>615964</v>
      </c>
      <c r="CO36" s="804">
        <v>128821</v>
      </c>
      <c r="CP36" s="804">
        <v>0</v>
      </c>
      <c r="CQ36" s="804">
        <v>744785</v>
      </c>
      <c r="CR36" s="804">
        <v>1437798</v>
      </c>
      <c r="CS36" s="804">
        <v>359450</v>
      </c>
      <c r="CT36" s="804">
        <v>0</v>
      </c>
      <c r="CU36" s="804">
        <v>1797248</v>
      </c>
      <c r="CV36" s="804">
        <v>85038</v>
      </c>
      <c r="CW36" s="804">
        <v>21260</v>
      </c>
      <c r="CX36" s="804">
        <v>0</v>
      </c>
      <c r="CY36" s="804">
        <v>106298</v>
      </c>
      <c r="CZ36" s="804">
        <v>0</v>
      </c>
      <c r="DA36" s="804">
        <v>0</v>
      </c>
      <c r="DB36" s="804">
        <v>0</v>
      </c>
      <c r="DC36" s="804">
        <v>0</v>
      </c>
      <c r="DD36" s="804">
        <v>29796</v>
      </c>
      <c r="DE36" s="804">
        <v>7449</v>
      </c>
      <c r="DF36" s="804">
        <v>0</v>
      </c>
      <c r="DG36" s="804">
        <v>37245</v>
      </c>
      <c r="DH36" s="804">
        <v>14395</v>
      </c>
      <c r="DI36" s="804">
        <v>3599</v>
      </c>
      <c r="DJ36" s="804">
        <v>0</v>
      </c>
      <c r="DK36" s="804">
        <v>17994</v>
      </c>
      <c r="DL36" s="804">
        <v>3744</v>
      </c>
      <c r="DM36" s="804">
        <v>936</v>
      </c>
      <c r="DN36" s="804">
        <v>0</v>
      </c>
      <c r="DO36" s="804">
        <v>4680</v>
      </c>
      <c r="DP36" s="804">
        <v>0</v>
      </c>
      <c r="DQ36" s="804">
        <v>0</v>
      </c>
      <c r="DR36" s="804">
        <v>0</v>
      </c>
      <c r="DS36" s="804">
        <v>0</v>
      </c>
      <c r="DT36" s="804">
        <v>0</v>
      </c>
      <c r="DU36" s="804">
        <v>0</v>
      </c>
      <c r="DV36" s="804">
        <v>0</v>
      </c>
      <c r="DW36" s="804">
        <v>0</v>
      </c>
      <c r="DX36" s="804">
        <v>302720</v>
      </c>
      <c r="DY36" s="804">
        <v>75680</v>
      </c>
      <c r="DZ36" s="804">
        <v>0</v>
      </c>
      <c r="EA36" s="804">
        <v>378400</v>
      </c>
      <c r="EB36" s="804">
        <v>2489455</v>
      </c>
      <c r="EC36" s="804">
        <v>597195</v>
      </c>
      <c r="ED36" s="804">
        <v>0</v>
      </c>
      <c r="EE36" s="804">
        <v>3086650</v>
      </c>
      <c r="EF36" s="604" t="s">
        <v>730</v>
      </c>
      <c r="EG36" s="497" t="s">
        <v>596</v>
      </c>
      <c r="EH36" s="630" t="s">
        <v>551</v>
      </c>
      <c r="EI36" s="118" t="s">
        <v>1689</v>
      </c>
    </row>
    <row r="37" spans="1:139" ht="12.75" x14ac:dyDescent="0.2">
      <c r="A37" s="805">
        <v>30</v>
      </c>
      <c r="B37" s="606" t="s">
        <v>733</v>
      </c>
      <c r="C37" s="607" t="s">
        <v>1190</v>
      </c>
      <c r="D37" s="608" t="s">
        <v>1191</v>
      </c>
      <c r="E37" s="609" t="s">
        <v>732</v>
      </c>
      <c r="F37" s="802">
        <v>127546414</v>
      </c>
      <c r="G37" s="804">
        <v>504296</v>
      </c>
      <c r="H37" s="804">
        <v>0</v>
      </c>
      <c r="I37" s="804">
        <v>423967</v>
      </c>
      <c r="J37" s="804">
        <v>0</v>
      </c>
      <c r="K37" s="804">
        <v>423967</v>
      </c>
      <c r="L37" s="804">
        <v>0</v>
      </c>
      <c r="M37" s="804">
        <v>0</v>
      </c>
      <c r="N37" s="804">
        <v>0</v>
      </c>
      <c r="O37" s="804">
        <v>0</v>
      </c>
      <c r="P37" s="804">
        <v>0</v>
      </c>
      <c r="Q37" s="804">
        <v>0</v>
      </c>
      <c r="R37" s="804">
        <v>127626743</v>
      </c>
      <c r="S37" s="804">
        <v>0.33</v>
      </c>
      <c r="T37" s="804">
        <v>0.3</v>
      </c>
      <c r="U37" s="804">
        <v>0.37</v>
      </c>
      <c r="V37" s="804">
        <v>0</v>
      </c>
      <c r="W37" s="804">
        <v>1</v>
      </c>
      <c r="X37" s="804">
        <v>42116825</v>
      </c>
      <c r="Y37" s="804">
        <v>38288023</v>
      </c>
      <c r="Z37" s="804">
        <v>47221895</v>
      </c>
      <c r="AA37" s="804">
        <v>0</v>
      </c>
      <c r="AB37" s="804">
        <v>127626743</v>
      </c>
      <c r="AC37" s="804">
        <v>0</v>
      </c>
      <c r="AD37" s="804">
        <v>0</v>
      </c>
      <c r="AE37" s="804">
        <v>0</v>
      </c>
      <c r="AF37" s="804">
        <v>0</v>
      </c>
      <c r="AG37" s="804">
        <v>0</v>
      </c>
      <c r="AH37" s="804">
        <v>42116825</v>
      </c>
      <c r="AI37" s="804">
        <v>38288023</v>
      </c>
      <c r="AJ37" s="804">
        <v>47221895</v>
      </c>
      <c r="AK37" s="804">
        <v>0</v>
      </c>
      <c r="AL37" s="804">
        <v>127626743</v>
      </c>
      <c r="AM37" s="804">
        <v>423967</v>
      </c>
      <c r="AN37" s="804">
        <v>423967</v>
      </c>
      <c r="AO37" s="804">
        <v>0</v>
      </c>
      <c r="AP37" s="804">
        <v>0</v>
      </c>
      <c r="AQ37" s="804">
        <v>0</v>
      </c>
      <c r="AR37" s="804">
        <v>0</v>
      </c>
      <c r="AS37" s="804">
        <v>0</v>
      </c>
      <c r="AT37" s="804">
        <v>0</v>
      </c>
      <c r="AU37" s="804">
        <v>0</v>
      </c>
      <c r="AV37" s="804">
        <v>0</v>
      </c>
      <c r="AW37" s="804">
        <v>0</v>
      </c>
      <c r="AX37" s="804">
        <v>0</v>
      </c>
      <c r="AY37" s="804">
        <v>0</v>
      </c>
      <c r="AZ37" s="804">
        <v>0</v>
      </c>
      <c r="BA37" s="804">
        <v>0</v>
      </c>
      <c r="BB37" s="804">
        <v>0</v>
      </c>
      <c r="BC37" s="804">
        <v>0</v>
      </c>
      <c r="BD37" s="804">
        <v>0</v>
      </c>
      <c r="BE37" s="804">
        <v>0</v>
      </c>
      <c r="BF37" s="804">
        <v>0</v>
      </c>
      <c r="BG37" s="804">
        <v>0</v>
      </c>
      <c r="BH37" s="804">
        <v>0</v>
      </c>
      <c r="BI37" s="804">
        <v>0</v>
      </c>
      <c r="BJ37" s="804">
        <v>0.25</v>
      </c>
      <c r="BK37" s="804">
        <v>0.48</v>
      </c>
      <c r="BL37" s="804">
        <v>0.27</v>
      </c>
      <c r="BM37" s="804">
        <v>0</v>
      </c>
      <c r="BN37" s="804">
        <v>1</v>
      </c>
      <c r="BO37" s="804">
        <v>-301802</v>
      </c>
      <c r="BP37" s="804">
        <v>-579461</v>
      </c>
      <c r="BQ37" s="804">
        <v>-325947</v>
      </c>
      <c r="BR37" s="804">
        <v>0</v>
      </c>
      <c r="BS37" s="804">
        <v>-1207210</v>
      </c>
      <c r="BT37" s="804">
        <v>0</v>
      </c>
      <c r="BU37" s="804">
        <v>0.64</v>
      </c>
      <c r="BV37" s="804">
        <v>0.36</v>
      </c>
      <c r="BW37" s="804">
        <v>0</v>
      </c>
      <c r="BX37" s="804">
        <v>1</v>
      </c>
      <c r="BY37" s="804">
        <v>0</v>
      </c>
      <c r="BZ37" s="804">
        <v>-2906056</v>
      </c>
      <c r="CA37" s="804">
        <v>-1634657</v>
      </c>
      <c r="CB37" s="804">
        <v>0</v>
      </c>
      <c r="CC37" s="804">
        <v>-4540713</v>
      </c>
      <c r="CD37" s="804">
        <v>-301802</v>
      </c>
      <c r="CE37" s="804">
        <v>-3485517</v>
      </c>
      <c r="CF37" s="804">
        <v>-1960604</v>
      </c>
      <c r="CG37" s="804">
        <v>0</v>
      </c>
      <c r="CH37" s="804">
        <v>-5747923</v>
      </c>
      <c r="CI37" s="804">
        <v>41815023</v>
      </c>
      <c r="CJ37" s="804">
        <v>35226473</v>
      </c>
      <c r="CK37" s="804">
        <v>45261291</v>
      </c>
      <c r="CL37" s="804">
        <v>0</v>
      </c>
      <c r="CM37" s="804">
        <v>122302787</v>
      </c>
      <c r="CN37" s="804">
        <v>1534590</v>
      </c>
      <c r="CO37" s="804">
        <v>1892661</v>
      </c>
      <c r="CP37" s="804">
        <v>0</v>
      </c>
      <c r="CQ37" s="804">
        <v>3427251</v>
      </c>
      <c r="CR37" s="804">
        <v>2347897</v>
      </c>
      <c r="CS37" s="804">
        <v>2895741</v>
      </c>
      <c r="CT37" s="804">
        <v>0</v>
      </c>
      <c r="CU37" s="804">
        <v>5243638</v>
      </c>
      <c r="CV37" s="804">
        <v>148440</v>
      </c>
      <c r="CW37" s="804">
        <v>183076</v>
      </c>
      <c r="CX37" s="804">
        <v>0</v>
      </c>
      <c r="CY37" s="804">
        <v>331516</v>
      </c>
      <c r="CZ37" s="804">
        <v>1308</v>
      </c>
      <c r="DA37" s="804">
        <v>1613</v>
      </c>
      <c r="DB37" s="804">
        <v>0</v>
      </c>
      <c r="DC37" s="804">
        <v>2921</v>
      </c>
      <c r="DD37" s="804">
        <v>0</v>
      </c>
      <c r="DE37" s="804">
        <v>0</v>
      </c>
      <c r="DF37" s="804">
        <v>0</v>
      </c>
      <c r="DG37" s="804">
        <v>0</v>
      </c>
      <c r="DH37" s="804">
        <v>31256</v>
      </c>
      <c r="DI37" s="804">
        <v>38550</v>
      </c>
      <c r="DJ37" s="804">
        <v>0</v>
      </c>
      <c r="DK37" s="804">
        <v>69806</v>
      </c>
      <c r="DL37" s="804">
        <v>9770</v>
      </c>
      <c r="DM37" s="804">
        <v>12049</v>
      </c>
      <c r="DN37" s="804">
        <v>0</v>
      </c>
      <c r="DO37" s="804">
        <v>21819</v>
      </c>
      <c r="DP37" s="804">
        <v>0</v>
      </c>
      <c r="DQ37" s="804">
        <v>0</v>
      </c>
      <c r="DR37" s="804">
        <v>0</v>
      </c>
      <c r="DS37" s="804">
        <v>0</v>
      </c>
      <c r="DT37" s="804">
        <v>0</v>
      </c>
      <c r="DU37" s="804">
        <v>0</v>
      </c>
      <c r="DV37" s="804">
        <v>0</v>
      </c>
      <c r="DW37" s="804">
        <v>0</v>
      </c>
      <c r="DX37" s="804">
        <v>2096209</v>
      </c>
      <c r="DY37" s="804">
        <v>2585324</v>
      </c>
      <c r="DZ37" s="804">
        <v>0</v>
      </c>
      <c r="EA37" s="804">
        <v>4681533</v>
      </c>
      <c r="EB37" s="804">
        <v>6169470</v>
      </c>
      <c r="EC37" s="804">
        <v>7609014</v>
      </c>
      <c r="ED37" s="804">
        <v>0</v>
      </c>
      <c r="EE37" s="804">
        <v>13778484</v>
      </c>
      <c r="EF37" s="604" t="s">
        <v>732</v>
      </c>
      <c r="EG37" s="497" t="s">
        <v>623</v>
      </c>
      <c r="EH37" s="243" t="s">
        <v>523</v>
      </c>
      <c r="EI37" s="118" t="s">
        <v>1690</v>
      </c>
    </row>
    <row r="38" spans="1:139" ht="12.75" x14ac:dyDescent="0.2">
      <c r="A38" s="805">
        <v>31</v>
      </c>
      <c r="B38" s="606" t="s">
        <v>735</v>
      </c>
      <c r="C38" s="607" t="s">
        <v>1185</v>
      </c>
      <c r="D38" s="608" t="s">
        <v>1189</v>
      </c>
      <c r="E38" s="609" t="s">
        <v>734</v>
      </c>
      <c r="F38" s="802">
        <v>26594413</v>
      </c>
      <c r="G38" s="804">
        <v>0</v>
      </c>
      <c r="H38" s="804">
        <v>15121</v>
      </c>
      <c r="I38" s="804">
        <v>103770</v>
      </c>
      <c r="J38" s="804">
        <v>0</v>
      </c>
      <c r="K38" s="804">
        <v>103770</v>
      </c>
      <c r="L38" s="804">
        <v>0</v>
      </c>
      <c r="M38" s="804">
        <v>0</v>
      </c>
      <c r="N38" s="804">
        <v>0</v>
      </c>
      <c r="O38" s="804">
        <v>0</v>
      </c>
      <c r="P38" s="804">
        <v>0</v>
      </c>
      <c r="Q38" s="804">
        <v>0</v>
      </c>
      <c r="R38" s="804">
        <v>26475522</v>
      </c>
      <c r="S38" s="804">
        <v>0.5</v>
      </c>
      <c r="T38" s="804">
        <v>0.4</v>
      </c>
      <c r="U38" s="804">
        <v>0.09</v>
      </c>
      <c r="V38" s="804">
        <v>0.01</v>
      </c>
      <c r="W38" s="804">
        <v>1</v>
      </c>
      <c r="X38" s="804">
        <v>13237761</v>
      </c>
      <c r="Y38" s="804">
        <v>10590209</v>
      </c>
      <c r="Z38" s="804">
        <v>2382797</v>
      </c>
      <c r="AA38" s="804">
        <v>264755</v>
      </c>
      <c r="AB38" s="804">
        <v>26475522</v>
      </c>
      <c r="AC38" s="804">
        <v>0</v>
      </c>
      <c r="AD38" s="804">
        <v>0</v>
      </c>
      <c r="AE38" s="804">
        <v>0</v>
      </c>
      <c r="AF38" s="804">
        <v>0</v>
      </c>
      <c r="AG38" s="804">
        <v>0</v>
      </c>
      <c r="AH38" s="804">
        <v>13237761</v>
      </c>
      <c r="AI38" s="804">
        <v>10590209</v>
      </c>
      <c r="AJ38" s="804">
        <v>2382797</v>
      </c>
      <c r="AK38" s="804">
        <v>264755</v>
      </c>
      <c r="AL38" s="804">
        <v>26475522</v>
      </c>
      <c r="AM38" s="804">
        <v>103770</v>
      </c>
      <c r="AN38" s="804">
        <v>103770</v>
      </c>
      <c r="AO38" s="804">
        <v>0</v>
      </c>
      <c r="AP38" s="804">
        <v>0</v>
      </c>
      <c r="AQ38" s="804">
        <v>0</v>
      </c>
      <c r="AR38" s="804">
        <v>0</v>
      </c>
      <c r="AS38" s="804">
        <v>0</v>
      </c>
      <c r="AT38" s="804">
        <v>0</v>
      </c>
      <c r="AU38" s="804">
        <v>0</v>
      </c>
      <c r="AV38" s="804">
        <v>0</v>
      </c>
      <c r="AW38" s="804">
        <v>0</v>
      </c>
      <c r="AX38" s="804">
        <v>0</v>
      </c>
      <c r="AY38" s="804">
        <v>0</v>
      </c>
      <c r="AZ38" s="804">
        <v>0</v>
      </c>
      <c r="BA38" s="804">
        <v>0</v>
      </c>
      <c r="BB38" s="804">
        <v>0</v>
      </c>
      <c r="BC38" s="804">
        <v>0</v>
      </c>
      <c r="BD38" s="804">
        <v>0</v>
      </c>
      <c r="BE38" s="804">
        <v>0</v>
      </c>
      <c r="BF38" s="804">
        <v>0</v>
      </c>
      <c r="BG38" s="804">
        <v>0</v>
      </c>
      <c r="BH38" s="804">
        <v>0</v>
      </c>
      <c r="BI38" s="804">
        <v>0</v>
      </c>
      <c r="BJ38" s="804">
        <v>0.5</v>
      </c>
      <c r="BK38" s="804">
        <v>0.4</v>
      </c>
      <c r="BL38" s="804">
        <v>0.09</v>
      </c>
      <c r="BM38" s="804">
        <v>0.01</v>
      </c>
      <c r="BN38" s="804">
        <v>1</v>
      </c>
      <c r="BO38" s="804">
        <v>-91936</v>
      </c>
      <c r="BP38" s="804">
        <v>-73549</v>
      </c>
      <c r="BQ38" s="804">
        <v>-16548</v>
      </c>
      <c r="BR38" s="804">
        <v>-1839</v>
      </c>
      <c r="BS38" s="804">
        <v>-183872</v>
      </c>
      <c r="BT38" s="804">
        <v>0.5</v>
      </c>
      <c r="BU38" s="804">
        <v>0.4</v>
      </c>
      <c r="BV38" s="804">
        <v>0.09</v>
      </c>
      <c r="BW38" s="804">
        <v>0.01</v>
      </c>
      <c r="BX38" s="804">
        <v>1</v>
      </c>
      <c r="BY38" s="804">
        <v>-45073</v>
      </c>
      <c r="BZ38" s="804">
        <v>-36058</v>
      </c>
      <c r="CA38" s="804">
        <v>-8113</v>
      </c>
      <c r="CB38" s="804">
        <v>-901</v>
      </c>
      <c r="CC38" s="804">
        <v>-90145</v>
      </c>
      <c r="CD38" s="804">
        <v>-137008</v>
      </c>
      <c r="CE38" s="804">
        <v>-109607</v>
      </c>
      <c r="CF38" s="804">
        <v>-24662</v>
      </c>
      <c r="CG38" s="804">
        <v>-2740</v>
      </c>
      <c r="CH38" s="804">
        <v>-274017</v>
      </c>
      <c r="CI38" s="804">
        <v>13100753</v>
      </c>
      <c r="CJ38" s="804">
        <v>10584372</v>
      </c>
      <c r="CK38" s="804">
        <v>2358135</v>
      </c>
      <c r="CL38" s="804">
        <v>262015</v>
      </c>
      <c r="CM38" s="804">
        <v>26305275</v>
      </c>
      <c r="CN38" s="804">
        <v>424457</v>
      </c>
      <c r="CO38" s="804">
        <v>95503</v>
      </c>
      <c r="CP38" s="804">
        <v>10611</v>
      </c>
      <c r="CQ38" s="804">
        <v>530571</v>
      </c>
      <c r="CR38" s="804">
        <v>837118</v>
      </c>
      <c r="CS38" s="804">
        <v>188352</v>
      </c>
      <c r="CT38" s="804">
        <v>20928</v>
      </c>
      <c r="CU38" s="804">
        <v>1046398</v>
      </c>
      <c r="CV38" s="804">
        <v>76718</v>
      </c>
      <c r="CW38" s="804">
        <v>17261</v>
      </c>
      <c r="CX38" s="804">
        <v>1918</v>
      </c>
      <c r="CY38" s="804">
        <v>95897</v>
      </c>
      <c r="CZ38" s="804">
        <v>0</v>
      </c>
      <c r="DA38" s="804">
        <v>0</v>
      </c>
      <c r="DB38" s="804">
        <v>0</v>
      </c>
      <c r="DC38" s="804">
        <v>0</v>
      </c>
      <c r="DD38" s="804">
        <v>0</v>
      </c>
      <c r="DE38" s="804">
        <v>0</v>
      </c>
      <c r="DF38" s="804">
        <v>0</v>
      </c>
      <c r="DG38" s="804">
        <v>0</v>
      </c>
      <c r="DH38" s="804">
        <v>1965</v>
      </c>
      <c r="DI38" s="804">
        <v>442</v>
      </c>
      <c r="DJ38" s="804">
        <v>49</v>
      </c>
      <c r="DK38" s="804">
        <v>2456</v>
      </c>
      <c r="DL38" s="804">
        <v>1490</v>
      </c>
      <c r="DM38" s="804">
        <v>335</v>
      </c>
      <c r="DN38" s="804">
        <v>37</v>
      </c>
      <c r="DO38" s="804">
        <v>1862</v>
      </c>
      <c r="DP38" s="804">
        <v>0</v>
      </c>
      <c r="DQ38" s="804">
        <v>0</v>
      </c>
      <c r="DR38" s="804">
        <v>0</v>
      </c>
      <c r="DS38" s="804">
        <v>0</v>
      </c>
      <c r="DT38" s="804">
        <v>0</v>
      </c>
      <c r="DU38" s="804">
        <v>0</v>
      </c>
      <c r="DV38" s="804">
        <v>0</v>
      </c>
      <c r="DW38" s="804">
        <v>0</v>
      </c>
      <c r="DX38" s="804">
        <v>459960</v>
      </c>
      <c r="DY38" s="804">
        <v>103491</v>
      </c>
      <c r="DZ38" s="804">
        <v>11499</v>
      </c>
      <c r="EA38" s="804">
        <v>574950</v>
      </c>
      <c r="EB38" s="804">
        <v>1801708</v>
      </c>
      <c r="EC38" s="804">
        <v>405384</v>
      </c>
      <c r="ED38" s="804">
        <v>45042</v>
      </c>
      <c r="EE38" s="804">
        <v>2252134</v>
      </c>
      <c r="EF38" s="604" t="s">
        <v>734</v>
      </c>
      <c r="EG38" s="497" t="s">
        <v>570</v>
      </c>
      <c r="EH38" s="630" t="s">
        <v>568</v>
      </c>
      <c r="EI38" s="118" t="s">
        <v>1691</v>
      </c>
    </row>
    <row r="39" spans="1:139" ht="12.75" x14ac:dyDescent="0.2">
      <c r="A39" s="805">
        <v>32</v>
      </c>
      <c r="B39" s="606" t="s">
        <v>737</v>
      </c>
      <c r="C39" s="607" t="s">
        <v>524</v>
      </c>
      <c r="D39" s="608" t="s">
        <v>1186</v>
      </c>
      <c r="E39" s="609" t="s">
        <v>916</v>
      </c>
      <c r="F39" s="802">
        <v>119190586</v>
      </c>
      <c r="G39" s="804">
        <v>1470372</v>
      </c>
      <c r="H39" s="804">
        <v>0</v>
      </c>
      <c r="I39" s="804">
        <v>444672</v>
      </c>
      <c r="J39" s="804">
        <v>0</v>
      </c>
      <c r="K39" s="804">
        <v>444672</v>
      </c>
      <c r="L39" s="804">
        <v>0</v>
      </c>
      <c r="M39" s="804">
        <v>0</v>
      </c>
      <c r="N39" s="804">
        <v>0</v>
      </c>
      <c r="O39" s="804">
        <v>0</v>
      </c>
      <c r="P39" s="804">
        <v>0</v>
      </c>
      <c r="Q39" s="804">
        <v>0</v>
      </c>
      <c r="R39" s="804">
        <v>120216286</v>
      </c>
      <c r="S39" s="804">
        <v>0.5</v>
      </c>
      <c r="T39" s="804">
        <v>0.49</v>
      </c>
      <c r="U39" s="804">
        <v>0</v>
      </c>
      <c r="V39" s="804">
        <v>0.01</v>
      </c>
      <c r="W39" s="804">
        <v>1</v>
      </c>
      <c r="X39" s="804">
        <v>60108143</v>
      </c>
      <c r="Y39" s="804">
        <v>58905980</v>
      </c>
      <c r="Z39" s="804">
        <v>0</v>
      </c>
      <c r="AA39" s="804">
        <v>1202163</v>
      </c>
      <c r="AB39" s="804">
        <v>120216286</v>
      </c>
      <c r="AC39" s="804">
        <v>0</v>
      </c>
      <c r="AD39" s="804">
        <v>0</v>
      </c>
      <c r="AE39" s="804">
        <v>0</v>
      </c>
      <c r="AF39" s="804">
        <v>0</v>
      </c>
      <c r="AG39" s="804">
        <v>0</v>
      </c>
      <c r="AH39" s="804">
        <v>60108143</v>
      </c>
      <c r="AI39" s="804">
        <v>58905980</v>
      </c>
      <c r="AJ39" s="804">
        <v>0</v>
      </c>
      <c r="AK39" s="804">
        <v>1202163</v>
      </c>
      <c r="AL39" s="804">
        <v>120216286</v>
      </c>
      <c r="AM39" s="804">
        <v>444672</v>
      </c>
      <c r="AN39" s="804">
        <v>444672</v>
      </c>
      <c r="AO39" s="804">
        <v>0</v>
      </c>
      <c r="AP39" s="804">
        <v>0</v>
      </c>
      <c r="AQ39" s="804">
        <v>0</v>
      </c>
      <c r="AR39" s="804">
        <v>0</v>
      </c>
      <c r="AS39" s="804">
        <v>0</v>
      </c>
      <c r="AT39" s="804">
        <v>0</v>
      </c>
      <c r="AU39" s="804">
        <v>0</v>
      </c>
      <c r="AV39" s="804">
        <v>0</v>
      </c>
      <c r="AW39" s="804">
        <v>0</v>
      </c>
      <c r="AX39" s="804">
        <v>0</v>
      </c>
      <c r="AY39" s="804">
        <v>0</v>
      </c>
      <c r="AZ39" s="804">
        <v>0</v>
      </c>
      <c r="BA39" s="804">
        <v>0</v>
      </c>
      <c r="BB39" s="804">
        <v>0</v>
      </c>
      <c r="BC39" s="804">
        <v>0</v>
      </c>
      <c r="BD39" s="804">
        <v>0</v>
      </c>
      <c r="BE39" s="804">
        <v>0</v>
      </c>
      <c r="BF39" s="804">
        <v>0</v>
      </c>
      <c r="BG39" s="804">
        <v>0</v>
      </c>
      <c r="BH39" s="804">
        <v>0</v>
      </c>
      <c r="BI39" s="804">
        <v>0</v>
      </c>
      <c r="BJ39" s="804">
        <v>0.5</v>
      </c>
      <c r="BK39" s="804">
        <v>0.49</v>
      </c>
      <c r="BL39" s="804">
        <v>0</v>
      </c>
      <c r="BM39" s="804">
        <v>0.01</v>
      </c>
      <c r="BN39" s="804">
        <v>1</v>
      </c>
      <c r="BO39" s="804">
        <v>2141502</v>
      </c>
      <c r="BP39" s="804">
        <v>2098671</v>
      </c>
      <c r="BQ39" s="804">
        <v>0</v>
      </c>
      <c r="BR39" s="804">
        <v>42830</v>
      </c>
      <c r="BS39" s="804">
        <v>4283003</v>
      </c>
      <c r="BT39" s="804">
        <v>0.5</v>
      </c>
      <c r="BU39" s="804">
        <v>0.49</v>
      </c>
      <c r="BV39" s="804">
        <v>0</v>
      </c>
      <c r="BW39" s="804">
        <v>0.01</v>
      </c>
      <c r="BX39" s="804">
        <v>1</v>
      </c>
      <c r="BY39" s="804">
        <v>39012</v>
      </c>
      <c r="BZ39" s="804">
        <v>38232</v>
      </c>
      <c r="CA39" s="804">
        <v>0</v>
      </c>
      <c r="CB39" s="804">
        <v>780</v>
      </c>
      <c r="CC39" s="804">
        <v>78024</v>
      </c>
      <c r="CD39" s="804">
        <v>2180514</v>
      </c>
      <c r="CE39" s="804">
        <v>2136903</v>
      </c>
      <c r="CF39" s="804">
        <v>0</v>
      </c>
      <c r="CG39" s="804">
        <v>43610</v>
      </c>
      <c r="CH39" s="804">
        <v>4361027</v>
      </c>
      <c r="CI39" s="804">
        <v>62288657</v>
      </c>
      <c r="CJ39" s="804">
        <v>61487555</v>
      </c>
      <c r="CK39" s="804">
        <v>0</v>
      </c>
      <c r="CL39" s="804">
        <v>1245773</v>
      </c>
      <c r="CM39" s="804">
        <v>125021985</v>
      </c>
      <c r="CN39" s="804">
        <v>2360961</v>
      </c>
      <c r="CO39" s="804">
        <v>0</v>
      </c>
      <c r="CP39" s="804">
        <v>48183</v>
      </c>
      <c r="CQ39" s="804">
        <v>2409144</v>
      </c>
      <c r="CR39" s="804">
        <v>4218350</v>
      </c>
      <c r="CS39" s="804">
        <v>0</v>
      </c>
      <c r="CT39" s="804">
        <v>86089</v>
      </c>
      <c r="CU39" s="804">
        <v>4304439</v>
      </c>
      <c r="CV39" s="804">
        <v>329321</v>
      </c>
      <c r="CW39" s="804">
        <v>0</v>
      </c>
      <c r="CX39" s="804">
        <v>6721</v>
      </c>
      <c r="CY39" s="804">
        <v>336042</v>
      </c>
      <c r="CZ39" s="804">
        <v>11118</v>
      </c>
      <c r="DA39" s="804">
        <v>0</v>
      </c>
      <c r="DB39" s="804">
        <v>227</v>
      </c>
      <c r="DC39" s="804">
        <v>11345</v>
      </c>
      <c r="DD39" s="804">
        <v>0</v>
      </c>
      <c r="DE39" s="804">
        <v>0</v>
      </c>
      <c r="DF39" s="804">
        <v>0</v>
      </c>
      <c r="DG39" s="804">
        <v>0</v>
      </c>
      <c r="DH39" s="804">
        <v>102190</v>
      </c>
      <c r="DI39" s="804">
        <v>0</v>
      </c>
      <c r="DJ39" s="804">
        <v>2086</v>
      </c>
      <c r="DK39" s="804">
        <v>104276</v>
      </c>
      <c r="DL39" s="804">
        <v>16358</v>
      </c>
      <c r="DM39" s="804">
        <v>0</v>
      </c>
      <c r="DN39" s="804">
        <v>334</v>
      </c>
      <c r="DO39" s="804">
        <v>16692</v>
      </c>
      <c r="DP39" s="804">
        <v>0</v>
      </c>
      <c r="DQ39" s="804">
        <v>0</v>
      </c>
      <c r="DR39" s="804">
        <v>0</v>
      </c>
      <c r="DS39" s="804">
        <v>0</v>
      </c>
      <c r="DT39" s="804">
        <v>0</v>
      </c>
      <c r="DU39" s="804">
        <v>0</v>
      </c>
      <c r="DV39" s="804">
        <v>0</v>
      </c>
      <c r="DW39" s="804">
        <v>0</v>
      </c>
      <c r="DX39" s="804">
        <v>2444991</v>
      </c>
      <c r="DY39" s="804">
        <v>0</v>
      </c>
      <c r="DZ39" s="804">
        <v>49898</v>
      </c>
      <c r="EA39" s="804">
        <v>2494889</v>
      </c>
      <c r="EB39" s="804">
        <v>9483289</v>
      </c>
      <c r="EC39" s="804">
        <v>0</v>
      </c>
      <c r="ED39" s="804">
        <v>193538</v>
      </c>
      <c r="EE39" s="804">
        <v>9676827</v>
      </c>
      <c r="EF39" s="604" t="s">
        <v>916</v>
      </c>
      <c r="EG39" s="497" t="s">
        <v>524</v>
      </c>
      <c r="EH39" s="630" t="s">
        <v>565</v>
      </c>
      <c r="EI39" s="118" t="s">
        <v>1692</v>
      </c>
    </row>
    <row r="40" spans="1:139" ht="12.75" x14ac:dyDescent="0.2">
      <c r="A40" s="805">
        <v>33</v>
      </c>
      <c r="B40" s="606" t="s">
        <v>739</v>
      </c>
      <c r="C40" s="607" t="s">
        <v>524</v>
      </c>
      <c r="D40" s="608" t="s">
        <v>1194</v>
      </c>
      <c r="E40" s="609" t="s">
        <v>526</v>
      </c>
      <c r="F40" s="802">
        <v>220864254</v>
      </c>
      <c r="G40" s="804">
        <v>0</v>
      </c>
      <c r="H40" s="804">
        <v>1897042</v>
      </c>
      <c r="I40" s="804">
        <v>701542</v>
      </c>
      <c r="J40" s="804">
        <v>0</v>
      </c>
      <c r="K40" s="804">
        <v>701542</v>
      </c>
      <c r="L40" s="804">
        <v>0</v>
      </c>
      <c r="M40" s="804">
        <v>7609904</v>
      </c>
      <c r="N40" s="804">
        <v>172268</v>
      </c>
      <c r="O40" s="804">
        <v>172268</v>
      </c>
      <c r="P40" s="804">
        <v>0</v>
      </c>
      <c r="Q40" s="804">
        <v>0</v>
      </c>
      <c r="R40" s="804">
        <v>210483498</v>
      </c>
      <c r="S40" s="804">
        <v>0</v>
      </c>
      <c r="T40" s="804">
        <v>0.94</v>
      </c>
      <c r="U40" s="804">
        <v>0.05</v>
      </c>
      <c r="V40" s="804">
        <v>0.01</v>
      </c>
      <c r="W40" s="804">
        <v>1</v>
      </c>
      <c r="X40" s="804">
        <v>0</v>
      </c>
      <c r="Y40" s="804">
        <v>197854488</v>
      </c>
      <c r="Z40" s="804">
        <v>10524175</v>
      </c>
      <c r="AA40" s="804">
        <v>2104835</v>
      </c>
      <c r="AB40" s="804">
        <v>210483498</v>
      </c>
      <c r="AC40" s="804">
        <v>0</v>
      </c>
      <c r="AD40" s="804">
        <v>0</v>
      </c>
      <c r="AE40" s="804">
        <v>0</v>
      </c>
      <c r="AF40" s="804">
        <v>0</v>
      </c>
      <c r="AG40" s="804">
        <v>0</v>
      </c>
      <c r="AH40" s="804">
        <v>0</v>
      </c>
      <c r="AI40" s="804">
        <v>197854488</v>
      </c>
      <c r="AJ40" s="804">
        <v>10524175</v>
      </c>
      <c r="AK40" s="804">
        <v>2104835</v>
      </c>
      <c r="AL40" s="804">
        <v>210483498</v>
      </c>
      <c r="AM40" s="804">
        <v>701542</v>
      </c>
      <c r="AN40" s="804">
        <v>701542</v>
      </c>
      <c r="AO40" s="804">
        <v>7609904</v>
      </c>
      <c r="AP40" s="804">
        <v>7609904</v>
      </c>
      <c r="AQ40" s="804">
        <v>172268</v>
      </c>
      <c r="AR40" s="804">
        <v>0</v>
      </c>
      <c r="AS40" s="804">
        <v>172268</v>
      </c>
      <c r="AT40" s="804">
        <v>0</v>
      </c>
      <c r="AU40" s="804">
        <v>0</v>
      </c>
      <c r="AV40" s="804">
        <v>0</v>
      </c>
      <c r="AW40" s="804">
        <v>0</v>
      </c>
      <c r="AX40" s="804">
        <v>0</v>
      </c>
      <c r="AY40" s="804">
        <v>0</v>
      </c>
      <c r="AZ40" s="804">
        <v>0</v>
      </c>
      <c r="BA40" s="804">
        <v>0</v>
      </c>
      <c r="BB40" s="804">
        <v>0</v>
      </c>
      <c r="BC40" s="804">
        <v>0</v>
      </c>
      <c r="BD40" s="804">
        <v>0</v>
      </c>
      <c r="BE40" s="804">
        <v>0</v>
      </c>
      <c r="BF40" s="804">
        <v>0</v>
      </c>
      <c r="BG40" s="804">
        <v>0</v>
      </c>
      <c r="BH40" s="804">
        <v>0</v>
      </c>
      <c r="BI40" s="804">
        <v>0</v>
      </c>
      <c r="BJ40" s="804">
        <v>0</v>
      </c>
      <c r="BK40" s="804">
        <v>0.94</v>
      </c>
      <c r="BL40" s="804">
        <v>0.05</v>
      </c>
      <c r="BM40" s="804">
        <v>0.01</v>
      </c>
      <c r="BN40" s="804">
        <v>1</v>
      </c>
      <c r="BO40" s="804">
        <v>-1</v>
      </c>
      <c r="BP40" s="804">
        <v>548728</v>
      </c>
      <c r="BQ40" s="804">
        <v>29188</v>
      </c>
      <c r="BR40" s="804">
        <v>5838</v>
      </c>
      <c r="BS40" s="804">
        <v>583753</v>
      </c>
      <c r="BT40" s="804">
        <v>0</v>
      </c>
      <c r="BU40" s="804">
        <v>0.94</v>
      </c>
      <c r="BV40" s="804">
        <v>0.05</v>
      </c>
      <c r="BW40" s="804">
        <v>0.01</v>
      </c>
      <c r="BX40" s="804">
        <v>1</v>
      </c>
      <c r="BY40" s="804">
        <v>0.93999999761581421</v>
      </c>
      <c r="BZ40" s="804">
        <v>-2221928</v>
      </c>
      <c r="CA40" s="804">
        <v>-118188</v>
      </c>
      <c r="CB40" s="804">
        <v>-23638</v>
      </c>
      <c r="CC40" s="804">
        <v>-2363753.0600000024</v>
      </c>
      <c r="CD40" s="804">
        <v>0</v>
      </c>
      <c r="CE40" s="804">
        <v>-1673200</v>
      </c>
      <c r="CF40" s="804">
        <v>-89000</v>
      </c>
      <c r="CG40" s="804">
        <v>-17800</v>
      </c>
      <c r="CH40" s="804">
        <v>-1780000.0600000024</v>
      </c>
      <c r="CI40" s="804">
        <v>0</v>
      </c>
      <c r="CJ40" s="804">
        <v>204665002</v>
      </c>
      <c r="CK40" s="804">
        <v>10435175</v>
      </c>
      <c r="CL40" s="804">
        <v>2087035</v>
      </c>
      <c r="CM40" s="804">
        <v>217187212</v>
      </c>
      <c r="CN40" s="804">
        <v>8241950</v>
      </c>
      <c r="CO40" s="804">
        <v>421811</v>
      </c>
      <c r="CP40" s="804">
        <v>84362</v>
      </c>
      <c r="CQ40" s="804">
        <v>8748123</v>
      </c>
      <c r="CR40" s="804">
        <v>10471969</v>
      </c>
      <c r="CS40" s="804">
        <v>542871</v>
      </c>
      <c r="CT40" s="804">
        <v>108574</v>
      </c>
      <c r="CU40" s="804">
        <v>11123414</v>
      </c>
      <c r="CV40" s="804">
        <v>892461</v>
      </c>
      <c r="CW40" s="804">
        <v>43888</v>
      </c>
      <c r="CX40" s="804">
        <v>8778</v>
      </c>
      <c r="CY40" s="804">
        <v>945127</v>
      </c>
      <c r="CZ40" s="804">
        <v>11064</v>
      </c>
      <c r="DA40" s="804">
        <v>589</v>
      </c>
      <c r="DB40" s="804">
        <v>118</v>
      </c>
      <c r="DC40" s="804">
        <v>11771</v>
      </c>
      <c r="DD40" s="804">
        <v>0</v>
      </c>
      <c r="DE40" s="804">
        <v>0</v>
      </c>
      <c r="DF40" s="804">
        <v>0</v>
      </c>
      <c r="DG40" s="804">
        <v>0</v>
      </c>
      <c r="DH40" s="804">
        <v>77761</v>
      </c>
      <c r="DI40" s="804">
        <v>4012</v>
      </c>
      <c r="DJ40" s="804">
        <v>802</v>
      </c>
      <c r="DK40" s="804">
        <v>82575</v>
      </c>
      <c r="DL40" s="804">
        <v>27256</v>
      </c>
      <c r="DM40" s="804">
        <v>1450</v>
      </c>
      <c r="DN40" s="804">
        <v>290</v>
      </c>
      <c r="DO40" s="804">
        <v>28996</v>
      </c>
      <c r="DP40" s="804">
        <v>1614490</v>
      </c>
      <c r="DQ40" s="804">
        <v>0</v>
      </c>
      <c r="DR40" s="804">
        <v>0</v>
      </c>
      <c r="DS40" s="804">
        <v>1614490</v>
      </c>
      <c r="DT40" s="804">
        <v>0</v>
      </c>
      <c r="DU40" s="804">
        <v>0</v>
      </c>
      <c r="DV40" s="804">
        <v>0</v>
      </c>
      <c r="DW40" s="804">
        <v>0</v>
      </c>
      <c r="DX40" s="804">
        <v>3297152</v>
      </c>
      <c r="DY40" s="804">
        <v>174369</v>
      </c>
      <c r="DZ40" s="804">
        <v>34874</v>
      </c>
      <c r="EA40" s="804">
        <v>3506395</v>
      </c>
      <c r="EB40" s="804">
        <v>24634103</v>
      </c>
      <c r="EC40" s="804">
        <v>1188990</v>
      </c>
      <c r="ED40" s="804">
        <v>237798</v>
      </c>
      <c r="EE40" s="804">
        <v>26060891</v>
      </c>
      <c r="EF40" s="604" t="s">
        <v>526</v>
      </c>
      <c r="EG40" s="497" t="s">
        <v>524</v>
      </c>
      <c r="EH40" s="630" t="s">
        <v>525</v>
      </c>
      <c r="EI40" s="118" t="s">
        <v>1693</v>
      </c>
    </row>
    <row r="41" spans="1:139" ht="12.75" x14ac:dyDescent="0.2">
      <c r="A41" s="805">
        <v>34</v>
      </c>
      <c r="B41" s="606" t="s">
        <v>741</v>
      </c>
      <c r="C41" s="607" t="s">
        <v>1185</v>
      </c>
      <c r="D41" s="608" t="s">
        <v>1189</v>
      </c>
      <c r="E41" s="609" t="s">
        <v>740</v>
      </c>
      <c r="F41" s="802">
        <v>30370546</v>
      </c>
      <c r="G41" s="804">
        <v>0</v>
      </c>
      <c r="H41" s="804">
        <v>553783</v>
      </c>
      <c r="I41" s="804">
        <v>139305</v>
      </c>
      <c r="J41" s="804">
        <v>0</v>
      </c>
      <c r="K41" s="804">
        <v>139305</v>
      </c>
      <c r="L41" s="804">
        <v>0</v>
      </c>
      <c r="M41" s="804">
        <v>0</v>
      </c>
      <c r="N41" s="804">
        <v>154806</v>
      </c>
      <c r="O41" s="804">
        <v>154806</v>
      </c>
      <c r="P41" s="804">
        <v>0</v>
      </c>
      <c r="Q41" s="804">
        <v>0</v>
      </c>
      <c r="R41" s="804">
        <v>29522652</v>
      </c>
      <c r="S41" s="804">
        <v>0.5</v>
      </c>
      <c r="T41" s="804">
        <v>0.4</v>
      </c>
      <c r="U41" s="804">
        <v>0.1</v>
      </c>
      <c r="V41" s="804">
        <v>0</v>
      </c>
      <c r="W41" s="804">
        <v>1</v>
      </c>
      <c r="X41" s="804">
        <v>14761326</v>
      </c>
      <c r="Y41" s="804">
        <v>11809061</v>
      </c>
      <c r="Z41" s="804">
        <v>2952265</v>
      </c>
      <c r="AA41" s="804">
        <v>0</v>
      </c>
      <c r="AB41" s="804">
        <v>29522652</v>
      </c>
      <c r="AC41" s="804">
        <v>0</v>
      </c>
      <c r="AD41" s="804">
        <v>0</v>
      </c>
      <c r="AE41" s="804">
        <v>0</v>
      </c>
      <c r="AF41" s="804">
        <v>0</v>
      </c>
      <c r="AG41" s="804">
        <v>0</v>
      </c>
      <c r="AH41" s="804">
        <v>14761326</v>
      </c>
      <c r="AI41" s="804">
        <v>11809061</v>
      </c>
      <c r="AJ41" s="804">
        <v>2952265</v>
      </c>
      <c r="AK41" s="804">
        <v>0</v>
      </c>
      <c r="AL41" s="804">
        <v>29522652</v>
      </c>
      <c r="AM41" s="804">
        <v>139305</v>
      </c>
      <c r="AN41" s="804">
        <v>139305</v>
      </c>
      <c r="AO41" s="804">
        <v>0</v>
      </c>
      <c r="AP41" s="804">
        <v>0</v>
      </c>
      <c r="AQ41" s="804">
        <v>154806</v>
      </c>
      <c r="AR41" s="804">
        <v>0</v>
      </c>
      <c r="AS41" s="804">
        <v>154806</v>
      </c>
      <c r="AT41" s="804">
        <v>0</v>
      </c>
      <c r="AU41" s="804">
        <v>0</v>
      </c>
      <c r="AV41" s="804">
        <v>0</v>
      </c>
      <c r="AW41" s="804">
        <v>0</v>
      </c>
      <c r="AX41" s="804">
        <v>0</v>
      </c>
      <c r="AY41" s="804">
        <v>0</v>
      </c>
      <c r="AZ41" s="804">
        <v>0</v>
      </c>
      <c r="BA41" s="804">
        <v>0</v>
      </c>
      <c r="BB41" s="804">
        <v>0</v>
      </c>
      <c r="BC41" s="804">
        <v>0</v>
      </c>
      <c r="BD41" s="804">
        <v>0</v>
      </c>
      <c r="BE41" s="804">
        <v>0</v>
      </c>
      <c r="BF41" s="804">
        <v>0</v>
      </c>
      <c r="BG41" s="804">
        <v>0</v>
      </c>
      <c r="BH41" s="804">
        <v>0</v>
      </c>
      <c r="BI41" s="804">
        <v>0</v>
      </c>
      <c r="BJ41" s="804">
        <v>0.25000000000000006</v>
      </c>
      <c r="BK41" s="804">
        <v>0.42499999999999999</v>
      </c>
      <c r="BL41" s="804">
        <v>0.32500000000000001</v>
      </c>
      <c r="BM41" s="804">
        <v>0</v>
      </c>
      <c r="BN41" s="804">
        <v>1</v>
      </c>
      <c r="BO41" s="804">
        <v>542611</v>
      </c>
      <c r="BP41" s="804">
        <v>922439</v>
      </c>
      <c r="BQ41" s="804">
        <v>705394</v>
      </c>
      <c r="BR41" s="804">
        <v>0</v>
      </c>
      <c r="BS41" s="804">
        <v>2170444</v>
      </c>
      <c r="BT41" s="804">
        <v>0.5</v>
      </c>
      <c r="BU41" s="804">
        <v>0.4</v>
      </c>
      <c r="BV41" s="804">
        <v>0.1</v>
      </c>
      <c r="BW41" s="804">
        <v>0</v>
      </c>
      <c r="BX41" s="804">
        <v>1</v>
      </c>
      <c r="BY41" s="804">
        <v>-997327.5</v>
      </c>
      <c r="BZ41" s="804">
        <v>-797863</v>
      </c>
      <c r="CA41" s="804">
        <v>-199466</v>
      </c>
      <c r="CB41" s="804">
        <v>0</v>
      </c>
      <c r="CC41" s="804">
        <v>-1994656.5</v>
      </c>
      <c r="CD41" s="804">
        <v>-454717</v>
      </c>
      <c r="CE41" s="804">
        <v>124576</v>
      </c>
      <c r="CF41" s="804">
        <v>505928</v>
      </c>
      <c r="CG41" s="804">
        <v>0</v>
      </c>
      <c r="CH41" s="804">
        <v>175787.5</v>
      </c>
      <c r="CI41" s="804">
        <v>14306609</v>
      </c>
      <c r="CJ41" s="804">
        <v>12227748</v>
      </c>
      <c r="CK41" s="804">
        <v>3458193</v>
      </c>
      <c r="CL41" s="804">
        <v>0</v>
      </c>
      <c r="CM41" s="804">
        <v>29992551</v>
      </c>
      <c r="CN41" s="804">
        <v>479514</v>
      </c>
      <c r="CO41" s="804">
        <v>118327</v>
      </c>
      <c r="CP41" s="804">
        <v>0</v>
      </c>
      <c r="CQ41" s="804">
        <v>597841</v>
      </c>
      <c r="CR41" s="804">
        <v>1217102</v>
      </c>
      <c r="CS41" s="804">
        <v>304275</v>
      </c>
      <c r="CT41" s="804">
        <v>0</v>
      </c>
      <c r="CU41" s="804">
        <v>1521377</v>
      </c>
      <c r="CV41" s="804">
        <v>68399</v>
      </c>
      <c r="CW41" s="804">
        <v>17100</v>
      </c>
      <c r="CX41" s="804">
        <v>0</v>
      </c>
      <c r="CY41" s="804">
        <v>85499</v>
      </c>
      <c r="CZ41" s="804">
        <v>0</v>
      </c>
      <c r="DA41" s="804">
        <v>0</v>
      </c>
      <c r="DB41" s="804">
        <v>0</v>
      </c>
      <c r="DC41" s="804">
        <v>0</v>
      </c>
      <c r="DD41" s="804">
        <v>15916</v>
      </c>
      <c r="DE41" s="804">
        <v>3979</v>
      </c>
      <c r="DF41" s="804">
        <v>0</v>
      </c>
      <c r="DG41" s="804">
        <v>19895</v>
      </c>
      <c r="DH41" s="804">
        <v>11243</v>
      </c>
      <c r="DI41" s="804">
        <v>2811</v>
      </c>
      <c r="DJ41" s="804">
        <v>0</v>
      </c>
      <c r="DK41" s="804">
        <v>14054</v>
      </c>
      <c r="DL41" s="804">
        <v>3120</v>
      </c>
      <c r="DM41" s="804">
        <v>780</v>
      </c>
      <c r="DN41" s="804">
        <v>0</v>
      </c>
      <c r="DO41" s="804">
        <v>3900</v>
      </c>
      <c r="DP41" s="804">
        <v>0</v>
      </c>
      <c r="DQ41" s="804">
        <v>0</v>
      </c>
      <c r="DR41" s="804">
        <v>0</v>
      </c>
      <c r="DS41" s="804">
        <v>0</v>
      </c>
      <c r="DT41" s="804">
        <v>0</v>
      </c>
      <c r="DU41" s="804">
        <v>0</v>
      </c>
      <c r="DV41" s="804">
        <v>0</v>
      </c>
      <c r="DW41" s="804">
        <v>0</v>
      </c>
      <c r="DX41" s="804">
        <v>264086</v>
      </c>
      <c r="DY41" s="804">
        <v>66021</v>
      </c>
      <c r="DZ41" s="804">
        <v>0</v>
      </c>
      <c r="EA41" s="804">
        <v>330107</v>
      </c>
      <c r="EB41" s="804">
        <v>2059380</v>
      </c>
      <c r="EC41" s="804">
        <v>513293</v>
      </c>
      <c r="ED41" s="804">
        <v>0</v>
      </c>
      <c r="EE41" s="804">
        <v>2572673</v>
      </c>
      <c r="EF41" s="604" t="s">
        <v>740</v>
      </c>
      <c r="EG41" s="497" t="s">
        <v>596</v>
      </c>
      <c r="EH41" s="630" t="s">
        <v>551</v>
      </c>
      <c r="EI41" s="118" t="s">
        <v>1694</v>
      </c>
    </row>
    <row r="42" spans="1:139" ht="12.75" x14ac:dyDescent="0.2">
      <c r="A42" s="805">
        <v>35</v>
      </c>
      <c r="B42" s="606" t="s">
        <v>743</v>
      </c>
      <c r="C42" s="607" t="s">
        <v>1190</v>
      </c>
      <c r="D42" s="608" t="s">
        <v>1191</v>
      </c>
      <c r="E42" s="609" t="s">
        <v>742</v>
      </c>
      <c r="F42" s="802">
        <v>93697868</v>
      </c>
      <c r="G42" s="804">
        <v>643455</v>
      </c>
      <c r="H42" s="804">
        <v>0</v>
      </c>
      <c r="I42" s="804">
        <v>323059</v>
      </c>
      <c r="J42" s="804">
        <v>0</v>
      </c>
      <c r="K42" s="804">
        <v>323059</v>
      </c>
      <c r="L42" s="804">
        <v>0</v>
      </c>
      <c r="M42" s="804">
        <v>0</v>
      </c>
      <c r="N42" s="804">
        <v>0</v>
      </c>
      <c r="O42" s="804">
        <v>0</v>
      </c>
      <c r="P42" s="804">
        <v>0</v>
      </c>
      <c r="Q42" s="804">
        <v>0</v>
      </c>
      <c r="R42" s="804">
        <v>94018264</v>
      </c>
      <c r="S42" s="804">
        <v>0.33</v>
      </c>
      <c r="T42" s="804">
        <v>0.3</v>
      </c>
      <c r="U42" s="804">
        <v>0.37</v>
      </c>
      <c r="V42" s="804">
        <v>0</v>
      </c>
      <c r="W42" s="804">
        <v>1</v>
      </c>
      <c r="X42" s="804">
        <v>31026027</v>
      </c>
      <c r="Y42" s="804">
        <v>28205479</v>
      </c>
      <c r="Z42" s="804">
        <v>34786758</v>
      </c>
      <c r="AA42" s="804">
        <v>0</v>
      </c>
      <c r="AB42" s="804">
        <v>94018264</v>
      </c>
      <c r="AC42" s="804">
        <v>0</v>
      </c>
      <c r="AD42" s="804">
        <v>0</v>
      </c>
      <c r="AE42" s="804">
        <v>0</v>
      </c>
      <c r="AF42" s="804">
        <v>0</v>
      </c>
      <c r="AG42" s="804">
        <v>0</v>
      </c>
      <c r="AH42" s="804">
        <v>31026027</v>
      </c>
      <c r="AI42" s="804">
        <v>28205479</v>
      </c>
      <c r="AJ42" s="804">
        <v>34786758</v>
      </c>
      <c r="AK42" s="804">
        <v>0</v>
      </c>
      <c r="AL42" s="804">
        <v>94018264</v>
      </c>
      <c r="AM42" s="804">
        <v>323059</v>
      </c>
      <c r="AN42" s="804">
        <v>323059</v>
      </c>
      <c r="AO42" s="804">
        <v>0</v>
      </c>
      <c r="AP42" s="804">
        <v>0</v>
      </c>
      <c r="AQ42" s="804">
        <v>0</v>
      </c>
      <c r="AR42" s="804">
        <v>0</v>
      </c>
      <c r="AS42" s="804">
        <v>0</v>
      </c>
      <c r="AT42" s="804">
        <v>0</v>
      </c>
      <c r="AU42" s="804">
        <v>0</v>
      </c>
      <c r="AV42" s="804">
        <v>0</v>
      </c>
      <c r="AW42" s="804">
        <v>0</v>
      </c>
      <c r="AX42" s="804">
        <v>0</v>
      </c>
      <c r="AY42" s="804">
        <v>0</v>
      </c>
      <c r="AZ42" s="804">
        <v>0</v>
      </c>
      <c r="BA42" s="804">
        <v>0</v>
      </c>
      <c r="BB42" s="804">
        <v>0</v>
      </c>
      <c r="BC42" s="804">
        <v>0</v>
      </c>
      <c r="BD42" s="804">
        <v>0</v>
      </c>
      <c r="BE42" s="804">
        <v>0</v>
      </c>
      <c r="BF42" s="804">
        <v>0</v>
      </c>
      <c r="BG42" s="804">
        <v>0</v>
      </c>
      <c r="BH42" s="804">
        <v>0</v>
      </c>
      <c r="BI42" s="804">
        <v>0</v>
      </c>
      <c r="BJ42" s="804">
        <v>0.25</v>
      </c>
      <c r="BK42" s="804">
        <v>0.48</v>
      </c>
      <c r="BL42" s="804">
        <v>0.27</v>
      </c>
      <c r="BM42" s="804">
        <v>0</v>
      </c>
      <c r="BN42" s="804">
        <v>1</v>
      </c>
      <c r="BO42" s="804">
        <v>-68260.999999994412</v>
      </c>
      <c r="BP42" s="804">
        <v>-131063</v>
      </c>
      <c r="BQ42" s="804">
        <v>-73723</v>
      </c>
      <c r="BR42" s="804">
        <v>0</v>
      </c>
      <c r="BS42" s="804">
        <v>-273046.99999999441</v>
      </c>
      <c r="BT42" s="804">
        <v>0</v>
      </c>
      <c r="BU42" s="804">
        <v>0.64</v>
      </c>
      <c r="BV42" s="804">
        <v>0.36</v>
      </c>
      <c r="BW42" s="804">
        <v>0</v>
      </c>
      <c r="BX42" s="804">
        <v>1</v>
      </c>
      <c r="BY42" s="804">
        <v>-9.999999962747097E-2</v>
      </c>
      <c r="BZ42" s="804">
        <v>-302223</v>
      </c>
      <c r="CA42" s="804">
        <v>-170000</v>
      </c>
      <c r="CB42" s="804">
        <v>0</v>
      </c>
      <c r="CC42" s="804">
        <v>-472223.09999999963</v>
      </c>
      <c r="CD42" s="804">
        <v>-68261</v>
      </c>
      <c r="CE42" s="804">
        <v>-433286</v>
      </c>
      <c r="CF42" s="804">
        <v>-243723</v>
      </c>
      <c r="CG42" s="804">
        <v>0</v>
      </c>
      <c r="CH42" s="804">
        <v>-745270.09999999404</v>
      </c>
      <c r="CI42" s="804">
        <v>30957766</v>
      </c>
      <c r="CJ42" s="804">
        <v>28095252</v>
      </c>
      <c r="CK42" s="804">
        <v>34543035</v>
      </c>
      <c r="CL42" s="804">
        <v>0</v>
      </c>
      <c r="CM42" s="804">
        <v>93596053</v>
      </c>
      <c r="CN42" s="804">
        <v>1130480</v>
      </c>
      <c r="CO42" s="804">
        <v>1394259</v>
      </c>
      <c r="CP42" s="804">
        <v>0</v>
      </c>
      <c r="CQ42" s="804">
        <v>2524739</v>
      </c>
      <c r="CR42" s="804">
        <v>1786546</v>
      </c>
      <c r="CS42" s="804">
        <v>2203406</v>
      </c>
      <c r="CT42" s="804">
        <v>0</v>
      </c>
      <c r="CU42" s="804">
        <v>3989952</v>
      </c>
      <c r="CV42" s="804">
        <v>98339</v>
      </c>
      <c r="CW42" s="804">
        <v>121285</v>
      </c>
      <c r="CX42" s="804">
        <v>0</v>
      </c>
      <c r="CY42" s="804">
        <v>219624</v>
      </c>
      <c r="CZ42" s="804">
        <v>0</v>
      </c>
      <c r="DA42" s="804">
        <v>0</v>
      </c>
      <c r="DB42" s="804">
        <v>0</v>
      </c>
      <c r="DC42" s="804">
        <v>0</v>
      </c>
      <c r="DD42" s="804">
        <v>0</v>
      </c>
      <c r="DE42" s="804">
        <v>0</v>
      </c>
      <c r="DF42" s="804">
        <v>0</v>
      </c>
      <c r="DG42" s="804">
        <v>0</v>
      </c>
      <c r="DH42" s="804">
        <v>21851</v>
      </c>
      <c r="DI42" s="804">
        <v>26950</v>
      </c>
      <c r="DJ42" s="804">
        <v>0</v>
      </c>
      <c r="DK42" s="804">
        <v>48801</v>
      </c>
      <c r="DL42" s="804">
        <v>12481</v>
      </c>
      <c r="DM42" s="804">
        <v>15393</v>
      </c>
      <c r="DN42" s="804">
        <v>0</v>
      </c>
      <c r="DO42" s="804">
        <v>27874</v>
      </c>
      <c r="DP42" s="804">
        <v>0</v>
      </c>
      <c r="DQ42" s="804">
        <v>0</v>
      </c>
      <c r="DR42" s="804">
        <v>0</v>
      </c>
      <c r="DS42" s="804">
        <v>0</v>
      </c>
      <c r="DT42" s="804">
        <v>0</v>
      </c>
      <c r="DU42" s="804">
        <v>0</v>
      </c>
      <c r="DV42" s="804">
        <v>0</v>
      </c>
      <c r="DW42" s="804">
        <v>0</v>
      </c>
      <c r="DX42" s="804">
        <v>1070291</v>
      </c>
      <c r="DY42" s="804">
        <v>1320027</v>
      </c>
      <c r="DZ42" s="804">
        <v>0</v>
      </c>
      <c r="EA42" s="804">
        <v>2390318</v>
      </c>
      <c r="EB42" s="804">
        <v>4119988</v>
      </c>
      <c r="EC42" s="804">
        <v>5081320</v>
      </c>
      <c r="ED42" s="804">
        <v>0</v>
      </c>
      <c r="EE42" s="804">
        <v>9201308</v>
      </c>
      <c r="EF42" s="604" t="s">
        <v>742</v>
      </c>
      <c r="EG42" s="497" t="s">
        <v>623</v>
      </c>
      <c r="EH42" s="243" t="s">
        <v>523</v>
      </c>
      <c r="EI42" s="118" t="s">
        <v>1695</v>
      </c>
    </row>
    <row r="43" spans="1:139" ht="12.75" x14ac:dyDescent="0.2">
      <c r="A43" s="805">
        <v>36</v>
      </c>
      <c r="B43" s="606" t="s">
        <v>745</v>
      </c>
      <c r="C43" s="607" t="s">
        <v>1185</v>
      </c>
      <c r="D43" s="608" t="s">
        <v>1195</v>
      </c>
      <c r="E43" s="609" t="s">
        <v>744</v>
      </c>
      <c r="F43" s="802">
        <v>25253158</v>
      </c>
      <c r="G43" s="804">
        <v>0</v>
      </c>
      <c r="H43" s="804">
        <v>77280</v>
      </c>
      <c r="I43" s="804">
        <v>127163</v>
      </c>
      <c r="J43" s="804">
        <v>0</v>
      </c>
      <c r="K43" s="804">
        <v>127163</v>
      </c>
      <c r="L43" s="804">
        <v>0</v>
      </c>
      <c r="M43" s="804">
        <v>0</v>
      </c>
      <c r="N43" s="804">
        <v>0</v>
      </c>
      <c r="O43" s="804">
        <v>0</v>
      </c>
      <c r="P43" s="804">
        <v>0</v>
      </c>
      <c r="Q43" s="804">
        <v>0</v>
      </c>
      <c r="R43" s="804">
        <v>25048715</v>
      </c>
      <c r="S43" s="804">
        <v>0.5</v>
      </c>
      <c r="T43" s="804">
        <v>0.4</v>
      </c>
      <c r="U43" s="804">
        <v>0.09</v>
      </c>
      <c r="V43" s="804">
        <v>0.01</v>
      </c>
      <c r="W43" s="804">
        <v>1</v>
      </c>
      <c r="X43" s="804">
        <v>12524358</v>
      </c>
      <c r="Y43" s="804">
        <v>10019486</v>
      </c>
      <c r="Z43" s="804">
        <v>2254384</v>
      </c>
      <c r="AA43" s="804">
        <v>250487</v>
      </c>
      <c r="AB43" s="804">
        <v>25048715</v>
      </c>
      <c r="AC43" s="804">
        <v>0</v>
      </c>
      <c r="AD43" s="804">
        <v>0</v>
      </c>
      <c r="AE43" s="804">
        <v>0</v>
      </c>
      <c r="AF43" s="804">
        <v>0</v>
      </c>
      <c r="AG43" s="804">
        <v>0</v>
      </c>
      <c r="AH43" s="804">
        <v>12524358</v>
      </c>
      <c r="AI43" s="804">
        <v>10019486</v>
      </c>
      <c r="AJ43" s="804">
        <v>2254384</v>
      </c>
      <c r="AK43" s="804">
        <v>250487</v>
      </c>
      <c r="AL43" s="804">
        <v>25048715</v>
      </c>
      <c r="AM43" s="804">
        <v>127163</v>
      </c>
      <c r="AN43" s="804">
        <v>127163</v>
      </c>
      <c r="AO43" s="804">
        <v>0</v>
      </c>
      <c r="AP43" s="804">
        <v>0</v>
      </c>
      <c r="AQ43" s="804">
        <v>0</v>
      </c>
      <c r="AR43" s="804">
        <v>0</v>
      </c>
      <c r="AS43" s="804">
        <v>0</v>
      </c>
      <c r="AT43" s="804">
        <v>0</v>
      </c>
      <c r="AU43" s="804">
        <v>0</v>
      </c>
      <c r="AV43" s="804">
        <v>0</v>
      </c>
      <c r="AW43" s="804">
        <v>0</v>
      </c>
      <c r="AX43" s="804">
        <v>0</v>
      </c>
      <c r="AY43" s="804">
        <v>0</v>
      </c>
      <c r="AZ43" s="804">
        <v>0</v>
      </c>
      <c r="BA43" s="804">
        <v>0</v>
      </c>
      <c r="BB43" s="804">
        <v>0</v>
      </c>
      <c r="BC43" s="804">
        <v>0</v>
      </c>
      <c r="BD43" s="804">
        <v>0</v>
      </c>
      <c r="BE43" s="804">
        <v>0</v>
      </c>
      <c r="BF43" s="804">
        <v>0</v>
      </c>
      <c r="BG43" s="804">
        <v>0</v>
      </c>
      <c r="BH43" s="804">
        <v>0</v>
      </c>
      <c r="BI43" s="804">
        <v>0</v>
      </c>
      <c r="BJ43" s="804">
        <v>0.25</v>
      </c>
      <c r="BK43" s="804">
        <v>0</v>
      </c>
      <c r="BL43" s="804">
        <v>0.74</v>
      </c>
      <c r="BM43" s="804">
        <v>0.01</v>
      </c>
      <c r="BN43" s="804">
        <v>1</v>
      </c>
      <c r="BO43" s="804">
        <v>332660</v>
      </c>
      <c r="BP43" s="804">
        <v>0</v>
      </c>
      <c r="BQ43" s="804">
        <v>984671</v>
      </c>
      <c r="BR43" s="804">
        <v>13306</v>
      </c>
      <c r="BS43" s="804">
        <v>1330637</v>
      </c>
      <c r="BT43" s="804">
        <v>0.5</v>
      </c>
      <c r="BU43" s="804">
        <v>0.4</v>
      </c>
      <c r="BV43" s="804">
        <v>0.09</v>
      </c>
      <c r="BW43" s="804">
        <v>0.01</v>
      </c>
      <c r="BX43" s="804">
        <v>1</v>
      </c>
      <c r="BY43" s="804">
        <v>428253</v>
      </c>
      <c r="BZ43" s="804">
        <v>342602</v>
      </c>
      <c r="CA43" s="804">
        <v>77085</v>
      </c>
      <c r="CB43" s="804">
        <v>8565</v>
      </c>
      <c r="CC43" s="804">
        <v>856505</v>
      </c>
      <c r="CD43" s="804">
        <v>760913</v>
      </c>
      <c r="CE43" s="804">
        <v>342602</v>
      </c>
      <c r="CF43" s="804">
        <v>1061756</v>
      </c>
      <c r="CG43" s="804">
        <v>21871</v>
      </c>
      <c r="CH43" s="804">
        <v>2187142</v>
      </c>
      <c r="CI43" s="804">
        <v>13285271</v>
      </c>
      <c r="CJ43" s="804">
        <v>10489251</v>
      </c>
      <c r="CK43" s="804">
        <v>3316140</v>
      </c>
      <c r="CL43" s="804">
        <v>272358</v>
      </c>
      <c r="CM43" s="804">
        <v>27363020</v>
      </c>
      <c r="CN43" s="804">
        <v>401583</v>
      </c>
      <c r="CO43" s="804">
        <v>90356</v>
      </c>
      <c r="CP43" s="804">
        <v>10040</v>
      </c>
      <c r="CQ43" s="804">
        <v>501979</v>
      </c>
      <c r="CR43" s="804">
        <v>1238805</v>
      </c>
      <c r="CS43" s="804">
        <v>278731</v>
      </c>
      <c r="CT43" s="804">
        <v>30970</v>
      </c>
      <c r="CU43" s="804">
        <v>1548506</v>
      </c>
      <c r="CV43" s="804">
        <v>0</v>
      </c>
      <c r="CW43" s="804">
        <v>0</v>
      </c>
      <c r="CX43" s="804">
        <v>0</v>
      </c>
      <c r="CY43" s="804">
        <v>0</v>
      </c>
      <c r="CZ43" s="804">
        <v>0</v>
      </c>
      <c r="DA43" s="804">
        <v>0</v>
      </c>
      <c r="DB43" s="804">
        <v>0</v>
      </c>
      <c r="DC43" s="804">
        <v>0</v>
      </c>
      <c r="DD43" s="804">
        <v>660</v>
      </c>
      <c r="DE43" s="804">
        <v>149</v>
      </c>
      <c r="DF43" s="804">
        <v>17</v>
      </c>
      <c r="DG43" s="804">
        <v>826</v>
      </c>
      <c r="DH43" s="804">
        <v>9127</v>
      </c>
      <c r="DI43" s="804">
        <v>2054</v>
      </c>
      <c r="DJ43" s="804">
        <v>228</v>
      </c>
      <c r="DK43" s="804">
        <v>11409</v>
      </c>
      <c r="DL43" s="804">
        <v>1599</v>
      </c>
      <c r="DM43" s="804">
        <v>360</v>
      </c>
      <c r="DN43" s="804">
        <v>40</v>
      </c>
      <c r="DO43" s="804">
        <v>1999</v>
      </c>
      <c r="DP43" s="804">
        <v>0</v>
      </c>
      <c r="DQ43" s="804">
        <v>0</v>
      </c>
      <c r="DR43" s="804">
        <v>0</v>
      </c>
      <c r="DS43" s="804">
        <v>0</v>
      </c>
      <c r="DT43" s="804">
        <v>0</v>
      </c>
      <c r="DU43" s="804">
        <v>0</v>
      </c>
      <c r="DV43" s="804">
        <v>0</v>
      </c>
      <c r="DW43" s="804">
        <v>0</v>
      </c>
      <c r="DX43" s="804">
        <v>310702</v>
      </c>
      <c r="DY43" s="804">
        <v>69908</v>
      </c>
      <c r="DZ43" s="804">
        <v>7768</v>
      </c>
      <c r="EA43" s="804">
        <v>388378</v>
      </c>
      <c r="EB43" s="804">
        <v>1962476</v>
      </c>
      <c r="EC43" s="804">
        <v>441558</v>
      </c>
      <c r="ED43" s="804">
        <v>49063</v>
      </c>
      <c r="EE43" s="804">
        <v>2453097</v>
      </c>
      <c r="EF43" s="604" t="s">
        <v>744</v>
      </c>
      <c r="EG43" s="497" t="s">
        <v>578</v>
      </c>
      <c r="EH43" s="630" t="s">
        <v>577</v>
      </c>
      <c r="EI43" s="118" t="s">
        <v>1696</v>
      </c>
    </row>
    <row r="44" spans="1:139" ht="12.75" x14ac:dyDescent="0.2">
      <c r="A44" s="805">
        <v>37</v>
      </c>
      <c r="B44" s="606" t="s">
        <v>747</v>
      </c>
      <c r="C44" s="607" t="s">
        <v>1185</v>
      </c>
      <c r="D44" s="608" t="s">
        <v>1189</v>
      </c>
      <c r="E44" s="609" t="s">
        <v>746</v>
      </c>
      <c r="F44" s="802">
        <v>41435458</v>
      </c>
      <c r="G44" s="804">
        <v>0</v>
      </c>
      <c r="H44" s="804">
        <v>738983</v>
      </c>
      <c r="I44" s="804">
        <v>109083</v>
      </c>
      <c r="J44" s="804">
        <v>0</v>
      </c>
      <c r="K44" s="804">
        <v>109083</v>
      </c>
      <c r="L44" s="804">
        <v>0</v>
      </c>
      <c r="M44" s="804">
        <v>0</v>
      </c>
      <c r="N44" s="804">
        <v>0</v>
      </c>
      <c r="O44" s="804">
        <v>0</v>
      </c>
      <c r="P44" s="804">
        <v>0</v>
      </c>
      <c r="Q44" s="804">
        <v>0</v>
      </c>
      <c r="R44" s="804">
        <v>40587392</v>
      </c>
      <c r="S44" s="804">
        <v>0.5</v>
      </c>
      <c r="T44" s="804">
        <v>0.4</v>
      </c>
      <c r="U44" s="804">
        <v>0.1</v>
      </c>
      <c r="V44" s="804">
        <v>0</v>
      </c>
      <c r="W44" s="804">
        <v>1</v>
      </c>
      <c r="X44" s="804">
        <v>20293696</v>
      </c>
      <c r="Y44" s="804">
        <v>16234957</v>
      </c>
      <c r="Z44" s="804">
        <v>4058739</v>
      </c>
      <c r="AA44" s="804">
        <v>0</v>
      </c>
      <c r="AB44" s="804">
        <v>40587392</v>
      </c>
      <c r="AC44" s="804">
        <v>0</v>
      </c>
      <c r="AD44" s="804">
        <v>0</v>
      </c>
      <c r="AE44" s="804">
        <v>0</v>
      </c>
      <c r="AF44" s="804">
        <v>0</v>
      </c>
      <c r="AG44" s="804">
        <v>0</v>
      </c>
      <c r="AH44" s="804">
        <v>20293696</v>
      </c>
      <c r="AI44" s="804">
        <v>16234957</v>
      </c>
      <c r="AJ44" s="804">
        <v>4058739</v>
      </c>
      <c r="AK44" s="804">
        <v>0</v>
      </c>
      <c r="AL44" s="804">
        <v>40587392</v>
      </c>
      <c r="AM44" s="804">
        <v>109083</v>
      </c>
      <c r="AN44" s="804">
        <v>109083</v>
      </c>
      <c r="AO44" s="804">
        <v>0</v>
      </c>
      <c r="AP44" s="804">
        <v>0</v>
      </c>
      <c r="AQ44" s="804">
        <v>0</v>
      </c>
      <c r="AR44" s="804">
        <v>0</v>
      </c>
      <c r="AS44" s="804">
        <v>0</v>
      </c>
      <c r="AT44" s="804">
        <v>0</v>
      </c>
      <c r="AU44" s="804">
        <v>0</v>
      </c>
      <c r="AV44" s="804">
        <v>0</v>
      </c>
      <c r="AW44" s="804">
        <v>0</v>
      </c>
      <c r="AX44" s="804">
        <v>0</v>
      </c>
      <c r="AY44" s="804">
        <v>0</v>
      </c>
      <c r="AZ44" s="804">
        <v>0</v>
      </c>
      <c r="BA44" s="804">
        <v>0</v>
      </c>
      <c r="BB44" s="804">
        <v>0</v>
      </c>
      <c r="BC44" s="804">
        <v>0</v>
      </c>
      <c r="BD44" s="804">
        <v>0</v>
      </c>
      <c r="BE44" s="804">
        <v>0</v>
      </c>
      <c r="BF44" s="804">
        <v>0</v>
      </c>
      <c r="BG44" s="804">
        <v>0</v>
      </c>
      <c r="BH44" s="804">
        <v>0</v>
      </c>
      <c r="BI44" s="804">
        <v>0</v>
      </c>
      <c r="BJ44" s="804">
        <v>0.25</v>
      </c>
      <c r="BK44" s="804">
        <v>0.35</v>
      </c>
      <c r="BL44" s="804">
        <v>0.4</v>
      </c>
      <c r="BM44" s="804">
        <v>0</v>
      </c>
      <c r="BN44" s="804">
        <v>1</v>
      </c>
      <c r="BO44" s="804">
        <v>-619227</v>
      </c>
      <c r="BP44" s="804">
        <v>-866918</v>
      </c>
      <c r="BQ44" s="804">
        <v>-990764</v>
      </c>
      <c r="BR44" s="804">
        <v>0</v>
      </c>
      <c r="BS44" s="804">
        <v>-2476909</v>
      </c>
      <c r="BT44" s="804">
        <v>0.5</v>
      </c>
      <c r="BU44" s="804">
        <v>0.4</v>
      </c>
      <c r="BV44" s="804">
        <v>0.1</v>
      </c>
      <c r="BW44" s="804">
        <v>0</v>
      </c>
      <c r="BX44" s="804">
        <v>1</v>
      </c>
      <c r="BY44" s="804">
        <v>-968969</v>
      </c>
      <c r="BZ44" s="804">
        <v>-775176</v>
      </c>
      <c r="CA44" s="804">
        <v>-193794</v>
      </c>
      <c r="CB44" s="804">
        <v>0</v>
      </c>
      <c r="CC44" s="804">
        <v>-1937939</v>
      </c>
      <c r="CD44" s="804">
        <v>-1588196</v>
      </c>
      <c r="CE44" s="804">
        <v>-1642094</v>
      </c>
      <c r="CF44" s="804">
        <v>-1184558</v>
      </c>
      <c r="CG44" s="804">
        <v>0</v>
      </c>
      <c r="CH44" s="804">
        <v>-4414848</v>
      </c>
      <c r="CI44" s="804">
        <v>18705500</v>
      </c>
      <c r="CJ44" s="804">
        <v>14701946</v>
      </c>
      <c r="CK44" s="804">
        <v>2874181</v>
      </c>
      <c r="CL44" s="804">
        <v>0</v>
      </c>
      <c r="CM44" s="804">
        <v>36281627</v>
      </c>
      <c r="CN44" s="804">
        <v>650700</v>
      </c>
      <c r="CO44" s="804">
        <v>162675</v>
      </c>
      <c r="CP44" s="804">
        <v>0</v>
      </c>
      <c r="CQ44" s="804">
        <v>813375</v>
      </c>
      <c r="CR44" s="804">
        <v>966738</v>
      </c>
      <c r="CS44" s="804">
        <v>241684</v>
      </c>
      <c r="CT44" s="804">
        <v>0</v>
      </c>
      <c r="CU44" s="804">
        <v>1208422</v>
      </c>
      <c r="CV44" s="804">
        <v>65686</v>
      </c>
      <c r="CW44" s="804">
        <v>16422</v>
      </c>
      <c r="CX44" s="804">
        <v>0</v>
      </c>
      <c r="CY44" s="804">
        <v>82108</v>
      </c>
      <c r="CZ44" s="804">
        <v>0</v>
      </c>
      <c r="DA44" s="804">
        <v>0</v>
      </c>
      <c r="DB44" s="804">
        <v>0</v>
      </c>
      <c r="DC44" s="804">
        <v>0</v>
      </c>
      <c r="DD44" s="804">
        <v>0</v>
      </c>
      <c r="DE44" s="804">
        <v>0</v>
      </c>
      <c r="DF44" s="804">
        <v>0</v>
      </c>
      <c r="DG44" s="804">
        <v>0</v>
      </c>
      <c r="DH44" s="804">
        <v>7479</v>
      </c>
      <c r="DI44" s="804">
        <v>1870</v>
      </c>
      <c r="DJ44" s="804">
        <v>0</v>
      </c>
      <c r="DK44" s="804">
        <v>9349</v>
      </c>
      <c r="DL44" s="804">
        <v>343</v>
      </c>
      <c r="DM44" s="804">
        <v>86</v>
      </c>
      <c r="DN44" s="804">
        <v>0</v>
      </c>
      <c r="DO44" s="804">
        <v>429</v>
      </c>
      <c r="DP44" s="804">
        <v>0</v>
      </c>
      <c r="DQ44" s="804">
        <v>0</v>
      </c>
      <c r="DR44" s="804">
        <v>0</v>
      </c>
      <c r="DS44" s="804">
        <v>0</v>
      </c>
      <c r="DT44" s="804">
        <v>0</v>
      </c>
      <c r="DU44" s="804">
        <v>0</v>
      </c>
      <c r="DV44" s="804">
        <v>0</v>
      </c>
      <c r="DW44" s="804">
        <v>0</v>
      </c>
      <c r="DX44" s="804">
        <v>506304</v>
      </c>
      <c r="DY44" s="804">
        <v>126576</v>
      </c>
      <c r="DZ44" s="804">
        <v>0</v>
      </c>
      <c r="EA44" s="804">
        <v>632880</v>
      </c>
      <c r="EB44" s="804">
        <v>2197250</v>
      </c>
      <c r="EC44" s="804">
        <v>549313</v>
      </c>
      <c r="ED44" s="804">
        <v>0</v>
      </c>
      <c r="EE44" s="804">
        <v>2746563</v>
      </c>
      <c r="EF44" s="604" t="s">
        <v>746</v>
      </c>
      <c r="EG44" s="497" t="s">
        <v>579</v>
      </c>
      <c r="EH44" s="630" t="s">
        <v>551</v>
      </c>
      <c r="EI44" s="118" t="s">
        <v>1697</v>
      </c>
    </row>
    <row r="45" spans="1:139" ht="12.75" x14ac:dyDescent="0.2">
      <c r="A45" s="805">
        <v>38</v>
      </c>
      <c r="B45" s="606" t="s">
        <v>749</v>
      </c>
      <c r="C45" s="607" t="s">
        <v>1185</v>
      </c>
      <c r="D45" s="608" t="s">
        <v>1188</v>
      </c>
      <c r="E45" s="609" t="s">
        <v>748</v>
      </c>
      <c r="F45" s="802">
        <v>27856348.41</v>
      </c>
      <c r="G45" s="804">
        <v>163029.87</v>
      </c>
      <c r="H45" s="804">
        <v>0</v>
      </c>
      <c r="I45" s="804">
        <v>101709</v>
      </c>
      <c r="J45" s="804">
        <v>0</v>
      </c>
      <c r="K45" s="804">
        <v>101709</v>
      </c>
      <c r="L45" s="804">
        <v>0</v>
      </c>
      <c r="M45" s="804">
        <v>0</v>
      </c>
      <c r="N45" s="804">
        <v>0</v>
      </c>
      <c r="O45" s="804">
        <v>0</v>
      </c>
      <c r="P45" s="804">
        <v>0</v>
      </c>
      <c r="Q45" s="804">
        <v>0</v>
      </c>
      <c r="R45" s="804">
        <v>27917669</v>
      </c>
      <c r="S45" s="804">
        <v>0.5</v>
      </c>
      <c r="T45" s="804">
        <v>0.4</v>
      </c>
      <c r="U45" s="804">
        <v>0.09</v>
      </c>
      <c r="V45" s="804">
        <v>0.01</v>
      </c>
      <c r="W45" s="804">
        <v>1</v>
      </c>
      <c r="X45" s="804">
        <v>13958834</v>
      </c>
      <c r="Y45" s="804">
        <v>11167068</v>
      </c>
      <c r="Z45" s="804">
        <v>2512590</v>
      </c>
      <c r="AA45" s="804">
        <v>279177</v>
      </c>
      <c r="AB45" s="804">
        <v>27917669</v>
      </c>
      <c r="AC45" s="804">
        <v>110000</v>
      </c>
      <c r="AD45" s="804">
        <v>0</v>
      </c>
      <c r="AE45" s="804">
        <v>0</v>
      </c>
      <c r="AF45" s="804">
        <v>0</v>
      </c>
      <c r="AG45" s="804">
        <v>110000</v>
      </c>
      <c r="AH45" s="804">
        <v>13848834</v>
      </c>
      <c r="AI45" s="804">
        <v>11167068</v>
      </c>
      <c r="AJ45" s="804">
        <v>2512590</v>
      </c>
      <c r="AK45" s="804">
        <v>279177</v>
      </c>
      <c r="AL45" s="804">
        <v>27807669</v>
      </c>
      <c r="AM45" s="804">
        <v>101709</v>
      </c>
      <c r="AN45" s="804">
        <v>101709</v>
      </c>
      <c r="AO45" s="804">
        <v>0</v>
      </c>
      <c r="AP45" s="804">
        <v>0</v>
      </c>
      <c r="AQ45" s="804">
        <v>0</v>
      </c>
      <c r="AR45" s="804">
        <v>0</v>
      </c>
      <c r="AS45" s="804">
        <v>0</v>
      </c>
      <c r="AT45" s="804">
        <v>0</v>
      </c>
      <c r="AU45" s="804">
        <v>0</v>
      </c>
      <c r="AV45" s="804">
        <v>0</v>
      </c>
      <c r="AW45" s="804">
        <v>0</v>
      </c>
      <c r="AX45" s="804">
        <v>110000</v>
      </c>
      <c r="AY45" s="804">
        <v>0</v>
      </c>
      <c r="AZ45" s="804">
        <v>0</v>
      </c>
      <c r="BA45" s="804">
        <v>110000</v>
      </c>
      <c r="BB45" s="804">
        <v>0</v>
      </c>
      <c r="BC45" s="804">
        <v>0</v>
      </c>
      <c r="BD45" s="804">
        <v>0</v>
      </c>
      <c r="BE45" s="804">
        <v>0</v>
      </c>
      <c r="BF45" s="804">
        <v>0</v>
      </c>
      <c r="BG45" s="804">
        <v>0</v>
      </c>
      <c r="BH45" s="804">
        <v>0</v>
      </c>
      <c r="BI45" s="804">
        <v>0</v>
      </c>
      <c r="BJ45" s="804">
        <v>0.5</v>
      </c>
      <c r="BK45" s="804">
        <v>0.4</v>
      </c>
      <c r="BL45" s="804">
        <v>0.09</v>
      </c>
      <c r="BM45" s="804">
        <v>0.01</v>
      </c>
      <c r="BN45" s="804">
        <v>1</v>
      </c>
      <c r="BO45" s="804">
        <v>-339613</v>
      </c>
      <c r="BP45" s="804">
        <v>-271690</v>
      </c>
      <c r="BQ45" s="804">
        <v>-61130</v>
      </c>
      <c r="BR45" s="804">
        <v>-6792</v>
      </c>
      <c r="BS45" s="804">
        <v>-679225</v>
      </c>
      <c r="BT45" s="804">
        <v>0.5</v>
      </c>
      <c r="BU45" s="804">
        <v>0.4</v>
      </c>
      <c r="BV45" s="804">
        <v>0.09</v>
      </c>
      <c r="BW45" s="804">
        <v>0.01</v>
      </c>
      <c r="BX45" s="804">
        <v>1</v>
      </c>
      <c r="BY45" s="804">
        <v>70537.019999999553</v>
      </c>
      <c r="BZ45" s="804">
        <v>56430</v>
      </c>
      <c r="CA45" s="804">
        <v>12697</v>
      </c>
      <c r="CB45" s="804">
        <v>1411</v>
      </c>
      <c r="CC45" s="804">
        <v>141075.01999999955</v>
      </c>
      <c r="CD45" s="804">
        <v>-269076</v>
      </c>
      <c r="CE45" s="804">
        <v>-215260</v>
      </c>
      <c r="CF45" s="804">
        <v>-48433</v>
      </c>
      <c r="CG45" s="804">
        <v>-5381</v>
      </c>
      <c r="CH45" s="804">
        <v>-538149.98000000045</v>
      </c>
      <c r="CI45" s="804">
        <v>13579758</v>
      </c>
      <c r="CJ45" s="804">
        <v>11163517</v>
      </c>
      <c r="CK45" s="804">
        <v>2464157</v>
      </c>
      <c r="CL45" s="804">
        <v>273796</v>
      </c>
      <c r="CM45" s="804">
        <v>27481228</v>
      </c>
      <c r="CN45" s="804">
        <v>451987</v>
      </c>
      <c r="CO45" s="804">
        <v>100705</v>
      </c>
      <c r="CP45" s="804">
        <v>11189</v>
      </c>
      <c r="CQ45" s="804">
        <v>563881</v>
      </c>
      <c r="CR45" s="804">
        <v>823614</v>
      </c>
      <c r="CS45" s="804">
        <v>185313</v>
      </c>
      <c r="CT45" s="804">
        <v>20590</v>
      </c>
      <c r="CU45" s="804">
        <v>1029517</v>
      </c>
      <c r="CV45" s="804">
        <v>48290</v>
      </c>
      <c r="CW45" s="804">
        <v>10865</v>
      </c>
      <c r="CX45" s="804">
        <v>1207</v>
      </c>
      <c r="CY45" s="804">
        <v>60362</v>
      </c>
      <c r="CZ45" s="804">
        <v>0</v>
      </c>
      <c r="DA45" s="804">
        <v>0</v>
      </c>
      <c r="DB45" s="804">
        <v>0</v>
      </c>
      <c r="DC45" s="804">
        <v>0</v>
      </c>
      <c r="DD45" s="804">
        <v>1279</v>
      </c>
      <c r="DE45" s="804">
        <v>288</v>
      </c>
      <c r="DF45" s="804">
        <v>32</v>
      </c>
      <c r="DG45" s="804">
        <v>1599</v>
      </c>
      <c r="DH45" s="804">
        <v>3355</v>
      </c>
      <c r="DI45" s="804">
        <v>755</v>
      </c>
      <c r="DJ45" s="804">
        <v>84</v>
      </c>
      <c r="DK45" s="804">
        <v>4194</v>
      </c>
      <c r="DL45" s="804">
        <v>0</v>
      </c>
      <c r="DM45" s="804">
        <v>0</v>
      </c>
      <c r="DN45" s="804">
        <v>0</v>
      </c>
      <c r="DO45" s="804">
        <v>0</v>
      </c>
      <c r="DP45" s="804">
        <v>0</v>
      </c>
      <c r="DQ45" s="804">
        <v>0</v>
      </c>
      <c r="DR45" s="804">
        <v>0</v>
      </c>
      <c r="DS45" s="804">
        <v>0</v>
      </c>
      <c r="DT45" s="804">
        <v>0</v>
      </c>
      <c r="DU45" s="804">
        <v>0</v>
      </c>
      <c r="DV45" s="804">
        <v>0</v>
      </c>
      <c r="DW45" s="804">
        <v>0</v>
      </c>
      <c r="DX45" s="804">
        <v>211231</v>
      </c>
      <c r="DY45" s="804">
        <v>47527</v>
      </c>
      <c r="DZ45" s="804">
        <v>5281</v>
      </c>
      <c r="EA45" s="804">
        <v>264039</v>
      </c>
      <c r="EB45" s="804">
        <v>1539756</v>
      </c>
      <c r="EC45" s="804">
        <v>345453</v>
      </c>
      <c r="ED45" s="804">
        <v>38383</v>
      </c>
      <c r="EE45" s="804">
        <v>1923592</v>
      </c>
      <c r="EF45" s="604" t="s">
        <v>748</v>
      </c>
      <c r="EG45" s="497" t="s">
        <v>603</v>
      </c>
      <c r="EH45" s="630" t="s">
        <v>602</v>
      </c>
      <c r="EI45" s="118" t="s">
        <v>1698</v>
      </c>
    </row>
    <row r="46" spans="1:139" ht="12.75" x14ac:dyDescent="0.2">
      <c r="A46" s="805">
        <v>39</v>
      </c>
      <c r="B46" s="606" t="s">
        <v>1488</v>
      </c>
      <c r="C46" s="607" t="s">
        <v>524</v>
      </c>
      <c r="D46" s="659" t="s">
        <v>1186</v>
      </c>
      <c r="E46" s="609" t="s">
        <v>1489</v>
      </c>
      <c r="F46" s="802">
        <v>186749116</v>
      </c>
      <c r="G46" s="804">
        <v>782845</v>
      </c>
      <c r="H46" s="804">
        <v>0</v>
      </c>
      <c r="I46" s="804">
        <v>654896</v>
      </c>
      <c r="J46" s="804">
        <v>0</v>
      </c>
      <c r="K46" s="804">
        <v>654896</v>
      </c>
      <c r="L46" s="804">
        <v>0</v>
      </c>
      <c r="M46" s="804">
        <v>485463</v>
      </c>
      <c r="N46" s="804">
        <v>235520</v>
      </c>
      <c r="O46" s="804">
        <v>235520</v>
      </c>
      <c r="P46" s="804">
        <v>0</v>
      </c>
      <c r="Q46" s="804">
        <v>0</v>
      </c>
      <c r="R46" s="804">
        <v>186156082</v>
      </c>
      <c r="S46" s="804">
        <v>0.5</v>
      </c>
      <c r="T46" s="804">
        <v>0.49</v>
      </c>
      <c r="U46" s="804">
        <v>0</v>
      </c>
      <c r="V46" s="804">
        <v>0.01</v>
      </c>
      <c r="W46" s="804">
        <v>1</v>
      </c>
      <c r="X46" s="804">
        <v>93078041</v>
      </c>
      <c r="Y46" s="804">
        <v>91216480</v>
      </c>
      <c r="Z46" s="804">
        <v>0</v>
      </c>
      <c r="AA46" s="804">
        <v>1861561</v>
      </c>
      <c r="AB46" s="804">
        <v>186156082</v>
      </c>
      <c r="AC46" s="804">
        <v>357184</v>
      </c>
      <c r="AD46" s="804">
        <v>0</v>
      </c>
      <c r="AE46" s="804">
        <v>0</v>
      </c>
      <c r="AF46" s="804">
        <v>0</v>
      </c>
      <c r="AG46" s="804">
        <v>357184</v>
      </c>
      <c r="AH46" s="804">
        <v>92720857</v>
      </c>
      <c r="AI46" s="804">
        <v>91216480</v>
      </c>
      <c r="AJ46" s="804">
        <v>0</v>
      </c>
      <c r="AK46" s="804">
        <v>1861561</v>
      </c>
      <c r="AL46" s="804">
        <v>185798898</v>
      </c>
      <c r="AM46" s="804">
        <v>654896</v>
      </c>
      <c r="AN46" s="804">
        <v>654896</v>
      </c>
      <c r="AO46" s="804">
        <v>485463</v>
      </c>
      <c r="AP46" s="804">
        <v>485463</v>
      </c>
      <c r="AQ46" s="804">
        <v>235520</v>
      </c>
      <c r="AR46" s="804">
        <v>0</v>
      </c>
      <c r="AS46" s="804">
        <v>235520</v>
      </c>
      <c r="AT46" s="804">
        <v>0</v>
      </c>
      <c r="AU46" s="804">
        <v>0</v>
      </c>
      <c r="AV46" s="804">
        <v>0</v>
      </c>
      <c r="AW46" s="804">
        <v>0</v>
      </c>
      <c r="AX46" s="804">
        <v>357184</v>
      </c>
      <c r="AY46" s="804">
        <v>0</v>
      </c>
      <c r="AZ46" s="804">
        <v>0</v>
      </c>
      <c r="BA46" s="804">
        <v>357184</v>
      </c>
      <c r="BB46" s="804">
        <v>0</v>
      </c>
      <c r="BC46" s="804">
        <v>0</v>
      </c>
      <c r="BD46" s="804">
        <v>0</v>
      </c>
      <c r="BE46" s="804">
        <v>0</v>
      </c>
      <c r="BF46" s="804">
        <v>0</v>
      </c>
      <c r="BG46" s="804">
        <v>0</v>
      </c>
      <c r="BH46" s="804">
        <v>0</v>
      </c>
      <c r="BI46" s="804">
        <v>0</v>
      </c>
      <c r="BJ46" s="804">
        <v>0.25</v>
      </c>
      <c r="BK46" s="804">
        <v>0.74</v>
      </c>
      <c r="BL46" s="804">
        <v>0</v>
      </c>
      <c r="BM46" s="804">
        <v>0.01</v>
      </c>
      <c r="BN46" s="804">
        <v>1</v>
      </c>
      <c r="BO46" s="804">
        <v>2399048.9999999925</v>
      </c>
      <c r="BP46" s="804">
        <v>7101185</v>
      </c>
      <c r="BQ46" s="804">
        <v>0</v>
      </c>
      <c r="BR46" s="804">
        <v>95962</v>
      </c>
      <c r="BS46" s="804">
        <v>9596195.9999999925</v>
      </c>
      <c r="BT46" s="804">
        <v>0.5</v>
      </c>
      <c r="BU46" s="804">
        <v>0.49</v>
      </c>
      <c r="BV46" s="804">
        <v>0</v>
      </c>
      <c r="BW46" s="804">
        <v>0.01</v>
      </c>
      <c r="BX46" s="804">
        <v>1</v>
      </c>
      <c r="BY46" s="804">
        <v>-1985158.8999999985</v>
      </c>
      <c r="BZ46" s="804">
        <v>-1945456</v>
      </c>
      <c r="CA46" s="804">
        <v>0</v>
      </c>
      <c r="CB46" s="804">
        <v>-39703</v>
      </c>
      <c r="CC46" s="804">
        <v>-3970317.8999999985</v>
      </c>
      <c r="CD46" s="804">
        <v>413890</v>
      </c>
      <c r="CE46" s="804">
        <v>5155729</v>
      </c>
      <c r="CF46" s="804">
        <v>0</v>
      </c>
      <c r="CG46" s="804">
        <v>56259</v>
      </c>
      <c r="CH46" s="804">
        <v>5625878.099999994</v>
      </c>
      <c r="CI46" s="804">
        <v>93134747</v>
      </c>
      <c r="CJ46" s="804">
        <v>98105272</v>
      </c>
      <c r="CK46" s="804">
        <v>0</v>
      </c>
      <c r="CL46" s="804">
        <v>1917820</v>
      </c>
      <c r="CM46" s="804">
        <v>193157839</v>
      </c>
      <c r="CN46" s="804">
        <v>3699184</v>
      </c>
      <c r="CO46" s="804">
        <v>0</v>
      </c>
      <c r="CP46" s="804">
        <v>74612</v>
      </c>
      <c r="CQ46" s="804">
        <v>3773796</v>
      </c>
      <c r="CR46" s="804">
        <v>5725820</v>
      </c>
      <c r="CS46" s="804">
        <v>0</v>
      </c>
      <c r="CT46" s="804">
        <v>116673</v>
      </c>
      <c r="CU46" s="804">
        <v>5842493</v>
      </c>
      <c r="CV46" s="804">
        <v>488516</v>
      </c>
      <c r="CW46" s="804">
        <v>0</v>
      </c>
      <c r="CX46" s="804">
        <v>9825</v>
      </c>
      <c r="CY46" s="804">
        <v>498341</v>
      </c>
      <c r="CZ46" s="804">
        <v>12052</v>
      </c>
      <c r="DA46" s="804">
        <v>0</v>
      </c>
      <c r="DB46" s="804">
        <v>246</v>
      </c>
      <c r="DC46" s="804">
        <v>12298</v>
      </c>
      <c r="DD46" s="804">
        <v>33981</v>
      </c>
      <c r="DE46" s="804">
        <v>0</v>
      </c>
      <c r="DF46" s="804">
        <v>693</v>
      </c>
      <c r="DG46" s="804">
        <v>34674</v>
      </c>
      <c r="DH46" s="804">
        <v>49299</v>
      </c>
      <c r="DI46" s="804">
        <v>0</v>
      </c>
      <c r="DJ46" s="804">
        <v>1006</v>
      </c>
      <c r="DK46" s="804">
        <v>50305</v>
      </c>
      <c r="DL46" s="804">
        <v>16938</v>
      </c>
      <c r="DM46" s="804">
        <v>0</v>
      </c>
      <c r="DN46" s="804">
        <v>346</v>
      </c>
      <c r="DO46" s="804">
        <v>17284</v>
      </c>
      <c r="DP46" s="804">
        <v>0</v>
      </c>
      <c r="DQ46" s="804">
        <v>0</v>
      </c>
      <c r="DR46" s="804">
        <v>0</v>
      </c>
      <c r="DS46" s="804">
        <v>0</v>
      </c>
      <c r="DT46" s="804">
        <v>0</v>
      </c>
      <c r="DU46" s="804">
        <v>0</v>
      </c>
      <c r="DV46" s="804">
        <v>0</v>
      </c>
      <c r="DW46" s="804">
        <v>0</v>
      </c>
      <c r="DX46" s="804">
        <v>2009186</v>
      </c>
      <c r="DY46" s="804">
        <v>0</v>
      </c>
      <c r="DZ46" s="804">
        <v>41004</v>
      </c>
      <c r="EA46" s="804">
        <v>2050190</v>
      </c>
      <c r="EB46" s="804">
        <v>12034976</v>
      </c>
      <c r="EC46" s="804">
        <v>0</v>
      </c>
      <c r="ED46" s="804">
        <v>244405</v>
      </c>
      <c r="EE46" s="804">
        <v>12279381</v>
      </c>
      <c r="EF46" s="604" t="s">
        <v>1490</v>
      </c>
      <c r="EG46" s="497" t="s">
        <v>524</v>
      </c>
      <c r="EH46" s="660" t="s">
        <v>538</v>
      </c>
      <c r="EI46" s="118" t="s">
        <v>1657</v>
      </c>
    </row>
    <row r="47" spans="1:139" ht="12.75" x14ac:dyDescent="0.2">
      <c r="A47" s="805">
        <v>40</v>
      </c>
      <c r="B47" s="606" t="s">
        <v>751</v>
      </c>
      <c r="C47" s="607" t="s">
        <v>1185</v>
      </c>
      <c r="D47" s="608" t="s">
        <v>1187</v>
      </c>
      <c r="E47" s="609" t="s">
        <v>750</v>
      </c>
      <c r="F47" s="802">
        <v>30662130</v>
      </c>
      <c r="G47" s="804">
        <v>0</v>
      </c>
      <c r="H47" s="804">
        <v>106375</v>
      </c>
      <c r="I47" s="804">
        <v>188065</v>
      </c>
      <c r="J47" s="804">
        <v>0</v>
      </c>
      <c r="K47" s="804">
        <v>188065</v>
      </c>
      <c r="L47" s="804">
        <v>0</v>
      </c>
      <c r="M47" s="804">
        <v>0</v>
      </c>
      <c r="N47" s="804">
        <v>248375</v>
      </c>
      <c r="O47" s="804">
        <v>248375</v>
      </c>
      <c r="P47" s="804">
        <v>0</v>
      </c>
      <c r="Q47" s="804">
        <v>0</v>
      </c>
      <c r="R47" s="804">
        <v>30119315</v>
      </c>
      <c r="S47" s="804">
        <v>0.5</v>
      </c>
      <c r="T47" s="804">
        <v>0.4</v>
      </c>
      <c r="U47" s="804">
        <v>0.09</v>
      </c>
      <c r="V47" s="804">
        <v>0.01</v>
      </c>
      <c r="W47" s="804">
        <v>1</v>
      </c>
      <c r="X47" s="804">
        <v>15059658</v>
      </c>
      <c r="Y47" s="804">
        <v>12047726</v>
      </c>
      <c r="Z47" s="804">
        <v>2710738</v>
      </c>
      <c r="AA47" s="804">
        <v>301193</v>
      </c>
      <c r="AB47" s="804">
        <v>30119315</v>
      </c>
      <c r="AC47" s="804">
        <v>0</v>
      </c>
      <c r="AD47" s="804">
        <v>0</v>
      </c>
      <c r="AE47" s="804">
        <v>0</v>
      </c>
      <c r="AF47" s="804">
        <v>0</v>
      </c>
      <c r="AG47" s="804">
        <v>0</v>
      </c>
      <c r="AH47" s="804">
        <v>15059658</v>
      </c>
      <c r="AI47" s="804">
        <v>12047726</v>
      </c>
      <c r="AJ47" s="804">
        <v>2710738</v>
      </c>
      <c r="AK47" s="804">
        <v>301193</v>
      </c>
      <c r="AL47" s="804">
        <v>30119315</v>
      </c>
      <c r="AM47" s="804">
        <v>188065</v>
      </c>
      <c r="AN47" s="804">
        <v>188065</v>
      </c>
      <c r="AO47" s="804">
        <v>0</v>
      </c>
      <c r="AP47" s="804">
        <v>0</v>
      </c>
      <c r="AQ47" s="804">
        <v>248375</v>
      </c>
      <c r="AR47" s="804">
        <v>0</v>
      </c>
      <c r="AS47" s="804">
        <v>248375</v>
      </c>
      <c r="AT47" s="804">
        <v>0</v>
      </c>
      <c r="AU47" s="804">
        <v>0</v>
      </c>
      <c r="AV47" s="804">
        <v>0</v>
      </c>
      <c r="AW47" s="804">
        <v>0</v>
      </c>
      <c r="AX47" s="804">
        <v>0</v>
      </c>
      <c r="AY47" s="804">
        <v>0</v>
      </c>
      <c r="AZ47" s="804">
        <v>0</v>
      </c>
      <c r="BA47" s="804">
        <v>0</v>
      </c>
      <c r="BB47" s="804">
        <v>0</v>
      </c>
      <c r="BC47" s="804">
        <v>0</v>
      </c>
      <c r="BD47" s="804">
        <v>0</v>
      </c>
      <c r="BE47" s="804">
        <v>0</v>
      </c>
      <c r="BF47" s="804">
        <v>0</v>
      </c>
      <c r="BG47" s="804">
        <v>0</v>
      </c>
      <c r="BH47" s="804">
        <v>0</v>
      </c>
      <c r="BI47" s="804">
        <v>0</v>
      </c>
      <c r="BJ47" s="804">
        <v>0.25</v>
      </c>
      <c r="BK47" s="804">
        <v>0.56000000000000005</v>
      </c>
      <c r="BL47" s="804">
        <v>0.17499999999999999</v>
      </c>
      <c r="BM47" s="804">
        <v>1.4999999999999999E-2</v>
      </c>
      <c r="BN47" s="804">
        <v>1</v>
      </c>
      <c r="BO47" s="804">
        <v>407814</v>
      </c>
      <c r="BP47" s="804">
        <v>913502</v>
      </c>
      <c r="BQ47" s="804">
        <v>285469</v>
      </c>
      <c r="BR47" s="804">
        <v>24469</v>
      </c>
      <c r="BS47" s="804">
        <v>1631254</v>
      </c>
      <c r="BT47" s="804">
        <v>0.5</v>
      </c>
      <c r="BU47" s="804">
        <v>0.4</v>
      </c>
      <c r="BV47" s="804">
        <v>0.09</v>
      </c>
      <c r="BW47" s="804">
        <v>0.01</v>
      </c>
      <c r="BX47" s="804">
        <v>1</v>
      </c>
      <c r="BY47" s="804">
        <v>-818259</v>
      </c>
      <c r="BZ47" s="804">
        <v>-654606</v>
      </c>
      <c r="CA47" s="804">
        <v>-147286</v>
      </c>
      <c r="CB47" s="804">
        <v>-16365</v>
      </c>
      <c r="CC47" s="804">
        <v>-1636516</v>
      </c>
      <c r="CD47" s="804">
        <v>-410445</v>
      </c>
      <c r="CE47" s="804">
        <v>258896</v>
      </c>
      <c r="CF47" s="804">
        <v>138183</v>
      </c>
      <c r="CG47" s="804">
        <v>8104</v>
      </c>
      <c r="CH47" s="804">
        <v>-5262</v>
      </c>
      <c r="CI47" s="804">
        <v>14649213</v>
      </c>
      <c r="CJ47" s="804">
        <v>12743062</v>
      </c>
      <c r="CK47" s="804">
        <v>2848921</v>
      </c>
      <c r="CL47" s="804">
        <v>309297</v>
      </c>
      <c r="CM47" s="804">
        <v>30550493</v>
      </c>
      <c r="CN47" s="804">
        <v>492830</v>
      </c>
      <c r="CO47" s="804">
        <v>108647</v>
      </c>
      <c r="CP47" s="804">
        <v>12072</v>
      </c>
      <c r="CQ47" s="804">
        <v>613549</v>
      </c>
      <c r="CR47" s="804">
        <v>1099197</v>
      </c>
      <c r="CS47" s="804">
        <v>247319</v>
      </c>
      <c r="CT47" s="804">
        <v>27480</v>
      </c>
      <c r="CU47" s="804">
        <v>1373996</v>
      </c>
      <c r="CV47" s="804">
        <v>50227</v>
      </c>
      <c r="CW47" s="804">
        <v>11301</v>
      </c>
      <c r="CX47" s="804">
        <v>1256</v>
      </c>
      <c r="CY47" s="804">
        <v>62784</v>
      </c>
      <c r="CZ47" s="804">
        <v>4817</v>
      </c>
      <c r="DA47" s="804">
        <v>1084</v>
      </c>
      <c r="DB47" s="804">
        <v>120</v>
      </c>
      <c r="DC47" s="804">
        <v>6021</v>
      </c>
      <c r="DD47" s="804">
        <v>444</v>
      </c>
      <c r="DE47" s="804">
        <v>100</v>
      </c>
      <c r="DF47" s="804">
        <v>11</v>
      </c>
      <c r="DG47" s="804">
        <v>555</v>
      </c>
      <c r="DH47" s="804">
        <v>5460</v>
      </c>
      <c r="DI47" s="804">
        <v>1229</v>
      </c>
      <c r="DJ47" s="804">
        <v>137</v>
      </c>
      <c r="DK47" s="804">
        <v>6826</v>
      </c>
      <c r="DL47" s="804">
        <v>1075</v>
      </c>
      <c r="DM47" s="804">
        <v>242</v>
      </c>
      <c r="DN47" s="804">
        <v>27</v>
      </c>
      <c r="DO47" s="804">
        <v>1344</v>
      </c>
      <c r="DP47" s="804">
        <v>0</v>
      </c>
      <c r="DQ47" s="804">
        <v>0</v>
      </c>
      <c r="DR47" s="804">
        <v>0</v>
      </c>
      <c r="DS47" s="804">
        <v>0</v>
      </c>
      <c r="DT47" s="804">
        <v>0</v>
      </c>
      <c r="DU47" s="804">
        <v>0</v>
      </c>
      <c r="DV47" s="804">
        <v>0</v>
      </c>
      <c r="DW47" s="804">
        <v>0</v>
      </c>
      <c r="DX47" s="804">
        <v>194969</v>
      </c>
      <c r="DY47" s="804">
        <v>43868</v>
      </c>
      <c r="DZ47" s="804">
        <v>4874</v>
      </c>
      <c r="EA47" s="804">
        <v>243711</v>
      </c>
      <c r="EB47" s="804">
        <v>1849019</v>
      </c>
      <c r="EC47" s="804">
        <v>413790</v>
      </c>
      <c r="ED47" s="804">
        <v>45977</v>
      </c>
      <c r="EE47" s="804">
        <v>2308786</v>
      </c>
      <c r="EF47" s="604" t="s">
        <v>750</v>
      </c>
      <c r="EG47" s="497" t="s">
        <v>590</v>
      </c>
      <c r="EH47" s="630" t="s">
        <v>588</v>
      </c>
      <c r="EI47" s="118" t="s">
        <v>1699</v>
      </c>
    </row>
    <row r="48" spans="1:139" ht="12.75" x14ac:dyDescent="0.2">
      <c r="A48" s="805">
        <v>41</v>
      </c>
      <c r="B48" s="606" t="s">
        <v>753</v>
      </c>
      <c r="C48" s="607" t="s">
        <v>1192</v>
      </c>
      <c r="D48" s="608" t="s">
        <v>1187</v>
      </c>
      <c r="E48" s="609" t="s">
        <v>752</v>
      </c>
      <c r="F48" s="802">
        <v>52314442</v>
      </c>
      <c r="G48" s="804">
        <v>0</v>
      </c>
      <c r="H48" s="804">
        <v>298350</v>
      </c>
      <c r="I48" s="804">
        <v>232486</v>
      </c>
      <c r="J48" s="804">
        <v>0</v>
      </c>
      <c r="K48" s="804">
        <v>232486</v>
      </c>
      <c r="L48" s="804">
        <v>0</v>
      </c>
      <c r="M48" s="804">
        <v>0</v>
      </c>
      <c r="N48" s="804">
        <v>0</v>
      </c>
      <c r="O48" s="804">
        <v>0</v>
      </c>
      <c r="P48" s="804">
        <v>0</v>
      </c>
      <c r="Q48" s="804">
        <v>0</v>
      </c>
      <c r="R48" s="804">
        <v>51783606</v>
      </c>
      <c r="S48" s="804">
        <v>0</v>
      </c>
      <c r="T48" s="804">
        <v>0.99</v>
      </c>
      <c r="U48" s="804">
        <v>0</v>
      </c>
      <c r="V48" s="804">
        <v>0.01</v>
      </c>
      <c r="W48" s="804">
        <v>1</v>
      </c>
      <c r="X48" s="804">
        <v>0</v>
      </c>
      <c r="Y48" s="804">
        <v>51265770</v>
      </c>
      <c r="Z48" s="804">
        <v>0</v>
      </c>
      <c r="AA48" s="804">
        <v>517836</v>
      </c>
      <c r="AB48" s="804">
        <v>51783606</v>
      </c>
      <c r="AC48" s="804">
        <v>0</v>
      </c>
      <c r="AD48" s="804">
        <v>0</v>
      </c>
      <c r="AE48" s="804">
        <v>0</v>
      </c>
      <c r="AF48" s="804">
        <v>0</v>
      </c>
      <c r="AG48" s="804">
        <v>0</v>
      </c>
      <c r="AH48" s="804">
        <v>0</v>
      </c>
      <c r="AI48" s="804">
        <v>51265770</v>
      </c>
      <c r="AJ48" s="804">
        <v>0</v>
      </c>
      <c r="AK48" s="804">
        <v>517836</v>
      </c>
      <c r="AL48" s="804">
        <v>51783606</v>
      </c>
      <c r="AM48" s="804">
        <v>232486</v>
      </c>
      <c r="AN48" s="804">
        <v>232486</v>
      </c>
      <c r="AO48" s="804">
        <v>0</v>
      </c>
      <c r="AP48" s="804">
        <v>0</v>
      </c>
      <c r="AQ48" s="804">
        <v>0</v>
      </c>
      <c r="AR48" s="804">
        <v>0</v>
      </c>
      <c r="AS48" s="804">
        <v>0</v>
      </c>
      <c r="AT48" s="804">
        <v>0</v>
      </c>
      <c r="AU48" s="804">
        <v>0</v>
      </c>
      <c r="AV48" s="804">
        <v>0</v>
      </c>
      <c r="AW48" s="804">
        <v>0</v>
      </c>
      <c r="AX48" s="804">
        <v>0</v>
      </c>
      <c r="AY48" s="804">
        <v>0</v>
      </c>
      <c r="AZ48" s="804">
        <v>0</v>
      </c>
      <c r="BA48" s="804">
        <v>0</v>
      </c>
      <c r="BB48" s="804">
        <v>0</v>
      </c>
      <c r="BC48" s="804">
        <v>0</v>
      </c>
      <c r="BD48" s="804">
        <v>0</v>
      </c>
      <c r="BE48" s="804">
        <v>0</v>
      </c>
      <c r="BF48" s="804">
        <v>0</v>
      </c>
      <c r="BG48" s="804">
        <v>0</v>
      </c>
      <c r="BH48" s="804">
        <v>0</v>
      </c>
      <c r="BI48" s="804">
        <v>0</v>
      </c>
      <c r="BJ48" s="804">
        <v>0</v>
      </c>
      <c r="BK48" s="804">
        <v>0.99</v>
      </c>
      <c r="BL48" s="804">
        <v>0</v>
      </c>
      <c r="BM48" s="804">
        <v>0.01</v>
      </c>
      <c r="BN48" s="804">
        <v>1</v>
      </c>
      <c r="BO48" s="804">
        <v>0</v>
      </c>
      <c r="BP48" s="804">
        <v>4051990</v>
      </c>
      <c r="BQ48" s="804">
        <v>0</v>
      </c>
      <c r="BR48" s="804">
        <v>40929</v>
      </c>
      <c r="BS48" s="804">
        <v>4092919</v>
      </c>
      <c r="BT48" s="804">
        <v>0</v>
      </c>
      <c r="BU48" s="804">
        <v>0.99</v>
      </c>
      <c r="BV48" s="804">
        <v>0</v>
      </c>
      <c r="BW48" s="804">
        <v>0.01</v>
      </c>
      <c r="BX48" s="804">
        <v>1</v>
      </c>
      <c r="BY48" s="804">
        <v>-0.29999999701976776</v>
      </c>
      <c r="BZ48" s="804">
        <v>4187072</v>
      </c>
      <c r="CA48" s="804">
        <v>0</v>
      </c>
      <c r="CB48" s="804">
        <v>42294</v>
      </c>
      <c r="CC48" s="804">
        <v>4229365.700000003</v>
      </c>
      <c r="CD48" s="804">
        <v>0</v>
      </c>
      <c r="CE48" s="804">
        <v>8239062</v>
      </c>
      <c r="CF48" s="804">
        <v>0</v>
      </c>
      <c r="CG48" s="804">
        <v>83223</v>
      </c>
      <c r="CH48" s="804">
        <v>8322284.700000003</v>
      </c>
      <c r="CI48" s="804">
        <v>0</v>
      </c>
      <c r="CJ48" s="804">
        <v>59737318</v>
      </c>
      <c r="CK48" s="804">
        <v>0</v>
      </c>
      <c r="CL48" s="804">
        <v>601059</v>
      </c>
      <c r="CM48" s="804">
        <v>60338377</v>
      </c>
      <c r="CN48" s="804">
        <v>2054740</v>
      </c>
      <c r="CO48" s="804">
        <v>0</v>
      </c>
      <c r="CP48" s="804">
        <v>20755</v>
      </c>
      <c r="CQ48" s="804">
        <v>2075495</v>
      </c>
      <c r="CR48" s="804">
        <v>5803975</v>
      </c>
      <c r="CS48" s="804">
        <v>0</v>
      </c>
      <c r="CT48" s="804">
        <v>58626</v>
      </c>
      <c r="CU48" s="804">
        <v>5862601</v>
      </c>
      <c r="CV48" s="804">
        <v>303492</v>
      </c>
      <c r="CW48" s="804">
        <v>0</v>
      </c>
      <c r="CX48" s="804">
        <v>3066</v>
      </c>
      <c r="CY48" s="804">
        <v>306558</v>
      </c>
      <c r="CZ48" s="804">
        <v>3829</v>
      </c>
      <c r="DA48" s="804">
        <v>0</v>
      </c>
      <c r="DB48" s="804">
        <v>39</v>
      </c>
      <c r="DC48" s="804">
        <v>3868</v>
      </c>
      <c r="DD48" s="804">
        <v>1661</v>
      </c>
      <c r="DE48" s="804">
        <v>0</v>
      </c>
      <c r="DF48" s="804">
        <v>17</v>
      </c>
      <c r="DG48" s="804">
        <v>1678</v>
      </c>
      <c r="DH48" s="804">
        <v>32281</v>
      </c>
      <c r="DI48" s="804">
        <v>0</v>
      </c>
      <c r="DJ48" s="804">
        <v>326</v>
      </c>
      <c r="DK48" s="804">
        <v>32607</v>
      </c>
      <c r="DL48" s="804">
        <v>11170</v>
      </c>
      <c r="DM48" s="804">
        <v>0</v>
      </c>
      <c r="DN48" s="804">
        <v>113</v>
      </c>
      <c r="DO48" s="804">
        <v>11283</v>
      </c>
      <c r="DP48" s="804">
        <v>0</v>
      </c>
      <c r="DQ48" s="804">
        <v>0</v>
      </c>
      <c r="DR48" s="804">
        <v>0</v>
      </c>
      <c r="DS48" s="804">
        <v>0</v>
      </c>
      <c r="DT48" s="804">
        <v>0</v>
      </c>
      <c r="DU48" s="804">
        <v>0</v>
      </c>
      <c r="DV48" s="804">
        <v>0</v>
      </c>
      <c r="DW48" s="804">
        <v>0</v>
      </c>
      <c r="DX48" s="804">
        <v>1727926</v>
      </c>
      <c r="DY48" s="804">
        <v>0</v>
      </c>
      <c r="DZ48" s="804">
        <v>17454</v>
      </c>
      <c r="EA48" s="804">
        <v>1745380</v>
      </c>
      <c r="EB48" s="804">
        <v>9939074</v>
      </c>
      <c r="EC48" s="804">
        <v>0</v>
      </c>
      <c r="ED48" s="804">
        <v>100396</v>
      </c>
      <c r="EE48" s="804">
        <v>10039470</v>
      </c>
      <c r="EF48" s="604" t="s">
        <v>752</v>
      </c>
      <c r="EG48" s="497" t="s">
        <v>616</v>
      </c>
      <c r="EH48" s="630" t="s">
        <v>617</v>
      </c>
      <c r="EI48" s="118" t="s">
        <v>1700</v>
      </c>
    </row>
    <row r="49" spans="1:139" ht="12.75" x14ac:dyDescent="0.2">
      <c r="A49" s="805">
        <v>42</v>
      </c>
      <c r="B49" s="606" t="s">
        <v>755</v>
      </c>
      <c r="C49" s="607" t="s">
        <v>1192</v>
      </c>
      <c r="D49" s="608" t="s">
        <v>1193</v>
      </c>
      <c r="E49" s="609" t="s">
        <v>754</v>
      </c>
      <c r="F49" s="802">
        <v>54699514</v>
      </c>
      <c r="G49" s="804">
        <v>71812</v>
      </c>
      <c r="H49" s="804">
        <v>0</v>
      </c>
      <c r="I49" s="804">
        <v>346789</v>
      </c>
      <c r="J49" s="804">
        <v>0</v>
      </c>
      <c r="K49" s="804">
        <v>346789</v>
      </c>
      <c r="L49" s="804">
        <v>0</v>
      </c>
      <c r="M49" s="804">
        <v>0</v>
      </c>
      <c r="N49" s="804">
        <v>454276</v>
      </c>
      <c r="O49" s="804">
        <v>454276</v>
      </c>
      <c r="P49" s="804">
        <v>0</v>
      </c>
      <c r="Q49" s="804">
        <v>0</v>
      </c>
      <c r="R49" s="804">
        <v>53970261</v>
      </c>
      <c r="S49" s="804">
        <v>0.5</v>
      </c>
      <c r="T49" s="804">
        <v>0.49</v>
      </c>
      <c r="U49" s="804">
        <v>0</v>
      </c>
      <c r="V49" s="804">
        <v>0.01</v>
      </c>
      <c r="W49" s="804">
        <v>1</v>
      </c>
      <c r="X49" s="804">
        <v>26985130</v>
      </c>
      <c r="Y49" s="804">
        <v>26445428</v>
      </c>
      <c r="Z49" s="804">
        <v>0</v>
      </c>
      <c r="AA49" s="804">
        <v>539703</v>
      </c>
      <c r="AB49" s="804">
        <v>53970261</v>
      </c>
      <c r="AC49" s="804">
        <v>0</v>
      </c>
      <c r="AD49" s="804">
        <v>0</v>
      </c>
      <c r="AE49" s="804">
        <v>0</v>
      </c>
      <c r="AF49" s="804">
        <v>0</v>
      </c>
      <c r="AG49" s="804">
        <v>0</v>
      </c>
      <c r="AH49" s="804">
        <v>26985130</v>
      </c>
      <c r="AI49" s="804">
        <v>26445428</v>
      </c>
      <c r="AJ49" s="804">
        <v>0</v>
      </c>
      <c r="AK49" s="804">
        <v>539703</v>
      </c>
      <c r="AL49" s="804">
        <v>53970261</v>
      </c>
      <c r="AM49" s="804">
        <v>346789</v>
      </c>
      <c r="AN49" s="804">
        <v>346789</v>
      </c>
      <c r="AO49" s="804">
        <v>0</v>
      </c>
      <c r="AP49" s="804">
        <v>0</v>
      </c>
      <c r="AQ49" s="804">
        <v>454276</v>
      </c>
      <c r="AR49" s="804">
        <v>0</v>
      </c>
      <c r="AS49" s="804">
        <v>454276</v>
      </c>
      <c r="AT49" s="804">
        <v>0</v>
      </c>
      <c r="AU49" s="804">
        <v>0</v>
      </c>
      <c r="AV49" s="804">
        <v>0</v>
      </c>
      <c r="AW49" s="804">
        <v>0</v>
      </c>
      <c r="AX49" s="804">
        <v>0</v>
      </c>
      <c r="AY49" s="804">
        <v>0</v>
      </c>
      <c r="AZ49" s="804">
        <v>0</v>
      </c>
      <c r="BA49" s="804">
        <v>0</v>
      </c>
      <c r="BB49" s="804">
        <v>0</v>
      </c>
      <c r="BC49" s="804">
        <v>0</v>
      </c>
      <c r="BD49" s="804">
        <v>0</v>
      </c>
      <c r="BE49" s="804">
        <v>0</v>
      </c>
      <c r="BF49" s="804">
        <v>0</v>
      </c>
      <c r="BG49" s="804">
        <v>0</v>
      </c>
      <c r="BH49" s="804">
        <v>0</v>
      </c>
      <c r="BI49" s="804">
        <v>0</v>
      </c>
      <c r="BJ49" s="804">
        <v>0.25</v>
      </c>
      <c r="BK49" s="804">
        <v>0.74</v>
      </c>
      <c r="BL49" s="804">
        <v>0</v>
      </c>
      <c r="BM49" s="804">
        <v>0.01</v>
      </c>
      <c r="BN49" s="804">
        <v>1</v>
      </c>
      <c r="BO49" s="804">
        <v>-395927</v>
      </c>
      <c r="BP49" s="804">
        <v>-1171945</v>
      </c>
      <c r="BQ49" s="804">
        <v>0</v>
      </c>
      <c r="BR49" s="804">
        <v>-15837</v>
      </c>
      <c r="BS49" s="804">
        <v>-1583709</v>
      </c>
      <c r="BT49" s="804">
        <v>0</v>
      </c>
      <c r="BU49" s="804">
        <v>0.99</v>
      </c>
      <c r="BV49" s="804">
        <v>0</v>
      </c>
      <c r="BW49" s="804">
        <v>0.01</v>
      </c>
      <c r="BX49" s="804">
        <v>1</v>
      </c>
      <c r="BY49" s="804">
        <v>-9.0000003576278687E-2</v>
      </c>
      <c r="BZ49" s="804">
        <v>887358</v>
      </c>
      <c r="CA49" s="804">
        <v>0</v>
      </c>
      <c r="CB49" s="804">
        <v>8963</v>
      </c>
      <c r="CC49" s="804">
        <v>896320.90999999642</v>
      </c>
      <c r="CD49" s="804">
        <v>-395927</v>
      </c>
      <c r="CE49" s="804">
        <v>-284587</v>
      </c>
      <c r="CF49" s="804">
        <v>0</v>
      </c>
      <c r="CG49" s="804">
        <v>-6874</v>
      </c>
      <c r="CH49" s="804">
        <v>-687388.09000000358</v>
      </c>
      <c r="CI49" s="804">
        <v>26589203</v>
      </c>
      <c r="CJ49" s="804">
        <v>26961906</v>
      </c>
      <c r="CK49" s="804">
        <v>0</v>
      </c>
      <c r="CL49" s="804">
        <v>532829</v>
      </c>
      <c r="CM49" s="804">
        <v>54083938</v>
      </c>
      <c r="CN49" s="804">
        <v>1078144</v>
      </c>
      <c r="CO49" s="804">
        <v>0</v>
      </c>
      <c r="CP49" s="804">
        <v>21631</v>
      </c>
      <c r="CQ49" s="804">
        <v>1099775</v>
      </c>
      <c r="CR49" s="804">
        <v>3906950</v>
      </c>
      <c r="CS49" s="804">
        <v>0</v>
      </c>
      <c r="CT49" s="804">
        <v>79734</v>
      </c>
      <c r="CU49" s="804">
        <v>3986684</v>
      </c>
      <c r="CV49" s="804">
        <v>156649</v>
      </c>
      <c r="CW49" s="804">
        <v>0</v>
      </c>
      <c r="CX49" s="804">
        <v>3197</v>
      </c>
      <c r="CY49" s="804">
        <v>159846</v>
      </c>
      <c r="CZ49" s="804">
        <v>0</v>
      </c>
      <c r="DA49" s="804">
        <v>0</v>
      </c>
      <c r="DB49" s="804">
        <v>0</v>
      </c>
      <c r="DC49" s="804">
        <v>0</v>
      </c>
      <c r="DD49" s="804">
        <v>3761</v>
      </c>
      <c r="DE49" s="804">
        <v>0</v>
      </c>
      <c r="DF49" s="804">
        <v>77</v>
      </c>
      <c r="DG49" s="804">
        <v>3838</v>
      </c>
      <c r="DH49" s="804">
        <v>22148</v>
      </c>
      <c r="DI49" s="804">
        <v>0</v>
      </c>
      <c r="DJ49" s="804">
        <v>452</v>
      </c>
      <c r="DK49" s="804">
        <v>22600</v>
      </c>
      <c r="DL49" s="804">
        <v>0</v>
      </c>
      <c r="DM49" s="804">
        <v>0</v>
      </c>
      <c r="DN49" s="804">
        <v>0</v>
      </c>
      <c r="DO49" s="804">
        <v>0</v>
      </c>
      <c r="DP49" s="804">
        <v>0</v>
      </c>
      <c r="DQ49" s="804">
        <v>0</v>
      </c>
      <c r="DR49" s="804">
        <v>0</v>
      </c>
      <c r="DS49" s="804">
        <v>0</v>
      </c>
      <c r="DT49" s="804">
        <v>0</v>
      </c>
      <c r="DU49" s="804">
        <v>0</v>
      </c>
      <c r="DV49" s="804">
        <v>0</v>
      </c>
      <c r="DW49" s="804">
        <v>0</v>
      </c>
      <c r="DX49" s="804">
        <v>821754</v>
      </c>
      <c r="DY49" s="804">
        <v>0</v>
      </c>
      <c r="DZ49" s="804">
        <v>16770</v>
      </c>
      <c r="EA49" s="804">
        <v>838524</v>
      </c>
      <c r="EB49" s="804">
        <v>5989406</v>
      </c>
      <c r="EC49" s="804">
        <v>0</v>
      </c>
      <c r="ED49" s="804">
        <v>121861</v>
      </c>
      <c r="EE49" s="804">
        <v>6111267</v>
      </c>
      <c r="EF49" s="604" t="s">
        <v>754</v>
      </c>
      <c r="EG49" s="497" t="s">
        <v>616</v>
      </c>
      <c r="EH49" s="630" t="s">
        <v>622</v>
      </c>
      <c r="EI49" s="118" t="s">
        <v>1701</v>
      </c>
    </row>
    <row r="50" spans="1:139" ht="12.75" x14ac:dyDescent="0.2">
      <c r="A50" s="805">
        <v>43</v>
      </c>
      <c r="B50" s="606" t="s">
        <v>757</v>
      </c>
      <c r="C50" s="607" t="s">
        <v>1185</v>
      </c>
      <c r="D50" s="608" t="s">
        <v>1189</v>
      </c>
      <c r="E50" s="609" t="s">
        <v>756</v>
      </c>
      <c r="F50" s="802">
        <v>118080965</v>
      </c>
      <c r="G50" s="804">
        <v>0</v>
      </c>
      <c r="H50" s="804">
        <v>64598</v>
      </c>
      <c r="I50" s="804">
        <v>236967</v>
      </c>
      <c r="J50" s="804">
        <v>0</v>
      </c>
      <c r="K50" s="804">
        <v>236967</v>
      </c>
      <c r="L50" s="804">
        <v>0</v>
      </c>
      <c r="M50" s="804">
        <v>0</v>
      </c>
      <c r="N50" s="804">
        <v>0</v>
      </c>
      <c r="O50" s="804">
        <v>0</v>
      </c>
      <c r="P50" s="804">
        <v>0</v>
      </c>
      <c r="Q50" s="804">
        <v>0</v>
      </c>
      <c r="R50" s="804">
        <v>117779400</v>
      </c>
      <c r="S50" s="804">
        <v>0.5</v>
      </c>
      <c r="T50" s="804">
        <v>0.4</v>
      </c>
      <c r="U50" s="804">
        <v>0.09</v>
      </c>
      <c r="V50" s="804">
        <v>0.01</v>
      </c>
      <c r="W50" s="804">
        <v>1</v>
      </c>
      <c r="X50" s="804">
        <v>58889700</v>
      </c>
      <c r="Y50" s="804">
        <v>47111760</v>
      </c>
      <c r="Z50" s="804">
        <v>10600146</v>
      </c>
      <c r="AA50" s="804">
        <v>1177794</v>
      </c>
      <c r="AB50" s="804">
        <v>117779400</v>
      </c>
      <c r="AC50" s="804">
        <v>0</v>
      </c>
      <c r="AD50" s="804">
        <v>0</v>
      </c>
      <c r="AE50" s="804">
        <v>0</v>
      </c>
      <c r="AF50" s="804">
        <v>0</v>
      </c>
      <c r="AG50" s="804">
        <v>0</v>
      </c>
      <c r="AH50" s="804">
        <v>58889700</v>
      </c>
      <c r="AI50" s="804">
        <v>47111760</v>
      </c>
      <c r="AJ50" s="804">
        <v>10600146</v>
      </c>
      <c r="AK50" s="804">
        <v>1177794</v>
      </c>
      <c r="AL50" s="804">
        <v>117779400</v>
      </c>
      <c r="AM50" s="804">
        <v>236967</v>
      </c>
      <c r="AN50" s="804">
        <v>236967</v>
      </c>
      <c r="AO50" s="804">
        <v>0</v>
      </c>
      <c r="AP50" s="804">
        <v>0</v>
      </c>
      <c r="AQ50" s="804">
        <v>0</v>
      </c>
      <c r="AR50" s="804">
        <v>0</v>
      </c>
      <c r="AS50" s="804">
        <v>0</v>
      </c>
      <c r="AT50" s="804">
        <v>0</v>
      </c>
      <c r="AU50" s="804">
        <v>0</v>
      </c>
      <c r="AV50" s="804">
        <v>0</v>
      </c>
      <c r="AW50" s="804">
        <v>0</v>
      </c>
      <c r="AX50" s="804">
        <v>0</v>
      </c>
      <c r="AY50" s="804">
        <v>0</v>
      </c>
      <c r="AZ50" s="804">
        <v>0</v>
      </c>
      <c r="BA50" s="804">
        <v>0</v>
      </c>
      <c r="BB50" s="804">
        <v>0</v>
      </c>
      <c r="BC50" s="804">
        <v>0</v>
      </c>
      <c r="BD50" s="804">
        <v>0</v>
      </c>
      <c r="BE50" s="804">
        <v>0</v>
      </c>
      <c r="BF50" s="804">
        <v>0</v>
      </c>
      <c r="BG50" s="804">
        <v>0</v>
      </c>
      <c r="BH50" s="804">
        <v>0</v>
      </c>
      <c r="BI50" s="804">
        <v>0</v>
      </c>
      <c r="BJ50" s="804">
        <v>0.5</v>
      </c>
      <c r="BK50" s="804">
        <v>0.4</v>
      </c>
      <c r="BL50" s="804">
        <v>0.09</v>
      </c>
      <c r="BM50" s="804">
        <v>0.01</v>
      </c>
      <c r="BN50" s="804">
        <v>1</v>
      </c>
      <c r="BO50" s="804">
        <v>3129519</v>
      </c>
      <c r="BP50" s="804">
        <v>2503616</v>
      </c>
      <c r="BQ50" s="804">
        <v>563314</v>
      </c>
      <c r="BR50" s="804">
        <v>62590</v>
      </c>
      <c r="BS50" s="804">
        <v>6259039</v>
      </c>
      <c r="BT50" s="804">
        <v>0.5</v>
      </c>
      <c r="BU50" s="804">
        <v>0.4</v>
      </c>
      <c r="BV50" s="804">
        <v>0.09</v>
      </c>
      <c r="BW50" s="804">
        <v>0.01</v>
      </c>
      <c r="BX50" s="804">
        <v>1</v>
      </c>
      <c r="BY50" s="804">
        <v>2471152</v>
      </c>
      <c r="BZ50" s="804">
        <v>1976922</v>
      </c>
      <c r="CA50" s="804">
        <v>444807</v>
      </c>
      <c r="CB50" s="804">
        <v>49423</v>
      </c>
      <c r="CC50" s="804">
        <v>4942304</v>
      </c>
      <c r="CD50" s="804">
        <v>5600671</v>
      </c>
      <c r="CE50" s="804">
        <v>4480538</v>
      </c>
      <c r="CF50" s="804">
        <v>1008121</v>
      </c>
      <c r="CG50" s="804">
        <v>112013</v>
      </c>
      <c r="CH50" s="804">
        <v>11201343</v>
      </c>
      <c r="CI50" s="804">
        <v>64490371</v>
      </c>
      <c r="CJ50" s="804">
        <v>51829265</v>
      </c>
      <c r="CK50" s="804">
        <v>11608267</v>
      </c>
      <c r="CL50" s="804">
        <v>1289807</v>
      </c>
      <c r="CM50" s="804">
        <v>129217710</v>
      </c>
      <c r="CN50" s="804">
        <v>1888247</v>
      </c>
      <c r="CO50" s="804">
        <v>424856</v>
      </c>
      <c r="CP50" s="804">
        <v>47206</v>
      </c>
      <c r="CQ50" s="804">
        <v>2360309</v>
      </c>
      <c r="CR50" s="804">
        <v>913098</v>
      </c>
      <c r="CS50" s="804">
        <v>205447</v>
      </c>
      <c r="CT50" s="804">
        <v>22827</v>
      </c>
      <c r="CU50" s="804">
        <v>1141372</v>
      </c>
      <c r="CV50" s="804">
        <v>134042</v>
      </c>
      <c r="CW50" s="804">
        <v>30159</v>
      </c>
      <c r="CX50" s="804">
        <v>3351</v>
      </c>
      <c r="CY50" s="804">
        <v>167552</v>
      </c>
      <c r="CZ50" s="804">
        <v>2080</v>
      </c>
      <c r="DA50" s="804">
        <v>468</v>
      </c>
      <c r="DB50" s="804">
        <v>52</v>
      </c>
      <c r="DC50" s="804">
        <v>2600</v>
      </c>
      <c r="DD50" s="804">
        <v>0</v>
      </c>
      <c r="DE50" s="804">
        <v>0</v>
      </c>
      <c r="DF50" s="804">
        <v>0</v>
      </c>
      <c r="DG50" s="804">
        <v>0</v>
      </c>
      <c r="DH50" s="804">
        <v>4576</v>
      </c>
      <c r="DI50" s="804">
        <v>1030</v>
      </c>
      <c r="DJ50" s="804">
        <v>114</v>
      </c>
      <c r="DK50" s="804">
        <v>5720</v>
      </c>
      <c r="DL50" s="804">
        <v>5230</v>
      </c>
      <c r="DM50" s="804">
        <v>1177</v>
      </c>
      <c r="DN50" s="804">
        <v>131</v>
      </c>
      <c r="DO50" s="804">
        <v>6538</v>
      </c>
      <c r="DP50" s="804">
        <v>0</v>
      </c>
      <c r="DQ50" s="804">
        <v>0</v>
      </c>
      <c r="DR50" s="804">
        <v>0</v>
      </c>
      <c r="DS50" s="804">
        <v>0</v>
      </c>
      <c r="DT50" s="804">
        <v>0</v>
      </c>
      <c r="DU50" s="804">
        <v>0</v>
      </c>
      <c r="DV50" s="804">
        <v>0</v>
      </c>
      <c r="DW50" s="804">
        <v>0</v>
      </c>
      <c r="DX50" s="804">
        <v>830868</v>
      </c>
      <c r="DY50" s="804">
        <v>186945</v>
      </c>
      <c r="DZ50" s="804">
        <v>20772</v>
      </c>
      <c r="EA50" s="804">
        <v>1038585</v>
      </c>
      <c r="EB50" s="804">
        <v>3778141</v>
      </c>
      <c r="EC50" s="804">
        <v>850082</v>
      </c>
      <c r="ED50" s="804">
        <v>94453</v>
      </c>
      <c r="EE50" s="804">
        <v>4722676</v>
      </c>
      <c r="EF50" s="604" t="s">
        <v>756</v>
      </c>
      <c r="EG50" s="497" t="s">
        <v>542</v>
      </c>
      <c r="EH50" s="630" t="s">
        <v>541</v>
      </c>
      <c r="EI50" s="118" t="s">
        <v>1702</v>
      </c>
    </row>
    <row r="51" spans="1:139" ht="12.75" x14ac:dyDescent="0.2">
      <c r="A51" s="805">
        <v>44</v>
      </c>
      <c r="B51" s="606" t="s">
        <v>759</v>
      </c>
      <c r="C51" s="607" t="s">
        <v>1196</v>
      </c>
      <c r="D51" s="608" t="s">
        <v>1191</v>
      </c>
      <c r="E51" s="609" t="s">
        <v>758</v>
      </c>
      <c r="F51" s="802">
        <v>661914759</v>
      </c>
      <c r="G51" s="804">
        <v>3375505</v>
      </c>
      <c r="H51" s="804">
        <v>0</v>
      </c>
      <c r="I51" s="804">
        <v>1290264</v>
      </c>
      <c r="J51" s="804">
        <v>0</v>
      </c>
      <c r="K51" s="804">
        <v>1290264</v>
      </c>
      <c r="L51" s="804">
        <v>0</v>
      </c>
      <c r="M51" s="804">
        <v>0</v>
      </c>
      <c r="N51" s="804">
        <v>0</v>
      </c>
      <c r="O51" s="804">
        <v>0</v>
      </c>
      <c r="P51" s="804">
        <v>0</v>
      </c>
      <c r="Q51" s="804">
        <v>0</v>
      </c>
      <c r="R51" s="804">
        <v>664000000</v>
      </c>
      <c r="S51" s="804">
        <v>0.33</v>
      </c>
      <c r="T51" s="804">
        <v>0.3</v>
      </c>
      <c r="U51" s="804">
        <v>0.37</v>
      </c>
      <c r="V51" s="804">
        <v>0</v>
      </c>
      <c r="W51" s="804">
        <v>1</v>
      </c>
      <c r="X51" s="804">
        <v>219120000</v>
      </c>
      <c r="Y51" s="804">
        <v>199200000</v>
      </c>
      <c r="Z51" s="804">
        <v>245680000</v>
      </c>
      <c r="AA51" s="804">
        <v>0</v>
      </c>
      <c r="AB51" s="804">
        <v>664000000</v>
      </c>
      <c r="AC51" s="804">
        <v>0</v>
      </c>
      <c r="AD51" s="804">
        <v>0</v>
      </c>
      <c r="AE51" s="804">
        <v>0</v>
      </c>
      <c r="AF51" s="804">
        <v>0</v>
      </c>
      <c r="AG51" s="804">
        <v>0</v>
      </c>
      <c r="AH51" s="804">
        <v>219120000</v>
      </c>
      <c r="AI51" s="804">
        <v>199200000</v>
      </c>
      <c r="AJ51" s="804">
        <v>245680000</v>
      </c>
      <c r="AK51" s="804">
        <v>0</v>
      </c>
      <c r="AL51" s="804">
        <v>664000000</v>
      </c>
      <c r="AM51" s="804">
        <v>1290264</v>
      </c>
      <c r="AN51" s="804">
        <v>1290264</v>
      </c>
      <c r="AO51" s="804">
        <v>0</v>
      </c>
      <c r="AP51" s="804">
        <v>0</v>
      </c>
      <c r="AQ51" s="804">
        <v>0</v>
      </c>
      <c r="AR51" s="804">
        <v>0</v>
      </c>
      <c r="AS51" s="804">
        <v>0</v>
      </c>
      <c r="AT51" s="804">
        <v>0</v>
      </c>
      <c r="AU51" s="804">
        <v>0</v>
      </c>
      <c r="AV51" s="804">
        <v>0</v>
      </c>
      <c r="AW51" s="804">
        <v>0</v>
      </c>
      <c r="AX51" s="804">
        <v>0</v>
      </c>
      <c r="AY51" s="804">
        <v>0</v>
      </c>
      <c r="AZ51" s="804">
        <v>0</v>
      </c>
      <c r="BA51" s="804">
        <v>0</v>
      </c>
      <c r="BB51" s="804">
        <v>0</v>
      </c>
      <c r="BC51" s="804">
        <v>0</v>
      </c>
      <c r="BD51" s="804">
        <v>0</v>
      </c>
      <c r="BE51" s="804">
        <v>0</v>
      </c>
      <c r="BF51" s="804">
        <v>0</v>
      </c>
      <c r="BG51" s="804">
        <v>0</v>
      </c>
      <c r="BH51" s="804">
        <v>0</v>
      </c>
      <c r="BI51" s="804">
        <v>0</v>
      </c>
      <c r="BJ51" s="804">
        <v>0.25</v>
      </c>
      <c r="BK51" s="804">
        <v>0.48</v>
      </c>
      <c r="BL51" s="804">
        <v>0.27</v>
      </c>
      <c r="BM51" s="804">
        <v>0</v>
      </c>
      <c r="BN51" s="804">
        <v>1</v>
      </c>
      <c r="BO51" s="804">
        <v>557565</v>
      </c>
      <c r="BP51" s="804">
        <v>1070523</v>
      </c>
      <c r="BQ51" s="804">
        <v>602169</v>
      </c>
      <c r="BR51" s="804">
        <v>0</v>
      </c>
      <c r="BS51" s="804">
        <v>2230257</v>
      </c>
      <c r="BT51" s="804">
        <v>0</v>
      </c>
      <c r="BU51" s="804">
        <v>0.64</v>
      </c>
      <c r="BV51" s="804">
        <v>0.36</v>
      </c>
      <c r="BW51" s="804">
        <v>0</v>
      </c>
      <c r="BX51" s="804">
        <v>1</v>
      </c>
      <c r="BY51" s="804">
        <v>0.14999997615814209</v>
      </c>
      <c r="BZ51" s="804">
        <v>551405</v>
      </c>
      <c r="CA51" s="804">
        <v>310165</v>
      </c>
      <c r="CB51" s="804">
        <v>0</v>
      </c>
      <c r="CC51" s="804">
        <v>861570.14999997616</v>
      </c>
      <c r="CD51" s="804">
        <v>557565</v>
      </c>
      <c r="CE51" s="804">
        <v>1621928</v>
      </c>
      <c r="CF51" s="804">
        <v>912334</v>
      </c>
      <c r="CG51" s="804">
        <v>0</v>
      </c>
      <c r="CH51" s="804">
        <v>3091827.1499999762</v>
      </c>
      <c r="CI51" s="804">
        <v>219677565</v>
      </c>
      <c r="CJ51" s="804">
        <v>202112192</v>
      </c>
      <c r="CK51" s="804">
        <v>246592334</v>
      </c>
      <c r="CL51" s="804">
        <v>0</v>
      </c>
      <c r="CM51" s="804">
        <v>668382091</v>
      </c>
      <c r="CN51" s="804">
        <v>7983968</v>
      </c>
      <c r="CO51" s="804">
        <v>9846894</v>
      </c>
      <c r="CP51" s="804">
        <v>0</v>
      </c>
      <c r="CQ51" s="804">
        <v>17830862</v>
      </c>
      <c r="CR51" s="804">
        <v>1435343</v>
      </c>
      <c r="CS51" s="804">
        <v>1770256</v>
      </c>
      <c r="CT51" s="804">
        <v>0</v>
      </c>
      <c r="CU51" s="804">
        <v>3205599</v>
      </c>
      <c r="CV51" s="804">
        <v>383540</v>
      </c>
      <c r="CW51" s="804">
        <v>473033</v>
      </c>
      <c r="CX51" s="804">
        <v>0</v>
      </c>
      <c r="CY51" s="804">
        <v>856573</v>
      </c>
      <c r="CZ51" s="804">
        <v>0</v>
      </c>
      <c r="DA51" s="804">
        <v>0</v>
      </c>
      <c r="DB51" s="804">
        <v>0</v>
      </c>
      <c r="DC51" s="804">
        <v>0</v>
      </c>
      <c r="DD51" s="804">
        <v>0</v>
      </c>
      <c r="DE51" s="804">
        <v>0</v>
      </c>
      <c r="DF51" s="804">
        <v>0</v>
      </c>
      <c r="DG51" s="804">
        <v>0</v>
      </c>
      <c r="DH51" s="804">
        <v>52847</v>
      </c>
      <c r="DI51" s="804">
        <v>65178</v>
      </c>
      <c r="DJ51" s="804">
        <v>0</v>
      </c>
      <c r="DK51" s="804">
        <v>118025</v>
      </c>
      <c r="DL51" s="804">
        <v>50197</v>
      </c>
      <c r="DM51" s="804">
        <v>61910</v>
      </c>
      <c r="DN51" s="804">
        <v>0</v>
      </c>
      <c r="DO51" s="804">
        <v>112107</v>
      </c>
      <c r="DP51" s="804">
        <v>0</v>
      </c>
      <c r="DQ51" s="804">
        <v>0</v>
      </c>
      <c r="DR51" s="804">
        <v>0</v>
      </c>
      <c r="DS51" s="804">
        <v>0</v>
      </c>
      <c r="DT51" s="804">
        <v>0</v>
      </c>
      <c r="DU51" s="804">
        <v>0</v>
      </c>
      <c r="DV51" s="804">
        <v>0</v>
      </c>
      <c r="DW51" s="804">
        <v>0</v>
      </c>
      <c r="DX51" s="804">
        <v>2899310</v>
      </c>
      <c r="DY51" s="804">
        <v>3575816</v>
      </c>
      <c r="DZ51" s="804">
        <v>0</v>
      </c>
      <c r="EA51" s="804">
        <v>6475126</v>
      </c>
      <c r="EB51" s="804">
        <v>12805205</v>
      </c>
      <c r="EC51" s="804">
        <v>15793087</v>
      </c>
      <c r="ED51" s="804">
        <v>0</v>
      </c>
      <c r="EE51" s="804">
        <v>28598292</v>
      </c>
      <c r="EF51" s="604" t="s">
        <v>758</v>
      </c>
      <c r="EG51" s="497" t="s">
        <v>623</v>
      </c>
      <c r="EH51" s="243" t="s">
        <v>523</v>
      </c>
      <c r="EI51" s="118" t="s">
        <v>1703</v>
      </c>
    </row>
    <row r="52" spans="1:139" ht="12.75" x14ac:dyDescent="0.2">
      <c r="A52" s="805">
        <v>45</v>
      </c>
      <c r="B52" s="606" t="s">
        <v>761</v>
      </c>
      <c r="C52" s="607" t="s">
        <v>1185</v>
      </c>
      <c r="D52" s="608" t="s">
        <v>1195</v>
      </c>
      <c r="E52" s="609" t="s">
        <v>760</v>
      </c>
      <c r="F52" s="802">
        <v>34407682</v>
      </c>
      <c r="G52" s="804">
        <v>93035</v>
      </c>
      <c r="H52" s="804">
        <v>0</v>
      </c>
      <c r="I52" s="804">
        <v>135690</v>
      </c>
      <c r="J52" s="804">
        <v>0</v>
      </c>
      <c r="K52" s="804">
        <v>135690</v>
      </c>
      <c r="L52" s="804">
        <v>0</v>
      </c>
      <c r="M52" s="804">
        <v>0</v>
      </c>
      <c r="N52" s="804">
        <v>0</v>
      </c>
      <c r="O52" s="804">
        <v>0</v>
      </c>
      <c r="P52" s="804">
        <v>0</v>
      </c>
      <c r="Q52" s="804">
        <v>0</v>
      </c>
      <c r="R52" s="804">
        <v>34365027</v>
      </c>
      <c r="S52" s="804">
        <v>0.5</v>
      </c>
      <c r="T52" s="804">
        <v>0.4</v>
      </c>
      <c r="U52" s="804">
        <v>0.09</v>
      </c>
      <c r="V52" s="804">
        <v>0.01</v>
      </c>
      <c r="W52" s="804">
        <v>1</v>
      </c>
      <c r="X52" s="804">
        <v>17182514</v>
      </c>
      <c r="Y52" s="804">
        <v>13746011</v>
      </c>
      <c r="Z52" s="804">
        <v>3092852</v>
      </c>
      <c r="AA52" s="804">
        <v>343650</v>
      </c>
      <c r="AB52" s="804">
        <v>34365027</v>
      </c>
      <c r="AC52" s="804">
        <v>0</v>
      </c>
      <c r="AD52" s="804">
        <v>0</v>
      </c>
      <c r="AE52" s="804">
        <v>0</v>
      </c>
      <c r="AF52" s="804">
        <v>0</v>
      </c>
      <c r="AG52" s="804">
        <v>0</v>
      </c>
      <c r="AH52" s="804">
        <v>17182514</v>
      </c>
      <c r="AI52" s="804">
        <v>13746011</v>
      </c>
      <c r="AJ52" s="804">
        <v>3092852</v>
      </c>
      <c r="AK52" s="804">
        <v>343650</v>
      </c>
      <c r="AL52" s="804">
        <v>34365027</v>
      </c>
      <c r="AM52" s="804">
        <v>135690</v>
      </c>
      <c r="AN52" s="804">
        <v>135690</v>
      </c>
      <c r="AO52" s="804">
        <v>0</v>
      </c>
      <c r="AP52" s="804">
        <v>0</v>
      </c>
      <c r="AQ52" s="804">
        <v>0</v>
      </c>
      <c r="AR52" s="804">
        <v>0</v>
      </c>
      <c r="AS52" s="804">
        <v>0</v>
      </c>
      <c r="AT52" s="804">
        <v>0</v>
      </c>
      <c r="AU52" s="804">
        <v>0</v>
      </c>
      <c r="AV52" s="804">
        <v>0</v>
      </c>
      <c r="AW52" s="804">
        <v>0</v>
      </c>
      <c r="AX52" s="804">
        <v>0</v>
      </c>
      <c r="AY52" s="804">
        <v>0</v>
      </c>
      <c r="AZ52" s="804">
        <v>0</v>
      </c>
      <c r="BA52" s="804">
        <v>0</v>
      </c>
      <c r="BB52" s="804">
        <v>0</v>
      </c>
      <c r="BC52" s="804">
        <v>0</v>
      </c>
      <c r="BD52" s="804">
        <v>0</v>
      </c>
      <c r="BE52" s="804">
        <v>0</v>
      </c>
      <c r="BF52" s="804">
        <v>0</v>
      </c>
      <c r="BG52" s="804">
        <v>0</v>
      </c>
      <c r="BH52" s="804">
        <v>0</v>
      </c>
      <c r="BI52" s="804">
        <v>0</v>
      </c>
      <c r="BJ52" s="804">
        <v>0.25</v>
      </c>
      <c r="BK52" s="804">
        <v>0.4</v>
      </c>
      <c r="BL52" s="804">
        <v>0.33999999999999997</v>
      </c>
      <c r="BM52" s="804">
        <v>0.01</v>
      </c>
      <c r="BN52" s="804">
        <v>1</v>
      </c>
      <c r="BO52" s="804">
        <v>-136369</v>
      </c>
      <c r="BP52" s="804">
        <v>-218191</v>
      </c>
      <c r="BQ52" s="804">
        <v>-185462</v>
      </c>
      <c r="BR52" s="804">
        <v>-5455</v>
      </c>
      <c r="BS52" s="804">
        <v>-545477</v>
      </c>
      <c r="BT52" s="804">
        <v>0.5</v>
      </c>
      <c r="BU52" s="804">
        <v>0.4</v>
      </c>
      <c r="BV52" s="804">
        <v>0.09</v>
      </c>
      <c r="BW52" s="804">
        <v>0.01</v>
      </c>
      <c r="BX52" s="804">
        <v>1</v>
      </c>
      <c r="BY52" s="804">
        <v>-248101.20000000298</v>
      </c>
      <c r="BZ52" s="804">
        <v>-198481</v>
      </c>
      <c r="CA52" s="804">
        <v>-44658</v>
      </c>
      <c r="CB52" s="804">
        <v>-4962</v>
      </c>
      <c r="CC52" s="804">
        <v>-496202.20000000298</v>
      </c>
      <c r="CD52" s="804">
        <v>-384470</v>
      </c>
      <c r="CE52" s="804">
        <v>-416672</v>
      </c>
      <c r="CF52" s="804">
        <v>-230120</v>
      </c>
      <c r="CG52" s="804">
        <v>-10417</v>
      </c>
      <c r="CH52" s="804">
        <v>-1041679.200000003</v>
      </c>
      <c r="CI52" s="804">
        <v>16798044</v>
      </c>
      <c r="CJ52" s="804">
        <v>13465029</v>
      </c>
      <c r="CK52" s="804">
        <v>2862732</v>
      </c>
      <c r="CL52" s="804">
        <v>333233</v>
      </c>
      <c r="CM52" s="804">
        <v>33459038</v>
      </c>
      <c r="CN52" s="804">
        <v>550942</v>
      </c>
      <c r="CO52" s="804">
        <v>123962</v>
      </c>
      <c r="CP52" s="804">
        <v>13774</v>
      </c>
      <c r="CQ52" s="804">
        <v>688678</v>
      </c>
      <c r="CR52" s="804">
        <v>1374723</v>
      </c>
      <c r="CS52" s="804">
        <v>309313</v>
      </c>
      <c r="CT52" s="804">
        <v>34368</v>
      </c>
      <c r="CU52" s="804">
        <v>1718404</v>
      </c>
      <c r="CV52" s="804">
        <v>71379</v>
      </c>
      <c r="CW52" s="804">
        <v>16060</v>
      </c>
      <c r="CX52" s="804">
        <v>1784</v>
      </c>
      <c r="CY52" s="804">
        <v>89223</v>
      </c>
      <c r="CZ52" s="804">
        <v>6104</v>
      </c>
      <c r="DA52" s="804">
        <v>1373</v>
      </c>
      <c r="DB52" s="804">
        <v>153</v>
      </c>
      <c r="DC52" s="804">
        <v>7630</v>
      </c>
      <c r="DD52" s="804">
        <v>0</v>
      </c>
      <c r="DE52" s="804">
        <v>0</v>
      </c>
      <c r="DF52" s="804">
        <v>0</v>
      </c>
      <c r="DG52" s="804">
        <v>0</v>
      </c>
      <c r="DH52" s="804">
        <v>2570</v>
      </c>
      <c r="DI52" s="804">
        <v>578</v>
      </c>
      <c r="DJ52" s="804">
        <v>64</v>
      </c>
      <c r="DK52" s="804">
        <v>3212</v>
      </c>
      <c r="DL52" s="804">
        <v>1576</v>
      </c>
      <c r="DM52" s="804">
        <v>354</v>
      </c>
      <c r="DN52" s="804">
        <v>39</v>
      </c>
      <c r="DO52" s="804">
        <v>1969</v>
      </c>
      <c r="DP52" s="804">
        <v>0</v>
      </c>
      <c r="DQ52" s="804">
        <v>0</v>
      </c>
      <c r="DR52" s="804">
        <v>0</v>
      </c>
      <c r="DS52" s="804">
        <v>0</v>
      </c>
      <c r="DT52" s="804">
        <v>0</v>
      </c>
      <c r="DU52" s="804">
        <v>0</v>
      </c>
      <c r="DV52" s="804">
        <v>0</v>
      </c>
      <c r="DW52" s="804">
        <v>0</v>
      </c>
      <c r="DX52" s="804">
        <v>398698</v>
      </c>
      <c r="DY52" s="804">
        <v>89707</v>
      </c>
      <c r="DZ52" s="804">
        <v>9967</v>
      </c>
      <c r="EA52" s="804">
        <v>498372</v>
      </c>
      <c r="EB52" s="804">
        <v>2405992</v>
      </c>
      <c r="EC52" s="804">
        <v>541347</v>
      </c>
      <c r="ED52" s="804">
        <v>60149</v>
      </c>
      <c r="EE52" s="804">
        <v>3007488</v>
      </c>
      <c r="EF52" s="604" t="s">
        <v>760</v>
      </c>
      <c r="EG52" s="497" t="s">
        <v>609</v>
      </c>
      <c r="EH52" s="630" t="s">
        <v>608</v>
      </c>
      <c r="EI52" s="118" t="s">
        <v>1704</v>
      </c>
    </row>
    <row r="53" spans="1:139" ht="12.75" x14ac:dyDescent="0.2">
      <c r="A53" s="805">
        <v>46</v>
      </c>
      <c r="B53" s="606" t="s">
        <v>763</v>
      </c>
      <c r="C53" s="607" t="s">
        <v>1185</v>
      </c>
      <c r="D53" s="608" t="s">
        <v>1186</v>
      </c>
      <c r="E53" s="609" t="s">
        <v>762</v>
      </c>
      <c r="F53" s="802">
        <v>52773871</v>
      </c>
      <c r="G53" s="804">
        <v>0</v>
      </c>
      <c r="H53" s="804">
        <v>1109128</v>
      </c>
      <c r="I53" s="804">
        <v>232486</v>
      </c>
      <c r="J53" s="804">
        <v>0</v>
      </c>
      <c r="K53" s="804">
        <v>232486</v>
      </c>
      <c r="L53" s="804">
        <v>0</v>
      </c>
      <c r="M53" s="804">
        <v>0</v>
      </c>
      <c r="N53" s="804">
        <v>321470</v>
      </c>
      <c r="O53" s="804">
        <v>321470</v>
      </c>
      <c r="P53" s="804">
        <v>0</v>
      </c>
      <c r="Q53" s="804">
        <v>0</v>
      </c>
      <c r="R53" s="804">
        <v>51110787</v>
      </c>
      <c r="S53" s="804">
        <v>0.5</v>
      </c>
      <c r="T53" s="804">
        <v>0.4</v>
      </c>
      <c r="U53" s="804">
        <v>0.09</v>
      </c>
      <c r="V53" s="804">
        <v>0.01</v>
      </c>
      <c r="W53" s="804">
        <v>1</v>
      </c>
      <c r="X53" s="804">
        <v>25555393</v>
      </c>
      <c r="Y53" s="804">
        <v>20444315</v>
      </c>
      <c r="Z53" s="804">
        <v>4599971</v>
      </c>
      <c r="AA53" s="804">
        <v>511108</v>
      </c>
      <c r="AB53" s="804">
        <v>51110787</v>
      </c>
      <c r="AC53" s="804">
        <v>0</v>
      </c>
      <c r="AD53" s="804">
        <v>0</v>
      </c>
      <c r="AE53" s="804">
        <v>0</v>
      </c>
      <c r="AF53" s="804">
        <v>0</v>
      </c>
      <c r="AG53" s="804">
        <v>0</v>
      </c>
      <c r="AH53" s="804">
        <v>25555393</v>
      </c>
      <c r="AI53" s="804">
        <v>20444315</v>
      </c>
      <c r="AJ53" s="804">
        <v>4599971</v>
      </c>
      <c r="AK53" s="804">
        <v>511108</v>
      </c>
      <c r="AL53" s="804">
        <v>51110787</v>
      </c>
      <c r="AM53" s="804">
        <v>232486</v>
      </c>
      <c r="AN53" s="804">
        <v>232486</v>
      </c>
      <c r="AO53" s="804">
        <v>0</v>
      </c>
      <c r="AP53" s="804">
        <v>0</v>
      </c>
      <c r="AQ53" s="804">
        <v>321470</v>
      </c>
      <c r="AR53" s="804">
        <v>0</v>
      </c>
      <c r="AS53" s="804">
        <v>321470</v>
      </c>
      <c r="AT53" s="804">
        <v>0</v>
      </c>
      <c r="AU53" s="804">
        <v>0</v>
      </c>
      <c r="AV53" s="804">
        <v>0</v>
      </c>
      <c r="AW53" s="804">
        <v>0</v>
      </c>
      <c r="AX53" s="804">
        <v>0</v>
      </c>
      <c r="AY53" s="804">
        <v>0</v>
      </c>
      <c r="AZ53" s="804">
        <v>0</v>
      </c>
      <c r="BA53" s="804">
        <v>0</v>
      </c>
      <c r="BB53" s="804">
        <v>0</v>
      </c>
      <c r="BC53" s="804">
        <v>0</v>
      </c>
      <c r="BD53" s="804">
        <v>0</v>
      </c>
      <c r="BE53" s="804">
        <v>0</v>
      </c>
      <c r="BF53" s="804">
        <v>0</v>
      </c>
      <c r="BG53" s="804">
        <v>0</v>
      </c>
      <c r="BH53" s="804">
        <v>0</v>
      </c>
      <c r="BI53" s="804">
        <v>0</v>
      </c>
      <c r="BJ53" s="804">
        <v>0.5</v>
      </c>
      <c r="BK53" s="804">
        <v>0.4</v>
      </c>
      <c r="BL53" s="804">
        <v>0.09</v>
      </c>
      <c r="BM53" s="804">
        <v>0.01</v>
      </c>
      <c r="BN53" s="804">
        <v>1</v>
      </c>
      <c r="BO53" s="804">
        <v>776436</v>
      </c>
      <c r="BP53" s="804">
        <v>621148</v>
      </c>
      <c r="BQ53" s="804">
        <v>139758</v>
      </c>
      <c r="BR53" s="804">
        <v>15529</v>
      </c>
      <c r="BS53" s="804">
        <v>1552871</v>
      </c>
      <c r="BT53" s="804">
        <v>0</v>
      </c>
      <c r="BU53" s="804">
        <v>0.4</v>
      </c>
      <c r="BV53" s="804">
        <v>0.59</v>
      </c>
      <c r="BW53" s="804">
        <v>0.01</v>
      </c>
      <c r="BX53" s="804">
        <v>1</v>
      </c>
      <c r="BY53" s="804">
        <v>0</v>
      </c>
      <c r="BZ53" s="804">
        <v>-478289</v>
      </c>
      <c r="CA53" s="804">
        <v>-705477</v>
      </c>
      <c r="CB53" s="804">
        <v>-11957</v>
      </c>
      <c r="CC53" s="804">
        <v>-1195723</v>
      </c>
      <c r="CD53" s="804">
        <v>776436</v>
      </c>
      <c r="CE53" s="804">
        <v>142859</v>
      </c>
      <c r="CF53" s="804">
        <v>-565719</v>
      </c>
      <c r="CG53" s="804">
        <v>3572</v>
      </c>
      <c r="CH53" s="804">
        <v>357148</v>
      </c>
      <c r="CI53" s="804">
        <v>26331829</v>
      </c>
      <c r="CJ53" s="804">
        <v>21141130</v>
      </c>
      <c r="CK53" s="804">
        <v>4034252</v>
      </c>
      <c r="CL53" s="804">
        <v>514680</v>
      </c>
      <c r="CM53" s="804">
        <v>52021891</v>
      </c>
      <c r="CN53" s="804">
        <v>832296</v>
      </c>
      <c r="CO53" s="804">
        <v>184368</v>
      </c>
      <c r="CP53" s="804">
        <v>20485</v>
      </c>
      <c r="CQ53" s="804">
        <v>1037149</v>
      </c>
      <c r="CR53" s="804">
        <v>1744058</v>
      </c>
      <c r="CS53" s="804">
        <v>392413</v>
      </c>
      <c r="CT53" s="804">
        <v>43601</v>
      </c>
      <c r="CU53" s="804">
        <v>2180072</v>
      </c>
      <c r="CV53" s="804">
        <v>106447</v>
      </c>
      <c r="CW53" s="804">
        <v>23951</v>
      </c>
      <c r="CX53" s="804">
        <v>2661</v>
      </c>
      <c r="CY53" s="804">
        <v>133059</v>
      </c>
      <c r="CZ53" s="804">
        <v>1170</v>
      </c>
      <c r="DA53" s="804">
        <v>263</v>
      </c>
      <c r="DB53" s="804">
        <v>29</v>
      </c>
      <c r="DC53" s="804">
        <v>1462</v>
      </c>
      <c r="DD53" s="804">
        <v>6044</v>
      </c>
      <c r="DE53" s="804">
        <v>1360</v>
      </c>
      <c r="DF53" s="804">
        <v>151</v>
      </c>
      <c r="DG53" s="804">
        <v>7555</v>
      </c>
      <c r="DH53" s="804">
        <v>34863</v>
      </c>
      <c r="DI53" s="804">
        <v>7844</v>
      </c>
      <c r="DJ53" s="804">
        <v>872</v>
      </c>
      <c r="DK53" s="804">
        <v>43579</v>
      </c>
      <c r="DL53" s="804">
        <v>5049</v>
      </c>
      <c r="DM53" s="804">
        <v>1136</v>
      </c>
      <c r="DN53" s="804">
        <v>126</v>
      </c>
      <c r="DO53" s="804">
        <v>6311</v>
      </c>
      <c r="DP53" s="804">
        <v>0</v>
      </c>
      <c r="DQ53" s="804">
        <v>0</v>
      </c>
      <c r="DR53" s="804">
        <v>0</v>
      </c>
      <c r="DS53" s="804">
        <v>0</v>
      </c>
      <c r="DT53" s="804">
        <v>0</v>
      </c>
      <c r="DU53" s="804">
        <v>0</v>
      </c>
      <c r="DV53" s="804">
        <v>0</v>
      </c>
      <c r="DW53" s="804">
        <v>0</v>
      </c>
      <c r="DX53" s="804">
        <v>736620</v>
      </c>
      <c r="DY53" s="804">
        <v>165739</v>
      </c>
      <c r="DZ53" s="804">
        <v>18415</v>
      </c>
      <c r="EA53" s="804">
        <v>920774</v>
      </c>
      <c r="EB53" s="804">
        <v>3466547</v>
      </c>
      <c r="EC53" s="804">
        <v>777074</v>
      </c>
      <c r="ED53" s="804">
        <v>86340</v>
      </c>
      <c r="EE53" s="804">
        <v>4329961</v>
      </c>
      <c r="EF53" s="604" t="s">
        <v>762</v>
      </c>
      <c r="EG53" s="497" t="s">
        <v>586</v>
      </c>
      <c r="EH53" s="630" t="s">
        <v>585</v>
      </c>
      <c r="EI53" s="118" t="s">
        <v>1705</v>
      </c>
    </row>
    <row r="54" spans="1:139" ht="12.75" x14ac:dyDescent="0.2">
      <c r="A54" s="805">
        <v>47</v>
      </c>
      <c r="B54" s="606" t="s">
        <v>765</v>
      </c>
      <c r="C54" s="607" t="s">
        <v>1185</v>
      </c>
      <c r="D54" s="608" t="s">
        <v>1187</v>
      </c>
      <c r="E54" s="609" t="s">
        <v>764</v>
      </c>
      <c r="F54" s="802">
        <v>43550172</v>
      </c>
      <c r="G54" s="804">
        <v>0</v>
      </c>
      <c r="H54" s="804">
        <v>451043</v>
      </c>
      <c r="I54" s="804">
        <v>177670</v>
      </c>
      <c r="J54" s="804">
        <v>0</v>
      </c>
      <c r="K54" s="804">
        <v>177670</v>
      </c>
      <c r="L54" s="804">
        <v>0</v>
      </c>
      <c r="M54" s="804">
        <v>0</v>
      </c>
      <c r="N54" s="804">
        <v>376067</v>
      </c>
      <c r="O54" s="804">
        <v>376067</v>
      </c>
      <c r="P54" s="804">
        <v>0</v>
      </c>
      <c r="Q54" s="804">
        <v>0</v>
      </c>
      <c r="R54" s="804">
        <v>42545392</v>
      </c>
      <c r="S54" s="804">
        <v>0.5</v>
      </c>
      <c r="T54" s="804">
        <v>0.4</v>
      </c>
      <c r="U54" s="804">
        <v>0.1</v>
      </c>
      <c r="V54" s="804">
        <v>0</v>
      </c>
      <c r="W54" s="804">
        <v>1</v>
      </c>
      <c r="X54" s="804">
        <v>21272696</v>
      </c>
      <c r="Y54" s="804">
        <v>17018157</v>
      </c>
      <c r="Z54" s="804">
        <v>4254539</v>
      </c>
      <c r="AA54" s="804">
        <v>0</v>
      </c>
      <c r="AB54" s="804">
        <v>42545392</v>
      </c>
      <c r="AC54" s="804">
        <v>297594</v>
      </c>
      <c r="AD54" s="804">
        <v>0</v>
      </c>
      <c r="AE54" s="804">
        <v>0</v>
      </c>
      <c r="AF54" s="804">
        <v>0</v>
      </c>
      <c r="AG54" s="804">
        <v>297594</v>
      </c>
      <c r="AH54" s="804">
        <v>20975102</v>
      </c>
      <c r="AI54" s="804">
        <v>17018157</v>
      </c>
      <c r="AJ54" s="804">
        <v>4254539</v>
      </c>
      <c r="AK54" s="804">
        <v>0</v>
      </c>
      <c r="AL54" s="804">
        <v>42247798</v>
      </c>
      <c r="AM54" s="804">
        <v>177670</v>
      </c>
      <c r="AN54" s="804">
        <v>177670</v>
      </c>
      <c r="AO54" s="804">
        <v>0</v>
      </c>
      <c r="AP54" s="804">
        <v>0</v>
      </c>
      <c r="AQ54" s="804">
        <v>376067</v>
      </c>
      <c r="AR54" s="804">
        <v>0</v>
      </c>
      <c r="AS54" s="804">
        <v>376067</v>
      </c>
      <c r="AT54" s="804">
        <v>0</v>
      </c>
      <c r="AU54" s="804">
        <v>0</v>
      </c>
      <c r="AV54" s="804">
        <v>0</v>
      </c>
      <c r="AW54" s="804">
        <v>0</v>
      </c>
      <c r="AX54" s="804">
        <v>297594</v>
      </c>
      <c r="AY54" s="804">
        <v>0</v>
      </c>
      <c r="AZ54" s="804">
        <v>0</v>
      </c>
      <c r="BA54" s="804">
        <v>297594</v>
      </c>
      <c r="BB54" s="804">
        <v>0</v>
      </c>
      <c r="BC54" s="804">
        <v>0</v>
      </c>
      <c r="BD54" s="804">
        <v>0</v>
      </c>
      <c r="BE54" s="804">
        <v>0</v>
      </c>
      <c r="BF54" s="804">
        <v>0</v>
      </c>
      <c r="BG54" s="804">
        <v>0</v>
      </c>
      <c r="BH54" s="804">
        <v>0</v>
      </c>
      <c r="BI54" s="804">
        <v>0</v>
      </c>
      <c r="BJ54" s="804">
        <v>0.5</v>
      </c>
      <c r="BK54" s="804">
        <v>0.4</v>
      </c>
      <c r="BL54" s="804">
        <v>0.1</v>
      </c>
      <c r="BM54" s="804">
        <v>0</v>
      </c>
      <c r="BN54" s="804">
        <v>1</v>
      </c>
      <c r="BO54" s="804">
        <v>-113663</v>
      </c>
      <c r="BP54" s="804">
        <v>-90930</v>
      </c>
      <c r="BQ54" s="804">
        <v>-22733</v>
      </c>
      <c r="BR54" s="804">
        <v>0</v>
      </c>
      <c r="BS54" s="804">
        <v>-227326</v>
      </c>
      <c r="BT54" s="804">
        <v>0.5</v>
      </c>
      <c r="BU54" s="804">
        <v>0.4</v>
      </c>
      <c r="BV54" s="804">
        <v>0.1</v>
      </c>
      <c r="BW54" s="804">
        <v>0</v>
      </c>
      <c r="BX54" s="804">
        <v>1</v>
      </c>
      <c r="BY54" s="804">
        <v>-156386</v>
      </c>
      <c r="BZ54" s="804">
        <v>-125108</v>
      </c>
      <c r="CA54" s="804">
        <v>-31277</v>
      </c>
      <c r="CB54" s="804">
        <v>0</v>
      </c>
      <c r="CC54" s="804">
        <v>-312771</v>
      </c>
      <c r="CD54" s="804">
        <v>-270049</v>
      </c>
      <c r="CE54" s="804">
        <v>-216038</v>
      </c>
      <c r="CF54" s="804">
        <v>-54010</v>
      </c>
      <c r="CG54" s="804">
        <v>0</v>
      </c>
      <c r="CH54" s="804">
        <v>-540097</v>
      </c>
      <c r="CI54" s="804">
        <v>20705053</v>
      </c>
      <c r="CJ54" s="804">
        <v>17653450</v>
      </c>
      <c r="CK54" s="804">
        <v>4200529</v>
      </c>
      <c r="CL54" s="804">
        <v>0</v>
      </c>
      <c r="CM54" s="804">
        <v>42559032</v>
      </c>
      <c r="CN54" s="804">
        <v>709091</v>
      </c>
      <c r="CO54" s="804">
        <v>170523</v>
      </c>
      <c r="CP54" s="804">
        <v>0</v>
      </c>
      <c r="CQ54" s="804">
        <v>879614</v>
      </c>
      <c r="CR54" s="804">
        <v>1327805</v>
      </c>
      <c r="CS54" s="804">
        <v>314192</v>
      </c>
      <c r="CT54" s="804">
        <v>0</v>
      </c>
      <c r="CU54" s="804">
        <v>1641997</v>
      </c>
      <c r="CV54" s="804">
        <v>93094</v>
      </c>
      <c r="CW54" s="804">
        <v>21997</v>
      </c>
      <c r="CX54" s="804">
        <v>0</v>
      </c>
      <c r="CY54" s="804">
        <v>115091</v>
      </c>
      <c r="CZ54" s="804">
        <v>13229</v>
      </c>
      <c r="DA54" s="804">
        <v>1848</v>
      </c>
      <c r="DB54" s="804">
        <v>0</v>
      </c>
      <c r="DC54" s="804">
        <v>15077</v>
      </c>
      <c r="DD54" s="804">
        <v>10445</v>
      </c>
      <c r="DE54" s="804">
        <v>2611</v>
      </c>
      <c r="DF54" s="804">
        <v>0</v>
      </c>
      <c r="DG54" s="804">
        <v>13056</v>
      </c>
      <c r="DH54" s="804">
        <v>6294</v>
      </c>
      <c r="DI54" s="804">
        <v>1573</v>
      </c>
      <c r="DJ54" s="804">
        <v>0</v>
      </c>
      <c r="DK54" s="804">
        <v>7867</v>
      </c>
      <c r="DL54" s="804">
        <v>2359</v>
      </c>
      <c r="DM54" s="804">
        <v>590</v>
      </c>
      <c r="DN54" s="804">
        <v>0</v>
      </c>
      <c r="DO54" s="804">
        <v>2949</v>
      </c>
      <c r="DP54" s="804">
        <v>0</v>
      </c>
      <c r="DQ54" s="804">
        <v>0</v>
      </c>
      <c r="DR54" s="804">
        <v>0</v>
      </c>
      <c r="DS54" s="804">
        <v>0</v>
      </c>
      <c r="DT54" s="804">
        <v>0</v>
      </c>
      <c r="DU54" s="804">
        <v>0</v>
      </c>
      <c r="DV54" s="804">
        <v>0</v>
      </c>
      <c r="DW54" s="804">
        <v>0</v>
      </c>
      <c r="DX54" s="804">
        <v>327822</v>
      </c>
      <c r="DY54" s="804">
        <v>81956</v>
      </c>
      <c r="DZ54" s="804">
        <v>0</v>
      </c>
      <c r="EA54" s="804">
        <v>409778</v>
      </c>
      <c r="EB54" s="804">
        <v>2490139</v>
      </c>
      <c r="EC54" s="804">
        <v>595290</v>
      </c>
      <c r="ED54" s="804">
        <v>0</v>
      </c>
      <c r="EE54" s="804">
        <v>3085429</v>
      </c>
      <c r="EF54" s="604" t="s">
        <v>764</v>
      </c>
      <c r="EG54" s="497" t="s">
        <v>552</v>
      </c>
      <c r="EH54" s="630" t="s">
        <v>551</v>
      </c>
      <c r="EI54" s="118" t="s">
        <v>1706</v>
      </c>
    </row>
    <row r="55" spans="1:139" ht="12.75" x14ac:dyDescent="0.2">
      <c r="A55" s="805">
        <v>48</v>
      </c>
      <c r="B55" s="606" t="s">
        <v>767</v>
      </c>
      <c r="C55" s="607" t="s">
        <v>1185</v>
      </c>
      <c r="D55" s="608" t="s">
        <v>1189</v>
      </c>
      <c r="E55" s="609" t="s">
        <v>766</v>
      </c>
      <c r="F55" s="802">
        <v>14463920</v>
      </c>
      <c r="G55" s="804">
        <v>35934</v>
      </c>
      <c r="H55" s="804">
        <v>0</v>
      </c>
      <c r="I55" s="804">
        <v>75931</v>
      </c>
      <c r="J55" s="804">
        <v>0</v>
      </c>
      <c r="K55" s="804">
        <v>75931</v>
      </c>
      <c r="L55" s="804">
        <v>0</v>
      </c>
      <c r="M55" s="804">
        <v>0</v>
      </c>
      <c r="N55" s="804">
        <v>0</v>
      </c>
      <c r="O55" s="804">
        <v>0</v>
      </c>
      <c r="P55" s="804">
        <v>0</v>
      </c>
      <c r="Q55" s="804">
        <v>0</v>
      </c>
      <c r="R55" s="804">
        <v>14423923</v>
      </c>
      <c r="S55" s="804">
        <v>0.5</v>
      </c>
      <c r="T55" s="804">
        <v>0.4</v>
      </c>
      <c r="U55" s="804">
        <v>0.09</v>
      </c>
      <c r="V55" s="804">
        <v>0.01</v>
      </c>
      <c r="W55" s="804">
        <v>1</v>
      </c>
      <c r="X55" s="804">
        <v>7211962</v>
      </c>
      <c r="Y55" s="804">
        <v>5769569</v>
      </c>
      <c r="Z55" s="804">
        <v>1298153</v>
      </c>
      <c r="AA55" s="804">
        <v>144239</v>
      </c>
      <c r="AB55" s="804">
        <v>14423923</v>
      </c>
      <c r="AC55" s="804">
        <v>0</v>
      </c>
      <c r="AD55" s="804">
        <v>0</v>
      </c>
      <c r="AE55" s="804">
        <v>0</v>
      </c>
      <c r="AF55" s="804">
        <v>0</v>
      </c>
      <c r="AG55" s="804">
        <v>0</v>
      </c>
      <c r="AH55" s="804">
        <v>7211962</v>
      </c>
      <c r="AI55" s="804">
        <v>5769569</v>
      </c>
      <c r="AJ55" s="804">
        <v>1298153</v>
      </c>
      <c r="AK55" s="804">
        <v>144239</v>
      </c>
      <c r="AL55" s="804">
        <v>14423923</v>
      </c>
      <c r="AM55" s="804">
        <v>75931</v>
      </c>
      <c r="AN55" s="804">
        <v>75931</v>
      </c>
      <c r="AO55" s="804">
        <v>0</v>
      </c>
      <c r="AP55" s="804">
        <v>0</v>
      </c>
      <c r="AQ55" s="804">
        <v>0</v>
      </c>
      <c r="AR55" s="804">
        <v>0</v>
      </c>
      <c r="AS55" s="804">
        <v>0</v>
      </c>
      <c r="AT55" s="804">
        <v>0</v>
      </c>
      <c r="AU55" s="804">
        <v>0</v>
      </c>
      <c r="AV55" s="804">
        <v>0</v>
      </c>
      <c r="AW55" s="804">
        <v>0</v>
      </c>
      <c r="AX55" s="804">
        <v>0</v>
      </c>
      <c r="AY55" s="804">
        <v>0</v>
      </c>
      <c r="AZ55" s="804">
        <v>0</v>
      </c>
      <c r="BA55" s="804">
        <v>0</v>
      </c>
      <c r="BB55" s="804">
        <v>0</v>
      </c>
      <c r="BC55" s="804">
        <v>0</v>
      </c>
      <c r="BD55" s="804">
        <v>0</v>
      </c>
      <c r="BE55" s="804">
        <v>0</v>
      </c>
      <c r="BF55" s="804">
        <v>0</v>
      </c>
      <c r="BG55" s="804">
        <v>0</v>
      </c>
      <c r="BH55" s="804">
        <v>0</v>
      </c>
      <c r="BI55" s="804">
        <v>0</v>
      </c>
      <c r="BJ55" s="804">
        <v>0.5</v>
      </c>
      <c r="BK55" s="804">
        <v>0.4</v>
      </c>
      <c r="BL55" s="804">
        <v>0.09</v>
      </c>
      <c r="BM55" s="804">
        <v>0.01</v>
      </c>
      <c r="BN55" s="804">
        <v>1</v>
      </c>
      <c r="BO55" s="804">
        <v>35569</v>
      </c>
      <c r="BP55" s="804">
        <v>28454</v>
      </c>
      <c r="BQ55" s="804">
        <v>6402</v>
      </c>
      <c r="BR55" s="804">
        <v>711</v>
      </c>
      <c r="BS55" s="804">
        <v>71136</v>
      </c>
      <c r="BT55" s="804">
        <v>0.5</v>
      </c>
      <c r="BU55" s="804">
        <v>0.4</v>
      </c>
      <c r="BV55" s="804">
        <v>0.09</v>
      </c>
      <c r="BW55" s="804">
        <v>0.01</v>
      </c>
      <c r="BX55" s="804">
        <v>1</v>
      </c>
      <c r="BY55" s="804">
        <v>-20019.480000000447</v>
      </c>
      <c r="BZ55" s="804">
        <v>-16015</v>
      </c>
      <c r="CA55" s="804">
        <v>-3603</v>
      </c>
      <c r="CB55" s="804">
        <v>-400</v>
      </c>
      <c r="CC55" s="804">
        <v>-40037.480000000447</v>
      </c>
      <c r="CD55" s="804">
        <v>15550</v>
      </c>
      <c r="CE55" s="804">
        <v>12439</v>
      </c>
      <c r="CF55" s="804">
        <v>2799</v>
      </c>
      <c r="CG55" s="804">
        <v>311</v>
      </c>
      <c r="CH55" s="804">
        <v>31098.519999999553</v>
      </c>
      <c r="CI55" s="804">
        <v>7227512</v>
      </c>
      <c r="CJ55" s="804">
        <v>5857939</v>
      </c>
      <c r="CK55" s="804">
        <v>1300952</v>
      </c>
      <c r="CL55" s="804">
        <v>144550</v>
      </c>
      <c r="CM55" s="804">
        <v>14530953</v>
      </c>
      <c r="CN55" s="804">
        <v>231245</v>
      </c>
      <c r="CO55" s="804">
        <v>52030</v>
      </c>
      <c r="CP55" s="804">
        <v>5781</v>
      </c>
      <c r="CQ55" s="804">
        <v>289056</v>
      </c>
      <c r="CR55" s="804">
        <v>989515</v>
      </c>
      <c r="CS55" s="804">
        <v>222641</v>
      </c>
      <c r="CT55" s="804">
        <v>24738</v>
      </c>
      <c r="CU55" s="804">
        <v>1236894</v>
      </c>
      <c r="CV55" s="804">
        <v>34909</v>
      </c>
      <c r="CW55" s="804">
        <v>7854</v>
      </c>
      <c r="CX55" s="804">
        <v>873</v>
      </c>
      <c r="CY55" s="804">
        <v>43636</v>
      </c>
      <c r="CZ55" s="804">
        <v>3206</v>
      </c>
      <c r="DA55" s="804">
        <v>722</v>
      </c>
      <c r="DB55" s="804">
        <v>80</v>
      </c>
      <c r="DC55" s="804">
        <v>4008</v>
      </c>
      <c r="DD55" s="804">
        <v>0</v>
      </c>
      <c r="DE55" s="804">
        <v>0</v>
      </c>
      <c r="DF55" s="804">
        <v>0</v>
      </c>
      <c r="DG55" s="804">
        <v>0</v>
      </c>
      <c r="DH55" s="804">
        <v>3891</v>
      </c>
      <c r="DI55" s="804">
        <v>876</v>
      </c>
      <c r="DJ55" s="804">
        <v>97</v>
      </c>
      <c r="DK55" s="804">
        <v>4864</v>
      </c>
      <c r="DL55" s="804">
        <v>580</v>
      </c>
      <c r="DM55" s="804">
        <v>131</v>
      </c>
      <c r="DN55" s="804">
        <v>15</v>
      </c>
      <c r="DO55" s="804">
        <v>726</v>
      </c>
      <c r="DP55" s="804">
        <v>0</v>
      </c>
      <c r="DQ55" s="804">
        <v>0</v>
      </c>
      <c r="DR55" s="804">
        <v>0</v>
      </c>
      <c r="DS55" s="804">
        <v>0</v>
      </c>
      <c r="DT55" s="804">
        <v>0</v>
      </c>
      <c r="DU55" s="804">
        <v>0</v>
      </c>
      <c r="DV55" s="804">
        <v>0</v>
      </c>
      <c r="DW55" s="804">
        <v>0</v>
      </c>
      <c r="DX55" s="804">
        <v>192806</v>
      </c>
      <c r="DY55" s="804">
        <v>43382</v>
      </c>
      <c r="DZ55" s="804">
        <v>4820</v>
      </c>
      <c r="EA55" s="804">
        <v>241008</v>
      </c>
      <c r="EB55" s="804">
        <v>1456152</v>
      </c>
      <c r="EC55" s="804">
        <v>327636</v>
      </c>
      <c r="ED55" s="804">
        <v>36404</v>
      </c>
      <c r="EE55" s="804">
        <v>1820192</v>
      </c>
      <c r="EF55" s="604" t="s">
        <v>766</v>
      </c>
      <c r="EG55" s="497" t="s">
        <v>570</v>
      </c>
      <c r="EH55" s="630" t="s">
        <v>568</v>
      </c>
      <c r="EI55" s="118" t="s">
        <v>1707</v>
      </c>
    </row>
    <row r="56" spans="1:139" ht="12.75" x14ac:dyDescent="0.2">
      <c r="A56" s="805">
        <v>49</v>
      </c>
      <c r="B56" s="606" t="s">
        <v>769</v>
      </c>
      <c r="C56" s="607" t="s">
        <v>524</v>
      </c>
      <c r="D56" s="608" t="s">
        <v>1189</v>
      </c>
      <c r="E56" s="609" t="s">
        <v>768</v>
      </c>
      <c r="F56" s="802">
        <v>97940862</v>
      </c>
      <c r="G56" s="804">
        <v>0</v>
      </c>
      <c r="H56" s="804">
        <v>52063</v>
      </c>
      <c r="I56" s="804">
        <v>300637</v>
      </c>
      <c r="J56" s="804">
        <v>0</v>
      </c>
      <c r="K56" s="804">
        <v>300637</v>
      </c>
      <c r="L56" s="804">
        <v>0</v>
      </c>
      <c r="M56" s="804">
        <v>0</v>
      </c>
      <c r="N56" s="804">
        <v>368185</v>
      </c>
      <c r="O56" s="804">
        <v>368185</v>
      </c>
      <c r="P56" s="804">
        <v>0</v>
      </c>
      <c r="Q56" s="804">
        <v>0</v>
      </c>
      <c r="R56" s="804">
        <v>97219977</v>
      </c>
      <c r="S56" s="804">
        <v>0.5</v>
      </c>
      <c r="T56" s="804">
        <v>0.49</v>
      </c>
      <c r="U56" s="804">
        <v>0</v>
      </c>
      <c r="V56" s="804">
        <v>0.01</v>
      </c>
      <c r="W56" s="804">
        <v>1</v>
      </c>
      <c r="X56" s="804">
        <v>48609988</v>
      </c>
      <c r="Y56" s="804">
        <v>47637789</v>
      </c>
      <c r="Z56" s="804">
        <v>0</v>
      </c>
      <c r="AA56" s="804">
        <v>972200</v>
      </c>
      <c r="AB56" s="804">
        <v>97219977</v>
      </c>
      <c r="AC56" s="804">
        <v>0</v>
      </c>
      <c r="AD56" s="804">
        <v>0</v>
      </c>
      <c r="AE56" s="804">
        <v>0</v>
      </c>
      <c r="AF56" s="804">
        <v>0</v>
      </c>
      <c r="AG56" s="804">
        <v>0</v>
      </c>
      <c r="AH56" s="804">
        <v>48609988</v>
      </c>
      <c r="AI56" s="804">
        <v>47637789</v>
      </c>
      <c r="AJ56" s="804">
        <v>0</v>
      </c>
      <c r="AK56" s="804">
        <v>972200</v>
      </c>
      <c r="AL56" s="804">
        <v>97219977</v>
      </c>
      <c r="AM56" s="804">
        <v>300637</v>
      </c>
      <c r="AN56" s="804">
        <v>300637</v>
      </c>
      <c r="AO56" s="804">
        <v>0</v>
      </c>
      <c r="AP56" s="804">
        <v>0</v>
      </c>
      <c r="AQ56" s="804">
        <v>368185</v>
      </c>
      <c r="AR56" s="804">
        <v>0</v>
      </c>
      <c r="AS56" s="804">
        <v>368185</v>
      </c>
      <c r="AT56" s="804">
        <v>0</v>
      </c>
      <c r="AU56" s="804">
        <v>0</v>
      </c>
      <c r="AV56" s="804">
        <v>0</v>
      </c>
      <c r="AW56" s="804">
        <v>0</v>
      </c>
      <c r="AX56" s="804">
        <v>0</v>
      </c>
      <c r="AY56" s="804">
        <v>0</v>
      </c>
      <c r="AZ56" s="804">
        <v>0</v>
      </c>
      <c r="BA56" s="804">
        <v>0</v>
      </c>
      <c r="BB56" s="804">
        <v>0</v>
      </c>
      <c r="BC56" s="804">
        <v>0</v>
      </c>
      <c r="BD56" s="804">
        <v>0</v>
      </c>
      <c r="BE56" s="804">
        <v>0</v>
      </c>
      <c r="BF56" s="804">
        <v>0</v>
      </c>
      <c r="BG56" s="804">
        <v>0</v>
      </c>
      <c r="BH56" s="804">
        <v>0</v>
      </c>
      <c r="BI56" s="804">
        <v>0</v>
      </c>
      <c r="BJ56" s="804">
        <v>0.5</v>
      </c>
      <c r="BK56" s="804">
        <v>0.49</v>
      </c>
      <c r="BL56" s="804">
        <v>0</v>
      </c>
      <c r="BM56" s="804">
        <v>0.01</v>
      </c>
      <c r="BN56" s="804">
        <v>1</v>
      </c>
      <c r="BO56" s="804">
        <v>-1822500</v>
      </c>
      <c r="BP56" s="804">
        <v>-1786050</v>
      </c>
      <c r="BQ56" s="804">
        <v>0</v>
      </c>
      <c r="BR56" s="804">
        <v>-36450</v>
      </c>
      <c r="BS56" s="804">
        <v>-3645000</v>
      </c>
      <c r="BT56" s="804">
        <v>0.5</v>
      </c>
      <c r="BU56" s="804">
        <v>0.49</v>
      </c>
      <c r="BV56" s="804">
        <v>0</v>
      </c>
      <c r="BW56" s="804">
        <v>0.01</v>
      </c>
      <c r="BX56" s="804">
        <v>1</v>
      </c>
      <c r="BY56" s="804">
        <v>1225277</v>
      </c>
      <c r="BZ56" s="804">
        <v>1200771</v>
      </c>
      <c r="CA56" s="804">
        <v>0</v>
      </c>
      <c r="CB56" s="804">
        <v>24506</v>
      </c>
      <c r="CC56" s="804">
        <v>2450554</v>
      </c>
      <c r="CD56" s="804">
        <v>-597223</v>
      </c>
      <c r="CE56" s="804">
        <v>-585279</v>
      </c>
      <c r="CF56" s="804">
        <v>0</v>
      </c>
      <c r="CG56" s="804">
        <v>-11944</v>
      </c>
      <c r="CH56" s="804">
        <v>-1194446</v>
      </c>
      <c r="CI56" s="804">
        <v>48012765</v>
      </c>
      <c r="CJ56" s="804">
        <v>47721332</v>
      </c>
      <c r="CK56" s="804">
        <v>0</v>
      </c>
      <c r="CL56" s="804">
        <v>960256</v>
      </c>
      <c r="CM56" s="804">
        <v>96694353</v>
      </c>
      <c r="CN56" s="804">
        <v>1924087</v>
      </c>
      <c r="CO56" s="804">
        <v>0</v>
      </c>
      <c r="CP56" s="804">
        <v>38966</v>
      </c>
      <c r="CQ56" s="804">
        <v>1963053</v>
      </c>
      <c r="CR56" s="804">
        <v>3097735</v>
      </c>
      <c r="CS56" s="804">
        <v>0</v>
      </c>
      <c r="CT56" s="804">
        <v>63219</v>
      </c>
      <c r="CU56" s="804">
        <v>3160954</v>
      </c>
      <c r="CV56" s="804">
        <v>205230</v>
      </c>
      <c r="CW56" s="804">
        <v>0</v>
      </c>
      <c r="CX56" s="804">
        <v>4075</v>
      </c>
      <c r="CY56" s="804">
        <v>209305</v>
      </c>
      <c r="CZ56" s="804">
        <v>0</v>
      </c>
      <c r="DA56" s="804">
        <v>0</v>
      </c>
      <c r="DB56" s="804">
        <v>0</v>
      </c>
      <c r="DC56" s="804">
        <v>0</v>
      </c>
      <c r="DD56" s="804">
        <v>7132</v>
      </c>
      <c r="DE56" s="804">
        <v>0</v>
      </c>
      <c r="DF56" s="804">
        <v>146</v>
      </c>
      <c r="DG56" s="804">
        <v>7278</v>
      </c>
      <c r="DH56" s="804">
        <v>10741</v>
      </c>
      <c r="DI56" s="804">
        <v>0</v>
      </c>
      <c r="DJ56" s="804">
        <v>219</v>
      </c>
      <c r="DK56" s="804">
        <v>10960</v>
      </c>
      <c r="DL56" s="804">
        <v>5096</v>
      </c>
      <c r="DM56" s="804">
        <v>0</v>
      </c>
      <c r="DN56" s="804">
        <v>104</v>
      </c>
      <c r="DO56" s="804">
        <v>5200</v>
      </c>
      <c r="DP56" s="804">
        <v>0</v>
      </c>
      <c r="DQ56" s="804">
        <v>0</v>
      </c>
      <c r="DR56" s="804">
        <v>0</v>
      </c>
      <c r="DS56" s="804">
        <v>0</v>
      </c>
      <c r="DT56" s="804">
        <v>0</v>
      </c>
      <c r="DU56" s="804">
        <v>0</v>
      </c>
      <c r="DV56" s="804">
        <v>0</v>
      </c>
      <c r="DW56" s="804">
        <v>0</v>
      </c>
      <c r="DX56" s="804">
        <v>1190185</v>
      </c>
      <c r="DY56" s="804">
        <v>0</v>
      </c>
      <c r="DZ56" s="804">
        <v>24290</v>
      </c>
      <c r="EA56" s="804">
        <v>1214475</v>
      </c>
      <c r="EB56" s="804">
        <v>6440206</v>
      </c>
      <c r="EC56" s="804">
        <v>0</v>
      </c>
      <c r="ED56" s="804">
        <v>131019</v>
      </c>
      <c r="EE56" s="804">
        <v>6571225</v>
      </c>
      <c r="EF56" s="604" t="s">
        <v>768</v>
      </c>
      <c r="EG56" s="497" t="s">
        <v>524</v>
      </c>
      <c r="EH56" s="630" t="s">
        <v>530</v>
      </c>
      <c r="EI56" s="118" t="s">
        <v>1708</v>
      </c>
    </row>
    <row r="57" spans="1:139" ht="12.75" x14ac:dyDescent="0.2">
      <c r="A57" s="805">
        <v>50</v>
      </c>
      <c r="B57" s="606" t="s">
        <v>771</v>
      </c>
      <c r="C57" s="607" t="s">
        <v>1185</v>
      </c>
      <c r="D57" s="608" t="s">
        <v>1188</v>
      </c>
      <c r="E57" s="609" t="s">
        <v>770</v>
      </c>
      <c r="F57" s="802">
        <v>47067683</v>
      </c>
      <c r="G57" s="804">
        <v>356788</v>
      </c>
      <c r="H57" s="804">
        <v>0</v>
      </c>
      <c r="I57" s="804">
        <v>187243</v>
      </c>
      <c r="J57" s="804">
        <v>0</v>
      </c>
      <c r="K57" s="804">
        <v>187243</v>
      </c>
      <c r="L57" s="804">
        <v>0</v>
      </c>
      <c r="M57" s="804">
        <v>705028</v>
      </c>
      <c r="N57" s="804">
        <v>234751</v>
      </c>
      <c r="O57" s="804">
        <v>230360</v>
      </c>
      <c r="P57" s="804">
        <v>4391</v>
      </c>
      <c r="Q57" s="804">
        <v>0</v>
      </c>
      <c r="R57" s="804">
        <v>46297449</v>
      </c>
      <c r="S57" s="804">
        <v>0.5</v>
      </c>
      <c r="T57" s="804">
        <v>0.4</v>
      </c>
      <c r="U57" s="804">
        <v>0.09</v>
      </c>
      <c r="V57" s="804">
        <v>0.01</v>
      </c>
      <c r="W57" s="804">
        <v>1</v>
      </c>
      <c r="X57" s="804">
        <v>23148725</v>
      </c>
      <c r="Y57" s="804">
        <v>18518980</v>
      </c>
      <c r="Z57" s="804">
        <v>4166770</v>
      </c>
      <c r="AA57" s="804">
        <v>462974</v>
      </c>
      <c r="AB57" s="804">
        <v>46297449</v>
      </c>
      <c r="AC57" s="804">
        <v>6400</v>
      </c>
      <c r="AD57" s="804">
        <v>0</v>
      </c>
      <c r="AE57" s="804">
        <v>0</v>
      </c>
      <c r="AF57" s="804">
        <v>0</v>
      </c>
      <c r="AG57" s="804">
        <v>6400</v>
      </c>
      <c r="AH57" s="804">
        <v>23142325</v>
      </c>
      <c r="AI57" s="804">
        <v>18518980</v>
      </c>
      <c r="AJ57" s="804">
        <v>4166770</v>
      </c>
      <c r="AK57" s="804">
        <v>462974</v>
      </c>
      <c r="AL57" s="804">
        <v>46291049</v>
      </c>
      <c r="AM57" s="804">
        <v>187243</v>
      </c>
      <c r="AN57" s="804">
        <v>187243</v>
      </c>
      <c r="AO57" s="804">
        <v>705028</v>
      </c>
      <c r="AP57" s="804">
        <v>705028</v>
      </c>
      <c r="AQ57" s="804">
        <v>230360</v>
      </c>
      <c r="AR57" s="804">
        <v>4391</v>
      </c>
      <c r="AS57" s="804">
        <v>234751</v>
      </c>
      <c r="AT57" s="804">
        <v>0</v>
      </c>
      <c r="AU57" s="804">
        <v>0</v>
      </c>
      <c r="AV57" s="804">
        <v>0</v>
      </c>
      <c r="AW57" s="804">
        <v>0</v>
      </c>
      <c r="AX57" s="804">
        <v>6400</v>
      </c>
      <c r="AY57" s="804">
        <v>0</v>
      </c>
      <c r="AZ57" s="804">
        <v>0</v>
      </c>
      <c r="BA57" s="804">
        <v>6400</v>
      </c>
      <c r="BB57" s="804">
        <v>0</v>
      </c>
      <c r="BC57" s="804">
        <v>0</v>
      </c>
      <c r="BD57" s="804">
        <v>0</v>
      </c>
      <c r="BE57" s="804">
        <v>0</v>
      </c>
      <c r="BF57" s="804">
        <v>0</v>
      </c>
      <c r="BG57" s="804">
        <v>0</v>
      </c>
      <c r="BH57" s="804">
        <v>0</v>
      </c>
      <c r="BI57" s="804">
        <v>0</v>
      </c>
      <c r="BJ57" s="804">
        <v>0.25</v>
      </c>
      <c r="BK57" s="804">
        <v>0.375</v>
      </c>
      <c r="BL57" s="804">
        <v>0.36499999999999999</v>
      </c>
      <c r="BM57" s="804">
        <v>0.01</v>
      </c>
      <c r="BN57" s="804">
        <v>1</v>
      </c>
      <c r="BO57" s="804">
        <v>542206.0000000014</v>
      </c>
      <c r="BP57" s="804">
        <v>813309</v>
      </c>
      <c r="BQ57" s="804">
        <v>791620</v>
      </c>
      <c r="BR57" s="804">
        <v>21688</v>
      </c>
      <c r="BS57" s="804">
        <v>2168823.0000000014</v>
      </c>
      <c r="BT57" s="804">
        <v>0.5</v>
      </c>
      <c r="BU57" s="804">
        <v>0.4</v>
      </c>
      <c r="BV57" s="804">
        <v>0.09</v>
      </c>
      <c r="BW57" s="804">
        <v>0.01</v>
      </c>
      <c r="BX57" s="804">
        <v>1</v>
      </c>
      <c r="BY57" s="804">
        <v>-278450.69999999693</v>
      </c>
      <c r="BZ57" s="804">
        <v>-222760</v>
      </c>
      <c r="CA57" s="804">
        <v>-50121</v>
      </c>
      <c r="CB57" s="804">
        <v>-5569</v>
      </c>
      <c r="CC57" s="804">
        <v>-556900.69999999693</v>
      </c>
      <c r="CD57" s="804">
        <v>263755</v>
      </c>
      <c r="CE57" s="804">
        <v>590549</v>
      </c>
      <c r="CF57" s="804">
        <v>741499</v>
      </c>
      <c r="CG57" s="804">
        <v>16119</v>
      </c>
      <c r="CH57" s="804">
        <v>1611922.3000000045</v>
      </c>
      <c r="CI57" s="804">
        <v>23406080</v>
      </c>
      <c r="CJ57" s="804">
        <v>20238560</v>
      </c>
      <c r="CK57" s="804">
        <v>4912660</v>
      </c>
      <c r="CL57" s="804">
        <v>479093</v>
      </c>
      <c r="CM57" s="804">
        <v>49036393</v>
      </c>
      <c r="CN57" s="804">
        <v>779991</v>
      </c>
      <c r="CO57" s="804">
        <v>167181</v>
      </c>
      <c r="CP57" s="804">
        <v>18556</v>
      </c>
      <c r="CQ57" s="804">
        <v>965728</v>
      </c>
      <c r="CR57" s="804">
        <v>1802847</v>
      </c>
      <c r="CS57" s="804">
        <v>405641</v>
      </c>
      <c r="CT57" s="804">
        <v>45071</v>
      </c>
      <c r="CU57" s="804">
        <v>2253559</v>
      </c>
      <c r="CV57" s="804">
        <v>108955</v>
      </c>
      <c r="CW57" s="804">
        <v>24515</v>
      </c>
      <c r="CX57" s="804">
        <v>2724</v>
      </c>
      <c r="CY57" s="804">
        <v>136194</v>
      </c>
      <c r="CZ57" s="804">
        <v>6763</v>
      </c>
      <c r="DA57" s="804">
        <v>1522</v>
      </c>
      <c r="DB57" s="804">
        <v>169</v>
      </c>
      <c r="DC57" s="804">
        <v>8454</v>
      </c>
      <c r="DD57" s="804">
        <v>1085</v>
      </c>
      <c r="DE57" s="804">
        <v>244</v>
      </c>
      <c r="DF57" s="804">
        <v>27</v>
      </c>
      <c r="DG57" s="804">
        <v>1356</v>
      </c>
      <c r="DH57" s="804">
        <v>22197</v>
      </c>
      <c r="DI57" s="804">
        <v>4994</v>
      </c>
      <c r="DJ57" s="804">
        <v>555</v>
      </c>
      <c r="DK57" s="804">
        <v>27746</v>
      </c>
      <c r="DL57" s="804">
        <v>5409</v>
      </c>
      <c r="DM57" s="804">
        <v>1217</v>
      </c>
      <c r="DN57" s="804">
        <v>135</v>
      </c>
      <c r="DO57" s="804">
        <v>6761</v>
      </c>
      <c r="DP57" s="804">
        <v>0</v>
      </c>
      <c r="DQ57" s="804">
        <v>0</v>
      </c>
      <c r="DR57" s="804">
        <v>0</v>
      </c>
      <c r="DS57" s="804">
        <v>0</v>
      </c>
      <c r="DT57" s="804">
        <v>0</v>
      </c>
      <c r="DU57" s="804">
        <v>0</v>
      </c>
      <c r="DV57" s="804">
        <v>0</v>
      </c>
      <c r="DW57" s="804">
        <v>0</v>
      </c>
      <c r="DX57" s="804">
        <v>585635</v>
      </c>
      <c r="DY57" s="804">
        <v>131768</v>
      </c>
      <c r="DZ57" s="804">
        <v>14641</v>
      </c>
      <c r="EA57" s="804">
        <v>732044</v>
      </c>
      <c r="EB57" s="804">
        <v>3312882</v>
      </c>
      <c r="EC57" s="804">
        <v>737082</v>
      </c>
      <c r="ED57" s="804">
        <v>81878</v>
      </c>
      <c r="EE57" s="804">
        <v>4131842</v>
      </c>
      <c r="EF57" s="604" t="s">
        <v>770</v>
      </c>
      <c r="EG57" s="497" t="s">
        <v>594</v>
      </c>
      <c r="EH57" s="630" t="s">
        <v>592</v>
      </c>
      <c r="EI57" s="118" t="s">
        <v>1709</v>
      </c>
    </row>
    <row r="58" spans="1:139" ht="12.75" x14ac:dyDescent="0.2">
      <c r="A58" s="805">
        <v>51</v>
      </c>
      <c r="B58" s="606" t="s">
        <v>773</v>
      </c>
      <c r="C58" s="607" t="s">
        <v>1185</v>
      </c>
      <c r="D58" s="608" t="s">
        <v>1189</v>
      </c>
      <c r="E58" s="609" t="s">
        <v>772</v>
      </c>
      <c r="F58" s="802">
        <v>80186106</v>
      </c>
      <c r="G58" s="804">
        <v>0</v>
      </c>
      <c r="H58" s="804">
        <v>317131</v>
      </c>
      <c r="I58" s="804">
        <v>219286</v>
      </c>
      <c r="J58" s="804">
        <v>0</v>
      </c>
      <c r="K58" s="804">
        <v>219286</v>
      </c>
      <c r="L58" s="804">
        <v>0</v>
      </c>
      <c r="M58" s="804">
        <v>0</v>
      </c>
      <c r="N58" s="804">
        <v>0</v>
      </c>
      <c r="O58" s="804">
        <v>0</v>
      </c>
      <c r="P58" s="804">
        <v>0</v>
      </c>
      <c r="Q58" s="804">
        <v>0</v>
      </c>
      <c r="R58" s="804">
        <v>79649689</v>
      </c>
      <c r="S58" s="804">
        <v>0.5</v>
      </c>
      <c r="T58" s="804">
        <v>0.4</v>
      </c>
      <c r="U58" s="804">
        <v>0.09</v>
      </c>
      <c r="V58" s="804">
        <v>0.01</v>
      </c>
      <c r="W58" s="804">
        <v>1</v>
      </c>
      <c r="X58" s="804">
        <v>39824844</v>
      </c>
      <c r="Y58" s="804">
        <v>31859876</v>
      </c>
      <c r="Z58" s="804">
        <v>7168472</v>
      </c>
      <c r="AA58" s="804">
        <v>796497</v>
      </c>
      <c r="AB58" s="804">
        <v>79649689</v>
      </c>
      <c r="AC58" s="804">
        <v>0</v>
      </c>
      <c r="AD58" s="804">
        <v>0</v>
      </c>
      <c r="AE58" s="804">
        <v>0</v>
      </c>
      <c r="AF58" s="804">
        <v>0</v>
      </c>
      <c r="AG58" s="804">
        <v>0</v>
      </c>
      <c r="AH58" s="804">
        <v>39824844</v>
      </c>
      <c r="AI58" s="804">
        <v>31859876</v>
      </c>
      <c r="AJ58" s="804">
        <v>7168472</v>
      </c>
      <c r="AK58" s="804">
        <v>796497</v>
      </c>
      <c r="AL58" s="804">
        <v>79649689</v>
      </c>
      <c r="AM58" s="804">
        <v>219286</v>
      </c>
      <c r="AN58" s="804">
        <v>219286</v>
      </c>
      <c r="AO58" s="804">
        <v>0</v>
      </c>
      <c r="AP58" s="804">
        <v>0</v>
      </c>
      <c r="AQ58" s="804">
        <v>0</v>
      </c>
      <c r="AR58" s="804">
        <v>0</v>
      </c>
      <c r="AS58" s="804">
        <v>0</v>
      </c>
      <c r="AT58" s="804">
        <v>0</v>
      </c>
      <c r="AU58" s="804">
        <v>0</v>
      </c>
      <c r="AV58" s="804">
        <v>0</v>
      </c>
      <c r="AW58" s="804">
        <v>0</v>
      </c>
      <c r="AX58" s="804">
        <v>0</v>
      </c>
      <c r="AY58" s="804">
        <v>0</v>
      </c>
      <c r="AZ58" s="804">
        <v>0</v>
      </c>
      <c r="BA58" s="804">
        <v>0</v>
      </c>
      <c r="BB58" s="804">
        <v>0</v>
      </c>
      <c r="BC58" s="804">
        <v>0</v>
      </c>
      <c r="BD58" s="804">
        <v>0</v>
      </c>
      <c r="BE58" s="804">
        <v>0</v>
      </c>
      <c r="BF58" s="804">
        <v>0</v>
      </c>
      <c r="BG58" s="804">
        <v>0</v>
      </c>
      <c r="BH58" s="804">
        <v>0</v>
      </c>
      <c r="BI58" s="804">
        <v>0</v>
      </c>
      <c r="BJ58" s="804">
        <v>0.5</v>
      </c>
      <c r="BK58" s="804">
        <v>0.4</v>
      </c>
      <c r="BL58" s="804">
        <v>0.09</v>
      </c>
      <c r="BM58" s="804">
        <v>0.01</v>
      </c>
      <c r="BN58" s="804">
        <v>1</v>
      </c>
      <c r="BO58" s="804">
        <v>-1117693.9999999925</v>
      </c>
      <c r="BP58" s="804">
        <v>-894156</v>
      </c>
      <c r="BQ58" s="804">
        <v>-201185</v>
      </c>
      <c r="BR58" s="804">
        <v>-22354</v>
      </c>
      <c r="BS58" s="804">
        <v>-2235388.9999999925</v>
      </c>
      <c r="BT58" s="804">
        <v>0.5</v>
      </c>
      <c r="BU58" s="804">
        <v>0.4</v>
      </c>
      <c r="BV58" s="804">
        <v>0.09</v>
      </c>
      <c r="BW58" s="804">
        <v>0.01</v>
      </c>
      <c r="BX58" s="804">
        <v>1</v>
      </c>
      <c r="BY58" s="804">
        <v>195614.21000000089</v>
      </c>
      <c r="BZ58" s="804">
        <v>156492</v>
      </c>
      <c r="CA58" s="804">
        <v>35211</v>
      </c>
      <c r="CB58" s="804">
        <v>3912</v>
      </c>
      <c r="CC58" s="804">
        <v>391229.21000000089</v>
      </c>
      <c r="CD58" s="804">
        <v>-922080</v>
      </c>
      <c r="CE58" s="804">
        <v>-737664</v>
      </c>
      <c r="CF58" s="804">
        <v>-165974</v>
      </c>
      <c r="CG58" s="804">
        <v>-18442</v>
      </c>
      <c r="CH58" s="804">
        <v>-1844159.7899999917</v>
      </c>
      <c r="CI58" s="804">
        <v>38902764</v>
      </c>
      <c r="CJ58" s="804">
        <v>31341498</v>
      </c>
      <c r="CK58" s="804">
        <v>7002498</v>
      </c>
      <c r="CL58" s="804">
        <v>778055</v>
      </c>
      <c r="CM58" s="804">
        <v>78024815</v>
      </c>
      <c r="CN58" s="804">
        <v>1276949</v>
      </c>
      <c r="CO58" s="804">
        <v>287314</v>
      </c>
      <c r="CP58" s="804">
        <v>31924</v>
      </c>
      <c r="CQ58" s="804">
        <v>1596187</v>
      </c>
      <c r="CR58" s="804">
        <v>1664466</v>
      </c>
      <c r="CS58" s="804">
        <v>374505</v>
      </c>
      <c r="CT58" s="804">
        <v>41612</v>
      </c>
      <c r="CU58" s="804">
        <v>2080583</v>
      </c>
      <c r="CV58" s="804">
        <v>130952</v>
      </c>
      <c r="CW58" s="804">
        <v>29464</v>
      </c>
      <c r="CX58" s="804">
        <v>3274</v>
      </c>
      <c r="CY58" s="804">
        <v>163690</v>
      </c>
      <c r="CZ58" s="804">
        <v>0</v>
      </c>
      <c r="DA58" s="804">
        <v>0</v>
      </c>
      <c r="DB58" s="804">
        <v>0</v>
      </c>
      <c r="DC58" s="804">
        <v>0</v>
      </c>
      <c r="DD58" s="804">
        <v>2136</v>
      </c>
      <c r="DE58" s="804">
        <v>480</v>
      </c>
      <c r="DF58" s="804">
        <v>53</v>
      </c>
      <c r="DG58" s="804">
        <v>2669</v>
      </c>
      <c r="DH58" s="804">
        <v>12581</v>
      </c>
      <c r="DI58" s="804">
        <v>2831</v>
      </c>
      <c r="DJ58" s="804">
        <v>315</v>
      </c>
      <c r="DK58" s="804">
        <v>15727</v>
      </c>
      <c r="DL58" s="804">
        <v>3229</v>
      </c>
      <c r="DM58" s="804">
        <v>727</v>
      </c>
      <c r="DN58" s="804">
        <v>81</v>
      </c>
      <c r="DO58" s="804">
        <v>4037</v>
      </c>
      <c r="DP58" s="804">
        <v>0</v>
      </c>
      <c r="DQ58" s="804">
        <v>0</v>
      </c>
      <c r="DR58" s="804">
        <v>0</v>
      </c>
      <c r="DS58" s="804">
        <v>0</v>
      </c>
      <c r="DT58" s="804">
        <v>0</v>
      </c>
      <c r="DU58" s="804">
        <v>0</v>
      </c>
      <c r="DV58" s="804">
        <v>0</v>
      </c>
      <c r="DW58" s="804">
        <v>0</v>
      </c>
      <c r="DX58" s="804">
        <v>929644</v>
      </c>
      <c r="DY58" s="804">
        <v>209170</v>
      </c>
      <c r="DZ58" s="804">
        <v>23241</v>
      </c>
      <c r="EA58" s="804">
        <v>1162055</v>
      </c>
      <c r="EB58" s="804">
        <v>4019957</v>
      </c>
      <c r="EC58" s="804">
        <v>904491</v>
      </c>
      <c r="ED58" s="804">
        <v>100500</v>
      </c>
      <c r="EE58" s="804">
        <v>5024948</v>
      </c>
      <c r="EF58" s="604" t="s">
        <v>772</v>
      </c>
      <c r="EG58" s="497" t="s">
        <v>570</v>
      </c>
      <c r="EH58" s="630" t="s">
        <v>568</v>
      </c>
      <c r="EI58" s="118" t="s">
        <v>1710</v>
      </c>
    </row>
    <row r="59" spans="1:139" ht="12.75" x14ac:dyDescent="0.2">
      <c r="A59" s="805">
        <v>52</v>
      </c>
      <c r="B59" s="606" t="s">
        <v>775</v>
      </c>
      <c r="C59" s="607" t="s">
        <v>1185</v>
      </c>
      <c r="D59" s="608" t="s">
        <v>1194</v>
      </c>
      <c r="E59" s="609" t="s">
        <v>774</v>
      </c>
      <c r="F59" s="802">
        <v>56774557</v>
      </c>
      <c r="G59" s="804">
        <v>0</v>
      </c>
      <c r="H59" s="804">
        <v>241797</v>
      </c>
      <c r="I59" s="804">
        <v>165956</v>
      </c>
      <c r="J59" s="804">
        <v>0</v>
      </c>
      <c r="K59" s="804">
        <v>165956</v>
      </c>
      <c r="L59" s="804">
        <v>0</v>
      </c>
      <c r="M59" s="804">
        <v>0</v>
      </c>
      <c r="N59" s="804">
        <v>0</v>
      </c>
      <c r="O59" s="804">
        <v>0</v>
      </c>
      <c r="P59" s="804">
        <v>0</v>
      </c>
      <c r="Q59" s="804">
        <v>0</v>
      </c>
      <c r="R59" s="804">
        <v>56366804</v>
      </c>
      <c r="S59" s="804">
        <v>0.5</v>
      </c>
      <c r="T59" s="804">
        <v>0.4</v>
      </c>
      <c r="U59" s="804">
        <v>0.1</v>
      </c>
      <c r="V59" s="804">
        <v>0</v>
      </c>
      <c r="W59" s="804">
        <v>1</v>
      </c>
      <c r="X59" s="804">
        <v>28183402</v>
      </c>
      <c r="Y59" s="804">
        <v>22546722</v>
      </c>
      <c r="Z59" s="804">
        <v>5636680</v>
      </c>
      <c r="AA59" s="804">
        <v>0</v>
      </c>
      <c r="AB59" s="804">
        <v>56366804</v>
      </c>
      <c r="AC59" s="804">
        <v>0</v>
      </c>
      <c r="AD59" s="804">
        <v>0</v>
      </c>
      <c r="AE59" s="804">
        <v>0</v>
      </c>
      <c r="AF59" s="804">
        <v>0</v>
      </c>
      <c r="AG59" s="804">
        <v>0</v>
      </c>
      <c r="AH59" s="804">
        <v>28183402</v>
      </c>
      <c r="AI59" s="804">
        <v>22546722</v>
      </c>
      <c r="AJ59" s="804">
        <v>5636680</v>
      </c>
      <c r="AK59" s="804">
        <v>0</v>
      </c>
      <c r="AL59" s="804">
        <v>56366804</v>
      </c>
      <c r="AM59" s="804">
        <v>165956</v>
      </c>
      <c r="AN59" s="804">
        <v>165956</v>
      </c>
      <c r="AO59" s="804">
        <v>0</v>
      </c>
      <c r="AP59" s="804">
        <v>0</v>
      </c>
      <c r="AQ59" s="804">
        <v>0</v>
      </c>
      <c r="AR59" s="804">
        <v>0</v>
      </c>
      <c r="AS59" s="804">
        <v>0</v>
      </c>
      <c r="AT59" s="804">
        <v>0</v>
      </c>
      <c r="AU59" s="804">
        <v>0</v>
      </c>
      <c r="AV59" s="804">
        <v>0</v>
      </c>
      <c r="AW59" s="804">
        <v>0</v>
      </c>
      <c r="AX59" s="804">
        <v>0</v>
      </c>
      <c r="AY59" s="804">
        <v>0</v>
      </c>
      <c r="AZ59" s="804">
        <v>0</v>
      </c>
      <c r="BA59" s="804">
        <v>0</v>
      </c>
      <c r="BB59" s="804">
        <v>0</v>
      </c>
      <c r="BC59" s="804">
        <v>0</v>
      </c>
      <c r="BD59" s="804">
        <v>0</v>
      </c>
      <c r="BE59" s="804">
        <v>0</v>
      </c>
      <c r="BF59" s="804">
        <v>0</v>
      </c>
      <c r="BG59" s="804">
        <v>0</v>
      </c>
      <c r="BH59" s="804">
        <v>0</v>
      </c>
      <c r="BI59" s="804">
        <v>0</v>
      </c>
      <c r="BJ59" s="804">
        <v>0.5</v>
      </c>
      <c r="BK59" s="804">
        <v>0.4</v>
      </c>
      <c r="BL59" s="804">
        <v>0.1</v>
      </c>
      <c r="BM59" s="804">
        <v>0</v>
      </c>
      <c r="BN59" s="804">
        <v>1</v>
      </c>
      <c r="BO59" s="804">
        <v>-191743</v>
      </c>
      <c r="BP59" s="804">
        <v>-153395</v>
      </c>
      <c r="BQ59" s="804">
        <v>-38349</v>
      </c>
      <c r="BR59" s="804">
        <v>0</v>
      </c>
      <c r="BS59" s="804">
        <v>-383487</v>
      </c>
      <c r="BT59" s="804">
        <v>0</v>
      </c>
      <c r="BU59" s="804">
        <v>0.5</v>
      </c>
      <c r="BV59" s="804">
        <v>0.5</v>
      </c>
      <c r="BW59" s="804">
        <v>0</v>
      </c>
      <c r="BX59" s="804">
        <v>1</v>
      </c>
      <c r="BY59" s="804">
        <v>0</v>
      </c>
      <c r="BZ59" s="804">
        <v>-423557</v>
      </c>
      <c r="CA59" s="804">
        <v>-423557</v>
      </c>
      <c r="CB59" s="804">
        <v>0</v>
      </c>
      <c r="CC59" s="804">
        <v>-847114</v>
      </c>
      <c r="CD59" s="804">
        <v>-191743</v>
      </c>
      <c r="CE59" s="804">
        <v>-576952</v>
      </c>
      <c r="CF59" s="804">
        <v>-461906</v>
      </c>
      <c r="CG59" s="804">
        <v>0</v>
      </c>
      <c r="CH59" s="804">
        <v>-1230601</v>
      </c>
      <c r="CI59" s="804">
        <v>27991659</v>
      </c>
      <c r="CJ59" s="804">
        <v>22135726</v>
      </c>
      <c r="CK59" s="804">
        <v>5174774</v>
      </c>
      <c r="CL59" s="804">
        <v>0</v>
      </c>
      <c r="CM59" s="804">
        <v>55302159</v>
      </c>
      <c r="CN59" s="804">
        <v>903676</v>
      </c>
      <c r="CO59" s="804">
        <v>225919</v>
      </c>
      <c r="CP59" s="804">
        <v>0</v>
      </c>
      <c r="CQ59" s="804">
        <v>1129595</v>
      </c>
      <c r="CR59" s="804">
        <v>1162436</v>
      </c>
      <c r="CS59" s="804">
        <v>290609</v>
      </c>
      <c r="CT59" s="804">
        <v>0</v>
      </c>
      <c r="CU59" s="804">
        <v>1453045</v>
      </c>
      <c r="CV59" s="804">
        <v>97536</v>
      </c>
      <c r="CW59" s="804">
        <v>24384</v>
      </c>
      <c r="CX59" s="804">
        <v>0</v>
      </c>
      <c r="CY59" s="804">
        <v>121920</v>
      </c>
      <c r="CZ59" s="804">
        <v>0</v>
      </c>
      <c r="DA59" s="804">
        <v>0</v>
      </c>
      <c r="DB59" s="804">
        <v>0</v>
      </c>
      <c r="DC59" s="804">
        <v>0</v>
      </c>
      <c r="DD59" s="804">
        <v>0</v>
      </c>
      <c r="DE59" s="804">
        <v>0</v>
      </c>
      <c r="DF59" s="804">
        <v>0</v>
      </c>
      <c r="DG59" s="804">
        <v>0</v>
      </c>
      <c r="DH59" s="804">
        <v>5882</v>
      </c>
      <c r="DI59" s="804">
        <v>1470</v>
      </c>
      <c r="DJ59" s="804">
        <v>0</v>
      </c>
      <c r="DK59" s="804">
        <v>7352</v>
      </c>
      <c r="DL59" s="804">
        <v>3218</v>
      </c>
      <c r="DM59" s="804">
        <v>805</v>
      </c>
      <c r="DN59" s="804">
        <v>0</v>
      </c>
      <c r="DO59" s="804">
        <v>4023</v>
      </c>
      <c r="DP59" s="804">
        <v>0</v>
      </c>
      <c r="DQ59" s="804">
        <v>0</v>
      </c>
      <c r="DR59" s="804">
        <v>0</v>
      </c>
      <c r="DS59" s="804">
        <v>0</v>
      </c>
      <c r="DT59" s="804">
        <v>0</v>
      </c>
      <c r="DU59" s="804">
        <v>0</v>
      </c>
      <c r="DV59" s="804">
        <v>0</v>
      </c>
      <c r="DW59" s="804">
        <v>0</v>
      </c>
      <c r="DX59" s="804">
        <v>411846</v>
      </c>
      <c r="DY59" s="804">
        <v>102962</v>
      </c>
      <c r="DZ59" s="804">
        <v>0</v>
      </c>
      <c r="EA59" s="804">
        <v>514808</v>
      </c>
      <c r="EB59" s="804">
        <v>2584594</v>
      </c>
      <c r="EC59" s="804">
        <v>646149</v>
      </c>
      <c r="ED59" s="804">
        <v>0</v>
      </c>
      <c r="EE59" s="804">
        <v>3230743</v>
      </c>
      <c r="EF59" s="604" t="s">
        <v>774</v>
      </c>
      <c r="EG59" s="497" t="s">
        <v>571</v>
      </c>
      <c r="EH59" s="630" t="s">
        <v>551</v>
      </c>
      <c r="EI59" s="118" t="s">
        <v>1711</v>
      </c>
    </row>
    <row r="60" spans="1:139" ht="12.75" x14ac:dyDescent="0.2">
      <c r="A60" s="805">
        <v>53</v>
      </c>
      <c r="B60" s="606" t="s">
        <v>777</v>
      </c>
      <c r="C60" s="607" t="s">
        <v>1185</v>
      </c>
      <c r="D60" s="608" t="s">
        <v>1186</v>
      </c>
      <c r="E60" s="609" t="s">
        <v>776</v>
      </c>
      <c r="F60" s="802">
        <v>96240066</v>
      </c>
      <c r="G60" s="804">
        <v>504234</v>
      </c>
      <c r="H60" s="804">
        <v>0</v>
      </c>
      <c r="I60" s="804">
        <v>231628</v>
      </c>
      <c r="J60" s="804">
        <v>0</v>
      </c>
      <c r="K60" s="804">
        <v>231628</v>
      </c>
      <c r="L60" s="804">
        <v>0</v>
      </c>
      <c r="M60" s="804">
        <v>0</v>
      </c>
      <c r="N60" s="804">
        <v>491016</v>
      </c>
      <c r="O60" s="804">
        <v>243976</v>
      </c>
      <c r="P60" s="804">
        <v>247040</v>
      </c>
      <c r="Q60" s="804">
        <v>0</v>
      </c>
      <c r="R60" s="804">
        <v>96021656</v>
      </c>
      <c r="S60" s="804">
        <v>0.5</v>
      </c>
      <c r="T60" s="804">
        <v>0.4</v>
      </c>
      <c r="U60" s="804">
        <v>0.1</v>
      </c>
      <c r="V60" s="804">
        <v>0</v>
      </c>
      <c r="W60" s="804">
        <v>1</v>
      </c>
      <c r="X60" s="804">
        <v>48010828</v>
      </c>
      <c r="Y60" s="804">
        <v>38408662</v>
      </c>
      <c r="Z60" s="804">
        <v>9602166</v>
      </c>
      <c r="AA60" s="804">
        <v>0</v>
      </c>
      <c r="AB60" s="804">
        <v>96021656</v>
      </c>
      <c r="AC60" s="804">
        <v>0</v>
      </c>
      <c r="AD60" s="804">
        <v>0</v>
      </c>
      <c r="AE60" s="804">
        <v>0</v>
      </c>
      <c r="AF60" s="804">
        <v>0</v>
      </c>
      <c r="AG60" s="804">
        <v>0</v>
      </c>
      <c r="AH60" s="804">
        <v>48010828</v>
      </c>
      <c r="AI60" s="804">
        <v>38408662</v>
      </c>
      <c r="AJ60" s="804">
        <v>9602166</v>
      </c>
      <c r="AK60" s="804">
        <v>0</v>
      </c>
      <c r="AL60" s="804">
        <v>96021656</v>
      </c>
      <c r="AM60" s="804">
        <v>231628</v>
      </c>
      <c r="AN60" s="804">
        <v>231628</v>
      </c>
      <c r="AO60" s="804">
        <v>0</v>
      </c>
      <c r="AP60" s="804">
        <v>0</v>
      </c>
      <c r="AQ60" s="804">
        <v>243976</v>
      </c>
      <c r="AR60" s="804">
        <v>247040</v>
      </c>
      <c r="AS60" s="804">
        <v>491016</v>
      </c>
      <c r="AT60" s="804">
        <v>0</v>
      </c>
      <c r="AU60" s="804">
        <v>0</v>
      </c>
      <c r="AV60" s="804">
        <v>0</v>
      </c>
      <c r="AW60" s="804">
        <v>0</v>
      </c>
      <c r="AX60" s="804">
        <v>0</v>
      </c>
      <c r="AY60" s="804">
        <v>0</v>
      </c>
      <c r="AZ60" s="804">
        <v>0</v>
      </c>
      <c r="BA60" s="804">
        <v>0</v>
      </c>
      <c r="BB60" s="804">
        <v>0</v>
      </c>
      <c r="BC60" s="804">
        <v>0</v>
      </c>
      <c r="BD60" s="804">
        <v>0</v>
      </c>
      <c r="BE60" s="804">
        <v>0</v>
      </c>
      <c r="BF60" s="804">
        <v>0</v>
      </c>
      <c r="BG60" s="804">
        <v>0</v>
      </c>
      <c r="BH60" s="804">
        <v>0</v>
      </c>
      <c r="BI60" s="804">
        <v>0</v>
      </c>
      <c r="BJ60" s="804">
        <v>0.5</v>
      </c>
      <c r="BK60" s="804">
        <v>0.4</v>
      </c>
      <c r="BL60" s="804">
        <v>0.1</v>
      </c>
      <c r="BM60" s="804">
        <v>0</v>
      </c>
      <c r="BN60" s="804">
        <v>1</v>
      </c>
      <c r="BO60" s="804">
        <v>2403325</v>
      </c>
      <c r="BP60" s="804">
        <v>1922660</v>
      </c>
      <c r="BQ60" s="804">
        <v>480665</v>
      </c>
      <c r="BR60" s="804">
        <v>0</v>
      </c>
      <c r="BS60" s="804">
        <v>4806650</v>
      </c>
      <c r="BT60" s="804">
        <v>0.5</v>
      </c>
      <c r="BU60" s="804">
        <v>0.4</v>
      </c>
      <c r="BV60" s="804">
        <v>0.1</v>
      </c>
      <c r="BW60" s="804">
        <v>0</v>
      </c>
      <c r="BX60" s="804">
        <v>1</v>
      </c>
      <c r="BY60" s="804">
        <v>109976</v>
      </c>
      <c r="BZ60" s="804">
        <v>87981</v>
      </c>
      <c r="CA60" s="804">
        <v>21995</v>
      </c>
      <c r="CB60" s="804">
        <v>0</v>
      </c>
      <c r="CC60" s="804">
        <v>219952</v>
      </c>
      <c r="CD60" s="804">
        <v>2513301</v>
      </c>
      <c r="CE60" s="804">
        <v>2010641</v>
      </c>
      <c r="CF60" s="804">
        <v>502660</v>
      </c>
      <c r="CG60" s="804">
        <v>0</v>
      </c>
      <c r="CH60" s="804">
        <v>5026602</v>
      </c>
      <c r="CI60" s="804">
        <v>50524129</v>
      </c>
      <c r="CJ60" s="804">
        <v>40894907</v>
      </c>
      <c r="CK60" s="804">
        <v>10351866</v>
      </c>
      <c r="CL60" s="804">
        <v>0</v>
      </c>
      <c r="CM60" s="804">
        <v>101770902</v>
      </c>
      <c r="CN60" s="804">
        <v>1549204</v>
      </c>
      <c r="CO60" s="804">
        <v>394758</v>
      </c>
      <c r="CP60" s="804">
        <v>0</v>
      </c>
      <c r="CQ60" s="804">
        <v>1943962</v>
      </c>
      <c r="CR60" s="804">
        <v>1330823</v>
      </c>
      <c r="CS60" s="804">
        <v>332706</v>
      </c>
      <c r="CT60" s="804">
        <v>0</v>
      </c>
      <c r="CU60" s="804">
        <v>1663529</v>
      </c>
      <c r="CV60" s="804">
        <v>141220</v>
      </c>
      <c r="CW60" s="804">
        <v>35305</v>
      </c>
      <c r="CX60" s="804">
        <v>0</v>
      </c>
      <c r="CY60" s="804">
        <v>176525</v>
      </c>
      <c r="CZ60" s="804">
        <v>0</v>
      </c>
      <c r="DA60" s="804">
        <v>0</v>
      </c>
      <c r="DB60" s="804">
        <v>0</v>
      </c>
      <c r="DC60" s="804">
        <v>0</v>
      </c>
      <c r="DD60" s="804">
        <v>25293</v>
      </c>
      <c r="DE60" s="804">
        <v>6323</v>
      </c>
      <c r="DF60" s="804">
        <v>0</v>
      </c>
      <c r="DG60" s="804">
        <v>31616</v>
      </c>
      <c r="DH60" s="804">
        <v>20615</v>
      </c>
      <c r="DI60" s="804">
        <v>5154</v>
      </c>
      <c r="DJ60" s="804">
        <v>0</v>
      </c>
      <c r="DK60" s="804">
        <v>25769</v>
      </c>
      <c r="DL60" s="804">
        <v>8754</v>
      </c>
      <c r="DM60" s="804">
        <v>2189</v>
      </c>
      <c r="DN60" s="804">
        <v>0</v>
      </c>
      <c r="DO60" s="804">
        <v>10943</v>
      </c>
      <c r="DP60" s="804">
        <v>0</v>
      </c>
      <c r="DQ60" s="804">
        <v>0</v>
      </c>
      <c r="DR60" s="804">
        <v>0</v>
      </c>
      <c r="DS60" s="804">
        <v>0</v>
      </c>
      <c r="DT60" s="804">
        <v>0</v>
      </c>
      <c r="DU60" s="804">
        <v>0</v>
      </c>
      <c r="DV60" s="804">
        <v>0</v>
      </c>
      <c r="DW60" s="804">
        <v>0</v>
      </c>
      <c r="DX60" s="804">
        <v>434950</v>
      </c>
      <c r="DY60" s="804">
        <v>108737</v>
      </c>
      <c r="DZ60" s="804">
        <v>0</v>
      </c>
      <c r="EA60" s="804">
        <v>543687</v>
      </c>
      <c r="EB60" s="804">
        <v>3510859</v>
      </c>
      <c r="EC60" s="804">
        <v>885172</v>
      </c>
      <c r="ED60" s="804">
        <v>0</v>
      </c>
      <c r="EE60" s="804">
        <v>4396031</v>
      </c>
      <c r="EF60" s="604" t="s">
        <v>776</v>
      </c>
      <c r="EG60" s="497" t="s">
        <v>604</v>
      </c>
      <c r="EH60" s="630" t="s">
        <v>551</v>
      </c>
      <c r="EI60" s="118" t="s">
        <v>1712</v>
      </c>
    </row>
    <row r="61" spans="1:139" ht="12.75" x14ac:dyDescent="0.2">
      <c r="A61" s="805">
        <v>54</v>
      </c>
      <c r="B61" s="606" t="s">
        <v>779</v>
      </c>
      <c r="C61" s="607" t="s">
        <v>524</v>
      </c>
      <c r="D61" s="608" t="s">
        <v>1187</v>
      </c>
      <c r="E61" s="609" t="s">
        <v>778</v>
      </c>
      <c r="F61" s="802">
        <v>143411773</v>
      </c>
      <c r="G61" s="804">
        <v>0</v>
      </c>
      <c r="H61" s="804">
        <v>721293</v>
      </c>
      <c r="I61" s="804">
        <v>572535</v>
      </c>
      <c r="J61" s="804">
        <v>0</v>
      </c>
      <c r="K61" s="804">
        <v>572535</v>
      </c>
      <c r="L61" s="804">
        <v>0</v>
      </c>
      <c r="M61" s="804">
        <v>516766</v>
      </c>
      <c r="N61" s="804">
        <v>115509</v>
      </c>
      <c r="O61" s="804">
        <v>115509</v>
      </c>
      <c r="P61" s="804">
        <v>0</v>
      </c>
      <c r="Q61" s="804">
        <v>0</v>
      </c>
      <c r="R61" s="804">
        <v>141485670</v>
      </c>
      <c r="S61" s="804">
        <v>0.5</v>
      </c>
      <c r="T61" s="804">
        <v>0.49</v>
      </c>
      <c r="U61" s="804">
        <v>0</v>
      </c>
      <c r="V61" s="804">
        <v>0.01</v>
      </c>
      <c r="W61" s="804">
        <v>1</v>
      </c>
      <c r="X61" s="804">
        <v>70742835</v>
      </c>
      <c r="Y61" s="804">
        <v>69327978</v>
      </c>
      <c r="Z61" s="804">
        <v>0</v>
      </c>
      <c r="AA61" s="804">
        <v>1414857</v>
      </c>
      <c r="AB61" s="804">
        <v>141485670</v>
      </c>
      <c r="AC61" s="804">
        <v>356784</v>
      </c>
      <c r="AD61" s="804">
        <v>0</v>
      </c>
      <c r="AE61" s="804">
        <v>0</v>
      </c>
      <c r="AF61" s="804">
        <v>0</v>
      </c>
      <c r="AG61" s="804">
        <v>356784</v>
      </c>
      <c r="AH61" s="804">
        <v>70386051</v>
      </c>
      <c r="AI61" s="804">
        <v>69327978</v>
      </c>
      <c r="AJ61" s="804">
        <v>0</v>
      </c>
      <c r="AK61" s="804">
        <v>1414857</v>
      </c>
      <c r="AL61" s="804">
        <v>141128886</v>
      </c>
      <c r="AM61" s="804">
        <v>572535</v>
      </c>
      <c r="AN61" s="804">
        <v>572535</v>
      </c>
      <c r="AO61" s="804">
        <v>516766</v>
      </c>
      <c r="AP61" s="804">
        <v>516766</v>
      </c>
      <c r="AQ61" s="804">
        <v>115509</v>
      </c>
      <c r="AR61" s="804">
        <v>0</v>
      </c>
      <c r="AS61" s="804">
        <v>115509</v>
      </c>
      <c r="AT61" s="804">
        <v>0</v>
      </c>
      <c r="AU61" s="804">
        <v>0</v>
      </c>
      <c r="AV61" s="804">
        <v>0</v>
      </c>
      <c r="AW61" s="804">
        <v>0</v>
      </c>
      <c r="AX61" s="804">
        <v>356784</v>
      </c>
      <c r="AY61" s="804">
        <v>0</v>
      </c>
      <c r="AZ61" s="804">
        <v>0</v>
      </c>
      <c r="BA61" s="804">
        <v>356784</v>
      </c>
      <c r="BB61" s="804">
        <v>0</v>
      </c>
      <c r="BC61" s="804">
        <v>0</v>
      </c>
      <c r="BD61" s="804">
        <v>0</v>
      </c>
      <c r="BE61" s="804">
        <v>0</v>
      </c>
      <c r="BF61" s="804">
        <v>0</v>
      </c>
      <c r="BG61" s="804">
        <v>0</v>
      </c>
      <c r="BH61" s="804">
        <v>0</v>
      </c>
      <c r="BI61" s="804">
        <v>0</v>
      </c>
      <c r="BJ61" s="804">
        <v>0.5</v>
      </c>
      <c r="BK61" s="804">
        <v>0.49</v>
      </c>
      <c r="BL61" s="804">
        <v>0</v>
      </c>
      <c r="BM61" s="804">
        <v>0.01</v>
      </c>
      <c r="BN61" s="804">
        <v>1</v>
      </c>
      <c r="BO61" s="804">
        <v>-1323235</v>
      </c>
      <c r="BP61" s="804">
        <v>-1296771</v>
      </c>
      <c r="BQ61" s="804">
        <v>0</v>
      </c>
      <c r="BR61" s="804">
        <v>-26465</v>
      </c>
      <c r="BS61" s="804">
        <v>-2646471</v>
      </c>
      <c r="BT61" s="804">
        <v>0.5</v>
      </c>
      <c r="BU61" s="804">
        <v>0.49</v>
      </c>
      <c r="BV61" s="804">
        <v>0</v>
      </c>
      <c r="BW61" s="804">
        <v>0.01</v>
      </c>
      <c r="BX61" s="804">
        <v>1</v>
      </c>
      <c r="BY61" s="804">
        <v>1355052</v>
      </c>
      <c r="BZ61" s="804">
        <v>1327951</v>
      </c>
      <c r="CA61" s="804">
        <v>0</v>
      </c>
      <c r="CB61" s="804">
        <v>27101</v>
      </c>
      <c r="CC61" s="804">
        <v>2710104</v>
      </c>
      <c r="CD61" s="804">
        <v>31817</v>
      </c>
      <c r="CE61" s="804">
        <v>31180</v>
      </c>
      <c r="CF61" s="804">
        <v>0</v>
      </c>
      <c r="CG61" s="804">
        <v>636</v>
      </c>
      <c r="CH61" s="804">
        <v>63633</v>
      </c>
      <c r="CI61" s="804">
        <v>70417868</v>
      </c>
      <c r="CJ61" s="804">
        <v>70920752</v>
      </c>
      <c r="CK61" s="804">
        <v>0</v>
      </c>
      <c r="CL61" s="804">
        <v>1415493</v>
      </c>
      <c r="CM61" s="804">
        <v>142754113</v>
      </c>
      <c r="CN61" s="804">
        <v>2818318</v>
      </c>
      <c r="CO61" s="804">
        <v>0</v>
      </c>
      <c r="CP61" s="804">
        <v>56708</v>
      </c>
      <c r="CQ61" s="804">
        <v>2875026</v>
      </c>
      <c r="CR61" s="804">
        <v>5493011</v>
      </c>
      <c r="CS61" s="804">
        <v>0</v>
      </c>
      <c r="CT61" s="804">
        <v>111710</v>
      </c>
      <c r="CU61" s="804">
        <v>5604721</v>
      </c>
      <c r="CV61" s="804">
        <v>362886</v>
      </c>
      <c r="CW61" s="804">
        <v>0</v>
      </c>
      <c r="CX61" s="804">
        <v>7357</v>
      </c>
      <c r="CY61" s="804">
        <v>370243</v>
      </c>
      <c r="CZ61" s="804">
        <v>34851</v>
      </c>
      <c r="DA61" s="804">
        <v>0</v>
      </c>
      <c r="DB61" s="804">
        <v>711</v>
      </c>
      <c r="DC61" s="804">
        <v>35562</v>
      </c>
      <c r="DD61" s="804">
        <v>7457</v>
      </c>
      <c r="DE61" s="804">
        <v>0</v>
      </c>
      <c r="DF61" s="804">
        <v>152</v>
      </c>
      <c r="DG61" s="804">
        <v>7609</v>
      </c>
      <c r="DH61" s="804">
        <v>47184</v>
      </c>
      <c r="DI61" s="804">
        <v>0</v>
      </c>
      <c r="DJ61" s="804">
        <v>963</v>
      </c>
      <c r="DK61" s="804">
        <v>48147</v>
      </c>
      <c r="DL61" s="804">
        <v>11016</v>
      </c>
      <c r="DM61" s="804">
        <v>0</v>
      </c>
      <c r="DN61" s="804">
        <v>225</v>
      </c>
      <c r="DO61" s="804">
        <v>11241</v>
      </c>
      <c r="DP61" s="804">
        <v>0</v>
      </c>
      <c r="DQ61" s="804">
        <v>0</v>
      </c>
      <c r="DR61" s="804">
        <v>0</v>
      </c>
      <c r="DS61" s="804">
        <v>0</v>
      </c>
      <c r="DT61" s="804">
        <v>0</v>
      </c>
      <c r="DU61" s="804">
        <v>0</v>
      </c>
      <c r="DV61" s="804">
        <v>0</v>
      </c>
      <c r="DW61" s="804">
        <v>0</v>
      </c>
      <c r="DX61" s="804">
        <v>1401296</v>
      </c>
      <c r="DY61" s="804">
        <v>0</v>
      </c>
      <c r="DZ61" s="804">
        <v>28598</v>
      </c>
      <c r="EA61" s="804">
        <v>1429894</v>
      </c>
      <c r="EB61" s="804">
        <v>10176019</v>
      </c>
      <c r="EC61" s="804">
        <v>0</v>
      </c>
      <c r="ED61" s="804">
        <v>206424</v>
      </c>
      <c r="EE61" s="804">
        <v>10382443</v>
      </c>
      <c r="EF61" s="604" t="s">
        <v>778</v>
      </c>
      <c r="EG61" s="497" t="s">
        <v>524</v>
      </c>
      <c r="EH61" s="630" t="s">
        <v>544</v>
      </c>
      <c r="EI61" s="118" t="s">
        <v>1713</v>
      </c>
    </row>
    <row r="62" spans="1:139" ht="12.75" x14ac:dyDescent="0.2">
      <c r="A62" s="805">
        <v>55</v>
      </c>
      <c r="B62" s="606" t="s">
        <v>780</v>
      </c>
      <c r="C62" s="607" t="s">
        <v>524</v>
      </c>
      <c r="D62" s="608" t="s">
        <v>1187</v>
      </c>
      <c r="E62" s="609" t="s">
        <v>546</v>
      </c>
      <c r="F62" s="802">
        <v>149356562</v>
      </c>
      <c r="G62" s="804">
        <v>0</v>
      </c>
      <c r="H62" s="804">
        <v>6300000</v>
      </c>
      <c r="I62" s="804">
        <v>495069</v>
      </c>
      <c r="J62" s="804">
        <v>0</v>
      </c>
      <c r="K62" s="804">
        <v>495069</v>
      </c>
      <c r="L62" s="804">
        <v>0</v>
      </c>
      <c r="M62" s="804">
        <v>24316</v>
      </c>
      <c r="N62" s="804">
        <v>600000</v>
      </c>
      <c r="O62" s="804">
        <v>600000</v>
      </c>
      <c r="P62" s="804">
        <v>0</v>
      </c>
      <c r="Q62" s="804">
        <v>0</v>
      </c>
      <c r="R62" s="804">
        <v>141937177</v>
      </c>
      <c r="S62" s="804">
        <v>0.5</v>
      </c>
      <c r="T62" s="804">
        <v>0.49</v>
      </c>
      <c r="U62" s="804">
        <v>0</v>
      </c>
      <c r="V62" s="804">
        <v>0.01</v>
      </c>
      <c r="W62" s="804">
        <v>1</v>
      </c>
      <c r="X62" s="804">
        <v>70968588</v>
      </c>
      <c r="Y62" s="804">
        <v>69549217</v>
      </c>
      <c r="Z62" s="804">
        <v>0</v>
      </c>
      <c r="AA62" s="804">
        <v>1419372</v>
      </c>
      <c r="AB62" s="804">
        <v>141937177</v>
      </c>
      <c r="AC62" s="804">
        <v>252146</v>
      </c>
      <c r="AD62" s="804">
        <v>0</v>
      </c>
      <c r="AE62" s="804">
        <v>0</v>
      </c>
      <c r="AF62" s="804">
        <v>0</v>
      </c>
      <c r="AG62" s="804">
        <v>252146</v>
      </c>
      <c r="AH62" s="804">
        <v>70716442</v>
      </c>
      <c r="AI62" s="804">
        <v>69549217</v>
      </c>
      <c r="AJ62" s="804">
        <v>0</v>
      </c>
      <c r="AK62" s="804">
        <v>1419372</v>
      </c>
      <c r="AL62" s="804">
        <v>141685031</v>
      </c>
      <c r="AM62" s="804">
        <v>495069</v>
      </c>
      <c r="AN62" s="804">
        <v>495069</v>
      </c>
      <c r="AO62" s="804">
        <v>24316</v>
      </c>
      <c r="AP62" s="804">
        <v>24316</v>
      </c>
      <c r="AQ62" s="804">
        <v>600000</v>
      </c>
      <c r="AR62" s="804">
        <v>0</v>
      </c>
      <c r="AS62" s="804">
        <v>600000</v>
      </c>
      <c r="AT62" s="804">
        <v>0</v>
      </c>
      <c r="AU62" s="804">
        <v>0</v>
      </c>
      <c r="AV62" s="804">
        <v>0</v>
      </c>
      <c r="AW62" s="804">
        <v>0</v>
      </c>
      <c r="AX62" s="804">
        <v>252146</v>
      </c>
      <c r="AY62" s="804">
        <v>0</v>
      </c>
      <c r="AZ62" s="804">
        <v>0</v>
      </c>
      <c r="BA62" s="804">
        <v>252146</v>
      </c>
      <c r="BB62" s="804">
        <v>0</v>
      </c>
      <c r="BC62" s="804">
        <v>0</v>
      </c>
      <c r="BD62" s="804">
        <v>0</v>
      </c>
      <c r="BE62" s="804">
        <v>0</v>
      </c>
      <c r="BF62" s="804">
        <v>0</v>
      </c>
      <c r="BG62" s="804">
        <v>0</v>
      </c>
      <c r="BH62" s="804">
        <v>0</v>
      </c>
      <c r="BI62" s="804">
        <v>0</v>
      </c>
      <c r="BJ62" s="804">
        <v>0.5</v>
      </c>
      <c r="BK62" s="804">
        <v>0.49</v>
      </c>
      <c r="BL62" s="804">
        <v>0</v>
      </c>
      <c r="BM62" s="804">
        <v>0.01</v>
      </c>
      <c r="BN62" s="804">
        <v>1</v>
      </c>
      <c r="BO62" s="804">
        <v>4088</v>
      </c>
      <c r="BP62" s="804">
        <v>4007</v>
      </c>
      <c r="BQ62" s="804">
        <v>0</v>
      </c>
      <c r="BR62" s="804">
        <v>82</v>
      </c>
      <c r="BS62" s="804">
        <v>8177</v>
      </c>
      <c r="BT62" s="804">
        <v>0.5</v>
      </c>
      <c r="BU62" s="804">
        <v>0.49</v>
      </c>
      <c r="BV62" s="804">
        <v>0</v>
      </c>
      <c r="BW62" s="804">
        <v>0.01</v>
      </c>
      <c r="BX62" s="804">
        <v>1</v>
      </c>
      <c r="BY62" s="804">
        <v>-4088</v>
      </c>
      <c r="BZ62" s="804">
        <v>-4007</v>
      </c>
      <c r="CA62" s="804">
        <v>0</v>
      </c>
      <c r="CB62" s="804">
        <v>-82</v>
      </c>
      <c r="CC62" s="804">
        <v>-8177</v>
      </c>
      <c r="CD62" s="804">
        <v>0</v>
      </c>
      <c r="CE62" s="804">
        <v>0</v>
      </c>
      <c r="CF62" s="804">
        <v>0</v>
      </c>
      <c r="CG62" s="804">
        <v>0</v>
      </c>
      <c r="CH62" s="804">
        <v>0</v>
      </c>
      <c r="CI62" s="804">
        <v>70716442</v>
      </c>
      <c r="CJ62" s="804">
        <v>70920748</v>
      </c>
      <c r="CK62" s="804">
        <v>0</v>
      </c>
      <c r="CL62" s="804">
        <v>1419372</v>
      </c>
      <c r="CM62" s="804">
        <v>143056562</v>
      </c>
      <c r="CN62" s="804">
        <v>2822673</v>
      </c>
      <c r="CO62" s="804">
        <v>0</v>
      </c>
      <c r="CP62" s="804">
        <v>56889</v>
      </c>
      <c r="CQ62" s="804">
        <v>2879562</v>
      </c>
      <c r="CR62" s="804">
        <v>4188298</v>
      </c>
      <c r="CS62" s="804">
        <v>0</v>
      </c>
      <c r="CT62" s="804">
        <v>85475</v>
      </c>
      <c r="CU62" s="804">
        <v>4273773</v>
      </c>
      <c r="CV62" s="804">
        <v>286793</v>
      </c>
      <c r="CW62" s="804">
        <v>0</v>
      </c>
      <c r="CX62" s="804">
        <v>5839</v>
      </c>
      <c r="CY62" s="804">
        <v>292632</v>
      </c>
      <c r="CZ62" s="804">
        <v>28030</v>
      </c>
      <c r="DA62" s="804">
        <v>0</v>
      </c>
      <c r="DB62" s="804">
        <v>572</v>
      </c>
      <c r="DC62" s="804">
        <v>28602</v>
      </c>
      <c r="DD62" s="804">
        <v>0</v>
      </c>
      <c r="DE62" s="804">
        <v>0</v>
      </c>
      <c r="DF62" s="804">
        <v>0</v>
      </c>
      <c r="DG62" s="804">
        <v>0</v>
      </c>
      <c r="DH62" s="804">
        <v>30578</v>
      </c>
      <c r="DI62" s="804">
        <v>0</v>
      </c>
      <c r="DJ62" s="804">
        <v>624</v>
      </c>
      <c r="DK62" s="804">
        <v>31202</v>
      </c>
      <c r="DL62" s="804">
        <v>13156</v>
      </c>
      <c r="DM62" s="804">
        <v>0</v>
      </c>
      <c r="DN62" s="804">
        <v>269</v>
      </c>
      <c r="DO62" s="804">
        <v>13425</v>
      </c>
      <c r="DP62" s="804">
        <v>0</v>
      </c>
      <c r="DQ62" s="804">
        <v>0</v>
      </c>
      <c r="DR62" s="804">
        <v>0</v>
      </c>
      <c r="DS62" s="804">
        <v>0</v>
      </c>
      <c r="DT62" s="804">
        <v>0</v>
      </c>
      <c r="DU62" s="804">
        <v>0</v>
      </c>
      <c r="DV62" s="804">
        <v>0</v>
      </c>
      <c r="DW62" s="804">
        <v>0</v>
      </c>
      <c r="DX62" s="804">
        <v>2191449</v>
      </c>
      <c r="DY62" s="804">
        <v>0</v>
      </c>
      <c r="DZ62" s="804">
        <v>44723</v>
      </c>
      <c r="EA62" s="804">
        <v>2236172</v>
      </c>
      <c r="EB62" s="804">
        <v>9560977</v>
      </c>
      <c r="EC62" s="804">
        <v>0</v>
      </c>
      <c r="ED62" s="804">
        <v>194391</v>
      </c>
      <c r="EE62" s="804">
        <v>9755368</v>
      </c>
      <c r="EF62" s="604" t="s">
        <v>546</v>
      </c>
      <c r="EG62" s="497" t="s">
        <v>524</v>
      </c>
      <c r="EH62" s="630" t="s">
        <v>544</v>
      </c>
      <c r="EI62" s="118" t="s">
        <v>1714</v>
      </c>
    </row>
    <row r="63" spans="1:139" ht="12.75" x14ac:dyDescent="0.2">
      <c r="A63" s="805">
        <v>56</v>
      </c>
      <c r="B63" s="606" t="s">
        <v>782</v>
      </c>
      <c r="C63" s="607" t="s">
        <v>1185</v>
      </c>
      <c r="D63" s="608" t="s">
        <v>1188</v>
      </c>
      <c r="E63" s="609" t="s">
        <v>781</v>
      </c>
      <c r="F63" s="802">
        <v>40083984</v>
      </c>
      <c r="G63" s="804">
        <v>0</v>
      </c>
      <c r="H63" s="804">
        <v>140465</v>
      </c>
      <c r="I63" s="804">
        <v>162600</v>
      </c>
      <c r="J63" s="804">
        <v>0</v>
      </c>
      <c r="K63" s="804">
        <v>162600</v>
      </c>
      <c r="L63" s="804">
        <v>0</v>
      </c>
      <c r="M63" s="804">
        <v>1919832</v>
      </c>
      <c r="N63" s="804">
        <v>52395</v>
      </c>
      <c r="O63" s="804">
        <v>52395</v>
      </c>
      <c r="P63" s="804">
        <v>0</v>
      </c>
      <c r="Q63" s="804">
        <v>0</v>
      </c>
      <c r="R63" s="804">
        <v>37808692</v>
      </c>
      <c r="S63" s="804">
        <v>0.5</v>
      </c>
      <c r="T63" s="804">
        <v>0.4</v>
      </c>
      <c r="U63" s="804">
        <v>0.09</v>
      </c>
      <c r="V63" s="804">
        <v>0.01</v>
      </c>
      <c r="W63" s="804">
        <v>1</v>
      </c>
      <c r="X63" s="804">
        <v>18904346</v>
      </c>
      <c r="Y63" s="804">
        <v>15123477</v>
      </c>
      <c r="Z63" s="804">
        <v>3402782</v>
      </c>
      <c r="AA63" s="804">
        <v>378087</v>
      </c>
      <c r="AB63" s="804">
        <v>37808692</v>
      </c>
      <c r="AC63" s="804">
        <v>0</v>
      </c>
      <c r="AD63" s="804">
        <v>0</v>
      </c>
      <c r="AE63" s="804">
        <v>0</v>
      </c>
      <c r="AF63" s="804">
        <v>0</v>
      </c>
      <c r="AG63" s="804">
        <v>0</v>
      </c>
      <c r="AH63" s="804">
        <v>18904346</v>
      </c>
      <c r="AI63" s="804">
        <v>15123477</v>
      </c>
      <c r="AJ63" s="804">
        <v>3402782</v>
      </c>
      <c r="AK63" s="804">
        <v>378087</v>
      </c>
      <c r="AL63" s="804">
        <v>37808692</v>
      </c>
      <c r="AM63" s="804">
        <v>162600</v>
      </c>
      <c r="AN63" s="804">
        <v>162600</v>
      </c>
      <c r="AO63" s="804">
        <v>1919832</v>
      </c>
      <c r="AP63" s="804">
        <v>1919832</v>
      </c>
      <c r="AQ63" s="804">
        <v>52395</v>
      </c>
      <c r="AR63" s="804">
        <v>0</v>
      </c>
      <c r="AS63" s="804">
        <v>52395</v>
      </c>
      <c r="AT63" s="804">
        <v>0</v>
      </c>
      <c r="AU63" s="804">
        <v>0</v>
      </c>
      <c r="AV63" s="804">
        <v>0</v>
      </c>
      <c r="AW63" s="804">
        <v>0</v>
      </c>
      <c r="AX63" s="804">
        <v>0</v>
      </c>
      <c r="AY63" s="804">
        <v>0</v>
      </c>
      <c r="AZ63" s="804">
        <v>0</v>
      </c>
      <c r="BA63" s="804">
        <v>0</v>
      </c>
      <c r="BB63" s="804">
        <v>0</v>
      </c>
      <c r="BC63" s="804">
        <v>0</v>
      </c>
      <c r="BD63" s="804">
        <v>0</v>
      </c>
      <c r="BE63" s="804">
        <v>0</v>
      </c>
      <c r="BF63" s="804">
        <v>0</v>
      </c>
      <c r="BG63" s="804">
        <v>0</v>
      </c>
      <c r="BH63" s="804">
        <v>0</v>
      </c>
      <c r="BI63" s="804">
        <v>0</v>
      </c>
      <c r="BJ63" s="804">
        <v>0.5</v>
      </c>
      <c r="BK63" s="804">
        <v>0.4</v>
      </c>
      <c r="BL63" s="804">
        <v>0.09</v>
      </c>
      <c r="BM63" s="804">
        <v>0.01</v>
      </c>
      <c r="BN63" s="804">
        <v>1</v>
      </c>
      <c r="BO63" s="804">
        <v>242464</v>
      </c>
      <c r="BP63" s="804">
        <v>193971</v>
      </c>
      <c r="BQ63" s="804">
        <v>43644</v>
      </c>
      <c r="BR63" s="804">
        <v>4849</v>
      </c>
      <c r="BS63" s="804">
        <v>484928</v>
      </c>
      <c r="BT63" s="804">
        <v>0</v>
      </c>
      <c r="BU63" s="804">
        <v>0.5</v>
      </c>
      <c r="BV63" s="804">
        <v>0.49</v>
      </c>
      <c r="BW63" s="804">
        <v>0.01</v>
      </c>
      <c r="BX63" s="804">
        <v>1</v>
      </c>
      <c r="BY63" s="804">
        <v>0</v>
      </c>
      <c r="BZ63" s="804">
        <v>246114</v>
      </c>
      <c r="CA63" s="804">
        <v>241191</v>
      </c>
      <c r="CB63" s="804">
        <v>4922</v>
      </c>
      <c r="CC63" s="804">
        <v>492227</v>
      </c>
      <c r="CD63" s="804">
        <v>242464</v>
      </c>
      <c r="CE63" s="804">
        <v>440085</v>
      </c>
      <c r="CF63" s="804">
        <v>284835</v>
      </c>
      <c r="CG63" s="804">
        <v>9771</v>
      </c>
      <c r="CH63" s="804">
        <v>977155</v>
      </c>
      <c r="CI63" s="804">
        <v>19146810</v>
      </c>
      <c r="CJ63" s="804">
        <v>17698389</v>
      </c>
      <c r="CK63" s="804">
        <v>3687617</v>
      </c>
      <c r="CL63" s="804">
        <v>387858</v>
      </c>
      <c r="CM63" s="804">
        <v>40920674</v>
      </c>
      <c r="CN63" s="804">
        <v>685199</v>
      </c>
      <c r="CO63" s="804">
        <v>136384</v>
      </c>
      <c r="CP63" s="804">
        <v>15154</v>
      </c>
      <c r="CQ63" s="804">
        <v>836737</v>
      </c>
      <c r="CR63" s="804">
        <v>1379890</v>
      </c>
      <c r="CS63" s="804">
        <v>310475</v>
      </c>
      <c r="CT63" s="804">
        <v>34497</v>
      </c>
      <c r="CU63" s="804">
        <v>1724862</v>
      </c>
      <c r="CV63" s="804">
        <v>92712</v>
      </c>
      <c r="CW63" s="804">
        <v>20860</v>
      </c>
      <c r="CX63" s="804">
        <v>2318</v>
      </c>
      <c r="CY63" s="804">
        <v>115890</v>
      </c>
      <c r="CZ63" s="804">
        <v>2262</v>
      </c>
      <c r="DA63" s="804">
        <v>509</v>
      </c>
      <c r="DB63" s="804">
        <v>57</v>
      </c>
      <c r="DC63" s="804">
        <v>2828</v>
      </c>
      <c r="DD63" s="804">
        <v>1236</v>
      </c>
      <c r="DE63" s="804">
        <v>278</v>
      </c>
      <c r="DF63" s="804">
        <v>31</v>
      </c>
      <c r="DG63" s="804">
        <v>1545</v>
      </c>
      <c r="DH63" s="804">
        <v>5612</v>
      </c>
      <c r="DI63" s="804">
        <v>1263</v>
      </c>
      <c r="DJ63" s="804">
        <v>140</v>
      </c>
      <c r="DK63" s="804">
        <v>7015</v>
      </c>
      <c r="DL63" s="804">
        <v>3720</v>
      </c>
      <c r="DM63" s="804">
        <v>837</v>
      </c>
      <c r="DN63" s="804">
        <v>93</v>
      </c>
      <c r="DO63" s="804">
        <v>4650</v>
      </c>
      <c r="DP63" s="804">
        <v>0</v>
      </c>
      <c r="DQ63" s="804">
        <v>0</v>
      </c>
      <c r="DR63" s="804">
        <v>0</v>
      </c>
      <c r="DS63" s="804">
        <v>0</v>
      </c>
      <c r="DT63" s="804">
        <v>0</v>
      </c>
      <c r="DU63" s="804">
        <v>0</v>
      </c>
      <c r="DV63" s="804">
        <v>0</v>
      </c>
      <c r="DW63" s="804">
        <v>0</v>
      </c>
      <c r="DX63" s="804">
        <v>433658</v>
      </c>
      <c r="DY63" s="804">
        <v>97573</v>
      </c>
      <c r="DZ63" s="804">
        <v>10841</v>
      </c>
      <c r="EA63" s="804">
        <v>542072</v>
      </c>
      <c r="EB63" s="804">
        <v>2604289</v>
      </c>
      <c r="EC63" s="804">
        <v>568179</v>
      </c>
      <c r="ED63" s="804">
        <v>63131</v>
      </c>
      <c r="EE63" s="804">
        <v>3235599</v>
      </c>
      <c r="EF63" s="604" t="s">
        <v>781</v>
      </c>
      <c r="EG63" s="497" t="s">
        <v>555</v>
      </c>
      <c r="EH63" s="630" t="s">
        <v>554</v>
      </c>
      <c r="EI63" s="118" t="s">
        <v>1715</v>
      </c>
    </row>
    <row r="64" spans="1:139" ht="12.75" x14ac:dyDescent="0.2">
      <c r="A64" s="805">
        <v>57</v>
      </c>
      <c r="B64" s="606" t="s">
        <v>784</v>
      </c>
      <c r="C64" s="607" t="s">
        <v>1185</v>
      </c>
      <c r="D64" s="608" t="s">
        <v>1186</v>
      </c>
      <c r="E64" s="609" t="s">
        <v>783</v>
      </c>
      <c r="F64" s="802">
        <v>47513398</v>
      </c>
      <c r="G64" s="804">
        <v>365224</v>
      </c>
      <c r="H64" s="804">
        <v>0</v>
      </c>
      <c r="I64" s="804">
        <v>199183</v>
      </c>
      <c r="J64" s="804">
        <v>0</v>
      </c>
      <c r="K64" s="804">
        <v>199183</v>
      </c>
      <c r="L64" s="804">
        <v>0</v>
      </c>
      <c r="M64" s="804">
        <v>0</v>
      </c>
      <c r="N64" s="804">
        <v>134727</v>
      </c>
      <c r="O64" s="804">
        <v>107781</v>
      </c>
      <c r="P64" s="804">
        <v>26946</v>
      </c>
      <c r="Q64" s="804">
        <v>0</v>
      </c>
      <c r="R64" s="804">
        <v>47544712</v>
      </c>
      <c r="S64" s="804">
        <v>0.5</v>
      </c>
      <c r="T64" s="804">
        <v>0.4</v>
      </c>
      <c r="U64" s="804">
        <v>0.1</v>
      </c>
      <c r="V64" s="804">
        <v>0</v>
      </c>
      <c r="W64" s="804">
        <v>1</v>
      </c>
      <c r="X64" s="804">
        <v>23772356</v>
      </c>
      <c r="Y64" s="804">
        <v>19017885</v>
      </c>
      <c r="Z64" s="804">
        <v>4754471</v>
      </c>
      <c r="AA64" s="804">
        <v>0</v>
      </c>
      <c r="AB64" s="804">
        <v>47544712</v>
      </c>
      <c r="AC64" s="804">
        <v>0</v>
      </c>
      <c r="AD64" s="804">
        <v>0</v>
      </c>
      <c r="AE64" s="804">
        <v>0</v>
      </c>
      <c r="AF64" s="804">
        <v>0</v>
      </c>
      <c r="AG64" s="804">
        <v>0</v>
      </c>
      <c r="AH64" s="804">
        <v>23772356</v>
      </c>
      <c r="AI64" s="804">
        <v>19017885</v>
      </c>
      <c r="AJ64" s="804">
        <v>4754471</v>
      </c>
      <c r="AK64" s="804">
        <v>0</v>
      </c>
      <c r="AL64" s="804">
        <v>47544712</v>
      </c>
      <c r="AM64" s="804">
        <v>199183</v>
      </c>
      <c r="AN64" s="804">
        <v>199183</v>
      </c>
      <c r="AO64" s="804">
        <v>0</v>
      </c>
      <c r="AP64" s="804">
        <v>0</v>
      </c>
      <c r="AQ64" s="804">
        <v>107781</v>
      </c>
      <c r="AR64" s="804">
        <v>26946</v>
      </c>
      <c r="AS64" s="804">
        <v>134727</v>
      </c>
      <c r="AT64" s="804">
        <v>0</v>
      </c>
      <c r="AU64" s="804">
        <v>0</v>
      </c>
      <c r="AV64" s="804">
        <v>0</v>
      </c>
      <c r="AW64" s="804">
        <v>0</v>
      </c>
      <c r="AX64" s="804">
        <v>0</v>
      </c>
      <c r="AY64" s="804">
        <v>0</v>
      </c>
      <c r="AZ64" s="804">
        <v>0</v>
      </c>
      <c r="BA64" s="804">
        <v>0</v>
      </c>
      <c r="BB64" s="804">
        <v>0</v>
      </c>
      <c r="BC64" s="804">
        <v>0</v>
      </c>
      <c r="BD64" s="804">
        <v>0</v>
      </c>
      <c r="BE64" s="804">
        <v>0</v>
      </c>
      <c r="BF64" s="804">
        <v>0</v>
      </c>
      <c r="BG64" s="804">
        <v>0</v>
      </c>
      <c r="BH64" s="804">
        <v>0</v>
      </c>
      <c r="BI64" s="804">
        <v>0</v>
      </c>
      <c r="BJ64" s="804">
        <v>0.24999999999999994</v>
      </c>
      <c r="BK64" s="804">
        <v>0.2</v>
      </c>
      <c r="BL64" s="804">
        <v>0.55000000000000004</v>
      </c>
      <c r="BM64" s="804">
        <v>0</v>
      </c>
      <c r="BN64" s="804">
        <v>1</v>
      </c>
      <c r="BO64" s="804">
        <v>-25088</v>
      </c>
      <c r="BP64" s="804">
        <v>-20071</v>
      </c>
      <c r="BQ64" s="804">
        <v>-55195</v>
      </c>
      <c r="BR64" s="804">
        <v>0</v>
      </c>
      <c r="BS64" s="804">
        <v>-100354</v>
      </c>
      <c r="BT64" s="804">
        <v>0.5</v>
      </c>
      <c r="BU64" s="804">
        <v>0.4</v>
      </c>
      <c r="BV64" s="804">
        <v>0.1</v>
      </c>
      <c r="BW64" s="804">
        <v>0</v>
      </c>
      <c r="BX64" s="804">
        <v>1</v>
      </c>
      <c r="BY64" s="804">
        <v>144745.80999999493</v>
      </c>
      <c r="BZ64" s="804">
        <v>115796</v>
      </c>
      <c r="CA64" s="804">
        <v>28949</v>
      </c>
      <c r="CB64" s="804">
        <v>0</v>
      </c>
      <c r="CC64" s="804">
        <v>289490.80999999493</v>
      </c>
      <c r="CD64" s="804">
        <v>119658</v>
      </c>
      <c r="CE64" s="804">
        <v>95725</v>
      </c>
      <c r="CF64" s="804">
        <v>-26246</v>
      </c>
      <c r="CG64" s="804">
        <v>0</v>
      </c>
      <c r="CH64" s="804">
        <v>189136.80999999493</v>
      </c>
      <c r="CI64" s="804">
        <v>23892014</v>
      </c>
      <c r="CJ64" s="804">
        <v>19420574</v>
      </c>
      <c r="CK64" s="804">
        <v>4755171</v>
      </c>
      <c r="CL64" s="804">
        <v>0</v>
      </c>
      <c r="CM64" s="804">
        <v>48067759</v>
      </c>
      <c r="CN64" s="804">
        <v>766560</v>
      </c>
      <c r="CO64" s="804">
        <v>191640</v>
      </c>
      <c r="CP64" s="804">
        <v>0</v>
      </c>
      <c r="CQ64" s="804">
        <v>958200</v>
      </c>
      <c r="CR64" s="804">
        <v>1717935</v>
      </c>
      <c r="CS64" s="804">
        <v>429484</v>
      </c>
      <c r="CT64" s="804">
        <v>0</v>
      </c>
      <c r="CU64" s="804">
        <v>2147419</v>
      </c>
      <c r="CV64" s="804">
        <v>106011</v>
      </c>
      <c r="CW64" s="804">
        <v>26503</v>
      </c>
      <c r="CX64" s="804">
        <v>0</v>
      </c>
      <c r="CY64" s="804">
        <v>132514</v>
      </c>
      <c r="CZ64" s="804">
        <v>7177</v>
      </c>
      <c r="DA64" s="804">
        <v>1794</v>
      </c>
      <c r="DB64" s="804">
        <v>0</v>
      </c>
      <c r="DC64" s="804">
        <v>8971</v>
      </c>
      <c r="DD64" s="804">
        <v>8321</v>
      </c>
      <c r="DE64" s="804">
        <v>2080</v>
      </c>
      <c r="DF64" s="804">
        <v>0</v>
      </c>
      <c r="DG64" s="804">
        <v>10401</v>
      </c>
      <c r="DH64" s="804">
        <v>28010</v>
      </c>
      <c r="DI64" s="804">
        <v>7003</v>
      </c>
      <c r="DJ64" s="804">
        <v>0</v>
      </c>
      <c r="DK64" s="804">
        <v>35013</v>
      </c>
      <c r="DL64" s="804">
        <v>5409</v>
      </c>
      <c r="DM64" s="804">
        <v>1352</v>
      </c>
      <c r="DN64" s="804">
        <v>0</v>
      </c>
      <c r="DO64" s="804">
        <v>6761</v>
      </c>
      <c r="DP64" s="804">
        <v>0</v>
      </c>
      <c r="DQ64" s="804">
        <v>0</v>
      </c>
      <c r="DR64" s="804">
        <v>0</v>
      </c>
      <c r="DS64" s="804">
        <v>0</v>
      </c>
      <c r="DT64" s="804">
        <v>0</v>
      </c>
      <c r="DU64" s="804">
        <v>0</v>
      </c>
      <c r="DV64" s="804">
        <v>0</v>
      </c>
      <c r="DW64" s="804">
        <v>0</v>
      </c>
      <c r="DX64" s="804">
        <v>620720</v>
      </c>
      <c r="DY64" s="804">
        <v>155180</v>
      </c>
      <c r="DZ64" s="804">
        <v>0</v>
      </c>
      <c r="EA64" s="804">
        <v>775900</v>
      </c>
      <c r="EB64" s="804">
        <v>3260143</v>
      </c>
      <c r="EC64" s="804">
        <v>815036</v>
      </c>
      <c r="ED64" s="804">
        <v>0</v>
      </c>
      <c r="EE64" s="804">
        <v>4075179</v>
      </c>
      <c r="EF64" s="604" t="s">
        <v>783</v>
      </c>
      <c r="EG64" s="497" t="s">
        <v>613</v>
      </c>
      <c r="EH64" s="630" t="s">
        <v>551</v>
      </c>
      <c r="EI64" s="118" t="s">
        <v>1716</v>
      </c>
    </row>
    <row r="65" spans="1:139" ht="12.75" x14ac:dyDescent="0.2">
      <c r="A65" s="805">
        <v>58</v>
      </c>
      <c r="B65" s="606" t="s">
        <v>788</v>
      </c>
      <c r="C65" s="607" t="s">
        <v>1185</v>
      </c>
      <c r="D65" s="608" t="s">
        <v>1187</v>
      </c>
      <c r="E65" s="609" t="s">
        <v>787</v>
      </c>
      <c r="F65" s="802">
        <v>24860181</v>
      </c>
      <c r="G65" s="804">
        <v>0</v>
      </c>
      <c r="H65" s="804">
        <v>75641</v>
      </c>
      <c r="I65" s="804">
        <v>129101</v>
      </c>
      <c r="J65" s="804">
        <v>0</v>
      </c>
      <c r="K65" s="804">
        <v>129101</v>
      </c>
      <c r="L65" s="804">
        <v>0</v>
      </c>
      <c r="M65" s="804">
        <v>0</v>
      </c>
      <c r="N65" s="804">
        <v>0</v>
      </c>
      <c r="O65" s="804">
        <v>0</v>
      </c>
      <c r="P65" s="804">
        <v>0</v>
      </c>
      <c r="Q65" s="804">
        <v>0</v>
      </c>
      <c r="R65" s="804">
        <v>24655439</v>
      </c>
      <c r="S65" s="804">
        <v>0.5</v>
      </c>
      <c r="T65" s="804">
        <v>0.4</v>
      </c>
      <c r="U65" s="804">
        <v>0.09</v>
      </c>
      <c r="V65" s="804">
        <v>0.01</v>
      </c>
      <c r="W65" s="804">
        <v>1</v>
      </c>
      <c r="X65" s="804">
        <v>12327719</v>
      </c>
      <c r="Y65" s="804">
        <v>9862176</v>
      </c>
      <c r="Z65" s="804">
        <v>2218990</v>
      </c>
      <c r="AA65" s="804">
        <v>246554</v>
      </c>
      <c r="AB65" s="804">
        <v>24655439</v>
      </c>
      <c r="AC65" s="804">
        <v>0</v>
      </c>
      <c r="AD65" s="804">
        <v>0</v>
      </c>
      <c r="AE65" s="804">
        <v>0</v>
      </c>
      <c r="AF65" s="804">
        <v>0</v>
      </c>
      <c r="AG65" s="804">
        <v>0</v>
      </c>
      <c r="AH65" s="804">
        <v>12327719</v>
      </c>
      <c r="AI65" s="804">
        <v>9862176</v>
      </c>
      <c r="AJ65" s="804">
        <v>2218990</v>
      </c>
      <c r="AK65" s="804">
        <v>246554</v>
      </c>
      <c r="AL65" s="804">
        <v>24655439</v>
      </c>
      <c r="AM65" s="804">
        <v>129101</v>
      </c>
      <c r="AN65" s="804">
        <v>129101</v>
      </c>
      <c r="AO65" s="804">
        <v>0</v>
      </c>
      <c r="AP65" s="804">
        <v>0</v>
      </c>
      <c r="AQ65" s="804">
        <v>0</v>
      </c>
      <c r="AR65" s="804">
        <v>0</v>
      </c>
      <c r="AS65" s="804">
        <v>0</v>
      </c>
      <c r="AT65" s="804">
        <v>0</v>
      </c>
      <c r="AU65" s="804">
        <v>0</v>
      </c>
      <c r="AV65" s="804">
        <v>0</v>
      </c>
      <c r="AW65" s="804">
        <v>0</v>
      </c>
      <c r="AX65" s="804">
        <v>0</v>
      </c>
      <c r="AY65" s="804">
        <v>0</v>
      </c>
      <c r="AZ65" s="804">
        <v>0</v>
      </c>
      <c r="BA65" s="804">
        <v>0</v>
      </c>
      <c r="BB65" s="804">
        <v>0</v>
      </c>
      <c r="BC65" s="804">
        <v>0</v>
      </c>
      <c r="BD65" s="804">
        <v>0</v>
      </c>
      <c r="BE65" s="804">
        <v>0</v>
      </c>
      <c r="BF65" s="804">
        <v>0</v>
      </c>
      <c r="BG65" s="804">
        <v>0</v>
      </c>
      <c r="BH65" s="804">
        <v>0</v>
      </c>
      <c r="BI65" s="804">
        <v>0</v>
      </c>
      <c r="BJ65" s="804">
        <v>0.25</v>
      </c>
      <c r="BK65" s="804">
        <v>0.56000000000000005</v>
      </c>
      <c r="BL65" s="804">
        <v>0.17499999999999999</v>
      </c>
      <c r="BM65" s="804">
        <v>1.4999999999999999E-2</v>
      </c>
      <c r="BN65" s="804">
        <v>1</v>
      </c>
      <c r="BO65" s="804">
        <v>-27871</v>
      </c>
      <c r="BP65" s="804">
        <v>-62430</v>
      </c>
      <c r="BQ65" s="804">
        <v>-19510</v>
      </c>
      <c r="BR65" s="804">
        <v>-1672</v>
      </c>
      <c r="BS65" s="804">
        <v>-111483</v>
      </c>
      <c r="BT65" s="804">
        <v>0.5</v>
      </c>
      <c r="BU65" s="804">
        <v>0.4</v>
      </c>
      <c r="BV65" s="804">
        <v>0.09</v>
      </c>
      <c r="BW65" s="804">
        <v>0.01</v>
      </c>
      <c r="BX65" s="804">
        <v>1</v>
      </c>
      <c r="BY65" s="804">
        <v>3</v>
      </c>
      <c r="BZ65" s="804">
        <v>2</v>
      </c>
      <c r="CA65" s="804">
        <v>1</v>
      </c>
      <c r="CB65" s="804">
        <v>0</v>
      </c>
      <c r="CC65" s="804">
        <v>6</v>
      </c>
      <c r="CD65" s="804">
        <v>-27868</v>
      </c>
      <c r="CE65" s="804">
        <v>-62428</v>
      </c>
      <c r="CF65" s="804">
        <v>-19509</v>
      </c>
      <c r="CG65" s="804">
        <v>-1672</v>
      </c>
      <c r="CH65" s="804">
        <v>-111477</v>
      </c>
      <c r="CI65" s="804">
        <v>12299851</v>
      </c>
      <c r="CJ65" s="804">
        <v>9928849</v>
      </c>
      <c r="CK65" s="804">
        <v>2199481</v>
      </c>
      <c r="CL65" s="804">
        <v>244882</v>
      </c>
      <c r="CM65" s="804">
        <v>24673063</v>
      </c>
      <c r="CN65" s="804">
        <v>395278</v>
      </c>
      <c r="CO65" s="804">
        <v>88937</v>
      </c>
      <c r="CP65" s="804">
        <v>9882</v>
      </c>
      <c r="CQ65" s="804">
        <v>494097</v>
      </c>
      <c r="CR65" s="804">
        <v>1026207</v>
      </c>
      <c r="CS65" s="804">
        <v>230897</v>
      </c>
      <c r="CT65" s="804">
        <v>25655</v>
      </c>
      <c r="CU65" s="804">
        <v>1282759</v>
      </c>
      <c r="CV65" s="804">
        <v>57653</v>
      </c>
      <c r="CW65" s="804">
        <v>12972</v>
      </c>
      <c r="CX65" s="804">
        <v>1441</v>
      </c>
      <c r="CY65" s="804">
        <v>72066</v>
      </c>
      <c r="CZ65" s="804">
        <v>0</v>
      </c>
      <c r="DA65" s="804">
        <v>0</v>
      </c>
      <c r="DB65" s="804">
        <v>0</v>
      </c>
      <c r="DC65" s="804">
        <v>0</v>
      </c>
      <c r="DD65" s="804">
        <v>1971</v>
      </c>
      <c r="DE65" s="804">
        <v>443</v>
      </c>
      <c r="DF65" s="804">
        <v>49</v>
      </c>
      <c r="DG65" s="804">
        <v>2463</v>
      </c>
      <c r="DH65" s="804">
        <v>11447</v>
      </c>
      <c r="DI65" s="804">
        <v>2576</v>
      </c>
      <c r="DJ65" s="804">
        <v>286</v>
      </c>
      <c r="DK65" s="804">
        <v>14309</v>
      </c>
      <c r="DL65" s="804">
        <v>1284</v>
      </c>
      <c r="DM65" s="804">
        <v>289</v>
      </c>
      <c r="DN65" s="804">
        <v>32</v>
      </c>
      <c r="DO65" s="804">
        <v>1605</v>
      </c>
      <c r="DP65" s="804">
        <v>0</v>
      </c>
      <c r="DQ65" s="804">
        <v>0</v>
      </c>
      <c r="DR65" s="804">
        <v>0</v>
      </c>
      <c r="DS65" s="804">
        <v>0</v>
      </c>
      <c r="DT65" s="804">
        <v>0</v>
      </c>
      <c r="DU65" s="804">
        <v>0</v>
      </c>
      <c r="DV65" s="804">
        <v>0</v>
      </c>
      <c r="DW65" s="804">
        <v>0</v>
      </c>
      <c r="DX65" s="804">
        <v>380834</v>
      </c>
      <c r="DY65" s="804">
        <v>85688</v>
      </c>
      <c r="DZ65" s="804">
        <v>9521</v>
      </c>
      <c r="EA65" s="804">
        <v>476043</v>
      </c>
      <c r="EB65" s="804">
        <v>1874674</v>
      </c>
      <c r="EC65" s="804">
        <v>421802</v>
      </c>
      <c r="ED65" s="804">
        <v>46866</v>
      </c>
      <c r="EE65" s="804">
        <v>2343342</v>
      </c>
      <c r="EF65" s="604" t="s">
        <v>787</v>
      </c>
      <c r="EG65" s="497" t="s">
        <v>590</v>
      </c>
      <c r="EH65" s="630" t="s">
        <v>588</v>
      </c>
      <c r="EI65" s="118" t="s">
        <v>1717</v>
      </c>
    </row>
    <row r="66" spans="1:139" ht="12.75" x14ac:dyDescent="0.2">
      <c r="A66" s="805">
        <v>59</v>
      </c>
      <c r="B66" s="606" t="s">
        <v>0</v>
      </c>
      <c r="C66" s="607" t="s">
        <v>1196</v>
      </c>
      <c r="D66" s="608" t="s">
        <v>1191</v>
      </c>
      <c r="E66" s="609" t="s">
        <v>789</v>
      </c>
      <c r="F66" s="802">
        <v>1223301644</v>
      </c>
      <c r="G66" s="804">
        <v>1311408</v>
      </c>
      <c r="H66" s="804">
        <v>0</v>
      </c>
      <c r="I66" s="804">
        <v>2021605</v>
      </c>
      <c r="J66" s="804">
        <v>0</v>
      </c>
      <c r="K66" s="804">
        <v>2021605</v>
      </c>
      <c r="L66" s="804">
        <v>12064000</v>
      </c>
      <c r="M66" s="804">
        <v>0</v>
      </c>
      <c r="N66" s="804">
        <v>0</v>
      </c>
      <c r="O66" s="804">
        <v>0</v>
      </c>
      <c r="P66" s="804">
        <v>0</v>
      </c>
      <c r="Q66" s="804">
        <v>0</v>
      </c>
      <c r="R66" s="804">
        <v>1210527447</v>
      </c>
      <c r="S66" s="804">
        <v>0.33</v>
      </c>
      <c r="T66" s="804">
        <v>0.3</v>
      </c>
      <c r="U66" s="804">
        <v>0.37</v>
      </c>
      <c r="V66" s="804">
        <v>0</v>
      </c>
      <c r="W66" s="804">
        <v>1</v>
      </c>
      <c r="X66" s="804">
        <v>399474058</v>
      </c>
      <c r="Y66" s="804">
        <v>363158234</v>
      </c>
      <c r="Z66" s="804">
        <v>447895155</v>
      </c>
      <c r="AA66" s="804">
        <v>0</v>
      </c>
      <c r="AB66" s="804">
        <v>1210527447</v>
      </c>
      <c r="AC66" s="804">
        <v>0</v>
      </c>
      <c r="AD66" s="804">
        <v>0</v>
      </c>
      <c r="AE66" s="804">
        <v>0</v>
      </c>
      <c r="AF66" s="804">
        <v>0</v>
      </c>
      <c r="AG66" s="804">
        <v>0</v>
      </c>
      <c r="AH66" s="804">
        <v>399474058</v>
      </c>
      <c r="AI66" s="804">
        <v>363158234</v>
      </c>
      <c r="AJ66" s="804">
        <v>447895155</v>
      </c>
      <c r="AK66" s="804">
        <v>0</v>
      </c>
      <c r="AL66" s="804">
        <v>1210527447</v>
      </c>
      <c r="AM66" s="804">
        <v>2021605</v>
      </c>
      <c r="AN66" s="804">
        <v>2021605</v>
      </c>
      <c r="AO66" s="804">
        <v>0</v>
      </c>
      <c r="AP66" s="804">
        <v>0</v>
      </c>
      <c r="AQ66" s="804">
        <v>0</v>
      </c>
      <c r="AR66" s="804">
        <v>0</v>
      </c>
      <c r="AS66" s="804">
        <v>0</v>
      </c>
      <c r="AT66" s="804">
        <v>0</v>
      </c>
      <c r="AU66" s="804">
        <v>0</v>
      </c>
      <c r="AV66" s="804">
        <v>0</v>
      </c>
      <c r="AW66" s="804">
        <v>0</v>
      </c>
      <c r="AX66" s="804">
        <v>0</v>
      </c>
      <c r="AY66" s="804">
        <v>0</v>
      </c>
      <c r="AZ66" s="804">
        <v>0</v>
      </c>
      <c r="BA66" s="804">
        <v>0</v>
      </c>
      <c r="BB66" s="804">
        <v>12064000</v>
      </c>
      <c r="BC66" s="804">
        <v>12064000</v>
      </c>
      <c r="BD66" s="804">
        <v>0</v>
      </c>
      <c r="BE66" s="804">
        <v>0</v>
      </c>
      <c r="BF66" s="804">
        <v>0</v>
      </c>
      <c r="BG66" s="804">
        <v>0</v>
      </c>
      <c r="BH66" s="804">
        <v>0</v>
      </c>
      <c r="BI66" s="804">
        <v>0</v>
      </c>
      <c r="BJ66" s="804">
        <v>0.25</v>
      </c>
      <c r="BK66" s="804">
        <v>0.48</v>
      </c>
      <c r="BL66" s="804">
        <v>0.27</v>
      </c>
      <c r="BM66" s="804">
        <v>0</v>
      </c>
      <c r="BN66" s="804">
        <v>1</v>
      </c>
      <c r="BO66" s="804">
        <v>8418430</v>
      </c>
      <c r="BP66" s="804">
        <v>16163387</v>
      </c>
      <c r="BQ66" s="804">
        <v>9091905</v>
      </c>
      <c r="BR66" s="804">
        <v>0</v>
      </c>
      <c r="BS66" s="804">
        <v>33673722</v>
      </c>
      <c r="BT66" s="804">
        <v>0</v>
      </c>
      <c r="BU66" s="804">
        <v>0.64</v>
      </c>
      <c r="BV66" s="804">
        <v>0.36</v>
      </c>
      <c r="BW66" s="804">
        <v>0</v>
      </c>
      <c r="BX66" s="804">
        <v>1</v>
      </c>
      <c r="BY66" s="804">
        <v>0</v>
      </c>
      <c r="BZ66" s="804">
        <v>3021445</v>
      </c>
      <c r="CA66" s="804">
        <v>1699563</v>
      </c>
      <c r="CB66" s="804">
        <v>0</v>
      </c>
      <c r="CC66" s="804">
        <v>4721008</v>
      </c>
      <c r="CD66" s="804">
        <v>8418430</v>
      </c>
      <c r="CE66" s="804">
        <v>19184832</v>
      </c>
      <c r="CF66" s="804">
        <v>10791468</v>
      </c>
      <c r="CG66" s="804">
        <v>0</v>
      </c>
      <c r="CH66" s="804">
        <v>38394730</v>
      </c>
      <c r="CI66" s="804">
        <v>407892488</v>
      </c>
      <c r="CJ66" s="804">
        <v>396428671</v>
      </c>
      <c r="CK66" s="804">
        <v>458686623</v>
      </c>
      <c r="CL66" s="804">
        <v>0</v>
      </c>
      <c r="CM66" s="804">
        <v>1263007782</v>
      </c>
      <c r="CN66" s="804">
        <v>15038967</v>
      </c>
      <c r="CO66" s="804">
        <v>17951710</v>
      </c>
      <c r="CP66" s="804">
        <v>0</v>
      </c>
      <c r="CQ66" s="804">
        <v>32990677</v>
      </c>
      <c r="CR66" s="804">
        <v>289924</v>
      </c>
      <c r="CS66" s="804">
        <v>357573</v>
      </c>
      <c r="CT66" s="804">
        <v>0</v>
      </c>
      <c r="CU66" s="804">
        <v>647497</v>
      </c>
      <c r="CV66" s="804">
        <v>258731</v>
      </c>
      <c r="CW66" s="804">
        <v>319102</v>
      </c>
      <c r="CX66" s="804">
        <v>0</v>
      </c>
      <c r="CY66" s="804">
        <v>577833</v>
      </c>
      <c r="CZ66" s="804">
        <v>0</v>
      </c>
      <c r="DA66" s="804">
        <v>0</v>
      </c>
      <c r="DB66" s="804">
        <v>0</v>
      </c>
      <c r="DC66" s="804">
        <v>0</v>
      </c>
      <c r="DD66" s="804">
        <v>0</v>
      </c>
      <c r="DE66" s="804">
        <v>0</v>
      </c>
      <c r="DF66" s="804">
        <v>0</v>
      </c>
      <c r="DG66" s="804">
        <v>0</v>
      </c>
      <c r="DH66" s="804">
        <v>6267</v>
      </c>
      <c r="DI66" s="804">
        <v>7729</v>
      </c>
      <c r="DJ66" s="804">
        <v>0</v>
      </c>
      <c r="DK66" s="804">
        <v>13996</v>
      </c>
      <c r="DL66" s="804">
        <v>49300</v>
      </c>
      <c r="DM66" s="804">
        <v>60803</v>
      </c>
      <c r="DN66" s="804">
        <v>0</v>
      </c>
      <c r="DO66" s="804">
        <v>110103</v>
      </c>
      <c r="DP66" s="804">
        <v>0</v>
      </c>
      <c r="DQ66" s="804">
        <v>0</v>
      </c>
      <c r="DR66" s="804">
        <v>0</v>
      </c>
      <c r="DS66" s="804">
        <v>0</v>
      </c>
      <c r="DT66" s="804">
        <v>0</v>
      </c>
      <c r="DU66" s="804">
        <v>0</v>
      </c>
      <c r="DV66" s="804">
        <v>0</v>
      </c>
      <c r="DW66" s="804">
        <v>0</v>
      </c>
      <c r="DX66" s="804">
        <v>733030</v>
      </c>
      <c r="DY66" s="804">
        <v>904070</v>
      </c>
      <c r="DZ66" s="804">
        <v>0</v>
      </c>
      <c r="EA66" s="804">
        <v>1637100</v>
      </c>
      <c r="EB66" s="804">
        <v>16376219</v>
      </c>
      <c r="EC66" s="804">
        <v>19600987</v>
      </c>
      <c r="ED66" s="804">
        <v>0</v>
      </c>
      <c r="EE66" s="804">
        <v>35977206</v>
      </c>
      <c r="EF66" s="604" t="s">
        <v>789</v>
      </c>
      <c r="EG66" s="497" t="s">
        <v>39</v>
      </c>
      <c r="EH66" s="243" t="s">
        <v>523</v>
      </c>
      <c r="EI66" s="118" t="s">
        <v>1718</v>
      </c>
    </row>
    <row r="67" spans="1:139" ht="12.75" x14ac:dyDescent="0.2">
      <c r="A67" s="805">
        <v>60</v>
      </c>
      <c r="B67" s="606" t="s">
        <v>2</v>
      </c>
      <c r="C67" s="607" t="s">
        <v>1185</v>
      </c>
      <c r="D67" s="608" t="s">
        <v>1189</v>
      </c>
      <c r="E67" s="609" t="s">
        <v>1</v>
      </c>
      <c r="F67" s="802">
        <v>64565524</v>
      </c>
      <c r="G67" s="804">
        <v>0</v>
      </c>
      <c r="H67" s="804">
        <v>132735</v>
      </c>
      <c r="I67" s="804">
        <v>241096</v>
      </c>
      <c r="J67" s="804">
        <v>10000</v>
      </c>
      <c r="K67" s="804">
        <v>251096</v>
      </c>
      <c r="L67" s="804">
        <v>0</v>
      </c>
      <c r="M67" s="804">
        <v>0</v>
      </c>
      <c r="N67" s="804">
        <v>0</v>
      </c>
      <c r="O67" s="804">
        <v>0</v>
      </c>
      <c r="P67" s="804">
        <v>0</v>
      </c>
      <c r="Q67" s="804">
        <v>0</v>
      </c>
      <c r="R67" s="804">
        <v>64181693</v>
      </c>
      <c r="S67" s="804">
        <v>0.5</v>
      </c>
      <c r="T67" s="804">
        <v>0.4</v>
      </c>
      <c r="U67" s="804">
        <v>0.09</v>
      </c>
      <c r="V67" s="804">
        <v>0.01</v>
      </c>
      <c r="W67" s="804">
        <v>1</v>
      </c>
      <c r="X67" s="804">
        <v>32090847</v>
      </c>
      <c r="Y67" s="804">
        <v>25672677</v>
      </c>
      <c r="Z67" s="804">
        <v>5776352</v>
      </c>
      <c r="AA67" s="804">
        <v>641817</v>
      </c>
      <c r="AB67" s="804">
        <v>64181693</v>
      </c>
      <c r="AC67" s="804">
        <v>0</v>
      </c>
      <c r="AD67" s="804">
        <v>0</v>
      </c>
      <c r="AE67" s="804">
        <v>0</v>
      </c>
      <c r="AF67" s="804">
        <v>0</v>
      </c>
      <c r="AG67" s="804">
        <v>0</v>
      </c>
      <c r="AH67" s="804">
        <v>32090847</v>
      </c>
      <c r="AI67" s="804">
        <v>25672677</v>
      </c>
      <c r="AJ67" s="804">
        <v>5776352</v>
      </c>
      <c r="AK67" s="804">
        <v>641817</v>
      </c>
      <c r="AL67" s="804">
        <v>64181693</v>
      </c>
      <c r="AM67" s="804">
        <v>251096</v>
      </c>
      <c r="AN67" s="804">
        <v>251096</v>
      </c>
      <c r="AO67" s="804">
        <v>0</v>
      </c>
      <c r="AP67" s="804">
        <v>0</v>
      </c>
      <c r="AQ67" s="804">
        <v>0</v>
      </c>
      <c r="AR67" s="804">
        <v>0</v>
      </c>
      <c r="AS67" s="804">
        <v>0</v>
      </c>
      <c r="AT67" s="804">
        <v>0</v>
      </c>
      <c r="AU67" s="804">
        <v>0</v>
      </c>
      <c r="AV67" s="804">
        <v>0</v>
      </c>
      <c r="AW67" s="804">
        <v>0</v>
      </c>
      <c r="AX67" s="804">
        <v>0</v>
      </c>
      <c r="AY67" s="804">
        <v>0</v>
      </c>
      <c r="AZ67" s="804">
        <v>0</v>
      </c>
      <c r="BA67" s="804">
        <v>0</v>
      </c>
      <c r="BB67" s="804">
        <v>0</v>
      </c>
      <c r="BC67" s="804">
        <v>0</v>
      </c>
      <c r="BD67" s="804">
        <v>0</v>
      </c>
      <c r="BE67" s="804">
        <v>0</v>
      </c>
      <c r="BF67" s="804">
        <v>0</v>
      </c>
      <c r="BG67" s="804">
        <v>0</v>
      </c>
      <c r="BH67" s="804">
        <v>0</v>
      </c>
      <c r="BI67" s="804">
        <v>0</v>
      </c>
      <c r="BJ67" s="804">
        <v>0.5</v>
      </c>
      <c r="BK67" s="804">
        <v>0.4</v>
      </c>
      <c r="BL67" s="804">
        <v>0.09</v>
      </c>
      <c r="BM67" s="804">
        <v>0.01</v>
      </c>
      <c r="BN67" s="804">
        <v>1</v>
      </c>
      <c r="BO67" s="804">
        <v>1060125</v>
      </c>
      <c r="BP67" s="804">
        <v>848100</v>
      </c>
      <c r="BQ67" s="804">
        <v>190823</v>
      </c>
      <c r="BR67" s="804">
        <v>21203</v>
      </c>
      <c r="BS67" s="804">
        <v>2120251</v>
      </c>
      <c r="BT67" s="804">
        <v>0.5</v>
      </c>
      <c r="BU67" s="804">
        <v>0.4</v>
      </c>
      <c r="BV67" s="804">
        <v>0.09</v>
      </c>
      <c r="BW67" s="804">
        <v>0.01</v>
      </c>
      <c r="BX67" s="804">
        <v>1</v>
      </c>
      <c r="BY67" s="804">
        <v>-1666597</v>
      </c>
      <c r="BZ67" s="804">
        <v>-1333278</v>
      </c>
      <c r="CA67" s="804">
        <v>-299987</v>
      </c>
      <c r="CB67" s="804">
        <v>-33332</v>
      </c>
      <c r="CC67" s="804">
        <v>-3333194</v>
      </c>
      <c r="CD67" s="804">
        <v>-606472</v>
      </c>
      <c r="CE67" s="804">
        <v>-485177</v>
      </c>
      <c r="CF67" s="804">
        <v>-109165</v>
      </c>
      <c r="CG67" s="804">
        <v>-12129</v>
      </c>
      <c r="CH67" s="804">
        <v>-1212943</v>
      </c>
      <c r="CI67" s="804">
        <v>31484375</v>
      </c>
      <c r="CJ67" s="804">
        <v>25438596</v>
      </c>
      <c r="CK67" s="804">
        <v>5667187</v>
      </c>
      <c r="CL67" s="804">
        <v>629688</v>
      </c>
      <c r="CM67" s="804">
        <v>63219846</v>
      </c>
      <c r="CN67" s="804">
        <v>1028965</v>
      </c>
      <c r="CO67" s="804">
        <v>231517</v>
      </c>
      <c r="CP67" s="804">
        <v>25724</v>
      </c>
      <c r="CQ67" s="804">
        <v>1286206</v>
      </c>
      <c r="CR67" s="804">
        <v>1823970</v>
      </c>
      <c r="CS67" s="804">
        <v>410393</v>
      </c>
      <c r="CT67" s="804">
        <v>45599</v>
      </c>
      <c r="CU67" s="804">
        <v>2279962</v>
      </c>
      <c r="CV67" s="804">
        <v>131515</v>
      </c>
      <c r="CW67" s="804">
        <v>29591</v>
      </c>
      <c r="CX67" s="804">
        <v>3288</v>
      </c>
      <c r="CY67" s="804">
        <v>164394</v>
      </c>
      <c r="CZ67" s="804">
        <v>0</v>
      </c>
      <c r="DA67" s="804">
        <v>0</v>
      </c>
      <c r="DB67" s="804">
        <v>0</v>
      </c>
      <c r="DC67" s="804">
        <v>0</v>
      </c>
      <c r="DD67" s="804">
        <v>2566</v>
      </c>
      <c r="DE67" s="804">
        <v>577</v>
      </c>
      <c r="DF67" s="804">
        <v>64</v>
      </c>
      <c r="DG67" s="804">
        <v>3207</v>
      </c>
      <c r="DH67" s="804">
        <v>5407</v>
      </c>
      <c r="DI67" s="804">
        <v>1216</v>
      </c>
      <c r="DJ67" s="804">
        <v>135</v>
      </c>
      <c r="DK67" s="804">
        <v>6758</v>
      </c>
      <c r="DL67" s="804">
        <v>3536</v>
      </c>
      <c r="DM67" s="804">
        <v>796</v>
      </c>
      <c r="DN67" s="804">
        <v>88</v>
      </c>
      <c r="DO67" s="804">
        <v>4420</v>
      </c>
      <c r="DP67" s="804">
        <v>0</v>
      </c>
      <c r="DQ67" s="804">
        <v>0</v>
      </c>
      <c r="DR67" s="804">
        <v>0</v>
      </c>
      <c r="DS67" s="804">
        <v>0</v>
      </c>
      <c r="DT67" s="804">
        <v>0</v>
      </c>
      <c r="DU67" s="804">
        <v>0</v>
      </c>
      <c r="DV67" s="804">
        <v>0</v>
      </c>
      <c r="DW67" s="804">
        <v>0</v>
      </c>
      <c r="DX67" s="804">
        <v>802911</v>
      </c>
      <c r="DY67" s="804">
        <v>180655</v>
      </c>
      <c r="DZ67" s="804">
        <v>20073</v>
      </c>
      <c r="EA67" s="804">
        <v>1003639</v>
      </c>
      <c r="EB67" s="804">
        <v>3798870</v>
      </c>
      <c r="EC67" s="804">
        <v>854745</v>
      </c>
      <c r="ED67" s="804">
        <v>94971</v>
      </c>
      <c r="EE67" s="804">
        <v>4748586</v>
      </c>
      <c r="EF67" s="604" t="s">
        <v>1</v>
      </c>
      <c r="EG67" s="497" t="s">
        <v>570</v>
      </c>
      <c r="EH67" s="630" t="s">
        <v>568</v>
      </c>
      <c r="EI67" s="118" t="s">
        <v>1719</v>
      </c>
    </row>
    <row r="68" spans="1:139" ht="12.75" x14ac:dyDescent="0.2">
      <c r="A68" s="805">
        <v>61</v>
      </c>
      <c r="B68" s="606" t="s">
        <v>4</v>
      </c>
      <c r="C68" s="607" t="s">
        <v>1185</v>
      </c>
      <c r="D68" s="608" t="s">
        <v>1187</v>
      </c>
      <c r="E68" s="609" t="s">
        <v>3</v>
      </c>
      <c r="F68" s="802">
        <v>39049000</v>
      </c>
      <c r="G68" s="804">
        <v>0</v>
      </c>
      <c r="H68" s="804">
        <v>2994402</v>
      </c>
      <c r="I68" s="804">
        <v>101274</v>
      </c>
      <c r="J68" s="804">
        <v>0</v>
      </c>
      <c r="K68" s="804">
        <v>101274</v>
      </c>
      <c r="L68" s="804">
        <v>0</v>
      </c>
      <c r="M68" s="804">
        <v>0</v>
      </c>
      <c r="N68" s="804">
        <v>63957</v>
      </c>
      <c r="O68" s="804">
        <v>63957</v>
      </c>
      <c r="P68" s="804">
        <v>0</v>
      </c>
      <c r="Q68" s="804">
        <v>0</v>
      </c>
      <c r="R68" s="804">
        <v>35889367</v>
      </c>
      <c r="S68" s="804">
        <v>0.5</v>
      </c>
      <c r="T68" s="804">
        <v>0.4</v>
      </c>
      <c r="U68" s="804">
        <v>0.1</v>
      </c>
      <c r="V68" s="804">
        <v>0</v>
      </c>
      <c r="W68" s="804">
        <v>1</v>
      </c>
      <c r="X68" s="804">
        <v>17944683</v>
      </c>
      <c r="Y68" s="804">
        <v>14355747</v>
      </c>
      <c r="Z68" s="804">
        <v>3588937</v>
      </c>
      <c r="AA68" s="804">
        <v>0</v>
      </c>
      <c r="AB68" s="804">
        <v>35889367</v>
      </c>
      <c r="AC68" s="804">
        <v>0</v>
      </c>
      <c r="AD68" s="804">
        <v>0</v>
      </c>
      <c r="AE68" s="804">
        <v>0</v>
      </c>
      <c r="AF68" s="804">
        <v>0</v>
      </c>
      <c r="AG68" s="804">
        <v>0</v>
      </c>
      <c r="AH68" s="804">
        <v>17944683</v>
      </c>
      <c r="AI68" s="804">
        <v>14355747</v>
      </c>
      <c r="AJ68" s="804">
        <v>3588937</v>
      </c>
      <c r="AK68" s="804">
        <v>0</v>
      </c>
      <c r="AL68" s="804">
        <v>35889367</v>
      </c>
      <c r="AM68" s="804">
        <v>101274</v>
      </c>
      <c r="AN68" s="804">
        <v>101274</v>
      </c>
      <c r="AO68" s="804">
        <v>0</v>
      </c>
      <c r="AP68" s="804">
        <v>0</v>
      </c>
      <c r="AQ68" s="804">
        <v>63957</v>
      </c>
      <c r="AR68" s="804">
        <v>0</v>
      </c>
      <c r="AS68" s="804">
        <v>63957</v>
      </c>
      <c r="AT68" s="804">
        <v>0</v>
      </c>
      <c r="AU68" s="804">
        <v>0</v>
      </c>
      <c r="AV68" s="804">
        <v>0</v>
      </c>
      <c r="AW68" s="804">
        <v>0</v>
      </c>
      <c r="AX68" s="804">
        <v>0</v>
      </c>
      <c r="AY68" s="804">
        <v>0</v>
      </c>
      <c r="AZ68" s="804">
        <v>0</v>
      </c>
      <c r="BA68" s="804">
        <v>0</v>
      </c>
      <c r="BB68" s="804">
        <v>0</v>
      </c>
      <c r="BC68" s="804">
        <v>0</v>
      </c>
      <c r="BD68" s="804">
        <v>0</v>
      </c>
      <c r="BE68" s="804">
        <v>0</v>
      </c>
      <c r="BF68" s="804">
        <v>0</v>
      </c>
      <c r="BG68" s="804">
        <v>0</v>
      </c>
      <c r="BH68" s="804">
        <v>0</v>
      </c>
      <c r="BI68" s="804">
        <v>0</v>
      </c>
      <c r="BJ68" s="804">
        <v>0.5</v>
      </c>
      <c r="BK68" s="804">
        <v>0.4</v>
      </c>
      <c r="BL68" s="804">
        <v>0.1</v>
      </c>
      <c r="BM68" s="804">
        <v>0</v>
      </c>
      <c r="BN68" s="804">
        <v>1</v>
      </c>
      <c r="BO68" s="804">
        <v>23733</v>
      </c>
      <c r="BP68" s="804">
        <v>18986</v>
      </c>
      <c r="BQ68" s="804">
        <v>4747</v>
      </c>
      <c r="BR68" s="804">
        <v>0</v>
      </c>
      <c r="BS68" s="804">
        <v>47466</v>
      </c>
      <c r="BT68" s="804">
        <v>0.5</v>
      </c>
      <c r="BU68" s="804">
        <v>0.4</v>
      </c>
      <c r="BV68" s="804">
        <v>0.1</v>
      </c>
      <c r="BW68" s="804">
        <v>0</v>
      </c>
      <c r="BX68" s="804">
        <v>1</v>
      </c>
      <c r="BY68" s="804">
        <v>-96011</v>
      </c>
      <c r="BZ68" s="804">
        <v>-76808</v>
      </c>
      <c r="CA68" s="804">
        <v>-19202</v>
      </c>
      <c r="CB68" s="804">
        <v>0</v>
      </c>
      <c r="CC68" s="804">
        <v>-192021</v>
      </c>
      <c r="CD68" s="804">
        <v>-72278</v>
      </c>
      <c r="CE68" s="804">
        <v>-57822</v>
      </c>
      <c r="CF68" s="804">
        <v>-14455</v>
      </c>
      <c r="CG68" s="804">
        <v>0</v>
      </c>
      <c r="CH68" s="804">
        <v>-144555</v>
      </c>
      <c r="CI68" s="804">
        <v>17872405</v>
      </c>
      <c r="CJ68" s="804">
        <v>14463156</v>
      </c>
      <c r="CK68" s="804">
        <v>3574482</v>
      </c>
      <c r="CL68" s="804">
        <v>0</v>
      </c>
      <c r="CM68" s="804">
        <v>35910043</v>
      </c>
      <c r="CN68" s="804">
        <v>577944</v>
      </c>
      <c r="CO68" s="804">
        <v>143845</v>
      </c>
      <c r="CP68" s="804">
        <v>0</v>
      </c>
      <c r="CQ68" s="804">
        <v>721789</v>
      </c>
      <c r="CR68" s="804">
        <v>684933</v>
      </c>
      <c r="CS68" s="804">
        <v>171233</v>
      </c>
      <c r="CT68" s="804">
        <v>0</v>
      </c>
      <c r="CU68" s="804">
        <v>856166</v>
      </c>
      <c r="CV68" s="804">
        <v>37391</v>
      </c>
      <c r="CW68" s="804">
        <v>9348</v>
      </c>
      <c r="CX68" s="804">
        <v>0</v>
      </c>
      <c r="CY68" s="804">
        <v>46739</v>
      </c>
      <c r="CZ68" s="804">
        <v>0</v>
      </c>
      <c r="DA68" s="804">
        <v>0</v>
      </c>
      <c r="DB68" s="804">
        <v>0</v>
      </c>
      <c r="DC68" s="804">
        <v>0</v>
      </c>
      <c r="DD68" s="804">
        <v>8093</v>
      </c>
      <c r="DE68" s="804">
        <v>2023</v>
      </c>
      <c r="DF68" s="804">
        <v>0</v>
      </c>
      <c r="DG68" s="804">
        <v>10116</v>
      </c>
      <c r="DH68" s="804">
        <v>7931</v>
      </c>
      <c r="DI68" s="804">
        <v>1983</v>
      </c>
      <c r="DJ68" s="804">
        <v>0</v>
      </c>
      <c r="DK68" s="804">
        <v>9914</v>
      </c>
      <c r="DL68" s="804">
        <v>2378</v>
      </c>
      <c r="DM68" s="804">
        <v>594</v>
      </c>
      <c r="DN68" s="804">
        <v>0</v>
      </c>
      <c r="DO68" s="804">
        <v>2972</v>
      </c>
      <c r="DP68" s="804">
        <v>0</v>
      </c>
      <c r="DQ68" s="804">
        <v>0</v>
      </c>
      <c r="DR68" s="804">
        <v>0</v>
      </c>
      <c r="DS68" s="804">
        <v>0</v>
      </c>
      <c r="DT68" s="804">
        <v>0</v>
      </c>
      <c r="DU68" s="804">
        <v>0</v>
      </c>
      <c r="DV68" s="804">
        <v>0</v>
      </c>
      <c r="DW68" s="804">
        <v>0</v>
      </c>
      <c r="DX68" s="804">
        <v>179965</v>
      </c>
      <c r="DY68" s="804">
        <v>44991</v>
      </c>
      <c r="DZ68" s="804">
        <v>0</v>
      </c>
      <c r="EA68" s="804">
        <v>224956</v>
      </c>
      <c r="EB68" s="804">
        <v>1498635</v>
      </c>
      <c r="EC68" s="804">
        <v>374017</v>
      </c>
      <c r="ED68" s="804">
        <v>0</v>
      </c>
      <c r="EE68" s="804">
        <v>1872652</v>
      </c>
      <c r="EF68" s="604" t="s">
        <v>3</v>
      </c>
      <c r="EG68" s="497" t="s">
        <v>552</v>
      </c>
      <c r="EH68" s="630" t="s">
        <v>551</v>
      </c>
      <c r="EI68" s="118" t="s">
        <v>1720</v>
      </c>
    </row>
    <row r="69" spans="1:139" ht="12.75" x14ac:dyDescent="0.2">
      <c r="A69" s="805">
        <v>62</v>
      </c>
      <c r="B69" s="606" t="s">
        <v>6</v>
      </c>
      <c r="C69" s="607" t="s">
        <v>1185</v>
      </c>
      <c r="D69" s="608" t="s">
        <v>1188</v>
      </c>
      <c r="E69" s="609" t="s">
        <v>5</v>
      </c>
      <c r="F69" s="802">
        <v>40712591</v>
      </c>
      <c r="G69" s="804">
        <v>0</v>
      </c>
      <c r="H69" s="804">
        <v>510170</v>
      </c>
      <c r="I69" s="804">
        <v>87272</v>
      </c>
      <c r="J69" s="804">
        <v>0</v>
      </c>
      <c r="K69" s="804">
        <v>87272</v>
      </c>
      <c r="L69" s="804">
        <v>0</v>
      </c>
      <c r="M69" s="804">
        <v>0</v>
      </c>
      <c r="N69" s="804">
        <v>0</v>
      </c>
      <c r="O69" s="804">
        <v>0</v>
      </c>
      <c r="P69" s="804">
        <v>0</v>
      </c>
      <c r="Q69" s="804">
        <v>0</v>
      </c>
      <c r="R69" s="804">
        <v>40115149</v>
      </c>
      <c r="S69" s="804">
        <v>0.5</v>
      </c>
      <c r="T69" s="804">
        <v>0.4</v>
      </c>
      <c r="U69" s="804">
        <v>0.09</v>
      </c>
      <c r="V69" s="804">
        <v>0.01</v>
      </c>
      <c r="W69" s="804">
        <v>1</v>
      </c>
      <c r="X69" s="804">
        <v>20057575</v>
      </c>
      <c r="Y69" s="804">
        <v>16046060</v>
      </c>
      <c r="Z69" s="804">
        <v>3610363</v>
      </c>
      <c r="AA69" s="804">
        <v>401151</v>
      </c>
      <c r="AB69" s="804">
        <v>40115149</v>
      </c>
      <c r="AC69" s="804">
        <v>0</v>
      </c>
      <c r="AD69" s="804">
        <v>0</v>
      </c>
      <c r="AE69" s="804">
        <v>0</v>
      </c>
      <c r="AF69" s="804">
        <v>0</v>
      </c>
      <c r="AG69" s="804">
        <v>0</v>
      </c>
      <c r="AH69" s="804">
        <v>20057575</v>
      </c>
      <c r="AI69" s="804">
        <v>16046060</v>
      </c>
      <c r="AJ69" s="804">
        <v>3610363</v>
      </c>
      <c r="AK69" s="804">
        <v>401151</v>
      </c>
      <c r="AL69" s="804">
        <v>40115149</v>
      </c>
      <c r="AM69" s="804">
        <v>87272</v>
      </c>
      <c r="AN69" s="804">
        <v>87272</v>
      </c>
      <c r="AO69" s="804">
        <v>0</v>
      </c>
      <c r="AP69" s="804">
        <v>0</v>
      </c>
      <c r="AQ69" s="804">
        <v>0</v>
      </c>
      <c r="AR69" s="804">
        <v>0</v>
      </c>
      <c r="AS69" s="804">
        <v>0</v>
      </c>
      <c r="AT69" s="804">
        <v>0</v>
      </c>
      <c r="AU69" s="804">
        <v>0</v>
      </c>
      <c r="AV69" s="804">
        <v>0</v>
      </c>
      <c r="AW69" s="804">
        <v>0</v>
      </c>
      <c r="AX69" s="804">
        <v>0</v>
      </c>
      <c r="AY69" s="804">
        <v>0</v>
      </c>
      <c r="AZ69" s="804">
        <v>0</v>
      </c>
      <c r="BA69" s="804">
        <v>0</v>
      </c>
      <c r="BB69" s="804">
        <v>0</v>
      </c>
      <c r="BC69" s="804">
        <v>0</v>
      </c>
      <c r="BD69" s="804">
        <v>0</v>
      </c>
      <c r="BE69" s="804">
        <v>0</v>
      </c>
      <c r="BF69" s="804">
        <v>0</v>
      </c>
      <c r="BG69" s="804">
        <v>0</v>
      </c>
      <c r="BH69" s="804">
        <v>0</v>
      </c>
      <c r="BI69" s="804">
        <v>0</v>
      </c>
      <c r="BJ69" s="804">
        <v>0.25</v>
      </c>
      <c r="BK69" s="804">
        <v>0.4</v>
      </c>
      <c r="BL69" s="804">
        <v>0.33999999999999997</v>
      </c>
      <c r="BM69" s="804">
        <v>0.01</v>
      </c>
      <c r="BN69" s="804">
        <v>1</v>
      </c>
      <c r="BO69" s="804">
        <v>596379</v>
      </c>
      <c r="BP69" s="804">
        <v>954206</v>
      </c>
      <c r="BQ69" s="804">
        <v>811075</v>
      </c>
      <c r="BR69" s="804">
        <v>23855</v>
      </c>
      <c r="BS69" s="804">
        <v>2385515</v>
      </c>
      <c r="BT69" s="804">
        <v>0.5</v>
      </c>
      <c r="BU69" s="804">
        <v>0.4</v>
      </c>
      <c r="BV69" s="804">
        <v>0.1</v>
      </c>
      <c r="BW69" s="804">
        <v>0</v>
      </c>
      <c r="BX69" s="804">
        <v>1</v>
      </c>
      <c r="BY69" s="804">
        <v>814742</v>
      </c>
      <c r="BZ69" s="804">
        <v>651793</v>
      </c>
      <c r="CA69" s="804">
        <v>162948</v>
      </c>
      <c r="CB69" s="804">
        <v>0</v>
      </c>
      <c r="CC69" s="804">
        <v>1629483</v>
      </c>
      <c r="CD69" s="804">
        <v>1411121</v>
      </c>
      <c r="CE69" s="804">
        <v>1605999</v>
      </c>
      <c r="CF69" s="804">
        <v>974023</v>
      </c>
      <c r="CG69" s="804">
        <v>23855</v>
      </c>
      <c r="CH69" s="804">
        <v>4014998</v>
      </c>
      <c r="CI69" s="804">
        <v>21468696</v>
      </c>
      <c r="CJ69" s="804">
        <v>17739331</v>
      </c>
      <c r="CK69" s="804">
        <v>4584386</v>
      </c>
      <c r="CL69" s="804">
        <v>425006</v>
      </c>
      <c r="CM69" s="804">
        <v>44217419</v>
      </c>
      <c r="CN69" s="804">
        <v>643129</v>
      </c>
      <c r="CO69" s="804">
        <v>144704</v>
      </c>
      <c r="CP69" s="804">
        <v>16078</v>
      </c>
      <c r="CQ69" s="804">
        <v>803911</v>
      </c>
      <c r="CR69" s="804">
        <v>567064</v>
      </c>
      <c r="CS69" s="804">
        <v>127590</v>
      </c>
      <c r="CT69" s="804">
        <v>14177</v>
      </c>
      <c r="CU69" s="804">
        <v>708831</v>
      </c>
      <c r="CV69" s="804">
        <v>0</v>
      </c>
      <c r="CW69" s="804">
        <v>0</v>
      </c>
      <c r="CX69" s="804">
        <v>0</v>
      </c>
      <c r="CY69" s="804">
        <v>0</v>
      </c>
      <c r="CZ69" s="804">
        <v>0</v>
      </c>
      <c r="DA69" s="804">
        <v>0</v>
      </c>
      <c r="DB69" s="804">
        <v>0</v>
      </c>
      <c r="DC69" s="804">
        <v>0</v>
      </c>
      <c r="DD69" s="804">
        <v>0</v>
      </c>
      <c r="DE69" s="804">
        <v>0</v>
      </c>
      <c r="DF69" s="804">
        <v>0</v>
      </c>
      <c r="DG69" s="804">
        <v>0</v>
      </c>
      <c r="DH69" s="804">
        <v>0</v>
      </c>
      <c r="DI69" s="804">
        <v>0</v>
      </c>
      <c r="DJ69" s="804">
        <v>0</v>
      </c>
      <c r="DK69" s="804">
        <v>0</v>
      </c>
      <c r="DL69" s="804">
        <v>1384</v>
      </c>
      <c r="DM69" s="804">
        <v>311</v>
      </c>
      <c r="DN69" s="804">
        <v>35</v>
      </c>
      <c r="DO69" s="804">
        <v>1730</v>
      </c>
      <c r="DP69" s="804">
        <v>0</v>
      </c>
      <c r="DQ69" s="804">
        <v>0</v>
      </c>
      <c r="DR69" s="804">
        <v>0</v>
      </c>
      <c r="DS69" s="804">
        <v>0</v>
      </c>
      <c r="DT69" s="804">
        <v>0</v>
      </c>
      <c r="DU69" s="804">
        <v>0</v>
      </c>
      <c r="DV69" s="804">
        <v>0</v>
      </c>
      <c r="DW69" s="804">
        <v>0</v>
      </c>
      <c r="DX69" s="804">
        <v>137291</v>
      </c>
      <c r="DY69" s="804">
        <v>30890</v>
      </c>
      <c r="DZ69" s="804">
        <v>3432</v>
      </c>
      <c r="EA69" s="804">
        <v>171613</v>
      </c>
      <c r="EB69" s="804">
        <v>1348868</v>
      </c>
      <c r="EC69" s="804">
        <v>303495</v>
      </c>
      <c r="ED69" s="804">
        <v>33722</v>
      </c>
      <c r="EE69" s="804">
        <v>1686085</v>
      </c>
      <c r="EF69" s="604" t="s">
        <v>5</v>
      </c>
      <c r="EG69" s="497" t="s">
        <v>600</v>
      </c>
      <c r="EH69" s="630" t="s">
        <v>551</v>
      </c>
      <c r="EI69" s="118" t="s">
        <v>1721</v>
      </c>
    </row>
    <row r="70" spans="1:139" ht="12.75" x14ac:dyDescent="0.2">
      <c r="A70" s="805">
        <v>63</v>
      </c>
      <c r="B70" s="606" t="s">
        <v>8</v>
      </c>
      <c r="C70" s="607" t="s">
        <v>524</v>
      </c>
      <c r="D70" s="608" t="s">
        <v>1194</v>
      </c>
      <c r="E70" s="609" t="s">
        <v>7</v>
      </c>
      <c r="F70" s="802">
        <v>157194638</v>
      </c>
      <c r="G70" s="804">
        <v>0</v>
      </c>
      <c r="H70" s="804">
        <v>62414</v>
      </c>
      <c r="I70" s="804">
        <v>1154998</v>
      </c>
      <c r="J70" s="804">
        <v>0</v>
      </c>
      <c r="K70" s="804">
        <v>1154998</v>
      </c>
      <c r="L70" s="804">
        <v>0</v>
      </c>
      <c r="M70" s="804">
        <v>215978</v>
      </c>
      <c r="N70" s="804">
        <v>2000000</v>
      </c>
      <c r="O70" s="804">
        <v>2000000</v>
      </c>
      <c r="P70" s="804">
        <v>0</v>
      </c>
      <c r="Q70" s="804">
        <v>0</v>
      </c>
      <c r="R70" s="804">
        <v>153761248</v>
      </c>
      <c r="S70" s="804">
        <v>0</v>
      </c>
      <c r="T70" s="804">
        <v>1</v>
      </c>
      <c r="U70" s="804">
        <v>0</v>
      </c>
      <c r="V70" s="804">
        <v>0</v>
      </c>
      <c r="W70" s="804">
        <v>1</v>
      </c>
      <c r="X70" s="804">
        <v>0</v>
      </c>
      <c r="Y70" s="804">
        <v>153761248</v>
      </c>
      <c r="Z70" s="804">
        <v>0</v>
      </c>
      <c r="AA70" s="804">
        <v>0</v>
      </c>
      <c r="AB70" s="804">
        <v>153761248</v>
      </c>
      <c r="AC70" s="804">
        <v>0</v>
      </c>
      <c r="AD70" s="804">
        <v>0</v>
      </c>
      <c r="AE70" s="804">
        <v>0</v>
      </c>
      <c r="AF70" s="804">
        <v>0</v>
      </c>
      <c r="AG70" s="804">
        <v>0</v>
      </c>
      <c r="AH70" s="804">
        <v>0</v>
      </c>
      <c r="AI70" s="804">
        <v>153761248</v>
      </c>
      <c r="AJ70" s="804">
        <v>0</v>
      </c>
      <c r="AK70" s="804">
        <v>0</v>
      </c>
      <c r="AL70" s="804">
        <v>153761248</v>
      </c>
      <c r="AM70" s="804">
        <v>1154998</v>
      </c>
      <c r="AN70" s="804">
        <v>1154998</v>
      </c>
      <c r="AO70" s="804">
        <v>215978</v>
      </c>
      <c r="AP70" s="804">
        <v>215978</v>
      </c>
      <c r="AQ70" s="804">
        <v>2000000</v>
      </c>
      <c r="AR70" s="804">
        <v>0</v>
      </c>
      <c r="AS70" s="804">
        <v>2000000</v>
      </c>
      <c r="AT70" s="804">
        <v>0</v>
      </c>
      <c r="AU70" s="804">
        <v>0</v>
      </c>
      <c r="AV70" s="804">
        <v>0</v>
      </c>
      <c r="AW70" s="804">
        <v>0</v>
      </c>
      <c r="AX70" s="804">
        <v>0</v>
      </c>
      <c r="AY70" s="804">
        <v>0</v>
      </c>
      <c r="AZ70" s="804">
        <v>0</v>
      </c>
      <c r="BA70" s="804">
        <v>0</v>
      </c>
      <c r="BB70" s="804">
        <v>0</v>
      </c>
      <c r="BC70" s="804">
        <v>0</v>
      </c>
      <c r="BD70" s="804">
        <v>0</v>
      </c>
      <c r="BE70" s="804">
        <v>0</v>
      </c>
      <c r="BF70" s="804">
        <v>0</v>
      </c>
      <c r="BG70" s="804">
        <v>0</v>
      </c>
      <c r="BH70" s="804">
        <v>0</v>
      </c>
      <c r="BI70" s="804">
        <v>0</v>
      </c>
      <c r="BJ70" s="804">
        <v>0</v>
      </c>
      <c r="BK70" s="804">
        <v>1</v>
      </c>
      <c r="BL70" s="804">
        <v>0</v>
      </c>
      <c r="BM70" s="804">
        <v>0</v>
      </c>
      <c r="BN70" s="804">
        <v>1</v>
      </c>
      <c r="BO70" s="804">
        <v>0</v>
      </c>
      <c r="BP70" s="804">
        <v>6473517</v>
      </c>
      <c r="BQ70" s="804">
        <v>0</v>
      </c>
      <c r="BR70" s="804">
        <v>0</v>
      </c>
      <c r="BS70" s="804">
        <v>6473517</v>
      </c>
      <c r="BT70" s="804">
        <v>0</v>
      </c>
      <c r="BU70" s="804">
        <v>1</v>
      </c>
      <c r="BV70" s="804">
        <v>0</v>
      </c>
      <c r="BW70" s="804">
        <v>0</v>
      </c>
      <c r="BX70" s="804">
        <v>1</v>
      </c>
      <c r="BY70" s="804">
        <v>0</v>
      </c>
      <c r="BZ70" s="804">
        <v>20860</v>
      </c>
      <c r="CA70" s="804">
        <v>0</v>
      </c>
      <c r="CB70" s="804">
        <v>0</v>
      </c>
      <c r="CC70" s="804">
        <v>20860</v>
      </c>
      <c r="CD70" s="804">
        <v>0</v>
      </c>
      <c r="CE70" s="804">
        <v>6494377</v>
      </c>
      <c r="CF70" s="804">
        <v>0</v>
      </c>
      <c r="CG70" s="804">
        <v>0</v>
      </c>
      <c r="CH70" s="804">
        <v>6494377</v>
      </c>
      <c r="CI70" s="804">
        <v>0</v>
      </c>
      <c r="CJ70" s="804">
        <v>163626601</v>
      </c>
      <c r="CK70" s="804">
        <v>0</v>
      </c>
      <c r="CL70" s="804">
        <v>0</v>
      </c>
      <c r="CM70" s="804">
        <v>163626601</v>
      </c>
      <c r="CN70" s="804">
        <v>6251592</v>
      </c>
      <c r="CO70" s="804">
        <v>0</v>
      </c>
      <c r="CP70" s="804">
        <v>0</v>
      </c>
      <c r="CQ70" s="804">
        <v>6251592</v>
      </c>
      <c r="CR70" s="804">
        <v>29037378</v>
      </c>
      <c r="CS70" s="804">
        <v>0</v>
      </c>
      <c r="CT70" s="804">
        <v>0</v>
      </c>
      <c r="CU70" s="804">
        <v>29037378</v>
      </c>
      <c r="CV70" s="804">
        <v>1135866</v>
      </c>
      <c r="CW70" s="804">
        <v>0</v>
      </c>
      <c r="CX70" s="804">
        <v>0</v>
      </c>
      <c r="CY70" s="804">
        <v>1135866</v>
      </c>
      <c r="CZ70" s="804">
        <v>46113</v>
      </c>
      <c r="DA70" s="804">
        <v>0</v>
      </c>
      <c r="DB70" s="804">
        <v>0</v>
      </c>
      <c r="DC70" s="804">
        <v>46113</v>
      </c>
      <c r="DD70" s="804">
        <v>177996</v>
      </c>
      <c r="DE70" s="804">
        <v>0</v>
      </c>
      <c r="DF70" s="804">
        <v>0</v>
      </c>
      <c r="DG70" s="804">
        <v>177996</v>
      </c>
      <c r="DH70" s="804">
        <v>254369</v>
      </c>
      <c r="DI70" s="804">
        <v>0</v>
      </c>
      <c r="DJ70" s="804">
        <v>0</v>
      </c>
      <c r="DK70" s="804">
        <v>254369</v>
      </c>
      <c r="DL70" s="804">
        <v>47157</v>
      </c>
      <c r="DM70" s="804">
        <v>0</v>
      </c>
      <c r="DN70" s="804">
        <v>0</v>
      </c>
      <c r="DO70" s="804">
        <v>47157</v>
      </c>
      <c r="DP70" s="804">
        <v>242043</v>
      </c>
      <c r="DQ70" s="804">
        <v>0</v>
      </c>
      <c r="DR70" s="804">
        <v>0</v>
      </c>
      <c r="DS70" s="804">
        <v>242043</v>
      </c>
      <c r="DT70" s="804">
        <v>0</v>
      </c>
      <c r="DU70" s="804">
        <v>0</v>
      </c>
      <c r="DV70" s="804">
        <v>0</v>
      </c>
      <c r="DW70" s="804">
        <v>0</v>
      </c>
      <c r="DX70" s="804">
        <v>5729431</v>
      </c>
      <c r="DY70" s="804">
        <v>0</v>
      </c>
      <c r="DZ70" s="804">
        <v>0</v>
      </c>
      <c r="EA70" s="804">
        <v>5729431</v>
      </c>
      <c r="EB70" s="804">
        <v>42921945</v>
      </c>
      <c r="EC70" s="804">
        <v>0</v>
      </c>
      <c r="ED70" s="804">
        <v>0</v>
      </c>
      <c r="EE70" s="804">
        <v>42921945</v>
      </c>
      <c r="EF70" s="604" t="s">
        <v>7</v>
      </c>
      <c r="EG70" s="497" t="s">
        <v>524</v>
      </c>
      <c r="EH70" s="630" t="s">
        <v>551</v>
      </c>
      <c r="EI70" s="118" t="s">
        <v>1722</v>
      </c>
    </row>
    <row r="71" spans="1:139" ht="12.75" x14ac:dyDescent="0.2">
      <c r="A71" s="805">
        <v>64</v>
      </c>
      <c r="B71" s="606" t="s">
        <v>10</v>
      </c>
      <c r="C71" s="607" t="s">
        <v>1185</v>
      </c>
      <c r="D71" s="608" t="s">
        <v>1194</v>
      </c>
      <c r="E71" s="609" t="s">
        <v>9</v>
      </c>
      <c r="F71" s="802">
        <v>33046709</v>
      </c>
      <c r="G71" s="804">
        <v>294265</v>
      </c>
      <c r="H71" s="804">
        <v>0</v>
      </c>
      <c r="I71" s="804">
        <v>181565</v>
      </c>
      <c r="J71" s="804">
        <v>0</v>
      </c>
      <c r="K71" s="804">
        <v>181565</v>
      </c>
      <c r="L71" s="804">
        <v>0</v>
      </c>
      <c r="M71" s="804">
        <v>0</v>
      </c>
      <c r="N71" s="804">
        <v>69127</v>
      </c>
      <c r="O71" s="804">
        <v>69127</v>
      </c>
      <c r="P71" s="804">
        <v>0</v>
      </c>
      <c r="Q71" s="804">
        <v>0</v>
      </c>
      <c r="R71" s="804">
        <v>33090282</v>
      </c>
      <c r="S71" s="804">
        <v>0.5</v>
      </c>
      <c r="T71" s="804">
        <v>0.4</v>
      </c>
      <c r="U71" s="804">
        <v>0.1</v>
      </c>
      <c r="V71" s="804">
        <v>0</v>
      </c>
      <c r="W71" s="804">
        <v>1</v>
      </c>
      <c r="X71" s="804">
        <v>16545141</v>
      </c>
      <c r="Y71" s="804">
        <v>13236113</v>
      </c>
      <c r="Z71" s="804">
        <v>3309028</v>
      </c>
      <c r="AA71" s="804">
        <v>0</v>
      </c>
      <c r="AB71" s="804">
        <v>33090282</v>
      </c>
      <c r="AC71" s="804">
        <v>0</v>
      </c>
      <c r="AD71" s="804">
        <v>0</v>
      </c>
      <c r="AE71" s="804">
        <v>0</v>
      </c>
      <c r="AF71" s="804">
        <v>0</v>
      </c>
      <c r="AG71" s="804">
        <v>0</v>
      </c>
      <c r="AH71" s="804">
        <v>16545141</v>
      </c>
      <c r="AI71" s="804">
        <v>13236113</v>
      </c>
      <c r="AJ71" s="804">
        <v>3309028</v>
      </c>
      <c r="AK71" s="804">
        <v>0</v>
      </c>
      <c r="AL71" s="804">
        <v>33090282</v>
      </c>
      <c r="AM71" s="804">
        <v>181565</v>
      </c>
      <c r="AN71" s="804">
        <v>181565</v>
      </c>
      <c r="AO71" s="804">
        <v>0</v>
      </c>
      <c r="AP71" s="804">
        <v>0</v>
      </c>
      <c r="AQ71" s="804">
        <v>69127</v>
      </c>
      <c r="AR71" s="804">
        <v>0</v>
      </c>
      <c r="AS71" s="804">
        <v>69127</v>
      </c>
      <c r="AT71" s="804">
        <v>0</v>
      </c>
      <c r="AU71" s="804">
        <v>0</v>
      </c>
      <c r="AV71" s="804">
        <v>0</v>
      </c>
      <c r="AW71" s="804">
        <v>0</v>
      </c>
      <c r="AX71" s="804">
        <v>0</v>
      </c>
      <c r="AY71" s="804">
        <v>0</v>
      </c>
      <c r="AZ71" s="804">
        <v>0</v>
      </c>
      <c r="BA71" s="804">
        <v>0</v>
      </c>
      <c r="BB71" s="804">
        <v>0</v>
      </c>
      <c r="BC71" s="804">
        <v>0</v>
      </c>
      <c r="BD71" s="804">
        <v>0</v>
      </c>
      <c r="BE71" s="804">
        <v>0</v>
      </c>
      <c r="BF71" s="804">
        <v>0</v>
      </c>
      <c r="BG71" s="804">
        <v>0</v>
      </c>
      <c r="BH71" s="804">
        <v>0</v>
      </c>
      <c r="BI71" s="804">
        <v>0</v>
      </c>
      <c r="BJ71" s="804">
        <v>0.5</v>
      </c>
      <c r="BK71" s="804">
        <v>0.4</v>
      </c>
      <c r="BL71" s="804">
        <v>0.1</v>
      </c>
      <c r="BM71" s="804">
        <v>0</v>
      </c>
      <c r="BN71" s="804">
        <v>1</v>
      </c>
      <c r="BO71" s="804">
        <v>962621</v>
      </c>
      <c r="BP71" s="804">
        <v>770096</v>
      </c>
      <c r="BQ71" s="804">
        <v>192524</v>
      </c>
      <c r="BR71" s="804">
        <v>0</v>
      </c>
      <c r="BS71" s="804">
        <v>1925241</v>
      </c>
      <c r="BT71" s="804">
        <v>0</v>
      </c>
      <c r="BU71" s="804">
        <v>0.5</v>
      </c>
      <c r="BV71" s="804">
        <v>0.5</v>
      </c>
      <c r="BW71" s="804">
        <v>0</v>
      </c>
      <c r="BX71" s="804">
        <v>1</v>
      </c>
      <c r="BY71" s="804">
        <v>1</v>
      </c>
      <c r="BZ71" s="804">
        <v>-861943</v>
      </c>
      <c r="CA71" s="804">
        <v>-861943</v>
      </c>
      <c r="CB71" s="804">
        <v>0</v>
      </c>
      <c r="CC71" s="804">
        <v>-1723885</v>
      </c>
      <c r="CD71" s="804">
        <v>962622</v>
      </c>
      <c r="CE71" s="804">
        <v>-91847</v>
      </c>
      <c r="CF71" s="804">
        <v>-669419</v>
      </c>
      <c r="CG71" s="804">
        <v>0</v>
      </c>
      <c r="CH71" s="804">
        <v>201356</v>
      </c>
      <c r="CI71" s="804">
        <v>17507763</v>
      </c>
      <c r="CJ71" s="804">
        <v>13394958</v>
      </c>
      <c r="CK71" s="804">
        <v>2639609</v>
      </c>
      <c r="CL71" s="804">
        <v>0</v>
      </c>
      <c r="CM71" s="804">
        <v>33542330</v>
      </c>
      <c r="CN71" s="804">
        <v>533276</v>
      </c>
      <c r="CO71" s="804">
        <v>132626</v>
      </c>
      <c r="CP71" s="804">
        <v>0</v>
      </c>
      <c r="CQ71" s="804">
        <v>665902</v>
      </c>
      <c r="CR71" s="804">
        <v>1747298</v>
      </c>
      <c r="CS71" s="804">
        <v>436825</v>
      </c>
      <c r="CT71" s="804">
        <v>0</v>
      </c>
      <c r="CU71" s="804">
        <v>2184123</v>
      </c>
      <c r="CV71" s="804">
        <v>95352</v>
      </c>
      <c r="CW71" s="804">
        <v>23838</v>
      </c>
      <c r="CX71" s="804">
        <v>0</v>
      </c>
      <c r="CY71" s="804">
        <v>119190</v>
      </c>
      <c r="CZ71" s="804">
        <v>1183</v>
      </c>
      <c r="DA71" s="804">
        <v>296</v>
      </c>
      <c r="DB71" s="804">
        <v>0</v>
      </c>
      <c r="DC71" s="804">
        <v>1479</v>
      </c>
      <c r="DD71" s="804">
        <v>11966</v>
      </c>
      <c r="DE71" s="804">
        <v>2991</v>
      </c>
      <c r="DF71" s="804">
        <v>0</v>
      </c>
      <c r="DG71" s="804">
        <v>14957</v>
      </c>
      <c r="DH71" s="804">
        <v>8844</v>
      </c>
      <c r="DI71" s="804">
        <v>2211</v>
      </c>
      <c r="DJ71" s="804">
        <v>0</v>
      </c>
      <c r="DK71" s="804">
        <v>11055</v>
      </c>
      <c r="DL71" s="804">
        <v>4391</v>
      </c>
      <c r="DM71" s="804">
        <v>1098</v>
      </c>
      <c r="DN71" s="804">
        <v>0</v>
      </c>
      <c r="DO71" s="804">
        <v>5489</v>
      </c>
      <c r="DP71" s="804">
        <v>0</v>
      </c>
      <c r="DQ71" s="804">
        <v>0</v>
      </c>
      <c r="DR71" s="804">
        <v>0</v>
      </c>
      <c r="DS71" s="804">
        <v>0</v>
      </c>
      <c r="DT71" s="804">
        <v>0</v>
      </c>
      <c r="DU71" s="804">
        <v>0</v>
      </c>
      <c r="DV71" s="804">
        <v>0</v>
      </c>
      <c r="DW71" s="804">
        <v>0</v>
      </c>
      <c r="DX71" s="804">
        <v>516742</v>
      </c>
      <c r="DY71" s="804">
        <v>129186</v>
      </c>
      <c r="DZ71" s="804">
        <v>0</v>
      </c>
      <c r="EA71" s="804">
        <v>645928</v>
      </c>
      <c r="EB71" s="804">
        <v>2919052</v>
      </c>
      <c r="EC71" s="804">
        <v>729071</v>
      </c>
      <c r="ED71" s="804">
        <v>0</v>
      </c>
      <c r="EE71" s="804">
        <v>3648123</v>
      </c>
      <c r="EF71" s="604" t="s">
        <v>9</v>
      </c>
      <c r="EG71" s="497" t="s">
        <v>571</v>
      </c>
      <c r="EH71" s="630" t="s">
        <v>551</v>
      </c>
      <c r="EI71" s="118" t="s">
        <v>1723</v>
      </c>
    </row>
    <row r="72" spans="1:139" ht="14.25" x14ac:dyDescent="0.2">
      <c r="A72" s="805">
        <v>65</v>
      </c>
      <c r="B72" s="606" t="s">
        <v>12</v>
      </c>
      <c r="C72" s="607" t="s">
        <v>1192</v>
      </c>
      <c r="D72" s="608" t="s">
        <v>1195</v>
      </c>
      <c r="E72" s="609" t="s">
        <v>1977</v>
      </c>
      <c r="F72" s="802">
        <v>119679910</v>
      </c>
      <c r="G72" s="804">
        <v>0</v>
      </c>
      <c r="H72" s="804">
        <v>1203458</v>
      </c>
      <c r="I72" s="804">
        <v>372757</v>
      </c>
      <c r="J72" s="804">
        <v>0</v>
      </c>
      <c r="K72" s="804">
        <v>372757</v>
      </c>
      <c r="L72" s="804">
        <v>0</v>
      </c>
      <c r="M72" s="804">
        <v>0</v>
      </c>
      <c r="N72" s="804">
        <v>0</v>
      </c>
      <c r="O72" s="804">
        <v>0</v>
      </c>
      <c r="P72" s="804">
        <v>0</v>
      </c>
      <c r="Q72" s="804">
        <v>0</v>
      </c>
      <c r="R72" s="804">
        <v>118103695</v>
      </c>
      <c r="S72" s="804">
        <v>0</v>
      </c>
      <c r="T72" s="804">
        <v>0.99</v>
      </c>
      <c r="U72" s="804">
        <v>0</v>
      </c>
      <c r="V72" s="804">
        <v>0.01</v>
      </c>
      <c r="W72" s="804">
        <v>1</v>
      </c>
      <c r="X72" s="804">
        <v>0</v>
      </c>
      <c r="Y72" s="804">
        <v>116922658</v>
      </c>
      <c r="Z72" s="804">
        <v>0</v>
      </c>
      <c r="AA72" s="804">
        <v>1181037</v>
      </c>
      <c r="AB72" s="804">
        <v>118103695</v>
      </c>
      <c r="AC72" s="804">
        <v>0</v>
      </c>
      <c r="AD72" s="804">
        <v>0</v>
      </c>
      <c r="AE72" s="804">
        <v>0</v>
      </c>
      <c r="AF72" s="804">
        <v>0</v>
      </c>
      <c r="AG72" s="804">
        <v>0</v>
      </c>
      <c r="AH72" s="804">
        <v>0</v>
      </c>
      <c r="AI72" s="804">
        <v>116922658</v>
      </c>
      <c r="AJ72" s="804">
        <v>0</v>
      </c>
      <c r="AK72" s="804">
        <v>1181037</v>
      </c>
      <c r="AL72" s="804">
        <v>118103695</v>
      </c>
      <c r="AM72" s="804">
        <v>372757</v>
      </c>
      <c r="AN72" s="804">
        <v>372757</v>
      </c>
      <c r="AO72" s="804">
        <v>0</v>
      </c>
      <c r="AP72" s="804">
        <v>0</v>
      </c>
      <c r="AQ72" s="804">
        <v>0</v>
      </c>
      <c r="AR72" s="804">
        <v>0</v>
      </c>
      <c r="AS72" s="804">
        <v>0</v>
      </c>
      <c r="AT72" s="804">
        <v>0</v>
      </c>
      <c r="AU72" s="804">
        <v>0</v>
      </c>
      <c r="AV72" s="804">
        <v>0</v>
      </c>
      <c r="AW72" s="804">
        <v>0</v>
      </c>
      <c r="AX72" s="804">
        <v>0</v>
      </c>
      <c r="AY72" s="804">
        <v>0</v>
      </c>
      <c r="AZ72" s="804">
        <v>0</v>
      </c>
      <c r="BA72" s="804">
        <v>0</v>
      </c>
      <c r="BB72" s="804">
        <v>0</v>
      </c>
      <c r="BC72" s="804">
        <v>0</v>
      </c>
      <c r="BD72" s="804">
        <v>0</v>
      </c>
      <c r="BE72" s="804">
        <v>0</v>
      </c>
      <c r="BF72" s="804">
        <v>0</v>
      </c>
      <c r="BG72" s="804">
        <v>0</v>
      </c>
      <c r="BH72" s="804">
        <v>0</v>
      </c>
      <c r="BI72" s="804">
        <v>0</v>
      </c>
      <c r="BJ72" s="804">
        <v>0</v>
      </c>
      <c r="BK72" s="804">
        <v>0.99</v>
      </c>
      <c r="BL72" s="804">
        <v>0</v>
      </c>
      <c r="BM72" s="804">
        <v>0.01</v>
      </c>
      <c r="BN72" s="804">
        <v>1</v>
      </c>
      <c r="BO72" s="804">
        <v>0</v>
      </c>
      <c r="BP72" s="804">
        <v>-308888</v>
      </c>
      <c r="BQ72" s="804">
        <v>0</v>
      </c>
      <c r="BR72" s="804">
        <v>-3120</v>
      </c>
      <c r="BS72" s="804">
        <v>-312008</v>
      </c>
      <c r="BT72" s="804">
        <v>0</v>
      </c>
      <c r="BU72" s="804">
        <v>0.99</v>
      </c>
      <c r="BV72" s="804">
        <v>0</v>
      </c>
      <c r="BW72" s="804">
        <v>0.01</v>
      </c>
      <c r="BX72" s="804">
        <v>1</v>
      </c>
      <c r="BY72" s="804">
        <v>0</v>
      </c>
      <c r="BZ72" s="804">
        <v>282950</v>
      </c>
      <c r="CA72" s="804">
        <v>0</v>
      </c>
      <c r="CB72" s="804">
        <v>2858</v>
      </c>
      <c r="CC72" s="804">
        <v>285808</v>
      </c>
      <c r="CD72" s="804">
        <v>0</v>
      </c>
      <c r="CE72" s="804">
        <v>-25938</v>
      </c>
      <c r="CF72" s="804">
        <v>0</v>
      </c>
      <c r="CG72" s="804">
        <v>-262</v>
      </c>
      <c r="CH72" s="804">
        <v>-26200</v>
      </c>
      <c r="CI72" s="804">
        <v>0</v>
      </c>
      <c r="CJ72" s="804">
        <v>117269477</v>
      </c>
      <c r="CK72" s="804">
        <v>0</v>
      </c>
      <c r="CL72" s="804">
        <v>1180775</v>
      </c>
      <c r="CM72" s="804">
        <v>118450252</v>
      </c>
      <c r="CN72" s="804">
        <v>4686279</v>
      </c>
      <c r="CO72" s="804">
        <v>0</v>
      </c>
      <c r="CP72" s="804">
        <v>47336</v>
      </c>
      <c r="CQ72" s="804">
        <v>4733615</v>
      </c>
      <c r="CR72" s="804">
        <v>6758051</v>
      </c>
      <c r="CS72" s="804">
        <v>0</v>
      </c>
      <c r="CT72" s="804">
        <v>68263</v>
      </c>
      <c r="CU72" s="804">
        <v>6826314</v>
      </c>
      <c r="CV72" s="804">
        <v>441748</v>
      </c>
      <c r="CW72" s="804">
        <v>0</v>
      </c>
      <c r="CX72" s="804">
        <v>4462</v>
      </c>
      <c r="CY72" s="804">
        <v>446210</v>
      </c>
      <c r="CZ72" s="804">
        <v>19499</v>
      </c>
      <c r="DA72" s="804">
        <v>0</v>
      </c>
      <c r="DB72" s="804">
        <v>197</v>
      </c>
      <c r="DC72" s="804">
        <v>19696</v>
      </c>
      <c r="DD72" s="804">
        <v>0</v>
      </c>
      <c r="DE72" s="804">
        <v>0</v>
      </c>
      <c r="DF72" s="804">
        <v>0</v>
      </c>
      <c r="DG72" s="804">
        <v>0</v>
      </c>
      <c r="DH72" s="804">
        <v>69387</v>
      </c>
      <c r="DI72" s="804">
        <v>0</v>
      </c>
      <c r="DJ72" s="804">
        <v>701</v>
      </c>
      <c r="DK72" s="804">
        <v>70088</v>
      </c>
      <c r="DL72" s="804">
        <v>12356</v>
      </c>
      <c r="DM72" s="804">
        <v>0</v>
      </c>
      <c r="DN72" s="804">
        <v>125</v>
      </c>
      <c r="DO72" s="804">
        <v>12481</v>
      </c>
      <c r="DP72" s="804">
        <v>0</v>
      </c>
      <c r="DQ72" s="804">
        <v>0</v>
      </c>
      <c r="DR72" s="804">
        <v>0</v>
      </c>
      <c r="DS72" s="804">
        <v>0</v>
      </c>
      <c r="DT72" s="804">
        <v>0</v>
      </c>
      <c r="DU72" s="804">
        <v>0</v>
      </c>
      <c r="DV72" s="804">
        <v>0</v>
      </c>
      <c r="DW72" s="804">
        <v>0</v>
      </c>
      <c r="DX72" s="804">
        <v>2718280</v>
      </c>
      <c r="DY72" s="804">
        <v>0</v>
      </c>
      <c r="DZ72" s="804">
        <v>27457</v>
      </c>
      <c r="EA72" s="804">
        <v>2745737</v>
      </c>
      <c r="EB72" s="804">
        <v>14705600</v>
      </c>
      <c r="EC72" s="804">
        <v>0</v>
      </c>
      <c r="ED72" s="804">
        <v>148541</v>
      </c>
      <c r="EE72" s="804">
        <v>14854141</v>
      </c>
      <c r="EF72" s="604" t="s">
        <v>11</v>
      </c>
      <c r="EG72" s="497" t="s">
        <v>616</v>
      </c>
      <c r="EH72" s="630" t="s">
        <v>621</v>
      </c>
      <c r="EI72" s="118" t="s">
        <v>1724</v>
      </c>
    </row>
    <row r="73" spans="1:139" ht="12.75" x14ac:dyDescent="0.2">
      <c r="A73" s="805">
        <v>66</v>
      </c>
      <c r="B73" s="606" t="s">
        <v>14</v>
      </c>
      <c r="C73" s="607" t="s">
        <v>1185</v>
      </c>
      <c r="D73" s="608" t="s">
        <v>1193</v>
      </c>
      <c r="E73" s="609" t="s">
        <v>13</v>
      </c>
      <c r="F73" s="802">
        <v>18437562</v>
      </c>
      <c r="G73" s="804">
        <v>184967</v>
      </c>
      <c r="H73" s="804">
        <v>0</v>
      </c>
      <c r="I73" s="804">
        <v>117848</v>
      </c>
      <c r="J73" s="804">
        <v>0</v>
      </c>
      <c r="K73" s="804">
        <v>117848</v>
      </c>
      <c r="L73" s="804">
        <v>0</v>
      </c>
      <c r="M73" s="804">
        <v>0</v>
      </c>
      <c r="N73" s="804">
        <v>0</v>
      </c>
      <c r="O73" s="804">
        <v>0</v>
      </c>
      <c r="P73" s="804">
        <v>0</v>
      </c>
      <c r="Q73" s="804">
        <v>0</v>
      </c>
      <c r="R73" s="804">
        <v>18504681</v>
      </c>
      <c r="S73" s="804">
        <v>0.5</v>
      </c>
      <c r="T73" s="804">
        <v>0.4</v>
      </c>
      <c r="U73" s="804">
        <v>0.09</v>
      </c>
      <c r="V73" s="804">
        <v>0.01</v>
      </c>
      <c r="W73" s="804">
        <v>1</v>
      </c>
      <c r="X73" s="804">
        <v>9252341</v>
      </c>
      <c r="Y73" s="804">
        <v>7401872</v>
      </c>
      <c r="Z73" s="804">
        <v>1665421</v>
      </c>
      <c r="AA73" s="804">
        <v>185047</v>
      </c>
      <c r="AB73" s="804">
        <v>18504681</v>
      </c>
      <c r="AC73" s="804">
        <v>0</v>
      </c>
      <c r="AD73" s="804">
        <v>0</v>
      </c>
      <c r="AE73" s="804">
        <v>0</v>
      </c>
      <c r="AF73" s="804">
        <v>0</v>
      </c>
      <c r="AG73" s="804">
        <v>0</v>
      </c>
      <c r="AH73" s="804">
        <v>9252341</v>
      </c>
      <c r="AI73" s="804">
        <v>7401872</v>
      </c>
      <c r="AJ73" s="804">
        <v>1665421</v>
      </c>
      <c r="AK73" s="804">
        <v>185047</v>
      </c>
      <c r="AL73" s="804">
        <v>18504681</v>
      </c>
      <c r="AM73" s="804">
        <v>117848</v>
      </c>
      <c r="AN73" s="804">
        <v>117848</v>
      </c>
      <c r="AO73" s="804">
        <v>0</v>
      </c>
      <c r="AP73" s="804">
        <v>0</v>
      </c>
      <c r="AQ73" s="804">
        <v>0</v>
      </c>
      <c r="AR73" s="804">
        <v>0</v>
      </c>
      <c r="AS73" s="804">
        <v>0</v>
      </c>
      <c r="AT73" s="804">
        <v>0</v>
      </c>
      <c r="AU73" s="804">
        <v>0</v>
      </c>
      <c r="AV73" s="804">
        <v>0</v>
      </c>
      <c r="AW73" s="804">
        <v>0</v>
      </c>
      <c r="AX73" s="804">
        <v>0</v>
      </c>
      <c r="AY73" s="804">
        <v>0</v>
      </c>
      <c r="AZ73" s="804">
        <v>0</v>
      </c>
      <c r="BA73" s="804">
        <v>0</v>
      </c>
      <c r="BB73" s="804">
        <v>0</v>
      </c>
      <c r="BC73" s="804">
        <v>0</v>
      </c>
      <c r="BD73" s="804">
        <v>0</v>
      </c>
      <c r="BE73" s="804">
        <v>0</v>
      </c>
      <c r="BF73" s="804">
        <v>0</v>
      </c>
      <c r="BG73" s="804">
        <v>0</v>
      </c>
      <c r="BH73" s="804">
        <v>0</v>
      </c>
      <c r="BI73" s="804">
        <v>0</v>
      </c>
      <c r="BJ73" s="804">
        <v>0.25</v>
      </c>
      <c r="BK73" s="804">
        <v>0.52500000000000002</v>
      </c>
      <c r="BL73" s="804">
        <v>0.215</v>
      </c>
      <c r="BM73" s="804">
        <v>0.01</v>
      </c>
      <c r="BN73" s="804">
        <v>1</v>
      </c>
      <c r="BO73" s="804">
        <v>-3705</v>
      </c>
      <c r="BP73" s="804">
        <v>-7779</v>
      </c>
      <c r="BQ73" s="804">
        <v>-3186</v>
      </c>
      <c r="BR73" s="804">
        <v>-148</v>
      </c>
      <c r="BS73" s="804">
        <v>-14818</v>
      </c>
      <c r="BT73" s="804">
        <v>0.5</v>
      </c>
      <c r="BU73" s="804">
        <v>0.4</v>
      </c>
      <c r="BV73" s="804">
        <v>0.09</v>
      </c>
      <c r="BW73" s="804">
        <v>0.01</v>
      </c>
      <c r="BX73" s="804">
        <v>1</v>
      </c>
      <c r="BY73" s="804">
        <v>25106</v>
      </c>
      <c r="BZ73" s="804">
        <v>20084</v>
      </c>
      <c r="CA73" s="804">
        <v>4519</v>
      </c>
      <c r="CB73" s="804">
        <v>502</v>
      </c>
      <c r="CC73" s="804">
        <v>50211</v>
      </c>
      <c r="CD73" s="804">
        <v>21401</v>
      </c>
      <c r="CE73" s="804">
        <v>12305</v>
      </c>
      <c r="CF73" s="804">
        <v>1333</v>
      </c>
      <c r="CG73" s="804">
        <v>354</v>
      </c>
      <c r="CH73" s="804">
        <v>35393</v>
      </c>
      <c r="CI73" s="804">
        <v>9273742</v>
      </c>
      <c r="CJ73" s="804">
        <v>7532025</v>
      </c>
      <c r="CK73" s="804">
        <v>1666754</v>
      </c>
      <c r="CL73" s="804">
        <v>185401</v>
      </c>
      <c r="CM73" s="804">
        <v>18657922</v>
      </c>
      <c r="CN73" s="804">
        <v>296668</v>
      </c>
      <c r="CO73" s="804">
        <v>66750</v>
      </c>
      <c r="CP73" s="804">
        <v>7417</v>
      </c>
      <c r="CQ73" s="804">
        <v>370835</v>
      </c>
      <c r="CR73" s="804">
        <v>1066296</v>
      </c>
      <c r="CS73" s="804">
        <v>239917</v>
      </c>
      <c r="CT73" s="804">
        <v>26657</v>
      </c>
      <c r="CU73" s="804">
        <v>1332870</v>
      </c>
      <c r="CV73" s="804">
        <v>58828</v>
      </c>
      <c r="CW73" s="804">
        <v>13236</v>
      </c>
      <c r="CX73" s="804">
        <v>1471</v>
      </c>
      <c r="CY73" s="804">
        <v>73535</v>
      </c>
      <c r="CZ73" s="804">
        <v>8318</v>
      </c>
      <c r="DA73" s="804">
        <v>1871</v>
      </c>
      <c r="DB73" s="804">
        <v>208</v>
      </c>
      <c r="DC73" s="804">
        <v>10397</v>
      </c>
      <c r="DD73" s="804">
        <v>4363</v>
      </c>
      <c r="DE73" s="804">
        <v>982</v>
      </c>
      <c r="DF73" s="804">
        <v>109</v>
      </c>
      <c r="DG73" s="804">
        <v>5454</v>
      </c>
      <c r="DH73" s="804">
        <v>0</v>
      </c>
      <c r="DI73" s="804">
        <v>0</v>
      </c>
      <c r="DJ73" s="804">
        <v>0</v>
      </c>
      <c r="DK73" s="804">
        <v>0</v>
      </c>
      <c r="DL73" s="804">
        <v>1664</v>
      </c>
      <c r="DM73" s="804">
        <v>374</v>
      </c>
      <c r="DN73" s="804">
        <v>42</v>
      </c>
      <c r="DO73" s="804">
        <v>2080</v>
      </c>
      <c r="DP73" s="804">
        <v>0</v>
      </c>
      <c r="DQ73" s="804">
        <v>0</v>
      </c>
      <c r="DR73" s="804">
        <v>0</v>
      </c>
      <c r="DS73" s="804">
        <v>0</v>
      </c>
      <c r="DT73" s="804">
        <v>0</v>
      </c>
      <c r="DU73" s="804">
        <v>0</v>
      </c>
      <c r="DV73" s="804">
        <v>0</v>
      </c>
      <c r="DW73" s="804">
        <v>0</v>
      </c>
      <c r="DX73" s="804">
        <v>312024</v>
      </c>
      <c r="DY73" s="804">
        <v>70205</v>
      </c>
      <c r="DZ73" s="804">
        <v>7801</v>
      </c>
      <c r="EA73" s="804">
        <v>390030</v>
      </c>
      <c r="EB73" s="804">
        <v>1748161</v>
      </c>
      <c r="EC73" s="804">
        <v>393335</v>
      </c>
      <c r="ED73" s="804">
        <v>43705</v>
      </c>
      <c r="EE73" s="804">
        <v>2185201</v>
      </c>
      <c r="EF73" s="604" t="s">
        <v>13</v>
      </c>
      <c r="EG73" s="497" t="s">
        <v>599</v>
      </c>
      <c r="EH73" s="630" t="s">
        <v>598</v>
      </c>
      <c r="EI73" s="118" t="s">
        <v>1725</v>
      </c>
    </row>
    <row r="74" spans="1:139" ht="12.75" x14ac:dyDescent="0.2">
      <c r="A74" s="805">
        <v>67</v>
      </c>
      <c r="B74" s="606" t="s">
        <v>16</v>
      </c>
      <c r="C74" s="607" t="s">
        <v>1185</v>
      </c>
      <c r="D74" s="608" t="s">
        <v>1186</v>
      </c>
      <c r="E74" s="609" t="s">
        <v>15</v>
      </c>
      <c r="F74" s="802">
        <v>125338661</v>
      </c>
      <c r="G74" s="804">
        <v>0</v>
      </c>
      <c r="H74" s="804">
        <v>771179</v>
      </c>
      <c r="I74" s="804">
        <v>212640</v>
      </c>
      <c r="J74" s="804">
        <v>0</v>
      </c>
      <c r="K74" s="804">
        <v>212640</v>
      </c>
      <c r="L74" s="804">
        <v>0</v>
      </c>
      <c r="M74" s="804">
        <v>0</v>
      </c>
      <c r="N74" s="804">
        <v>5120</v>
      </c>
      <c r="O74" s="804">
        <v>5120</v>
      </c>
      <c r="P74" s="804">
        <v>0</v>
      </c>
      <c r="Q74" s="804">
        <v>0</v>
      </c>
      <c r="R74" s="804">
        <v>124349722</v>
      </c>
      <c r="S74" s="804">
        <v>0.5</v>
      </c>
      <c r="T74" s="804">
        <v>0.4</v>
      </c>
      <c r="U74" s="804">
        <v>0.1</v>
      </c>
      <c r="V74" s="804">
        <v>0</v>
      </c>
      <c r="W74" s="804">
        <v>1</v>
      </c>
      <c r="X74" s="804">
        <v>62174861</v>
      </c>
      <c r="Y74" s="804">
        <v>49739889</v>
      </c>
      <c r="Z74" s="804">
        <v>12434972</v>
      </c>
      <c r="AA74" s="804">
        <v>0</v>
      </c>
      <c r="AB74" s="804">
        <v>124349722</v>
      </c>
      <c r="AC74" s="804">
        <v>0</v>
      </c>
      <c r="AD74" s="804">
        <v>0</v>
      </c>
      <c r="AE74" s="804">
        <v>0</v>
      </c>
      <c r="AF74" s="804">
        <v>0</v>
      </c>
      <c r="AG74" s="804">
        <v>0</v>
      </c>
      <c r="AH74" s="804">
        <v>62174861</v>
      </c>
      <c r="AI74" s="804">
        <v>49739889</v>
      </c>
      <c r="AJ74" s="804">
        <v>12434972</v>
      </c>
      <c r="AK74" s="804">
        <v>0</v>
      </c>
      <c r="AL74" s="804">
        <v>124349722</v>
      </c>
      <c r="AM74" s="804">
        <v>212640</v>
      </c>
      <c r="AN74" s="804">
        <v>212640</v>
      </c>
      <c r="AO74" s="804">
        <v>0</v>
      </c>
      <c r="AP74" s="804">
        <v>0</v>
      </c>
      <c r="AQ74" s="804">
        <v>5120</v>
      </c>
      <c r="AR74" s="804">
        <v>0</v>
      </c>
      <c r="AS74" s="804">
        <v>5120</v>
      </c>
      <c r="AT74" s="804">
        <v>0</v>
      </c>
      <c r="AU74" s="804">
        <v>0</v>
      </c>
      <c r="AV74" s="804">
        <v>0</v>
      </c>
      <c r="AW74" s="804">
        <v>0</v>
      </c>
      <c r="AX74" s="804">
        <v>0</v>
      </c>
      <c r="AY74" s="804">
        <v>0</v>
      </c>
      <c r="AZ74" s="804">
        <v>0</v>
      </c>
      <c r="BA74" s="804">
        <v>0</v>
      </c>
      <c r="BB74" s="804">
        <v>0</v>
      </c>
      <c r="BC74" s="804">
        <v>0</v>
      </c>
      <c r="BD74" s="804">
        <v>0</v>
      </c>
      <c r="BE74" s="804">
        <v>0</v>
      </c>
      <c r="BF74" s="804">
        <v>0</v>
      </c>
      <c r="BG74" s="804">
        <v>0</v>
      </c>
      <c r="BH74" s="804">
        <v>0</v>
      </c>
      <c r="BI74" s="804">
        <v>0</v>
      </c>
      <c r="BJ74" s="804">
        <v>0.24999999999999994</v>
      </c>
      <c r="BK74" s="804">
        <v>0.2</v>
      </c>
      <c r="BL74" s="804">
        <v>0.55000000000000004</v>
      </c>
      <c r="BM74" s="804">
        <v>0</v>
      </c>
      <c r="BN74" s="804">
        <v>1</v>
      </c>
      <c r="BO74" s="804">
        <v>371122</v>
      </c>
      <c r="BP74" s="804">
        <v>296898</v>
      </c>
      <c r="BQ74" s="804">
        <v>816470</v>
      </c>
      <c r="BR74" s="804">
        <v>0</v>
      </c>
      <c r="BS74" s="804">
        <v>1484490</v>
      </c>
      <c r="BT74" s="804">
        <v>0.5</v>
      </c>
      <c r="BU74" s="804">
        <v>0.4</v>
      </c>
      <c r="BV74" s="804">
        <v>0.1</v>
      </c>
      <c r="BW74" s="804">
        <v>0</v>
      </c>
      <c r="BX74" s="804">
        <v>1</v>
      </c>
      <c r="BY74" s="804">
        <v>-47751</v>
      </c>
      <c r="BZ74" s="804">
        <v>-38200</v>
      </c>
      <c r="CA74" s="804">
        <v>-9550</v>
      </c>
      <c r="CB74" s="804">
        <v>0</v>
      </c>
      <c r="CC74" s="804">
        <v>-95501</v>
      </c>
      <c r="CD74" s="804">
        <v>323371</v>
      </c>
      <c r="CE74" s="804">
        <v>258698</v>
      </c>
      <c r="CF74" s="804">
        <v>806920</v>
      </c>
      <c r="CG74" s="804">
        <v>0</v>
      </c>
      <c r="CH74" s="804">
        <v>1388989</v>
      </c>
      <c r="CI74" s="804">
        <v>62498232</v>
      </c>
      <c r="CJ74" s="804">
        <v>50216347</v>
      </c>
      <c r="CK74" s="804">
        <v>13241892</v>
      </c>
      <c r="CL74" s="804">
        <v>0</v>
      </c>
      <c r="CM74" s="804">
        <v>125956471</v>
      </c>
      <c r="CN74" s="804">
        <v>1993788</v>
      </c>
      <c r="CO74" s="804">
        <v>498396</v>
      </c>
      <c r="CP74" s="804">
        <v>0</v>
      </c>
      <c r="CQ74" s="804">
        <v>2492184</v>
      </c>
      <c r="CR74" s="804">
        <v>549304</v>
      </c>
      <c r="CS74" s="804">
        <v>137326</v>
      </c>
      <c r="CT74" s="804">
        <v>0</v>
      </c>
      <c r="CU74" s="804">
        <v>686630</v>
      </c>
      <c r="CV74" s="804">
        <v>93991</v>
      </c>
      <c r="CW74" s="804">
        <v>23498</v>
      </c>
      <c r="CX74" s="804">
        <v>0</v>
      </c>
      <c r="CY74" s="804">
        <v>117489</v>
      </c>
      <c r="CZ74" s="804">
        <v>10193</v>
      </c>
      <c r="DA74" s="804">
        <v>2548</v>
      </c>
      <c r="DB74" s="804">
        <v>0</v>
      </c>
      <c r="DC74" s="804">
        <v>12741</v>
      </c>
      <c r="DD74" s="804">
        <v>0</v>
      </c>
      <c r="DE74" s="804">
        <v>0</v>
      </c>
      <c r="DF74" s="804">
        <v>0</v>
      </c>
      <c r="DG74" s="804">
        <v>0</v>
      </c>
      <c r="DH74" s="804">
        <v>8554</v>
      </c>
      <c r="DI74" s="804">
        <v>2138</v>
      </c>
      <c r="DJ74" s="804">
        <v>0</v>
      </c>
      <c r="DK74" s="804">
        <v>10692</v>
      </c>
      <c r="DL74" s="804">
        <v>1805</v>
      </c>
      <c r="DM74" s="804">
        <v>451</v>
      </c>
      <c r="DN74" s="804">
        <v>0</v>
      </c>
      <c r="DO74" s="804">
        <v>2256</v>
      </c>
      <c r="DP74" s="804">
        <v>0</v>
      </c>
      <c r="DQ74" s="804">
        <v>0</v>
      </c>
      <c r="DR74" s="804">
        <v>0</v>
      </c>
      <c r="DS74" s="804">
        <v>0</v>
      </c>
      <c r="DT74" s="804">
        <v>0</v>
      </c>
      <c r="DU74" s="804">
        <v>0</v>
      </c>
      <c r="DV74" s="804">
        <v>0</v>
      </c>
      <c r="DW74" s="804">
        <v>0</v>
      </c>
      <c r="DX74" s="804">
        <v>311891</v>
      </c>
      <c r="DY74" s="804">
        <v>77973</v>
      </c>
      <c r="DZ74" s="804">
        <v>0</v>
      </c>
      <c r="EA74" s="804">
        <v>389864</v>
      </c>
      <c r="EB74" s="804">
        <v>2969526</v>
      </c>
      <c r="EC74" s="804">
        <v>742330</v>
      </c>
      <c r="ED74" s="804">
        <v>0</v>
      </c>
      <c r="EE74" s="804">
        <v>3711856</v>
      </c>
      <c r="EF74" s="604" t="s">
        <v>15</v>
      </c>
      <c r="EG74" s="497" t="s">
        <v>613</v>
      </c>
      <c r="EH74" s="630" t="s">
        <v>551</v>
      </c>
      <c r="EI74" s="118" t="s">
        <v>1726</v>
      </c>
    </row>
    <row r="75" spans="1:139" ht="12.75" x14ac:dyDescent="0.2">
      <c r="A75" s="805">
        <v>68</v>
      </c>
      <c r="B75" s="606" t="s">
        <v>18</v>
      </c>
      <c r="C75" s="607" t="s">
        <v>1190</v>
      </c>
      <c r="D75" s="608" t="s">
        <v>1191</v>
      </c>
      <c r="E75" s="609" t="s">
        <v>17</v>
      </c>
      <c r="F75" s="802">
        <v>125416493</v>
      </c>
      <c r="G75" s="804">
        <v>820096</v>
      </c>
      <c r="H75" s="804">
        <v>0</v>
      </c>
      <c r="I75" s="804">
        <v>404295</v>
      </c>
      <c r="J75" s="804">
        <v>0</v>
      </c>
      <c r="K75" s="804">
        <v>404295</v>
      </c>
      <c r="L75" s="804">
        <v>0</v>
      </c>
      <c r="M75" s="804">
        <v>1337505</v>
      </c>
      <c r="N75" s="804">
        <v>0</v>
      </c>
      <c r="O75" s="804">
        <v>0</v>
      </c>
      <c r="P75" s="804">
        <v>0</v>
      </c>
      <c r="Q75" s="804">
        <v>0</v>
      </c>
      <c r="R75" s="804">
        <v>124494789</v>
      </c>
      <c r="S75" s="804">
        <v>0.33</v>
      </c>
      <c r="T75" s="804">
        <v>0.3</v>
      </c>
      <c r="U75" s="804">
        <v>0.37</v>
      </c>
      <c r="V75" s="804">
        <v>0</v>
      </c>
      <c r="W75" s="804">
        <v>1</v>
      </c>
      <c r="X75" s="804">
        <v>41083280</v>
      </c>
      <c r="Y75" s="804">
        <v>37348437</v>
      </c>
      <c r="Z75" s="804">
        <v>46063072</v>
      </c>
      <c r="AA75" s="804">
        <v>0</v>
      </c>
      <c r="AB75" s="804">
        <v>124494789</v>
      </c>
      <c r="AC75" s="804">
        <v>0</v>
      </c>
      <c r="AD75" s="804">
        <v>0</v>
      </c>
      <c r="AE75" s="804">
        <v>0</v>
      </c>
      <c r="AF75" s="804">
        <v>0</v>
      </c>
      <c r="AG75" s="804">
        <v>0</v>
      </c>
      <c r="AH75" s="804">
        <v>41083280</v>
      </c>
      <c r="AI75" s="804">
        <v>37348437</v>
      </c>
      <c r="AJ75" s="804">
        <v>46063072</v>
      </c>
      <c r="AK75" s="804">
        <v>0</v>
      </c>
      <c r="AL75" s="804">
        <v>124494789</v>
      </c>
      <c r="AM75" s="804">
        <v>404295</v>
      </c>
      <c r="AN75" s="804">
        <v>404295</v>
      </c>
      <c r="AO75" s="804">
        <v>1337505</v>
      </c>
      <c r="AP75" s="804">
        <v>1337505</v>
      </c>
      <c r="AQ75" s="804">
        <v>0</v>
      </c>
      <c r="AR75" s="804">
        <v>0</v>
      </c>
      <c r="AS75" s="804">
        <v>0</v>
      </c>
      <c r="AT75" s="804">
        <v>0</v>
      </c>
      <c r="AU75" s="804">
        <v>0</v>
      </c>
      <c r="AV75" s="804">
        <v>0</v>
      </c>
      <c r="AW75" s="804">
        <v>0</v>
      </c>
      <c r="AX75" s="804">
        <v>0</v>
      </c>
      <c r="AY75" s="804">
        <v>0</v>
      </c>
      <c r="AZ75" s="804">
        <v>0</v>
      </c>
      <c r="BA75" s="804">
        <v>0</v>
      </c>
      <c r="BB75" s="804">
        <v>0</v>
      </c>
      <c r="BC75" s="804">
        <v>0</v>
      </c>
      <c r="BD75" s="804">
        <v>0</v>
      </c>
      <c r="BE75" s="804">
        <v>0</v>
      </c>
      <c r="BF75" s="804">
        <v>0</v>
      </c>
      <c r="BG75" s="804">
        <v>0</v>
      </c>
      <c r="BH75" s="804">
        <v>0</v>
      </c>
      <c r="BI75" s="804">
        <v>0</v>
      </c>
      <c r="BJ75" s="804">
        <v>0.25</v>
      </c>
      <c r="BK75" s="804">
        <v>0.48</v>
      </c>
      <c r="BL75" s="804">
        <v>0.27</v>
      </c>
      <c r="BM75" s="804">
        <v>0</v>
      </c>
      <c r="BN75" s="804">
        <v>1</v>
      </c>
      <c r="BO75" s="804">
        <v>-305074</v>
      </c>
      <c r="BP75" s="804">
        <v>-585744</v>
      </c>
      <c r="BQ75" s="804">
        <v>-329481</v>
      </c>
      <c r="BR75" s="804">
        <v>0</v>
      </c>
      <c r="BS75" s="804">
        <v>-1220299</v>
      </c>
      <c r="BT75" s="804">
        <v>0</v>
      </c>
      <c r="BU75" s="804">
        <v>0.64</v>
      </c>
      <c r="BV75" s="804">
        <v>0.36</v>
      </c>
      <c r="BW75" s="804">
        <v>0</v>
      </c>
      <c r="BX75" s="804">
        <v>1</v>
      </c>
      <c r="BY75" s="804">
        <v>0</v>
      </c>
      <c r="BZ75" s="804">
        <v>-1139584</v>
      </c>
      <c r="CA75" s="804">
        <v>-641016</v>
      </c>
      <c r="CB75" s="804">
        <v>0</v>
      </c>
      <c r="CC75" s="804">
        <v>-1780600</v>
      </c>
      <c r="CD75" s="804">
        <v>-305074</v>
      </c>
      <c r="CE75" s="804">
        <v>-1725328</v>
      </c>
      <c r="CF75" s="804">
        <v>-970497</v>
      </c>
      <c r="CG75" s="804">
        <v>0</v>
      </c>
      <c r="CH75" s="804">
        <v>-3000899</v>
      </c>
      <c r="CI75" s="804">
        <v>40778206</v>
      </c>
      <c r="CJ75" s="804">
        <v>37364909</v>
      </c>
      <c r="CK75" s="804">
        <v>45092575</v>
      </c>
      <c r="CL75" s="804">
        <v>0</v>
      </c>
      <c r="CM75" s="804">
        <v>123235690</v>
      </c>
      <c r="CN75" s="804">
        <v>1550539</v>
      </c>
      <c r="CO75" s="804">
        <v>1846215</v>
      </c>
      <c r="CP75" s="804">
        <v>0</v>
      </c>
      <c r="CQ75" s="804">
        <v>3396754</v>
      </c>
      <c r="CR75" s="804">
        <v>2492088</v>
      </c>
      <c r="CS75" s="804">
        <v>2754516</v>
      </c>
      <c r="CT75" s="804">
        <v>0</v>
      </c>
      <c r="CU75" s="804">
        <v>5246604</v>
      </c>
      <c r="CV75" s="804">
        <v>129062</v>
      </c>
      <c r="CW75" s="804">
        <v>116449</v>
      </c>
      <c r="CX75" s="804">
        <v>0</v>
      </c>
      <c r="CY75" s="804">
        <v>245511</v>
      </c>
      <c r="CZ75" s="804">
        <v>0</v>
      </c>
      <c r="DA75" s="804">
        <v>0</v>
      </c>
      <c r="DB75" s="804">
        <v>0</v>
      </c>
      <c r="DC75" s="804">
        <v>0</v>
      </c>
      <c r="DD75" s="804">
        <v>0</v>
      </c>
      <c r="DE75" s="804">
        <v>0</v>
      </c>
      <c r="DF75" s="804">
        <v>0</v>
      </c>
      <c r="DG75" s="804">
        <v>0</v>
      </c>
      <c r="DH75" s="804">
        <v>107918</v>
      </c>
      <c r="DI75" s="804">
        <v>131056</v>
      </c>
      <c r="DJ75" s="804">
        <v>0</v>
      </c>
      <c r="DK75" s="804">
        <v>238974</v>
      </c>
      <c r="DL75" s="804">
        <v>23194</v>
      </c>
      <c r="DM75" s="804">
        <v>15778</v>
      </c>
      <c r="DN75" s="804">
        <v>0</v>
      </c>
      <c r="DO75" s="804">
        <v>38972</v>
      </c>
      <c r="DP75" s="804">
        <v>0</v>
      </c>
      <c r="DQ75" s="804">
        <v>0</v>
      </c>
      <c r="DR75" s="804">
        <v>0</v>
      </c>
      <c r="DS75" s="804">
        <v>0</v>
      </c>
      <c r="DT75" s="804">
        <v>0</v>
      </c>
      <c r="DU75" s="804">
        <v>0</v>
      </c>
      <c r="DV75" s="804">
        <v>0</v>
      </c>
      <c r="DW75" s="804">
        <v>0</v>
      </c>
      <c r="DX75" s="804">
        <v>1344038</v>
      </c>
      <c r="DY75" s="804">
        <v>1157289</v>
      </c>
      <c r="DZ75" s="804">
        <v>0</v>
      </c>
      <c r="EA75" s="804">
        <v>2501327</v>
      </c>
      <c r="EB75" s="804">
        <v>5646839</v>
      </c>
      <c r="EC75" s="804">
        <v>6021303</v>
      </c>
      <c r="ED75" s="804">
        <v>0</v>
      </c>
      <c r="EE75" s="804">
        <v>11668142</v>
      </c>
      <c r="EF75" s="604" t="s">
        <v>17</v>
      </c>
      <c r="EG75" s="497" t="s">
        <v>623</v>
      </c>
      <c r="EH75" s="243" t="s">
        <v>523</v>
      </c>
      <c r="EI75" s="118" t="s">
        <v>1727</v>
      </c>
    </row>
    <row r="76" spans="1:139" ht="12.75" x14ac:dyDescent="0.2">
      <c r="A76" s="805">
        <v>69</v>
      </c>
      <c r="B76" s="606" t="s">
        <v>20</v>
      </c>
      <c r="C76" s="607" t="s">
        <v>1185</v>
      </c>
      <c r="D76" s="608" t="s">
        <v>1189</v>
      </c>
      <c r="E76" s="609" t="s">
        <v>19</v>
      </c>
      <c r="F76" s="802">
        <v>68408633.189999998</v>
      </c>
      <c r="G76" s="804">
        <v>0</v>
      </c>
      <c r="H76" s="804">
        <v>35878</v>
      </c>
      <c r="I76" s="804">
        <v>202876</v>
      </c>
      <c r="J76" s="804">
        <v>0</v>
      </c>
      <c r="K76" s="804">
        <v>202876</v>
      </c>
      <c r="L76" s="804">
        <v>0</v>
      </c>
      <c r="M76" s="804">
        <v>1206181.3500000001</v>
      </c>
      <c r="N76" s="804">
        <v>38513</v>
      </c>
      <c r="O76" s="804">
        <v>38513</v>
      </c>
      <c r="P76" s="804">
        <v>0</v>
      </c>
      <c r="Q76" s="804">
        <v>0</v>
      </c>
      <c r="R76" s="804">
        <v>66925185</v>
      </c>
      <c r="S76" s="804">
        <v>0.5</v>
      </c>
      <c r="T76" s="804">
        <v>0.4</v>
      </c>
      <c r="U76" s="804">
        <v>0.1</v>
      </c>
      <c r="V76" s="804">
        <v>0</v>
      </c>
      <c r="W76" s="804">
        <v>1</v>
      </c>
      <c r="X76" s="804">
        <v>33462592</v>
      </c>
      <c r="Y76" s="804">
        <v>26770074</v>
      </c>
      <c r="Z76" s="804">
        <v>6692519</v>
      </c>
      <c r="AA76" s="804">
        <v>0</v>
      </c>
      <c r="AB76" s="804">
        <v>66925185</v>
      </c>
      <c r="AC76" s="804">
        <v>40000</v>
      </c>
      <c r="AD76" s="804">
        <v>0</v>
      </c>
      <c r="AE76" s="804">
        <v>0</v>
      </c>
      <c r="AF76" s="804">
        <v>0</v>
      </c>
      <c r="AG76" s="804">
        <v>40000</v>
      </c>
      <c r="AH76" s="804">
        <v>33422592</v>
      </c>
      <c r="AI76" s="804">
        <v>26770074</v>
      </c>
      <c r="AJ76" s="804">
        <v>6692519</v>
      </c>
      <c r="AK76" s="804">
        <v>0</v>
      </c>
      <c r="AL76" s="804">
        <v>66885185</v>
      </c>
      <c r="AM76" s="804">
        <v>202876</v>
      </c>
      <c r="AN76" s="804">
        <v>202876</v>
      </c>
      <c r="AO76" s="804">
        <v>1206181.3500000001</v>
      </c>
      <c r="AP76" s="804">
        <v>1206181.3500000001</v>
      </c>
      <c r="AQ76" s="804">
        <v>38513</v>
      </c>
      <c r="AR76" s="804">
        <v>0</v>
      </c>
      <c r="AS76" s="804">
        <v>38513</v>
      </c>
      <c r="AT76" s="804">
        <v>0</v>
      </c>
      <c r="AU76" s="804">
        <v>0</v>
      </c>
      <c r="AV76" s="804">
        <v>0</v>
      </c>
      <c r="AW76" s="804">
        <v>0</v>
      </c>
      <c r="AX76" s="804">
        <v>40000</v>
      </c>
      <c r="AY76" s="804">
        <v>0</v>
      </c>
      <c r="AZ76" s="804">
        <v>0</v>
      </c>
      <c r="BA76" s="804">
        <v>40000</v>
      </c>
      <c r="BB76" s="804">
        <v>0</v>
      </c>
      <c r="BC76" s="804">
        <v>0</v>
      </c>
      <c r="BD76" s="804">
        <v>0</v>
      </c>
      <c r="BE76" s="804">
        <v>0</v>
      </c>
      <c r="BF76" s="804">
        <v>0</v>
      </c>
      <c r="BG76" s="804">
        <v>0</v>
      </c>
      <c r="BH76" s="804">
        <v>0</v>
      </c>
      <c r="BI76" s="804">
        <v>0</v>
      </c>
      <c r="BJ76" s="804">
        <v>0.25</v>
      </c>
      <c r="BK76" s="804">
        <v>0.35</v>
      </c>
      <c r="BL76" s="804">
        <v>0.4</v>
      </c>
      <c r="BM76" s="804">
        <v>0</v>
      </c>
      <c r="BN76" s="804">
        <v>1</v>
      </c>
      <c r="BO76" s="804">
        <v>-117274</v>
      </c>
      <c r="BP76" s="804">
        <v>-164183</v>
      </c>
      <c r="BQ76" s="804">
        <v>-187638</v>
      </c>
      <c r="BR76" s="804">
        <v>0</v>
      </c>
      <c r="BS76" s="804">
        <v>-469095</v>
      </c>
      <c r="BT76" s="804">
        <v>0.5</v>
      </c>
      <c r="BU76" s="804">
        <v>0.4</v>
      </c>
      <c r="BV76" s="804">
        <v>0.1</v>
      </c>
      <c r="BW76" s="804">
        <v>0</v>
      </c>
      <c r="BX76" s="804">
        <v>1</v>
      </c>
      <c r="BY76" s="804">
        <v>-1343521</v>
      </c>
      <c r="BZ76" s="804">
        <v>-1074817</v>
      </c>
      <c r="CA76" s="804">
        <v>-268704</v>
      </c>
      <c r="CB76" s="804">
        <v>0</v>
      </c>
      <c r="CC76" s="804">
        <v>-2687042</v>
      </c>
      <c r="CD76" s="804">
        <v>-1460795</v>
      </c>
      <c r="CE76" s="804">
        <v>-1239000</v>
      </c>
      <c r="CF76" s="804">
        <v>-456342</v>
      </c>
      <c r="CG76" s="804">
        <v>0</v>
      </c>
      <c r="CH76" s="804">
        <v>-3156137</v>
      </c>
      <c r="CI76" s="804">
        <v>31961797</v>
      </c>
      <c r="CJ76" s="804">
        <v>27018644</v>
      </c>
      <c r="CK76" s="804">
        <v>6236177</v>
      </c>
      <c r="CL76" s="804">
        <v>0</v>
      </c>
      <c r="CM76" s="804">
        <v>65216618</v>
      </c>
      <c r="CN76" s="804">
        <v>1124440</v>
      </c>
      <c r="CO76" s="804">
        <v>268237</v>
      </c>
      <c r="CP76" s="804">
        <v>0</v>
      </c>
      <c r="CQ76" s="804">
        <v>1392677</v>
      </c>
      <c r="CR76" s="804">
        <v>1253910</v>
      </c>
      <c r="CS76" s="804">
        <v>313478</v>
      </c>
      <c r="CT76" s="804">
        <v>0</v>
      </c>
      <c r="CU76" s="804">
        <v>1567388</v>
      </c>
      <c r="CV76" s="804">
        <v>123814</v>
      </c>
      <c r="CW76" s="804">
        <v>30954</v>
      </c>
      <c r="CX76" s="804">
        <v>0</v>
      </c>
      <c r="CY76" s="804">
        <v>154768</v>
      </c>
      <c r="CZ76" s="804">
        <v>0</v>
      </c>
      <c r="DA76" s="804">
        <v>0</v>
      </c>
      <c r="DB76" s="804">
        <v>0</v>
      </c>
      <c r="DC76" s="804">
        <v>0</v>
      </c>
      <c r="DD76" s="804">
        <v>1842</v>
      </c>
      <c r="DE76" s="804">
        <v>461</v>
      </c>
      <c r="DF76" s="804">
        <v>0</v>
      </c>
      <c r="DG76" s="804">
        <v>2303</v>
      </c>
      <c r="DH76" s="804">
        <v>7482</v>
      </c>
      <c r="DI76" s="804">
        <v>1870</v>
      </c>
      <c r="DJ76" s="804">
        <v>0</v>
      </c>
      <c r="DK76" s="804">
        <v>9352</v>
      </c>
      <c r="DL76" s="804">
        <v>4541</v>
      </c>
      <c r="DM76" s="804">
        <v>1135</v>
      </c>
      <c r="DN76" s="804">
        <v>0</v>
      </c>
      <c r="DO76" s="804">
        <v>5676</v>
      </c>
      <c r="DP76" s="804">
        <v>0</v>
      </c>
      <c r="DQ76" s="804">
        <v>0</v>
      </c>
      <c r="DR76" s="804">
        <v>0</v>
      </c>
      <c r="DS76" s="804">
        <v>0</v>
      </c>
      <c r="DT76" s="804">
        <v>0</v>
      </c>
      <c r="DU76" s="804">
        <v>0</v>
      </c>
      <c r="DV76" s="804">
        <v>0</v>
      </c>
      <c r="DW76" s="804">
        <v>0</v>
      </c>
      <c r="DX76" s="804">
        <v>503190</v>
      </c>
      <c r="DY76" s="804">
        <v>125798</v>
      </c>
      <c r="DZ76" s="804">
        <v>0</v>
      </c>
      <c r="EA76" s="804">
        <v>628988</v>
      </c>
      <c r="EB76" s="804">
        <v>3019219</v>
      </c>
      <c r="EC76" s="804">
        <v>741933</v>
      </c>
      <c r="ED76" s="804">
        <v>0</v>
      </c>
      <c r="EE76" s="804">
        <v>3761152</v>
      </c>
      <c r="EF76" s="604" t="s">
        <v>19</v>
      </c>
      <c r="EG76" s="497" t="s">
        <v>579</v>
      </c>
      <c r="EH76" s="630" t="s">
        <v>551</v>
      </c>
      <c r="EI76" s="118" t="s">
        <v>1728</v>
      </c>
    </row>
    <row r="77" spans="1:139" ht="12.75" x14ac:dyDescent="0.2">
      <c r="A77" s="805">
        <v>70</v>
      </c>
      <c r="B77" s="606" t="s">
        <v>22</v>
      </c>
      <c r="C77" s="607" t="s">
        <v>524</v>
      </c>
      <c r="D77" s="608" t="s">
        <v>1197</v>
      </c>
      <c r="E77" s="609" t="s">
        <v>563</v>
      </c>
      <c r="F77" s="802">
        <v>37175099</v>
      </c>
      <c r="G77" s="804">
        <v>0</v>
      </c>
      <c r="H77" s="804">
        <v>583621</v>
      </c>
      <c r="I77" s="804">
        <v>144406</v>
      </c>
      <c r="J77" s="804">
        <v>0</v>
      </c>
      <c r="K77" s="804">
        <v>144406</v>
      </c>
      <c r="L77" s="804">
        <v>0</v>
      </c>
      <c r="M77" s="804">
        <v>219808</v>
      </c>
      <c r="N77" s="804">
        <v>0</v>
      </c>
      <c r="O77" s="804">
        <v>0</v>
      </c>
      <c r="P77" s="804">
        <v>0</v>
      </c>
      <c r="Q77" s="804">
        <v>0</v>
      </c>
      <c r="R77" s="804">
        <v>36227264</v>
      </c>
      <c r="S77" s="804">
        <v>0.5</v>
      </c>
      <c r="T77" s="804">
        <v>0.49</v>
      </c>
      <c r="U77" s="804">
        <v>0</v>
      </c>
      <c r="V77" s="804">
        <v>0.01</v>
      </c>
      <c r="W77" s="804">
        <v>1</v>
      </c>
      <c r="X77" s="804">
        <v>18113632</v>
      </c>
      <c r="Y77" s="804">
        <v>17751359</v>
      </c>
      <c r="Z77" s="804">
        <v>0</v>
      </c>
      <c r="AA77" s="804">
        <v>362273</v>
      </c>
      <c r="AB77" s="804">
        <v>36227264</v>
      </c>
      <c r="AC77" s="804">
        <v>1964176</v>
      </c>
      <c r="AD77" s="804">
        <v>0</v>
      </c>
      <c r="AE77" s="804">
        <v>0</v>
      </c>
      <c r="AF77" s="804">
        <v>0</v>
      </c>
      <c r="AG77" s="804">
        <v>1964176</v>
      </c>
      <c r="AH77" s="804">
        <v>16149456</v>
      </c>
      <c r="AI77" s="804">
        <v>17751359</v>
      </c>
      <c r="AJ77" s="804">
        <v>0</v>
      </c>
      <c r="AK77" s="804">
        <v>362273</v>
      </c>
      <c r="AL77" s="804">
        <v>34263088</v>
      </c>
      <c r="AM77" s="804">
        <v>144406</v>
      </c>
      <c r="AN77" s="804">
        <v>144406</v>
      </c>
      <c r="AO77" s="804">
        <v>219808</v>
      </c>
      <c r="AP77" s="804">
        <v>219808</v>
      </c>
      <c r="AQ77" s="804">
        <v>0</v>
      </c>
      <c r="AR77" s="804">
        <v>0</v>
      </c>
      <c r="AS77" s="804">
        <v>0</v>
      </c>
      <c r="AT77" s="804">
        <v>0</v>
      </c>
      <c r="AU77" s="804">
        <v>0</v>
      </c>
      <c r="AV77" s="804">
        <v>0</v>
      </c>
      <c r="AW77" s="804">
        <v>0</v>
      </c>
      <c r="AX77" s="804">
        <v>22056</v>
      </c>
      <c r="AY77" s="804">
        <v>0</v>
      </c>
      <c r="AZ77" s="804">
        <v>0</v>
      </c>
      <c r="BA77" s="804">
        <v>22056</v>
      </c>
      <c r="BB77" s="804">
        <v>0</v>
      </c>
      <c r="BC77" s="804">
        <v>0</v>
      </c>
      <c r="BD77" s="804">
        <v>1942120</v>
      </c>
      <c r="BE77" s="804">
        <v>0</v>
      </c>
      <c r="BF77" s="804">
        <v>0</v>
      </c>
      <c r="BG77" s="804">
        <v>1942120</v>
      </c>
      <c r="BH77" s="804">
        <v>0</v>
      </c>
      <c r="BI77" s="804">
        <v>0</v>
      </c>
      <c r="BJ77" s="804">
        <v>0.5</v>
      </c>
      <c r="BK77" s="804">
        <v>0.49</v>
      </c>
      <c r="BL77" s="804">
        <v>0</v>
      </c>
      <c r="BM77" s="804">
        <v>0.01</v>
      </c>
      <c r="BN77" s="804">
        <v>1</v>
      </c>
      <c r="BO77" s="804">
        <v>-537473.99999999907</v>
      </c>
      <c r="BP77" s="804">
        <v>-526725</v>
      </c>
      <c r="BQ77" s="804">
        <v>0</v>
      </c>
      <c r="BR77" s="804">
        <v>-10749</v>
      </c>
      <c r="BS77" s="804">
        <v>-1074947.9999999991</v>
      </c>
      <c r="BT77" s="804">
        <v>0.5</v>
      </c>
      <c r="BU77" s="804">
        <v>0.49</v>
      </c>
      <c r="BV77" s="804">
        <v>0</v>
      </c>
      <c r="BW77" s="804">
        <v>0.01</v>
      </c>
      <c r="BX77" s="804">
        <v>1</v>
      </c>
      <c r="BY77" s="804">
        <v>-270140.20000000019</v>
      </c>
      <c r="BZ77" s="804">
        <v>-264738</v>
      </c>
      <c r="CA77" s="804">
        <v>0</v>
      </c>
      <c r="CB77" s="804">
        <v>-5403</v>
      </c>
      <c r="CC77" s="804">
        <v>-540281.20000000019</v>
      </c>
      <c r="CD77" s="804">
        <v>-807614</v>
      </c>
      <c r="CE77" s="804">
        <v>-791463</v>
      </c>
      <c r="CF77" s="804">
        <v>0</v>
      </c>
      <c r="CG77" s="804">
        <v>-16152</v>
      </c>
      <c r="CH77" s="804">
        <v>-1615229.1999999993</v>
      </c>
      <c r="CI77" s="804">
        <v>15341842</v>
      </c>
      <c r="CJ77" s="804">
        <v>19288286</v>
      </c>
      <c r="CK77" s="804">
        <v>0</v>
      </c>
      <c r="CL77" s="804">
        <v>346121</v>
      </c>
      <c r="CM77" s="804">
        <v>34976249</v>
      </c>
      <c r="CN77" s="804">
        <v>799012</v>
      </c>
      <c r="CO77" s="804">
        <v>0</v>
      </c>
      <c r="CP77" s="804">
        <v>14520</v>
      </c>
      <c r="CQ77" s="804">
        <v>813532</v>
      </c>
      <c r="CR77" s="804">
        <v>1561632</v>
      </c>
      <c r="CS77" s="804">
        <v>0</v>
      </c>
      <c r="CT77" s="804">
        <v>30807</v>
      </c>
      <c r="CU77" s="804">
        <v>1592439</v>
      </c>
      <c r="CV77" s="804">
        <v>69997</v>
      </c>
      <c r="CW77" s="804">
        <v>0</v>
      </c>
      <c r="CX77" s="804">
        <v>1422</v>
      </c>
      <c r="CY77" s="804">
        <v>71419</v>
      </c>
      <c r="CZ77" s="804">
        <v>19074</v>
      </c>
      <c r="DA77" s="804">
        <v>0</v>
      </c>
      <c r="DB77" s="804">
        <v>389</v>
      </c>
      <c r="DC77" s="804">
        <v>19463</v>
      </c>
      <c r="DD77" s="804">
        <v>0</v>
      </c>
      <c r="DE77" s="804">
        <v>0</v>
      </c>
      <c r="DF77" s="804">
        <v>0</v>
      </c>
      <c r="DG77" s="804">
        <v>0</v>
      </c>
      <c r="DH77" s="804">
        <v>9914</v>
      </c>
      <c r="DI77" s="804">
        <v>0</v>
      </c>
      <c r="DJ77" s="804">
        <v>202</v>
      </c>
      <c r="DK77" s="804">
        <v>10116</v>
      </c>
      <c r="DL77" s="804">
        <v>1943</v>
      </c>
      <c r="DM77" s="804">
        <v>0</v>
      </c>
      <c r="DN77" s="804">
        <v>40</v>
      </c>
      <c r="DO77" s="804">
        <v>1983</v>
      </c>
      <c r="DP77" s="804">
        <v>0</v>
      </c>
      <c r="DQ77" s="804">
        <v>0</v>
      </c>
      <c r="DR77" s="804">
        <v>0</v>
      </c>
      <c r="DS77" s="804">
        <v>0</v>
      </c>
      <c r="DT77" s="804">
        <v>0</v>
      </c>
      <c r="DU77" s="804">
        <v>0</v>
      </c>
      <c r="DV77" s="804">
        <v>0</v>
      </c>
      <c r="DW77" s="804">
        <v>0</v>
      </c>
      <c r="DX77" s="804">
        <v>341962</v>
      </c>
      <c r="DY77" s="804">
        <v>0</v>
      </c>
      <c r="DZ77" s="804">
        <v>6979</v>
      </c>
      <c r="EA77" s="804">
        <v>348941</v>
      </c>
      <c r="EB77" s="804">
        <v>2803534</v>
      </c>
      <c r="EC77" s="804">
        <v>0</v>
      </c>
      <c r="ED77" s="804">
        <v>54359</v>
      </c>
      <c r="EE77" s="804">
        <v>2857893</v>
      </c>
      <c r="EF77" s="604" t="s">
        <v>563</v>
      </c>
      <c r="EG77" s="497" t="s">
        <v>524</v>
      </c>
      <c r="EH77" s="630" t="s">
        <v>564</v>
      </c>
      <c r="EI77" s="118" t="s">
        <v>1729</v>
      </c>
    </row>
    <row r="78" spans="1:139" ht="12.75" x14ac:dyDescent="0.2">
      <c r="A78" s="805">
        <v>71</v>
      </c>
      <c r="B78" s="606" t="s">
        <v>24</v>
      </c>
      <c r="C78" s="607" t="s">
        <v>1185</v>
      </c>
      <c r="D78" s="608" t="s">
        <v>1186</v>
      </c>
      <c r="E78" s="609" t="s">
        <v>23</v>
      </c>
      <c r="F78" s="802">
        <v>90996789</v>
      </c>
      <c r="G78" s="804">
        <v>0</v>
      </c>
      <c r="H78" s="804">
        <v>1744989</v>
      </c>
      <c r="I78" s="804">
        <v>170452</v>
      </c>
      <c r="J78" s="804">
        <v>0</v>
      </c>
      <c r="K78" s="804">
        <v>170452</v>
      </c>
      <c r="L78" s="804">
        <v>0</v>
      </c>
      <c r="M78" s="804">
        <v>0</v>
      </c>
      <c r="N78" s="804">
        <v>0</v>
      </c>
      <c r="O78" s="804">
        <v>0</v>
      </c>
      <c r="P78" s="804">
        <v>0</v>
      </c>
      <c r="Q78" s="804">
        <v>0</v>
      </c>
      <c r="R78" s="804">
        <v>89081348</v>
      </c>
      <c r="S78" s="804">
        <v>0.5</v>
      </c>
      <c r="T78" s="804">
        <v>0.4</v>
      </c>
      <c r="U78" s="804">
        <v>0.09</v>
      </c>
      <c r="V78" s="804">
        <v>0.01</v>
      </c>
      <c r="W78" s="804">
        <v>1</v>
      </c>
      <c r="X78" s="804">
        <v>44540675</v>
      </c>
      <c r="Y78" s="804">
        <v>35632539</v>
      </c>
      <c r="Z78" s="804">
        <v>8017321</v>
      </c>
      <c r="AA78" s="804">
        <v>890813</v>
      </c>
      <c r="AB78" s="804">
        <v>89081348</v>
      </c>
      <c r="AC78" s="804">
        <v>0</v>
      </c>
      <c r="AD78" s="804">
        <v>0</v>
      </c>
      <c r="AE78" s="804">
        <v>0</v>
      </c>
      <c r="AF78" s="804">
        <v>0</v>
      </c>
      <c r="AG78" s="804">
        <v>0</v>
      </c>
      <c r="AH78" s="804">
        <v>44540675</v>
      </c>
      <c r="AI78" s="804">
        <v>35632539</v>
      </c>
      <c r="AJ78" s="804">
        <v>8017321</v>
      </c>
      <c r="AK78" s="804">
        <v>890813</v>
      </c>
      <c r="AL78" s="804">
        <v>89081348</v>
      </c>
      <c r="AM78" s="804">
        <v>170452</v>
      </c>
      <c r="AN78" s="804">
        <v>170452</v>
      </c>
      <c r="AO78" s="804">
        <v>0</v>
      </c>
      <c r="AP78" s="804">
        <v>0</v>
      </c>
      <c r="AQ78" s="804">
        <v>0</v>
      </c>
      <c r="AR78" s="804">
        <v>0</v>
      </c>
      <c r="AS78" s="804">
        <v>0</v>
      </c>
      <c r="AT78" s="804">
        <v>0</v>
      </c>
      <c r="AU78" s="804">
        <v>0</v>
      </c>
      <c r="AV78" s="804">
        <v>0</v>
      </c>
      <c r="AW78" s="804">
        <v>0</v>
      </c>
      <c r="AX78" s="804">
        <v>0</v>
      </c>
      <c r="AY78" s="804">
        <v>0</v>
      </c>
      <c r="AZ78" s="804">
        <v>0</v>
      </c>
      <c r="BA78" s="804">
        <v>0</v>
      </c>
      <c r="BB78" s="804">
        <v>0</v>
      </c>
      <c r="BC78" s="804">
        <v>0</v>
      </c>
      <c r="BD78" s="804">
        <v>0</v>
      </c>
      <c r="BE78" s="804">
        <v>0</v>
      </c>
      <c r="BF78" s="804">
        <v>0</v>
      </c>
      <c r="BG78" s="804">
        <v>0</v>
      </c>
      <c r="BH78" s="804">
        <v>0</v>
      </c>
      <c r="BI78" s="804">
        <v>0</v>
      </c>
      <c r="BJ78" s="804">
        <v>0.5</v>
      </c>
      <c r="BK78" s="804">
        <v>0.4</v>
      </c>
      <c r="BL78" s="804">
        <v>0.09</v>
      </c>
      <c r="BM78" s="804">
        <v>0.01</v>
      </c>
      <c r="BN78" s="804">
        <v>1</v>
      </c>
      <c r="BO78" s="804">
        <v>685583</v>
      </c>
      <c r="BP78" s="804">
        <v>548467</v>
      </c>
      <c r="BQ78" s="804">
        <v>123405</v>
      </c>
      <c r="BR78" s="804">
        <v>13712</v>
      </c>
      <c r="BS78" s="804">
        <v>1371167</v>
      </c>
      <c r="BT78" s="804">
        <v>0</v>
      </c>
      <c r="BU78" s="804">
        <v>0.4</v>
      </c>
      <c r="BV78" s="804">
        <v>0.59</v>
      </c>
      <c r="BW78" s="804">
        <v>0.01</v>
      </c>
      <c r="BX78" s="804">
        <v>1</v>
      </c>
      <c r="BY78" s="804">
        <v>0</v>
      </c>
      <c r="BZ78" s="804">
        <v>542364</v>
      </c>
      <c r="CA78" s="804">
        <v>799987</v>
      </c>
      <c r="CB78" s="804">
        <v>13559</v>
      </c>
      <c r="CC78" s="804">
        <v>1355910</v>
      </c>
      <c r="CD78" s="804">
        <v>685583</v>
      </c>
      <c r="CE78" s="804">
        <v>1090831</v>
      </c>
      <c r="CF78" s="804">
        <v>923392</v>
      </c>
      <c r="CG78" s="804">
        <v>27271</v>
      </c>
      <c r="CH78" s="804">
        <v>2727077</v>
      </c>
      <c r="CI78" s="804">
        <v>45226258</v>
      </c>
      <c r="CJ78" s="804">
        <v>36893822</v>
      </c>
      <c r="CK78" s="804">
        <v>8940713</v>
      </c>
      <c r="CL78" s="804">
        <v>918084</v>
      </c>
      <c r="CM78" s="804">
        <v>91978877</v>
      </c>
      <c r="CN78" s="804">
        <v>1428158</v>
      </c>
      <c r="CO78" s="804">
        <v>321336</v>
      </c>
      <c r="CP78" s="804">
        <v>35704</v>
      </c>
      <c r="CQ78" s="804">
        <v>1785198</v>
      </c>
      <c r="CR78" s="804">
        <v>768002</v>
      </c>
      <c r="CS78" s="804">
        <v>172801</v>
      </c>
      <c r="CT78" s="804">
        <v>19200</v>
      </c>
      <c r="CU78" s="804">
        <v>960003</v>
      </c>
      <c r="CV78" s="804">
        <v>73319</v>
      </c>
      <c r="CW78" s="804">
        <v>16497</v>
      </c>
      <c r="CX78" s="804">
        <v>1833</v>
      </c>
      <c r="CY78" s="804">
        <v>91649</v>
      </c>
      <c r="CZ78" s="804">
        <v>0</v>
      </c>
      <c r="DA78" s="804">
        <v>0</v>
      </c>
      <c r="DB78" s="804">
        <v>0</v>
      </c>
      <c r="DC78" s="804">
        <v>0</v>
      </c>
      <c r="DD78" s="804">
        <v>0</v>
      </c>
      <c r="DE78" s="804">
        <v>0</v>
      </c>
      <c r="DF78" s="804">
        <v>0</v>
      </c>
      <c r="DG78" s="804">
        <v>0</v>
      </c>
      <c r="DH78" s="804">
        <v>1838</v>
      </c>
      <c r="DI78" s="804">
        <v>414</v>
      </c>
      <c r="DJ78" s="804">
        <v>46</v>
      </c>
      <c r="DK78" s="804">
        <v>2298</v>
      </c>
      <c r="DL78" s="804">
        <v>2201</v>
      </c>
      <c r="DM78" s="804">
        <v>495</v>
      </c>
      <c r="DN78" s="804">
        <v>55</v>
      </c>
      <c r="DO78" s="804">
        <v>2751</v>
      </c>
      <c r="DP78" s="804">
        <v>0</v>
      </c>
      <c r="DQ78" s="804">
        <v>0</v>
      </c>
      <c r="DR78" s="804">
        <v>0</v>
      </c>
      <c r="DS78" s="804">
        <v>0</v>
      </c>
      <c r="DT78" s="804">
        <v>0</v>
      </c>
      <c r="DU78" s="804">
        <v>0</v>
      </c>
      <c r="DV78" s="804">
        <v>0</v>
      </c>
      <c r="DW78" s="804">
        <v>0</v>
      </c>
      <c r="DX78" s="804">
        <v>262243</v>
      </c>
      <c r="DY78" s="804">
        <v>59005</v>
      </c>
      <c r="DZ78" s="804">
        <v>6556</v>
      </c>
      <c r="EA78" s="804">
        <v>327804</v>
      </c>
      <c r="EB78" s="804">
        <v>2535761</v>
      </c>
      <c r="EC78" s="804">
        <v>570548</v>
      </c>
      <c r="ED78" s="804">
        <v>63394</v>
      </c>
      <c r="EE78" s="804">
        <v>3169703</v>
      </c>
      <c r="EF78" s="604" t="s">
        <v>23</v>
      </c>
      <c r="EG78" s="497" t="s">
        <v>586</v>
      </c>
      <c r="EH78" s="630" t="s">
        <v>585</v>
      </c>
      <c r="EI78" s="118" t="s">
        <v>1730</v>
      </c>
    </row>
    <row r="79" spans="1:139" ht="12.75" x14ac:dyDescent="0.2">
      <c r="A79" s="805">
        <v>72</v>
      </c>
      <c r="B79" s="606" t="s">
        <v>26</v>
      </c>
      <c r="C79" s="607" t="s">
        <v>1185</v>
      </c>
      <c r="D79" s="608" t="s">
        <v>1188</v>
      </c>
      <c r="E79" s="609" t="s">
        <v>25</v>
      </c>
      <c r="F79" s="802">
        <v>49316635</v>
      </c>
      <c r="G79" s="804">
        <v>0</v>
      </c>
      <c r="H79" s="804">
        <v>165706</v>
      </c>
      <c r="I79" s="804">
        <v>118949</v>
      </c>
      <c r="J79" s="804">
        <v>0</v>
      </c>
      <c r="K79" s="804">
        <v>118949</v>
      </c>
      <c r="L79" s="804">
        <v>0</v>
      </c>
      <c r="M79" s="804">
        <v>0</v>
      </c>
      <c r="N79" s="804">
        <v>1139384</v>
      </c>
      <c r="O79" s="804">
        <v>857784</v>
      </c>
      <c r="P79" s="804">
        <v>281600</v>
      </c>
      <c r="Q79" s="804">
        <v>0</v>
      </c>
      <c r="R79" s="804">
        <v>47892596</v>
      </c>
      <c r="S79" s="804">
        <v>0.5</v>
      </c>
      <c r="T79" s="804">
        <v>0.4</v>
      </c>
      <c r="U79" s="804">
        <v>0.09</v>
      </c>
      <c r="V79" s="804">
        <v>0.01</v>
      </c>
      <c r="W79" s="804">
        <v>1</v>
      </c>
      <c r="X79" s="804">
        <v>23946298</v>
      </c>
      <c r="Y79" s="804">
        <v>19157038</v>
      </c>
      <c r="Z79" s="804">
        <v>4310334</v>
      </c>
      <c r="AA79" s="804">
        <v>478926</v>
      </c>
      <c r="AB79" s="804">
        <v>47892596</v>
      </c>
      <c r="AC79" s="804">
        <v>0</v>
      </c>
      <c r="AD79" s="804">
        <v>0</v>
      </c>
      <c r="AE79" s="804">
        <v>0</v>
      </c>
      <c r="AF79" s="804">
        <v>0</v>
      </c>
      <c r="AG79" s="804">
        <v>0</v>
      </c>
      <c r="AH79" s="804">
        <v>23946298</v>
      </c>
      <c r="AI79" s="804">
        <v>19157038</v>
      </c>
      <c r="AJ79" s="804">
        <v>4310334</v>
      </c>
      <c r="AK79" s="804">
        <v>478926</v>
      </c>
      <c r="AL79" s="804">
        <v>47892596</v>
      </c>
      <c r="AM79" s="804">
        <v>118949</v>
      </c>
      <c r="AN79" s="804">
        <v>118949</v>
      </c>
      <c r="AO79" s="804">
        <v>0</v>
      </c>
      <c r="AP79" s="804">
        <v>0</v>
      </c>
      <c r="AQ79" s="804">
        <v>857784</v>
      </c>
      <c r="AR79" s="804">
        <v>281600</v>
      </c>
      <c r="AS79" s="804">
        <v>1139384</v>
      </c>
      <c r="AT79" s="804">
        <v>0</v>
      </c>
      <c r="AU79" s="804">
        <v>0</v>
      </c>
      <c r="AV79" s="804">
        <v>0</v>
      </c>
      <c r="AW79" s="804">
        <v>0</v>
      </c>
      <c r="AX79" s="804">
        <v>0</v>
      </c>
      <c r="AY79" s="804">
        <v>0</v>
      </c>
      <c r="AZ79" s="804">
        <v>0</v>
      </c>
      <c r="BA79" s="804">
        <v>0</v>
      </c>
      <c r="BB79" s="804">
        <v>0</v>
      </c>
      <c r="BC79" s="804">
        <v>0</v>
      </c>
      <c r="BD79" s="804">
        <v>0</v>
      </c>
      <c r="BE79" s="804">
        <v>0</v>
      </c>
      <c r="BF79" s="804">
        <v>0</v>
      </c>
      <c r="BG79" s="804">
        <v>0</v>
      </c>
      <c r="BH79" s="804">
        <v>0</v>
      </c>
      <c r="BI79" s="804">
        <v>0</v>
      </c>
      <c r="BJ79" s="804">
        <v>0.25</v>
      </c>
      <c r="BK79" s="804">
        <v>0.4</v>
      </c>
      <c r="BL79" s="804">
        <v>0.33999999999999997</v>
      </c>
      <c r="BM79" s="804">
        <v>0.01</v>
      </c>
      <c r="BN79" s="804">
        <v>1</v>
      </c>
      <c r="BO79" s="804">
        <v>401215</v>
      </c>
      <c r="BP79" s="804">
        <v>641945</v>
      </c>
      <c r="BQ79" s="804">
        <v>545653</v>
      </c>
      <c r="BR79" s="804">
        <v>16049</v>
      </c>
      <c r="BS79" s="804">
        <v>1604862</v>
      </c>
      <c r="BT79" s="804">
        <v>0.5</v>
      </c>
      <c r="BU79" s="804">
        <v>0.4</v>
      </c>
      <c r="BV79" s="804">
        <v>0.1</v>
      </c>
      <c r="BW79" s="804">
        <v>0</v>
      </c>
      <c r="BX79" s="804">
        <v>1</v>
      </c>
      <c r="BY79" s="804">
        <v>-195907.29999999702</v>
      </c>
      <c r="BZ79" s="804">
        <v>-156726</v>
      </c>
      <c r="CA79" s="804">
        <v>-39181</v>
      </c>
      <c r="CB79" s="804">
        <v>0</v>
      </c>
      <c r="CC79" s="804">
        <v>-391814.29999999702</v>
      </c>
      <c r="CD79" s="804">
        <v>205308</v>
      </c>
      <c r="CE79" s="804">
        <v>485219</v>
      </c>
      <c r="CF79" s="804">
        <v>506472</v>
      </c>
      <c r="CG79" s="804">
        <v>16049</v>
      </c>
      <c r="CH79" s="804">
        <v>1213047.700000003</v>
      </c>
      <c r="CI79" s="804">
        <v>24151606</v>
      </c>
      <c r="CJ79" s="804">
        <v>20618990</v>
      </c>
      <c r="CK79" s="804">
        <v>5098406</v>
      </c>
      <c r="CL79" s="804">
        <v>494975</v>
      </c>
      <c r="CM79" s="804">
        <v>50363977</v>
      </c>
      <c r="CN79" s="804">
        <v>802197</v>
      </c>
      <c r="CO79" s="804">
        <v>184045</v>
      </c>
      <c r="CP79" s="804">
        <v>19195</v>
      </c>
      <c r="CQ79" s="804">
        <v>1005437</v>
      </c>
      <c r="CR79" s="804">
        <v>784975</v>
      </c>
      <c r="CS79" s="804">
        <v>176619</v>
      </c>
      <c r="CT79" s="804">
        <v>19624</v>
      </c>
      <c r="CU79" s="804">
        <v>981218</v>
      </c>
      <c r="CV79" s="804">
        <v>58983</v>
      </c>
      <c r="CW79" s="804">
        <v>13271</v>
      </c>
      <c r="CX79" s="804">
        <v>1475</v>
      </c>
      <c r="CY79" s="804">
        <v>73729</v>
      </c>
      <c r="CZ79" s="804">
        <v>0</v>
      </c>
      <c r="DA79" s="804">
        <v>0</v>
      </c>
      <c r="DB79" s="804">
        <v>0</v>
      </c>
      <c r="DC79" s="804">
        <v>0</v>
      </c>
      <c r="DD79" s="804">
        <v>18289</v>
      </c>
      <c r="DE79" s="804">
        <v>4115</v>
      </c>
      <c r="DF79" s="804">
        <v>457</v>
      </c>
      <c r="DG79" s="804">
        <v>22861</v>
      </c>
      <c r="DH79" s="804">
        <v>11016</v>
      </c>
      <c r="DI79" s="804">
        <v>2478</v>
      </c>
      <c r="DJ79" s="804">
        <v>275</v>
      </c>
      <c r="DK79" s="804">
        <v>13769</v>
      </c>
      <c r="DL79" s="804">
        <v>1094</v>
      </c>
      <c r="DM79" s="804">
        <v>246</v>
      </c>
      <c r="DN79" s="804">
        <v>27</v>
      </c>
      <c r="DO79" s="804">
        <v>1367</v>
      </c>
      <c r="DP79" s="804">
        <v>0</v>
      </c>
      <c r="DQ79" s="804">
        <v>0</v>
      </c>
      <c r="DR79" s="804">
        <v>0</v>
      </c>
      <c r="DS79" s="804">
        <v>0</v>
      </c>
      <c r="DT79" s="804">
        <v>0</v>
      </c>
      <c r="DU79" s="804">
        <v>0</v>
      </c>
      <c r="DV79" s="804">
        <v>0</v>
      </c>
      <c r="DW79" s="804">
        <v>0</v>
      </c>
      <c r="DX79" s="804">
        <v>139500</v>
      </c>
      <c r="DY79" s="804">
        <v>31387</v>
      </c>
      <c r="DZ79" s="804">
        <v>3487</v>
      </c>
      <c r="EA79" s="804">
        <v>174374</v>
      </c>
      <c r="EB79" s="804">
        <v>1816054</v>
      </c>
      <c r="EC79" s="804">
        <v>412161</v>
      </c>
      <c r="ED79" s="804">
        <v>44540</v>
      </c>
      <c r="EE79" s="804">
        <v>2272755</v>
      </c>
      <c r="EF79" s="604" t="s">
        <v>25</v>
      </c>
      <c r="EG79" s="497" t="s">
        <v>600</v>
      </c>
      <c r="EH79" s="630" t="s">
        <v>551</v>
      </c>
      <c r="EI79" s="118" t="s">
        <v>1731</v>
      </c>
    </row>
    <row r="80" spans="1:139" ht="12.75" x14ac:dyDescent="0.2">
      <c r="A80" s="805">
        <v>73</v>
      </c>
      <c r="B80" s="606" t="s">
        <v>28</v>
      </c>
      <c r="C80" s="607" t="s">
        <v>524</v>
      </c>
      <c r="D80" s="608" t="s">
        <v>1188</v>
      </c>
      <c r="E80" s="609" t="s">
        <v>553</v>
      </c>
      <c r="F80" s="802">
        <v>92865433</v>
      </c>
      <c r="G80" s="804">
        <v>828933</v>
      </c>
      <c r="H80" s="804">
        <v>0</v>
      </c>
      <c r="I80" s="804">
        <v>340724</v>
      </c>
      <c r="J80" s="804">
        <v>0</v>
      </c>
      <c r="K80" s="804">
        <v>340724</v>
      </c>
      <c r="L80" s="804">
        <v>0</v>
      </c>
      <c r="M80" s="804">
        <v>126856</v>
      </c>
      <c r="N80" s="804">
        <v>740352</v>
      </c>
      <c r="O80" s="804">
        <v>740352</v>
      </c>
      <c r="P80" s="804">
        <v>0</v>
      </c>
      <c r="Q80" s="804">
        <v>0</v>
      </c>
      <c r="R80" s="804">
        <v>92486434</v>
      </c>
      <c r="S80" s="804">
        <v>0.5</v>
      </c>
      <c r="T80" s="804">
        <v>0.49</v>
      </c>
      <c r="U80" s="804">
        <v>0</v>
      </c>
      <c r="V80" s="804">
        <v>0.01</v>
      </c>
      <c r="W80" s="804">
        <v>1</v>
      </c>
      <c r="X80" s="804">
        <v>46243217</v>
      </c>
      <c r="Y80" s="804">
        <v>45318353</v>
      </c>
      <c r="Z80" s="804">
        <v>0</v>
      </c>
      <c r="AA80" s="804">
        <v>924864</v>
      </c>
      <c r="AB80" s="804">
        <v>92486434</v>
      </c>
      <c r="AC80" s="804">
        <v>38623</v>
      </c>
      <c r="AD80" s="804">
        <v>0</v>
      </c>
      <c r="AE80" s="804">
        <v>0</v>
      </c>
      <c r="AF80" s="804">
        <v>0</v>
      </c>
      <c r="AG80" s="804">
        <v>38623</v>
      </c>
      <c r="AH80" s="804">
        <v>46204594</v>
      </c>
      <c r="AI80" s="804">
        <v>45318353</v>
      </c>
      <c r="AJ80" s="804">
        <v>0</v>
      </c>
      <c r="AK80" s="804">
        <v>924864</v>
      </c>
      <c r="AL80" s="804">
        <v>92447811</v>
      </c>
      <c r="AM80" s="804">
        <v>340724</v>
      </c>
      <c r="AN80" s="804">
        <v>340724</v>
      </c>
      <c r="AO80" s="804">
        <v>126856</v>
      </c>
      <c r="AP80" s="804">
        <v>126856</v>
      </c>
      <c r="AQ80" s="804">
        <v>740352</v>
      </c>
      <c r="AR80" s="804">
        <v>0</v>
      </c>
      <c r="AS80" s="804">
        <v>740352</v>
      </c>
      <c r="AT80" s="804">
        <v>0</v>
      </c>
      <c r="AU80" s="804">
        <v>0</v>
      </c>
      <c r="AV80" s="804">
        <v>0</v>
      </c>
      <c r="AW80" s="804">
        <v>0</v>
      </c>
      <c r="AX80" s="804">
        <v>38623</v>
      </c>
      <c r="AY80" s="804">
        <v>0</v>
      </c>
      <c r="AZ80" s="804">
        <v>0</v>
      </c>
      <c r="BA80" s="804">
        <v>38623</v>
      </c>
      <c r="BB80" s="804">
        <v>0</v>
      </c>
      <c r="BC80" s="804">
        <v>0</v>
      </c>
      <c r="BD80" s="804">
        <v>0</v>
      </c>
      <c r="BE80" s="804">
        <v>0</v>
      </c>
      <c r="BF80" s="804">
        <v>0</v>
      </c>
      <c r="BG80" s="804">
        <v>0</v>
      </c>
      <c r="BH80" s="804">
        <v>0</v>
      </c>
      <c r="BI80" s="804">
        <v>0</v>
      </c>
      <c r="BJ80" s="804">
        <v>0.5</v>
      </c>
      <c r="BK80" s="804">
        <v>0.49</v>
      </c>
      <c r="BL80" s="804">
        <v>0</v>
      </c>
      <c r="BM80" s="804">
        <v>0.01</v>
      </c>
      <c r="BN80" s="804">
        <v>1</v>
      </c>
      <c r="BO80" s="804">
        <v>-1909606</v>
      </c>
      <c r="BP80" s="804">
        <v>-1871413</v>
      </c>
      <c r="BQ80" s="804">
        <v>0</v>
      </c>
      <c r="BR80" s="804">
        <v>-38192</v>
      </c>
      <c r="BS80" s="804">
        <v>-3819211</v>
      </c>
      <c r="BT80" s="804">
        <v>0</v>
      </c>
      <c r="BU80" s="804">
        <v>0.99</v>
      </c>
      <c r="BV80" s="804">
        <v>0</v>
      </c>
      <c r="BW80" s="804">
        <v>0.01</v>
      </c>
      <c r="BX80" s="804">
        <v>1</v>
      </c>
      <c r="BY80" s="804">
        <v>0</v>
      </c>
      <c r="BZ80" s="804">
        <v>232806</v>
      </c>
      <c r="CA80" s="804">
        <v>0</v>
      </c>
      <c r="CB80" s="804">
        <v>2352</v>
      </c>
      <c r="CC80" s="804">
        <v>235158</v>
      </c>
      <c r="CD80" s="804">
        <v>-1909606</v>
      </c>
      <c r="CE80" s="804">
        <v>-1638607</v>
      </c>
      <c r="CF80" s="804">
        <v>0</v>
      </c>
      <c r="CG80" s="804">
        <v>-35840</v>
      </c>
      <c r="CH80" s="804">
        <v>-3584053</v>
      </c>
      <c r="CI80" s="804">
        <v>44294988</v>
      </c>
      <c r="CJ80" s="804">
        <v>44926301</v>
      </c>
      <c r="CK80" s="804">
        <v>0</v>
      </c>
      <c r="CL80" s="804">
        <v>889024</v>
      </c>
      <c r="CM80" s="804">
        <v>90110313</v>
      </c>
      <c r="CN80" s="804">
        <v>1852673</v>
      </c>
      <c r="CO80" s="804">
        <v>0</v>
      </c>
      <c r="CP80" s="804">
        <v>37069</v>
      </c>
      <c r="CQ80" s="804">
        <v>1889742</v>
      </c>
      <c r="CR80" s="804">
        <v>2542979</v>
      </c>
      <c r="CS80" s="804">
        <v>0</v>
      </c>
      <c r="CT80" s="804">
        <v>51755</v>
      </c>
      <c r="CU80" s="804">
        <v>2594734</v>
      </c>
      <c r="CV80" s="804">
        <v>216761</v>
      </c>
      <c r="CW80" s="804">
        <v>0</v>
      </c>
      <c r="CX80" s="804">
        <v>4418</v>
      </c>
      <c r="CY80" s="804">
        <v>221179</v>
      </c>
      <c r="CZ80" s="804">
        <v>0</v>
      </c>
      <c r="DA80" s="804">
        <v>0</v>
      </c>
      <c r="DB80" s="804">
        <v>0</v>
      </c>
      <c r="DC80" s="804">
        <v>0</v>
      </c>
      <c r="DD80" s="804">
        <v>0</v>
      </c>
      <c r="DE80" s="804">
        <v>0</v>
      </c>
      <c r="DF80" s="804">
        <v>0</v>
      </c>
      <c r="DG80" s="804">
        <v>0</v>
      </c>
      <c r="DH80" s="804">
        <v>4369</v>
      </c>
      <c r="DI80" s="804">
        <v>0</v>
      </c>
      <c r="DJ80" s="804">
        <v>89</v>
      </c>
      <c r="DK80" s="804">
        <v>4458</v>
      </c>
      <c r="DL80" s="804">
        <v>2164</v>
      </c>
      <c r="DM80" s="804">
        <v>0</v>
      </c>
      <c r="DN80" s="804">
        <v>44</v>
      </c>
      <c r="DO80" s="804">
        <v>2208</v>
      </c>
      <c r="DP80" s="804">
        <v>0</v>
      </c>
      <c r="DQ80" s="804">
        <v>0</v>
      </c>
      <c r="DR80" s="804">
        <v>0</v>
      </c>
      <c r="DS80" s="804">
        <v>0</v>
      </c>
      <c r="DT80" s="804">
        <v>0</v>
      </c>
      <c r="DU80" s="804">
        <v>0</v>
      </c>
      <c r="DV80" s="804">
        <v>0</v>
      </c>
      <c r="DW80" s="804">
        <v>0</v>
      </c>
      <c r="DX80" s="804">
        <v>827925</v>
      </c>
      <c r="DY80" s="804">
        <v>0</v>
      </c>
      <c r="DZ80" s="804">
        <v>16896</v>
      </c>
      <c r="EA80" s="804">
        <v>844821</v>
      </c>
      <c r="EB80" s="804">
        <v>5446871</v>
      </c>
      <c r="EC80" s="804">
        <v>0</v>
      </c>
      <c r="ED80" s="804">
        <v>110271</v>
      </c>
      <c r="EE80" s="804">
        <v>5557142</v>
      </c>
      <c r="EF80" s="604" t="s">
        <v>553</v>
      </c>
      <c r="EG80" s="497" t="s">
        <v>524</v>
      </c>
      <c r="EH80" s="630" t="s">
        <v>554</v>
      </c>
      <c r="EI80" s="118" t="s">
        <v>1732</v>
      </c>
    </row>
    <row r="81" spans="1:139" ht="12.75" x14ac:dyDescent="0.2">
      <c r="A81" s="805">
        <v>74</v>
      </c>
      <c r="B81" s="606" t="s">
        <v>30</v>
      </c>
      <c r="C81" s="607" t="s">
        <v>1185</v>
      </c>
      <c r="D81" s="608" t="s">
        <v>1188</v>
      </c>
      <c r="E81" s="609" t="s">
        <v>29</v>
      </c>
      <c r="F81" s="802">
        <v>18217634</v>
      </c>
      <c r="G81" s="804">
        <v>713595</v>
      </c>
      <c r="H81" s="804">
        <v>0</v>
      </c>
      <c r="I81" s="804">
        <v>147146</v>
      </c>
      <c r="J81" s="804">
        <v>0</v>
      </c>
      <c r="K81" s="804">
        <v>147146</v>
      </c>
      <c r="L81" s="804">
        <v>0</v>
      </c>
      <c r="M81" s="804">
        <v>0</v>
      </c>
      <c r="N81" s="804">
        <v>186837</v>
      </c>
      <c r="O81" s="804">
        <v>186837</v>
      </c>
      <c r="P81" s="804">
        <v>0</v>
      </c>
      <c r="Q81" s="804">
        <v>0</v>
      </c>
      <c r="R81" s="804">
        <v>18597246</v>
      </c>
      <c r="S81" s="804">
        <v>0.5</v>
      </c>
      <c r="T81" s="804">
        <v>0.4</v>
      </c>
      <c r="U81" s="804">
        <v>0.09</v>
      </c>
      <c r="V81" s="804">
        <v>0.01</v>
      </c>
      <c r="W81" s="804">
        <v>1</v>
      </c>
      <c r="X81" s="804">
        <v>9298624</v>
      </c>
      <c r="Y81" s="804">
        <v>7438898</v>
      </c>
      <c r="Z81" s="804">
        <v>1673752</v>
      </c>
      <c r="AA81" s="804">
        <v>185972</v>
      </c>
      <c r="AB81" s="804">
        <v>18597246</v>
      </c>
      <c r="AC81" s="804">
        <v>0</v>
      </c>
      <c r="AD81" s="804">
        <v>0</v>
      </c>
      <c r="AE81" s="804">
        <v>0</v>
      </c>
      <c r="AF81" s="804">
        <v>0</v>
      </c>
      <c r="AG81" s="804">
        <v>0</v>
      </c>
      <c r="AH81" s="804">
        <v>9298624</v>
      </c>
      <c r="AI81" s="804">
        <v>7438898</v>
      </c>
      <c r="AJ81" s="804">
        <v>1673752</v>
      </c>
      <c r="AK81" s="804">
        <v>185972</v>
      </c>
      <c r="AL81" s="804">
        <v>18597246</v>
      </c>
      <c r="AM81" s="804">
        <v>147146</v>
      </c>
      <c r="AN81" s="804">
        <v>147146</v>
      </c>
      <c r="AO81" s="804">
        <v>0</v>
      </c>
      <c r="AP81" s="804">
        <v>0</v>
      </c>
      <c r="AQ81" s="804">
        <v>186837</v>
      </c>
      <c r="AR81" s="804">
        <v>0</v>
      </c>
      <c r="AS81" s="804">
        <v>186837</v>
      </c>
      <c r="AT81" s="804">
        <v>0</v>
      </c>
      <c r="AU81" s="804">
        <v>0</v>
      </c>
      <c r="AV81" s="804">
        <v>0</v>
      </c>
      <c r="AW81" s="804">
        <v>0</v>
      </c>
      <c r="AX81" s="804">
        <v>0</v>
      </c>
      <c r="AY81" s="804">
        <v>0</v>
      </c>
      <c r="AZ81" s="804">
        <v>0</v>
      </c>
      <c r="BA81" s="804">
        <v>0</v>
      </c>
      <c r="BB81" s="804">
        <v>0</v>
      </c>
      <c r="BC81" s="804">
        <v>0</v>
      </c>
      <c r="BD81" s="804">
        <v>0</v>
      </c>
      <c r="BE81" s="804">
        <v>0</v>
      </c>
      <c r="BF81" s="804">
        <v>0</v>
      </c>
      <c r="BG81" s="804">
        <v>0</v>
      </c>
      <c r="BH81" s="804">
        <v>0</v>
      </c>
      <c r="BI81" s="804">
        <v>0</v>
      </c>
      <c r="BJ81" s="804">
        <v>0.5</v>
      </c>
      <c r="BK81" s="804">
        <v>0.4</v>
      </c>
      <c r="BL81" s="804">
        <v>0.09</v>
      </c>
      <c r="BM81" s="804">
        <v>0.01</v>
      </c>
      <c r="BN81" s="804">
        <v>1</v>
      </c>
      <c r="BO81" s="804">
        <v>178336</v>
      </c>
      <c r="BP81" s="804">
        <v>142670</v>
      </c>
      <c r="BQ81" s="804">
        <v>32101</v>
      </c>
      <c r="BR81" s="804">
        <v>3567</v>
      </c>
      <c r="BS81" s="804">
        <v>356674</v>
      </c>
      <c r="BT81" s="804">
        <v>0</v>
      </c>
      <c r="BU81" s="804">
        <v>0.5</v>
      </c>
      <c r="BV81" s="804">
        <v>0.49</v>
      </c>
      <c r="BW81" s="804">
        <v>0.01</v>
      </c>
      <c r="BX81" s="804">
        <v>1</v>
      </c>
      <c r="BY81" s="804">
        <v>0</v>
      </c>
      <c r="BZ81" s="804">
        <v>-12074</v>
      </c>
      <c r="CA81" s="804">
        <v>-11832</v>
      </c>
      <c r="CB81" s="804">
        <v>-241</v>
      </c>
      <c r="CC81" s="804">
        <v>-24147</v>
      </c>
      <c r="CD81" s="804">
        <v>178336</v>
      </c>
      <c r="CE81" s="804">
        <v>130596</v>
      </c>
      <c r="CF81" s="804">
        <v>20269</v>
      </c>
      <c r="CG81" s="804">
        <v>3326</v>
      </c>
      <c r="CH81" s="804">
        <v>332527</v>
      </c>
      <c r="CI81" s="804">
        <v>9476960</v>
      </c>
      <c r="CJ81" s="804">
        <v>7903477</v>
      </c>
      <c r="CK81" s="804">
        <v>1694021</v>
      </c>
      <c r="CL81" s="804">
        <v>189298</v>
      </c>
      <c r="CM81" s="804">
        <v>19263756</v>
      </c>
      <c r="CN81" s="804">
        <v>305641</v>
      </c>
      <c r="CO81" s="804">
        <v>67084</v>
      </c>
      <c r="CP81" s="804">
        <v>7454</v>
      </c>
      <c r="CQ81" s="804">
        <v>380179</v>
      </c>
      <c r="CR81" s="804">
        <v>1419206</v>
      </c>
      <c r="CS81" s="804">
        <v>319321</v>
      </c>
      <c r="CT81" s="804">
        <v>35480</v>
      </c>
      <c r="CU81" s="804">
        <v>1774007</v>
      </c>
      <c r="CV81" s="804">
        <v>60866</v>
      </c>
      <c r="CW81" s="804">
        <v>13695</v>
      </c>
      <c r="CX81" s="804">
        <v>1522</v>
      </c>
      <c r="CY81" s="804">
        <v>76083</v>
      </c>
      <c r="CZ81" s="804">
        <v>0</v>
      </c>
      <c r="DA81" s="804">
        <v>0</v>
      </c>
      <c r="DB81" s="804">
        <v>0</v>
      </c>
      <c r="DC81" s="804">
        <v>0</v>
      </c>
      <c r="DD81" s="804">
        <v>21309</v>
      </c>
      <c r="DE81" s="804">
        <v>4794</v>
      </c>
      <c r="DF81" s="804">
        <v>533</v>
      </c>
      <c r="DG81" s="804">
        <v>26636</v>
      </c>
      <c r="DH81" s="804">
        <v>33716</v>
      </c>
      <c r="DI81" s="804">
        <v>7586</v>
      </c>
      <c r="DJ81" s="804">
        <v>843</v>
      </c>
      <c r="DK81" s="804">
        <v>42145</v>
      </c>
      <c r="DL81" s="804">
        <v>4457</v>
      </c>
      <c r="DM81" s="804">
        <v>1003</v>
      </c>
      <c r="DN81" s="804">
        <v>111</v>
      </c>
      <c r="DO81" s="804">
        <v>5571</v>
      </c>
      <c r="DP81" s="804">
        <v>0</v>
      </c>
      <c r="DQ81" s="804">
        <v>0</v>
      </c>
      <c r="DR81" s="804">
        <v>0</v>
      </c>
      <c r="DS81" s="804">
        <v>0</v>
      </c>
      <c r="DT81" s="804">
        <v>0</v>
      </c>
      <c r="DU81" s="804">
        <v>0</v>
      </c>
      <c r="DV81" s="804">
        <v>0</v>
      </c>
      <c r="DW81" s="804">
        <v>0</v>
      </c>
      <c r="DX81" s="804">
        <v>388776</v>
      </c>
      <c r="DY81" s="804">
        <v>87475</v>
      </c>
      <c r="DZ81" s="804">
        <v>9719</v>
      </c>
      <c r="EA81" s="804">
        <v>485970</v>
      </c>
      <c r="EB81" s="804">
        <v>2233971</v>
      </c>
      <c r="EC81" s="804">
        <v>500958</v>
      </c>
      <c r="ED81" s="804">
        <v>55662</v>
      </c>
      <c r="EE81" s="804">
        <v>2790591</v>
      </c>
      <c r="EF81" s="604" t="s">
        <v>29</v>
      </c>
      <c r="EG81" s="497" t="s">
        <v>555</v>
      </c>
      <c r="EH81" s="630" t="s">
        <v>554</v>
      </c>
      <c r="EI81" s="118" t="s">
        <v>1733</v>
      </c>
    </row>
    <row r="82" spans="1:139" ht="12.75" x14ac:dyDescent="0.2">
      <c r="A82" s="805">
        <v>75</v>
      </c>
      <c r="B82" s="606" t="s">
        <v>32</v>
      </c>
      <c r="C82" s="607" t="s">
        <v>1192</v>
      </c>
      <c r="D82" s="608" t="s">
        <v>1193</v>
      </c>
      <c r="E82" s="609" t="s">
        <v>31</v>
      </c>
      <c r="F82" s="802">
        <v>99247570</v>
      </c>
      <c r="G82" s="804">
        <v>0</v>
      </c>
      <c r="H82" s="804">
        <v>1012068</v>
      </c>
      <c r="I82" s="804">
        <v>371178</v>
      </c>
      <c r="J82" s="804">
        <v>0</v>
      </c>
      <c r="K82" s="804">
        <v>371178</v>
      </c>
      <c r="L82" s="804">
        <v>0</v>
      </c>
      <c r="M82" s="804">
        <v>0</v>
      </c>
      <c r="N82" s="804">
        <v>198524</v>
      </c>
      <c r="O82" s="804">
        <v>198524</v>
      </c>
      <c r="P82" s="804">
        <v>0</v>
      </c>
      <c r="Q82" s="804">
        <v>0</v>
      </c>
      <c r="R82" s="804">
        <v>97665800</v>
      </c>
      <c r="S82" s="804">
        <v>0.5</v>
      </c>
      <c r="T82" s="804">
        <v>0.49</v>
      </c>
      <c r="U82" s="804">
        <v>0</v>
      </c>
      <c r="V82" s="804">
        <v>0.01</v>
      </c>
      <c r="W82" s="804">
        <v>1</v>
      </c>
      <c r="X82" s="804">
        <v>48832900</v>
      </c>
      <c r="Y82" s="804">
        <v>47856242</v>
      </c>
      <c r="Z82" s="804">
        <v>0</v>
      </c>
      <c r="AA82" s="804">
        <v>976658</v>
      </c>
      <c r="AB82" s="804">
        <v>97665800</v>
      </c>
      <c r="AC82" s="804">
        <v>0</v>
      </c>
      <c r="AD82" s="804">
        <v>0</v>
      </c>
      <c r="AE82" s="804">
        <v>0</v>
      </c>
      <c r="AF82" s="804">
        <v>0</v>
      </c>
      <c r="AG82" s="804">
        <v>0</v>
      </c>
      <c r="AH82" s="804">
        <v>48832900</v>
      </c>
      <c r="AI82" s="804">
        <v>47856242</v>
      </c>
      <c r="AJ82" s="804">
        <v>0</v>
      </c>
      <c r="AK82" s="804">
        <v>976658</v>
      </c>
      <c r="AL82" s="804">
        <v>97665800</v>
      </c>
      <c r="AM82" s="804">
        <v>371178</v>
      </c>
      <c r="AN82" s="804">
        <v>371178</v>
      </c>
      <c r="AO82" s="804">
        <v>0</v>
      </c>
      <c r="AP82" s="804">
        <v>0</v>
      </c>
      <c r="AQ82" s="804">
        <v>198524</v>
      </c>
      <c r="AR82" s="804">
        <v>0</v>
      </c>
      <c r="AS82" s="804">
        <v>198524</v>
      </c>
      <c r="AT82" s="804">
        <v>0</v>
      </c>
      <c r="AU82" s="804">
        <v>0</v>
      </c>
      <c r="AV82" s="804">
        <v>0</v>
      </c>
      <c r="AW82" s="804">
        <v>0</v>
      </c>
      <c r="AX82" s="804">
        <v>0</v>
      </c>
      <c r="AY82" s="804">
        <v>0</v>
      </c>
      <c r="AZ82" s="804">
        <v>0</v>
      </c>
      <c r="BA82" s="804">
        <v>0</v>
      </c>
      <c r="BB82" s="804">
        <v>0</v>
      </c>
      <c r="BC82" s="804">
        <v>0</v>
      </c>
      <c r="BD82" s="804">
        <v>0</v>
      </c>
      <c r="BE82" s="804">
        <v>0</v>
      </c>
      <c r="BF82" s="804">
        <v>0</v>
      </c>
      <c r="BG82" s="804">
        <v>0</v>
      </c>
      <c r="BH82" s="804">
        <v>0</v>
      </c>
      <c r="BI82" s="804">
        <v>0</v>
      </c>
      <c r="BJ82" s="804">
        <v>0.5</v>
      </c>
      <c r="BK82" s="804">
        <v>0.49</v>
      </c>
      <c r="BL82" s="804">
        <v>0</v>
      </c>
      <c r="BM82" s="804">
        <v>0.01</v>
      </c>
      <c r="BN82" s="804">
        <v>1</v>
      </c>
      <c r="BO82" s="804">
        <v>1522784</v>
      </c>
      <c r="BP82" s="804">
        <v>1492328</v>
      </c>
      <c r="BQ82" s="804">
        <v>0</v>
      </c>
      <c r="BR82" s="804">
        <v>30456</v>
      </c>
      <c r="BS82" s="804">
        <v>3045568</v>
      </c>
      <c r="BT82" s="804">
        <v>0.5</v>
      </c>
      <c r="BU82" s="804">
        <v>0.49</v>
      </c>
      <c r="BV82" s="804">
        <v>0</v>
      </c>
      <c r="BW82" s="804">
        <v>0.01</v>
      </c>
      <c r="BX82" s="804">
        <v>1</v>
      </c>
      <c r="BY82" s="804">
        <v>35202</v>
      </c>
      <c r="BZ82" s="804">
        <v>34498</v>
      </c>
      <c r="CA82" s="804">
        <v>0</v>
      </c>
      <c r="CB82" s="804">
        <v>704</v>
      </c>
      <c r="CC82" s="804">
        <v>70404</v>
      </c>
      <c r="CD82" s="804">
        <v>1557986</v>
      </c>
      <c r="CE82" s="804">
        <v>1526826</v>
      </c>
      <c r="CF82" s="804">
        <v>0</v>
      </c>
      <c r="CG82" s="804">
        <v>31160</v>
      </c>
      <c r="CH82" s="804">
        <v>3115972</v>
      </c>
      <c r="CI82" s="804">
        <v>50390886</v>
      </c>
      <c r="CJ82" s="804">
        <v>49952770</v>
      </c>
      <c r="CK82" s="804">
        <v>0</v>
      </c>
      <c r="CL82" s="804">
        <v>1007818</v>
      </c>
      <c r="CM82" s="804">
        <v>101351474</v>
      </c>
      <c r="CN82" s="804">
        <v>1926043</v>
      </c>
      <c r="CO82" s="804">
        <v>0</v>
      </c>
      <c r="CP82" s="804">
        <v>39145</v>
      </c>
      <c r="CQ82" s="804">
        <v>1965188</v>
      </c>
      <c r="CR82" s="804">
        <v>3523929</v>
      </c>
      <c r="CS82" s="804">
        <v>0</v>
      </c>
      <c r="CT82" s="804">
        <v>71917</v>
      </c>
      <c r="CU82" s="804">
        <v>3595846</v>
      </c>
      <c r="CV82" s="804">
        <v>201852</v>
      </c>
      <c r="CW82" s="804">
        <v>0</v>
      </c>
      <c r="CX82" s="804">
        <v>4119</v>
      </c>
      <c r="CY82" s="804">
        <v>205971</v>
      </c>
      <c r="CZ82" s="804">
        <v>18672</v>
      </c>
      <c r="DA82" s="804">
        <v>0</v>
      </c>
      <c r="DB82" s="804">
        <v>381</v>
      </c>
      <c r="DC82" s="804">
        <v>19053</v>
      </c>
      <c r="DD82" s="804">
        <v>1800</v>
      </c>
      <c r="DE82" s="804">
        <v>0</v>
      </c>
      <c r="DF82" s="804">
        <v>37</v>
      </c>
      <c r="DG82" s="804">
        <v>1837</v>
      </c>
      <c r="DH82" s="804">
        <v>23210</v>
      </c>
      <c r="DI82" s="804">
        <v>0</v>
      </c>
      <c r="DJ82" s="804">
        <v>474</v>
      </c>
      <c r="DK82" s="804">
        <v>23684</v>
      </c>
      <c r="DL82" s="804">
        <v>6626</v>
      </c>
      <c r="DM82" s="804">
        <v>0</v>
      </c>
      <c r="DN82" s="804">
        <v>135</v>
      </c>
      <c r="DO82" s="804">
        <v>6761</v>
      </c>
      <c r="DP82" s="804">
        <v>0</v>
      </c>
      <c r="DQ82" s="804">
        <v>0</v>
      </c>
      <c r="DR82" s="804">
        <v>0</v>
      </c>
      <c r="DS82" s="804">
        <v>0</v>
      </c>
      <c r="DT82" s="804">
        <v>0</v>
      </c>
      <c r="DU82" s="804">
        <v>0</v>
      </c>
      <c r="DV82" s="804">
        <v>0</v>
      </c>
      <c r="DW82" s="804">
        <v>0</v>
      </c>
      <c r="DX82" s="804">
        <v>1050361</v>
      </c>
      <c r="DY82" s="804">
        <v>0</v>
      </c>
      <c r="DZ82" s="804">
        <v>21436</v>
      </c>
      <c r="EA82" s="804">
        <v>1071797</v>
      </c>
      <c r="EB82" s="804">
        <v>6752493</v>
      </c>
      <c r="EC82" s="804">
        <v>0</v>
      </c>
      <c r="ED82" s="804">
        <v>137644</v>
      </c>
      <c r="EE82" s="804">
        <v>6890137</v>
      </c>
      <c r="EF82" s="604" t="s">
        <v>31</v>
      </c>
      <c r="EG82" s="497" t="s">
        <v>616</v>
      </c>
      <c r="EH82" s="630" t="s">
        <v>619</v>
      </c>
      <c r="EI82" s="118" t="s">
        <v>1734</v>
      </c>
    </row>
    <row r="83" spans="1:139" ht="12.75" x14ac:dyDescent="0.2">
      <c r="A83" s="805">
        <v>76</v>
      </c>
      <c r="B83" s="606" t="s">
        <v>1126</v>
      </c>
      <c r="C83" s="607" t="s">
        <v>524</v>
      </c>
      <c r="D83" s="608" t="s">
        <v>1194</v>
      </c>
      <c r="E83" s="609" t="s">
        <v>1125</v>
      </c>
      <c r="F83" s="802">
        <v>97359602</v>
      </c>
      <c r="G83" s="804">
        <v>557489</v>
      </c>
      <c r="H83" s="804">
        <v>0</v>
      </c>
      <c r="I83" s="804">
        <v>619099</v>
      </c>
      <c r="J83" s="804">
        <v>0</v>
      </c>
      <c r="K83" s="804">
        <v>619099</v>
      </c>
      <c r="L83" s="804">
        <v>0</v>
      </c>
      <c r="M83" s="804">
        <v>32360</v>
      </c>
      <c r="N83" s="804">
        <v>680572</v>
      </c>
      <c r="O83" s="804">
        <v>680572</v>
      </c>
      <c r="P83" s="804">
        <v>0</v>
      </c>
      <c r="Q83" s="804">
        <v>0</v>
      </c>
      <c r="R83" s="804">
        <v>96585060</v>
      </c>
      <c r="S83" s="804">
        <v>0.5</v>
      </c>
      <c r="T83" s="804">
        <v>0.49</v>
      </c>
      <c r="U83" s="804">
        <v>0</v>
      </c>
      <c r="V83" s="804">
        <v>0.01</v>
      </c>
      <c r="W83" s="804">
        <v>1</v>
      </c>
      <c r="X83" s="804">
        <v>48292530</v>
      </c>
      <c r="Y83" s="804">
        <v>47326679</v>
      </c>
      <c r="Z83" s="804">
        <v>0</v>
      </c>
      <c r="AA83" s="804">
        <v>965851</v>
      </c>
      <c r="AB83" s="804">
        <v>96585060</v>
      </c>
      <c r="AC83" s="804">
        <v>47862</v>
      </c>
      <c r="AD83" s="804">
        <v>0</v>
      </c>
      <c r="AE83" s="804">
        <v>0</v>
      </c>
      <c r="AF83" s="804">
        <v>0</v>
      </c>
      <c r="AG83" s="804">
        <v>47862</v>
      </c>
      <c r="AH83" s="804">
        <v>48244668</v>
      </c>
      <c r="AI83" s="804">
        <v>47326679</v>
      </c>
      <c r="AJ83" s="804">
        <v>0</v>
      </c>
      <c r="AK83" s="804">
        <v>965851</v>
      </c>
      <c r="AL83" s="804">
        <v>96537198</v>
      </c>
      <c r="AM83" s="804">
        <v>619099</v>
      </c>
      <c r="AN83" s="804">
        <v>619099</v>
      </c>
      <c r="AO83" s="804">
        <v>32360</v>
      </c>
      <c r="AP83" s="804">
        <v>32360</v>
      </c>
      <c r="AQ83" s="804">
        <v>680572</v>
      </c>
      <c r="AR83" s="804">
        <v>0</v>
      </c>
      <c r="AS83" s="804">
        <v>680572</v>
      </c>
      <c r="AT83" s="804">
        <v>0</v>
      </c>
      <c r="AU83" s="804">
        <v>0</v>
      </c>
      <c r="AV83" s="804">
        <v>0</v>
      </c>
      <c r="AW83" s="804">
        <v>0</v>
      </c>
      <c r="AX83" s="804">
        <v>47862</v>
      </c>
      <c r="AY83" s="804">
        <v>0</v>
      </c>
      <c r="AZ83" s="804">
        <v>0</v>
      </c>
      <c r="BA83" s="804">
        <v>47862</v>
      </c>
      <c r="BB83" s="804">
        <v>0</v>
      </c>
      <c r="BC83" s="804">
        <v>0</v>
      </c>
      <c r="BD83" s="804">
        <v>0</v>
      </c>
      <c r="BE83" s="804">
        <v>0</v>
      </c>
      <c r="BF83" s="804">
        <v>0</v>
      </c>
      <c r="BG83" s="804">
        <v>0</v>
      </c>
      <c r="BH83" s="804">
        <v>0</v>
      </c>
      <c r="BI83" s="804">
        <v>0</v>
      </c>
      <c r="BJ83" s="804">
        <v>0.5</v>
      </c>
      <c r="BK83" s="804">
        <v>0.49</v>
      </c>
      <c r="BL83" s="804">
        <v>0</v>
      </c>
      <c r="BM83" s="804">
        <v>0.01</v>
      </c>
      <c r="BN83" s="804">
        <v>1</v>
      </c>
      <c r="BO83" s="804">
        <v>400078.99999999814</v>
      </c>
      <c r="BP83" s="804">
        <v>392078</v>
      </c>
      <c r="BQ83" s="804">
        <v>0</v>
      </c>
      <c r="BR83" s="804">
        <v>8002</v>
      </c>
      <c r="BS83" s="804">
        <v>800158.99999999814</v>
      </c>
      <c r="BT83" s="804">
        <v>0.5</v>
      </c>
      <c r="BU83" s="804">
        <v>0.49</v>
      </c>
      <c r="BV83" s="804">
        <v>0</v>
      </c>
      <c r="BW83" s="804">
        <v>0.01</v>
      </c>
      <c r="BX83" s="804">
        <v>1</v>
      </c>
      <c r="BY83" s="804">
        <v>-2528359.17</v>
      </c>
      <c r="BZ83" s="804">
        <v>-2477791</v>
      </c>
      <c r="CA83" s="804">
        <v>0</v>
      </c>
      <c r="CB83" s="804">
        <v>-50567</v>
      </c>
      <c r="CC83" s="804">
        <v>-5056717.17</v>
      </c>
      <c r="CD83" s="804">
        <v>-2128278</v>
      </c>
      <c r="CE83" s="804">
        <v>-2085714</v>
      </c>
      <c r="CF83" s="804">
        <v>0</v>
      </c>
      <c r="CG83" s="804">
        <v>-42566</v>
      </c>
      <c r="CH83" s="804">
        <v>-4256558.1700000018</v>
      </c>
      <c r="CI83" s="804">
        <v>46116390</v>
      </c>
      <c r="CJ83" s="804">
        <v>46620858</v>
      </c>
      <c r="CK83" s="804">
        <v>0</v>
      </c>
      <c r="CL83" s="804">
        <v>923285</v>
      </c>
      <c r="CM83" s="804">
        <v>93660533</v>
      </c>
      <c r="CN83" s="804">
        <v>1927354</v>
      </c>
      <c r="CO83" s="804">
        <v>0</v>
      </c>
      <c r="CP83" s="804">
        <v>38711</v>
      </c>
      <c r="CQ83" s="804">
        <v>1966065</v>
      </c>
      <c r="CR83" s="804">
        <v>7068998</v>
      </c>
      <c r="CS83" s="804">
        <v>0</v>
      </c>
      <c r="CT83" s="804">
        <v>144099</v>
      </c>
      <c r="CU83" s="804">
        <v>7213097</v>
      </c>
      <c r="CV83" s="804">
        <v>355192</v>
      </c>
      <c r="CW83" s="804">
        <v>0</v>
      </c>
      <c r="CX83" s="804">
        <v>7249</v>
      </c>
      <c r="CY83" s="804">
        <v>362441</v>
      </c>
      <c r="CZ83" s="804">
        <v>10369</v>
      </c>
      <c r="DA83" s="804">
        <v>0</v>
      </c>
      <c r="DB83" s="804">
        <v>212</v>
      </c>
      <c r="DC83" s="804">
        <v>10581</v>
      </c>
      <c r="DD83" s="804">
        <v>55576</v>
      </c>
      <c r="DE83" s="804">
        <v>0</v>
      </c>
      <c r="DF83" s="804">
        <v>1134</v>
      </c>
      <c r="DG83" s="804">
        <v>56710</v>
      </c>
      <c r="DH83" s="804">
        <v>66192</v>
      </c>
      <c r="DI83" s="804">
        <v>0</v>
      </c>
      <c r="DJ83" s="804">
        <v>1351</v>
      </c>
      <c r="DK83" s="804">
        <v>67543</v>
      </c>
      <c r="DL83" s="804">
        <v>0</v>
      </c>
      <c r="DM83" s="804">
        <v>0</v>
      </c>
      <c r="DN83" s="804">
        <v>0</v>
      </c>
      <c r="DO83" s="804">
        <v>0</v>
      </c>
      <c r="DP83" s="804">
        <v>0</v>
      </c>
      <c r="DQ83" s="804">
        <v>0</v>
      </c>
      <c r="DR83" s="804">
        <v>0</v>
      </c>
      <c r="DS83" s="804">
        <v>0</v>
      </c>
      <c r="DT83" s="804">
        <v>0</v>
      </c>
      <c r="DU83" s="804">
        <v>0</v>
      </c>
      <c r="DV83" s="804">
        <v>0</v>
      </c>
      <c r="DW83" s="804">
        <v>0</v>
      </c>
      <c r="DX83" s="804">
        <v>2058216</v>
      </c>
      <c r="DY83" s="804">
        <v>0</v>
      </c>
      <c r="DZ83" s="804">
        <v>42004</v>
      </c>
      <c r="EA83" s="804">
        <v>2100220</v>
      </c>
      <c r="EB83" s="804">
        <v>11541897</v>
      </c>
      <c r="EC83" s="804">
        <v>0</v>
      </c>
      <c r="ED83" s="804">
        <v>234760</v>
      </c>
      <c r="EE83" s="804">
        <v>11776657</v>
      </c>
      <c r="EF83" s="604" t="s">
        <v>1125</v>
      </c>
      <c r="EG83" s="497" t="s">
        <v>524</v>
      </c>
      <c r="EH83" s="630" t="s">
        <v>561</v>
      </c>
      <c r="EI83" s="118" t="s">
        <v>1657</v>
      </c>
    </row>
    <row r="84" spans="1:139" ht="14.25" x14ac:dyDescent="0.2">
      <c r="A84" s="805">
        <v>77</v>
      </c>
      <c r="B84" s="606" t="s">
        <v>42</v>
      </c>
      <c r="C84" s="607" t="s">
        <v>1185</v>
      </c>
      <c r="D84" s="608" t="s">
        <v>1186</v>
      </c>
      <c r="E84" s="609" t="s">
        <v>1975</v>
      </c>
      <c r="F84" s="802">
        <v>43311820.739999995</v>
      </c>
      <c r="G84" s="804">
        <v>0</v>
      </c>
      <c r="H84" s="804">
        <v>651019.79</v>
      </c>
      <c r="I84" s="804">
        <v>160624</v>
      </c>
      <c r="J84" s="804">
        <v>0</v>
      </c>
      <c r="K84" s="804">
        <v>160624</v>
      </c>
      <c r="L84" s="804">
        <v>0</v>
      </c>
      <c r="M84" s="804">
        <v>0</v>
      </c>
      <c r="N84" s="804">
        <v>1142177</v>
      </c>
      <c r="O84" s="804">
        <v>1142177</v>
      </c>
      <c r="P84" s="804">
        <v>0</v>
      </c>
      <c r="Q84" s="804">
        <v>0</v>
      </c>
      <c r="R84" s="804">
        <v>41358000</v>
      </c>
      <c r="S84" s="804">
        <v>0.5</v>
      </c>
      <c r="T84" s="804">
        <v>0.4</v>
      </c>
      <c r="U84" s="804">
        <v>0.09</v>
      </c>
      <c r="V84" s="804">
        <v>0.01</v>
      </c>
      <c r="W84" s="804">
        <v>1</v>
      </c>
      <c r="X84" s="804">
        <v>20679000</v>
      </c>
      <c r="Y84" s="804">
        <v>16543200</v>
      </c>
      <c r="Z84" s="804">
        <v>3722220</v>
      </c>
      <c r="AA84" s="804">
        <v>413580</v>
      </c>
      <c r="AB84" s="804">
        <v>41358000</v>
      </c>
      <c r="AC84" s="804">
        <v>812500</v>
      </c>
      <c r="AD84" s="804">
        <v>0</v>
      </c>
      <c r="AE84" s="804">
        <v>0</v>
      </c>
      <c r="AF84" s="804">
        <v>0</v>
      </c>
      <c r="AG84" s="804">
        <v>812500</v>
      </c>
      <c r="AH84" s="804">
        <v>19866500</v>
      </c>
      <c r="AI84" s="804">
        <v>16543200</v>
      </c>
      <c r="AJ84" s="804">
        <v>3722220</v>
      </c>
      <c r="AK84" s="804">
        <v>413580</v>
      </c>
      <c r="AL84" s="804">
        <v>40545500</v>
      </c>
      <c r="AM84" s="804">
        <v>160624</v>
      </c>
      <c r="AN84" s="804">
        <v>160624</v>
      </c>
      <c r="AO84" s="804">
        <v>0</v>
      </c>
      <c r="AP84" s="804">
        <v>0</v>
      </c>
      <c r="AQ84" s="804">
        <v>1142177</v>
      </c>
      <c r="AR84" s="804">
        <v>0</v>
      </c>
      <c r="AS84" s="804">
        <v>1142177</v>
      </c>
      <c r="AT84" s="804">
        <v>0</v>
      </c>
      <c r="AU84" s="804">
        <v>0</v>
      </c>
      <c r="AV84" s="804">
        <v>0</v>
      </c>
      <c r="AW84" s="804">
        <v>0</v>
      </c>
      <c r="AX84" s="804">
        <v>650000</v>
      </c>
      <c r="AY84" s="804">
        <v>146250</v>
      </c>
      <c r="AZ84" s="804">
        <v>16250</v>
      </c>
      <c r="BA84" s="804">
        <v>812500</v>
      </c>
      <c r="BB84" s="804">
        <v>0</v>
      </c>
      <c r="BC84" s="804">
        <v>0</v>
      </c>
      <c r="BD84" s="804">
        <v>0</v>
      </c>
      <c r="BE84" s="804">
        <v>0</v>
      </c>
      <c r="BF84" s="804">
        <v>0</v>
      </c>
      <c r="BG84" s="804">
        <v>0</v>
      </c>
      <c r="BH84" s="804">
        <v>0</v>
      </c>
      <c r="BI84" s="804">
        <v>0</v>
      </c>
      <c r="BJ84" s="804">
        <v>0.5</v>
      </c>
      <c r="BK84" s="804">
        <v>0.4</v>
      </c>
      <c r="BL84" s="804">
        <v>0.09</v>
      </c>
      <c r="BM84" s="804">
        <v>0.01</v>
      </c>
      <c r="BN84" s="804">
        <v>1</v>
      </c>
      <c r="BO84" s="804">
        <v>44189</v>
      </c>
      <c r="BP84" s="804">
        <v>35352</v>
      </c>
      <c r="BQ84" s="804">
        <v>7954</v>
      </c>
      <c r="BR84" s="804">
        <v>884</v>
      </c>
      <c r="BS84" s="804">
        <v>88379</v>
      </c>
      <c r="BT84" s="804">
        <v>0</v>
      </c>
      <c r="BU84" s="804">
        <v>0.4</v>
      </c>
      <c r="BV84" s="804">
        <v>0.59</v>
      </c>
      <c r="BW84" s="804">
        <v>0.01</v>
      </c>
      <c r="BX84" s="804">
        <v>1</v>
      </c>
      <c r="BY84" s="804">
        <v>1</v>
      </c>
      <c r="BZ84" s="804">
        <v>-27352</v>
      </c>
      <c r="CA84" s="804">
        <v>-40344</v>
      </c>
      <c r="CB84" s="804">
        <v>-684</v>
      </c>
      <c r="CC84" s="804">
        <v>-68379</v>
      </c>
      <c r="CD84" s="804">
        <v>44190</v>
      </c>
      <c r="CE84" s="804">
        <v>8000</v>
      </c>
      <c r="CF84" s="804">
        <v>-32390</v>
      </c>
      <c r="CG84" s="804">
        <v>200</v>
      </c>
      <c r="CH84" s="804">
        <v>20000</v>
      </c>
      <c r="CI84" s="804">
        <v>19910690</v>
      </c>
      <c r="CJ84" s="804">
        <v>18504001</v>
      </c>
      <c r="CK84" s="804">
        <v>3836080</v>
      </c>
      <c r="CL84" s="804">
        <v>430030</v>
      </c>
      <c r="CM84" s="804">
        <v>42680801</v>
      </c>
      <c r="CN84" s="804">
        <v>734885</v>
      </c>
      <c r="CO84" s="804">
        <v>155049</v>
      </c>
      <c r="CP84" s="804">
        <v>17228</v>
      </c>
      <c r="CQ84" s="804">
        <v>907162</v>
      </c>
      <c r="CR84" s="804">
        <v>1217306</v>
      </c>
      <c r="CS84" s="804">
        <v>273894</v>
      </c>
      <c r="CT84" s="804">
        <v>30433</v>
      </c>
      <c r="CU84" s="804">
        <v>1521633</v>
      </c>
      <c r="CV84" s="804">
        <v>63548</v>
      </c>
      <c r="CW84" s="804">
        <v>14148</v>
      </c>
      <c r="CX84" s="804">
        <v>1572</v>
      </c>
      <c r="CY84" s="804">
        <v>79268</v>
      </c>
      <c r="CZ84" s="804">
        <v>0</v>
      </c>
      <c r="DA84" s="804">
        <v>0</v>
      </c>
      <c r="DB84" s="804">
        <v>0</v>
      </c>
      <c r="DC84" s="804">
        <v>0</v>
      </c>
      <c r="DD84" s="804">
        <v>5763</v>
      </c>
      <c r="DE84" s="804">
        <v>1296</v>
      </c>
      <c r="DF84" s="804">
        <v>144</v>
      </c>
      <c r="DG84" s="804">
        <v>7203</v>
      </c>
      <c r="DH84" s="804">
        <v>17273</v>
      </c>
      <c r="DI84" s="804">
        <v>3886</v>
      </c>
      <c r="DJ84" s="804">
        <v>432</v>
      </c>
      <c r="DK84" s="804">
        <v>21591</v>
      </c>
      <c r="DL84" s="804">
        <v>2763</v>
      </c>
      <c r="DM84" s="804">
        <v>621</v>
      </c>
      <c r="DN84" s="804">
        <v>69</v>
      </c>
      <c r="DO84" s="804">
        <v>3453</v>
      </c>
      <c r="DP84" s="804">
        <v>0</v>
      </c>
      <c r="DQ84" s="804">
        <v>0</v>
      </c>
      <c r="DR84" s="804">
        <v>0</v>
      </c>
      <c r="DS84" s="804">
        <v>0</v>
      </c>
      <c r="DT84" s="804">
        <v>0</v>
      </c>
      <c r="DU84" s="804">
        <v>0</v>
      </c>
      <c r="DV84" s="804">
        <v>0</v>
      </c>
      <c r="DW84" s="804">
        <v>0</v>
      </c>
      <c r="DX84" s="804">
        <v>310412</v>
      </c>
      <c r="DY84" s="804">
        <v>69842</v>
      </c>
      <c r="DZ84" s="804">
        <v>7760</v>
      </c>
      <c r="EA84" s="804">
        <v>388014</v>
      </c>
      <c r="EB84" s="804">
        <v>2351950</v>
      </c>
      <c r="EC84" s="804">
        <v>518736</v>
      </c>
      <c r="ED84" s="804">
        <v>57638</v>
      </c>
      <c r="EE84" s="804">
        <v>2928324</v>
      </c>
      <c r="EF84" s="604" t="s">
        <v>41</v>
      </c>
      <c r="EG84" s="497" t="s">
        <v>586</v>
      </c>
      <c r="EH84" s="630" t="s">
        <v>585</v>
      </c>
      <c r="EI84" s="118" t="s">
        <v>1735</v>
      </c>
    </row>
    <row r="85" spans="1:139" ht="12.75" x14ac:dyDescent="0.2">
      <c r="A85" s="805">
        <v>78</v>
      </c>
      <c r="B85" s="606" t="s">
        <v>44</v>
      </c>
      <c r="C85" s="607" t="s">
        <v>1192</v>
      </c>
      <c r="D85" s="608" t="s">
        <v>1195</v>
      </c>
      <c r="E85" s="609" t="s">
        <v>43</v>
      </c>
      <c r="F85" s="802">
        <v>87631107</v>
      </c>
      <c r="G85" s="804">
        <v>0</v>
      </c>
      <c r="H85" s="804">
        <v>578948</v>
      </c>
      <c r="I85" s="804">
        <v>406359</v>
      </c>
      <c r="J85" s="804">
        <v>0</v>
      </c>
      <c r="K85" s="804">
        <v>406359</v>
      </c>
      <c r="L85" s="804">
        <v>0</v>
      </c>
      <c r="M85" s="804">
        <v>90802</v>
      </c>
      <c r="N85" s="804">
        <v>0</v>
      </c>
      <c r="O85" s="804">
        <v>0</v>
      </c>
      <c r="P85" s="804">
        <v>0</v>
      </c>
      <c r="Q85" s="804">
        <v>0</v>
      </c>
      <c r="R85" s="804">
        <v>86554998</v>
      </c>
      <c r="S85" s="804">
        <v>0</v>
      </c>
      <c r="T85" s="804">
        <v>0.99</v>
      </c>
      <c r="U85" s="804">
        <v>0</v>
      </c>
      <c r="V85" s="804">
        <v>0.01</v>
      </c>
      <c r="W85" s="804">
        <v>1</v>
      </c>
      <c r="X85" s="804">
        <v>0</v>
      </c>
      <c r="Y85" s="804">
        <v>85689448</v>
      </c>
      <c r="Z85" s="804">
        <v>0</v>
      </c>
      <c r="AA85" s="804">
        <v>865550</v>
      </c>
      <c r="AB85" s="804">
        <v>86554998</v>
      </c>
      <c r="AC85" s="804">
        <v>0</v>
      </c>
      <c r="AD85" s="804">
        <v>0</v>
      </c>
      <c r="AE85" s="804">
        <v>0</v>
      </c>
      <c r="AF85" s="804">
        <v>0</v>
      </c>
      <c r="AG85" s="804">
        <v>0</v>
      </c>
      <c r="AH85" s="804">
        <v>0</v>
      </c>
      <c r="AI85" s="804">
        <v>85689448</v>
      </c>
      <c r="AJ85" s="804">
        <v>0</v>
      </c>
      <c r="AK85" s="804">
        <v>865550</v>
      </c>
      <c r="AL85" s="804">
        <v>86554998</v>
      </c>
      <c r="AM85" s="804">
        <v>406359</v>
      </c>
      <c r="AN85" s="804">
        <v>406359</v>
      </c>
      <c r="AO85" s="804">
        <v>90802</v>
      </c>
      <c r="AP85" s="804">
        <v>90802</v>
      </c>
      <c r="AQ85" s="804">
        <v>0</v>
      </c>
      <c r="AR85" s="804">
        <v>0</v>
      </c>
      <c r="AS85" s="804">
        <v>0</v>
      </c>
      <c r="AT85" s="804">
        <v>0</v>
      </c>
      <c r="AU85" s="804">
        <v>0</v>
      </c>
      <c r="AV85" s="804">
        <v>0</v>
      </c>
      <c r="AW85" s="804">
        <v>0</v>
      </c>
      <c r="AX85" s="804">
        <v>0</v>
      </c>
      <c r="AY85" s="804">
        <v>0</v>
      </c>
      <c r="AZ85" s="804">
        <v>0</v>
      </c>
      <c r="BA85" s="804">
        <v>0</v>
      </c>
      <c r="BB85" s="804">
        <v>0</v>
      </c>
      <c r="BC85" s="804">
        <v>0</v>
      </c>
      <c r="BD85" s="804">
        <v>0</v>
      </c>
      <c r="BE85" s="804">
        <v>0</v>
      </c>
      <c r="BF85" s="804">
        <v>0</v>
      </c>
      <c r="BG85" s="804">
        <v>0</v>
      </c>
      <c r="BH85" s="804">
        <v>0</v>
      </c>
      <c r="BI85" s="804">
        <v>0</v>
      </c>
      <c r="BJ85" s="804">
        <v>0</v>
      </c>
      <c r="BK85" s="804">
        <v>0.99</v>
      </c>
      <c r="BL85" s="804">
        <v>0</v>
      </c>
      <c r="BM85" s="804">
        <v>0.01</v>
      </c>
      <c r="BN85" s="804">
        <v>1</v>
      </c>
      <c r="BO85" s="804">
        <v>0</v>
      </c>
      <c r="BP85" s="804">
        <v>-117211</v>
      </c>
      <c r="BQ85" s="804">
        <v>0</v>
      </c>
      <c r="BR85" s="804">
        <v>-1184</v>
      </c>
      <c r="BS85" s="804">
        <v>-118395</v>
      </c>
      <c r="BT85" s="804">
        <v>0</v>
      </c>
      <c r="BU85" s="804">
        <v>0.99</v>
      </c>
      <c r="BV85" s="804">
        <v>0</v>
      </c>
      <c r="BW85" s="804">
        <v>0.01</v>
      </c>
      <c r="BX85" s="804">
        <v>1</v>
      </c>
      <c r="BY85" s="804">
        <v>0</v>
      </c>
      <c r="BZ85" s="804">
        <v>-309638</v>
      </c>
      <c r="CA85" s="804">
        <v>0</v>
      </c>
      <c r="CB85" s="804">
        <v>-3128</v>
      </c>
      <c r="CC85" s="804">
        <v>-312766</v>
      </c>
      <c r="CD85" s="804">
        <v>0</v>
      </c>
      <c r="CE85" s="804">
        <v>-426849</v>
      </c>
      <c r="CF85" s="804">
        <v>0</v>
      </c>
      <c r="CG85" s="804">
        <v>-4312</v>
      </c>
      <c r="CH85" s="804">
        <v>-431161</v>
      </c>
      <c r="CI85" s="804">
        <v>0</v>
      </c>
      <c r="CJ85" s="804">
        <v>85759760</v>
      </c>
      <c r="CK85" s="804">
        <v>0</v>
      </c>
      <c r="CL85" s="804">
        <v>861238</v>
      </c>
      <c r="CM85" s="804">
        <v>86620998</v>
      </c>
      <c r="CN85" s="804">
        <v>3438086</v>
      </c>
      <c r="CO85" s="804">
        <v>0</v>
      </c>
      <c r="CP85" s="804">
        <v>34691</v>
      </c>
      <c r="CQ85" s="804">
        <v>3472777</v>
      </c>
      <c r="CR85" s="804">
        <v>8387082</v>
      </c>
      <c r="CS85" s="804">
        <v>0</v>
      </c>
      <c r="CT85" s="804">
        <v>84664</v>
      </c>
      <c r="CU85" s="804">
        <v>8471746</v>
      </c>
      <c r="CV85" s="804">
        <v>461964</v>
      </c>
      <c r="CW85" s="804">
        <v>0</v>
      </c>
      <c r="CX85" s="804">
        <v>4659</v>
      </c>
      <c r="CY85" s="804">
        <v>466623</v>
      </c>
      <c r="CZ85" s="804">
        <v>42445</v>
      </c>
      <c r="DA85" s="804">
        <v>0</v>
      </c>
      <c r="DB85" s="804">
        <v>429</v>
      </c>
      <c r="DC85" s="804">
        <v>42874</v>
      </c>
      <c r="DD85" s="804">
        <v>0</v>
      </c>
      <c r="DE85" s="804">
        <v>0</v>
      </c>
      <c r="DF85" s="804">
        <v>0</v>
      </c>
      <c r="DG85" s="804">
        <v>0</v>
      </c>
      <c r="DH85" s="804">
        <v>16048</v>
      </c>
      <c r="DI85" s="804">
        <v>0</v>
      </c>
      <c r="DJ85" s="804">
        <v>162</v>
      </c>
      <c r="DK85" s="804">
        <v>16210</v>
      </c>
      <c r="DL85" s="804">
        <v>10297</v>
      </c>
      <c r="DM85" s="804">
        <v>0</v>
      </c>
      <c r="DN85" s="804">
        <v>104</v>
      </c>
      <c r="DO85" s="804">
        <v>10401</v>
      </c>
      <c r="DP85" s="804">
        <v>458291.14</v>
      </c>
      <c r="DQ85" s="804">
        <v>0</v>
      </c>
      <c r="DR85" s="804">
        <v>1737.8600000000001</v>
      </c>
      <c r="DS85" s="804">
        <v>460029</v>
      </c>
      <c r="DT85" s="804">
        <v>0</v>
      </c>
      <c r="DU85" s="804">
        <v>0</v>
      </c>
      <c r="DV85" s="804">
        <v>0</v>
      </c>
      <c r="DW85" s="804">
        <v>0</v>
      </c>
      <c r="DX85" s="804">
        <v>2163997</v>
      </c>
      <c r="DY85" s="804">
        <v>0</v>
      </c>
      <c r="DZ85" s="804">
        <v>21859</v>
      </c>
      <c r="EA85" s="804">
        <v>2185856</v>
      </c>
      <c r="EB85" s="804">
        <v>14978210.140000001</v>
      </c>
      <c r="EC85" s="804">
        <v>0</v>
      </c>
      <c r="ED85" s="804">
        <v>148305.85999999999</v>
      </c>
      <c r="EE85" s="804">
        <v>15126516</v>
      </c>
      <c r="EF85" s="604" t="s">
        <v>43</v>
      </c>
      <c r="EG85" s="497" t="s">
        <v>616</v>
      </c>
      <c r="EH85" s="630" t="s">
        <v>621</v>
      </c>
      <c r="EI85" s="118" t="s">
        <v>1736</v>
      </c>
    </row>
    <row r="86" spans="1:139" ht="12.75" x14ac:dyDescent="0.2">
      <c r="A86" s="805">
        <v>79</v>
      </c>
      <c r="B86" s="606" t="s">
        <v>46</v>
      </c>
      <c r="C86" s="607" t="s">
        <v>524</v>
      </c>
      <c r="D86" s="608" t="s">
        <v>1197</v>
      </c>
      <c r="E86" s="609" t="s">
        <v>45</v>
      </c>
      <c r="F86" s="802">
        <v>115339302</v>
      </c>
      <c r="G86" s="804">
        <v>0</v>
      </c>
      <c r="H86" s="804">
        <v>450842</v>
      </c>
      <c r="I86" s="804">
        <v>574728</v>
      </c>
      <c r="J86" s="804">
        <v>0</v>
      </c>
      <c r="K86" s="804">
        <v>574728</v>
      </c>
      <c r="L86" s="804">
        <v>0</v>
      </c>
      <c r="M86" s="804">
        <v>35685</v>
      </c>
      <c r="N86" s="804">
        <v>171928</v>
      </c>
      <c r="O86" s="804">
        <v>171928</v>
      </c>
      <c r="P86" s="804">
        <v>0</v>
      </c>
      <c r="Q86" s="804">
        <v>0</v>
      </c>
      <c r="R86" s="804">
        <v>114106119</v>
      </c>
      <c r="S86" s="804">
        <v>0.5</v>
      </c>
      <c r="T86" s="804">
        <v>0.49</v>
      </c>
      <c r="U86" s="804">
        <v>0</v>
      </c>
      <c r="V86" s="804">
        <v>0.01</v>
      </c>
      <c r="W86" s="804">
        <v>1</v>
      </c>
      <c r="X86" s="804">
        <v>57053060</v>
      </c>
      <c r="Y86" s="804">
        <v>55911998</v>
      </c>
      <c r="Z86" s="804">
        <v>0</v>
      </c>
      <c r="AA86" s="804">
        <v>1141061</v>
      </c>
      <c r="AB86" s="804">
        <v>114106119</v>
      </c>
      <c r="AC86" s="804">
        <v>0</v>
      </c>
      <c r="AD86" s="804">
        <v>0</v>
      </c>
      <c r="AE86" s="804">
        <v>0</v>
      </c>
      <c r="AF86" s="804">
        <v>0</v>
      </c>
      <c r="AG86" s="804">
        <v>0</v>
      </c>
      <c r="AH86" s="804">
        <v>57053060</v>
      </c>
      <c r="AI86" s="804">
        <v>55911998</v>
      </c>
      <c r="AJ86" s="804">
        <v>0</v>
      </c>
      <c r="AK86" s="804">
        <v>1141061</v>
      </c>
      <c r="AL86" s="804">
        <v>114106119</v>
      </c>
      <c r="AM86" s="804">
        <v>574728</v>
      </c>
      <c r="AN86" s="804">
        <v>574728</v>
      </c>
      <c r="AO86" s="804">
        <v>35685</v>
      </c>
      <c r="AP86" s="804">
        <v>35685</v>
      </c>
      <c r="AQ86" s="804">
        <v>171928</v>
      </c>
      <c r="AR86" s="804">
        <v>0</v>
      </c>
      <c r="AS86" s="804">
        <v>171928</v>
      </c>
      <c r="AT86" s="804">
        <v>0</v>
      </c>
      <c r="AU86" s="804">
        <v>0</v>
      </c>
      <c r="AV86" s="804">
        <v>0</v>
      </c>
      <c r="AW86" s="804">
        <v>0</v>
      </c>
      <c r="AX86" s="804">
        <v>0</v>
      </c>
      <c r="AY86" s="804">
        <v>0</v>
      </c>
      <c r="AZ86" s="804">
        <v>0</v>
      </c>
      <c r="BA86" s="804">
        <v>0</v>
      </c>
      <c r="BB86" s="804">
        <v>0</v>
      </c>
      <c r="BC86" s="804">
        <v>0</v>
      </c>
      <c r="BD86" s="804">
        <v>0</v>
      </c>
      <c r="BE86" s="804">
        <v>0</v>
      </c>
      <c r="BF86" s="804">
        <v>0</v>
      </c>
      <c r="BG86" s="804">
        <v>0</v>
      </c>
      <c r="BH86" s="804">
        <v>0</v>
      </c>
      <c r="BI86" s="804">
        <v>0</v>
      </c>
      <c r="BJ86" s="804">
        <v>0.5</v>
      </c>
      <c r="BK86" s="804">
        <v>0.49</v>
      </c>
      <c r="BL86" s="804">
        <v>0</v>
      </c>
      <c r="BM86" s="804">
        <v>0.01</v>
      </c>
      <c r="BN86" s="804">
        <v>1</v>
      </c>
      <c r="BO86" s="804">
        <v>213539</v>
      </c>
      <c r="BP86" s="804">
        <v>209268</v>
      </c>
      <c r="BQ86" s="804">
        <v>0</v>
      </c>
      <c r="BR86" s="804">
        <v>4271</v>
      </c>
      <c r="BS86" s="804">
        <v>427078</v>
      </c>
      <c r="BT86" s="804">
        <v>0.5</v>
      </c>
      <c r="BU86" s="804">
        <v>0.49</v>
      </c>
      <c r="BV86" s="804">
        <v>0</v>
      </c>
      <c r="BW86" s="804">
        <v>0.01</v>
      </c>
      <c r="BX86" s="804">
        <v>1</v>
      </c>
      <c r="BY86" s="804">
        <v>644735</v>
      </c>
      <c r="BZ86" s="804">
        <v>631841</v>
      </c>
      <c r="CA86" s="804">
        <v>0</v>
      </c>
      <c r="CB86" s="804">
        <v>12895</v>
      </c>
      <c r="CC86" s="804">
        <v>1289471</v>
      </c>
      <c r="CD86" s="804">
        <v>858275</v>
      </c>
      <c r="CE86" s="804">
        <v>841109</v>
      </c>
      <c r="CF86" s="804">
        <v>0</v>
      </c>
      <c r="CG86" s="804">
        <v>17165</v>
      </c>
      <c r="CH86" s="804">
        <v>1716549</v>
      </c>
      <c r="CI86" s="804">
        <v>57911335</v>
      </c>
      <c r="CJ86" s="804">
        <v>57535448</v>
      </c>
      <c r="CK86" s="804">
        <v>0</v>
      </c>
      <c r="CL86" s="804">
        <v>1158226</v>
      </c>
      <c r="CM86" s="804">
        <v>116605009</v>
      </c>
      <c r="CN86" s="804">
        <v>2249283</v>
      </c>
      <c r="CO86" s="804">
        <v>0</v>
      </c>
      <c r="CP86" s="804">
        <v>45734</v>
      </c>
      <c r="CQ86" s="804">
        <v>2295017</v>
      </c>
      <c r="CR86" s="804">
        <v>5420005</v>
      </c>
      <c r="CS86" s="804">
        <v>0</v>
      </c>
      <c r="CT86" s="804">
        <v>110612</v>
      </c>
      <c r="CU86" s="804">
        <v>5530617</v>
      </c>
      <c r="CV86" s="804">
        <v>308362</v>
      </c>
      <c r="CW86" s="804">
        <v>0</v>
      </c>
      <c r="CX86" s="804">
        <v>6198</v>
      </c>
      <c r="CY86" s="804">
        <v>314560</v>
      </c>
      <c r="CZ86" s="804">
        <v>4131</v>
      </c>
      <c r="DA86" s="804">
        <v>0</v>
      </c>
      <c r="DB86" s="804">
        <v>84</v>
      </c>
      <c r="DC86" s="804">
        <v>4215</v>
      </c>
      <c r="DD86" s="804">
        <v>43866</v>
      </c>
      <c r="DE86" s="804">
        <v>0</v>
      </c>
      <c r="DF86" s="804">
        <v>895</v>
      </c>
      <c r="DG86" s="804">
        <v>44761</v>
      </c>
      <c r="DH86" s="804">
        <v>42140</v>
      </c>
      <c r="DI86" s="804">
        <v>0</v>
      </c>
      <c r="DJ86" s="804">
        <v>860</v>
      </c>
      <c r="DK86" s="804">
        <v>43000</v>
      </c>
      <c r="DL86" s="804">
        <v>9647</v>
      </c>
      <c r="DM86" s="804">
        <v>0</v>
      </c>
      <c r="DN86" s="804">
        <v>197</v>
      </c>
      <c r="DO86" s="804">
        <v>9844</v>
      </c>
      <c r="DP86" s="804">
        <v>0</v>
      </c>
      <c r="DQ86" s="804">
        <v>0</v>
      </c>
      <c r="DR86" s="804">
        <v>0</v>
      </c>
      <c r="DS86" s="804">
        <v>0</v>
      </c>
      <c r="DT86" s="804">
        <v>0</v>
      </c>
      <c r="DU86" s="804">
        <v>0</v>
      </c>
      <c r="DV86" s="804">
        <v>0</v>
      </c>
      <c r="DW86" s="804">
        <v>0</v>
      </c>
      <c r="DX86" s="804">
        <v>1276979</v>
      </c>
      <c r="DY86" s="804">
        <v>0</v>
      </c>
      <c r="DZ86" s="804">
        <v>26061</v>
      </c>
      <c r="EA86" s="804">
        <v>1303040</v>
      </c>
      <c r="EB86" s="804">
        <v>9354413</v>
      </c>
      <c r="EC86" s="804">
        <v>0</v>
      </c>
      <c r="ED86" s="804">
        <v>190641</v>
      </c>
      <c r="EE86" s="804">
        <v>9545054</v>
      </c>
      <c r="EF86" s="604" t="s">
        <v>45</v>
      </c>
      <c r="EG86" s="497" t="s">
        <v>524</v>
      </c>
      <c r="EH86" s="630" t="s">
        <v>564</v>
      </c>
      <c r="EI86" s="118" t="s">
        <v>1737</v>
      </c>
    </row>
    <row r="87" spans="1:139" ht="12.75" x14ac:dyDescent="0.2">
      <c r="A87" s="805">
        <v>80</v>
      </c>
      <c r="B87" s="606" t="s">
        <v>48</v>
      </c>
      <c r="C87" s="607" t="s">
        <v>1190</v>
      </c>
      <c r="D87" s="608" t="s">
        <v>1191</v>
      </c>
      <c r="E87" s="609" t="s">
        <v>47</v>
      </c>
      <c r="F87" s="802">
        <v>151804431</v>
      </c>
      <c r="G87" s="804">
        <v>692635</v>
      </c>
      <c r="H87" s="804">
        <v>0</v>
      </c>
      <c r="I87" s="804">
        <v>499198</v>
      </c>
      <c r="J87" s="804">
        <v>0</v>
      </c>
      <c r="K87" s="804">
        <v>499198</v>
      </c>
      <c r="L87" s="804">
        <v>0</v>
      </c>
      <c r="M87" s="804">
        <v>0</v>
      </c>
      <c r="N87" s="804">
        <v>0</v>
      </c>
      <c r="O87" s="804">
        <v>0</v>
      </c>
      <c r="P87" s="804">
        <v>0</v>
      </c>
      <c r="Q87" s="804">
        <v>0</v>
      </c>
      <c r="R87" s="804">
        <v>151997868</v>
      </c>
      <c r="S87" s="804">
        <v>0.33</v>
      </c>
      <c r="T87" s="804">
        <v>0.3</v>
      </c>
      <c r="U87" s="804">
        <v>0.37</v>
      </c>
      <c r="V87" s="804">
        <v>0</v>
      </c>
      <c r="W87" s="804">
        <v>1</v>
      </c>
      <c r="X87" s="804">
        <v>50159297</v>
      </c>
      <c r="Y87" s="804">
        <v>45599360</v>
      </c>
      <c r="Z87" s="804">
        <v>56239211</v>
      </c>
      <c r="AA87" s="804">
        <v>0</v>
      </c>
      <c r="AB87" s="804">
        <v>151997868</v>
      </c>
      <c r="AC87" s="804">
        <v>0</v>
      </c>
      <c r="AD87" s="804">
        <v>0</v>
      </c>
      <c r="AE87" s="804">
        <v>0</v>
      </c>
      <c r="AF87" s="804">
        <v>0</v>
      </c>
      <c r="AG87" s="804">
        <v>0</v>
      </c>
      <c r="AH87" s="804">
        <v>50159297</v>
      </c>
      <c r="AI87" s="804">
        <v>45599360</v>
      </c>
      <c r="AJ87" s="804">
        <v>56239211</v>
      </c>
      <c r="AK87" s="804">
        <v>0</v>
      </c>
      <c r="AL87" s="804">
        <v>151997868</v>
      </c>
      <c r="AM87" s="804">
        <v>499198</v>
      </c>
      <c r="AN87" s="804">
        <v>499198</v>
      </c>
      <c r="AO87" s="804">
        <v>0</v>
      </c>
      <c r="AP87" s="804">
        <v>0</v>
      </c>
      <c r="AQ87" s="804">
        <v>0</v>
      </c>
      <c r="AR87" s="804">
        <v>0</v>
      </c>
      <c r="AS87" s="804">
        <v>0</v>
      </c>
      <c r="AT87" s="804">
        <v>0</v>
      </c>
      <c r="AU87" s="804">
        <v>0</v>
      </c>
      <c r="AV87" s="804">
        <v>0</v>
      </c>
      <c r="AW87" s="804">
        <v>0</v>
      </c>
      <c r="AX87" s="804">
        <v>0</v>
      </c>
      <c r="AY87" s="804">
        <v>0</v>
      </c>
      <c r="AZ87" s="804">
        <v>0</v>
      </c>
      <c r="BA87" s="804">
        <v>0</v>
      </c>
      <c r="BB87" s="804">
        <v>0</v>
      </c>
      <c r="BC87" s="804">
        <v>0</v>
      </c>
      <c r="BD87" s="804">
        <v>0</v>
      </c>
      <c r="BE87" s="804">
        <v>0</v>
      </c>
      <c r="BF87" s="804">
        <v>0</v>
      </c>
      <c r="BG87" s="804">
        <v>0</v>
      </c>
      <c r="BH87" s="804">
        <v>0</v>
      </c>
      <c r="BI87" s="804">
        <v>0</v>
      </c>
      <c r="BJ87" s="804">
        <v>0.25</v>
      </c>
      <c r="BK87" s="804">
        <v>0.48</v>
      </c>
      <c r="BL87" s="804">
        <v>0.27</v>
      </c>
      <c r="BM87" s="804">
        <v>0</v>
      </c>
      <c r="BN87" s="804">
        <v>1</v>
      </c>
      <c r="BO87" s="804">
        <v>583758</v>
      </c>
      <c r="BP87" s="804">
        <v>1120814</v>
      </c>
      <c r="BQ87" s="804">
        <v>630458</v>
      </c>
      <c r="BR87" s="804">
        <v>0</v>
      </c>
      <c r="BS87" s="804">
        <v>2335030</v>
      </c>
      <c r="BT87" s="804">
        <v>0</v>
      </c>
      <c r="BU87" s="804">
        <v>0.64</v>
      </c>
      <c r="BV87" s="804">
        <v>0.36</v>
      </c>
      <c r="BW87" s="804">
        <v>0</v>
      </c>
      <c r="BX87" s="804">
        <v>1</v>
      </c>
      <c r="BY87" s="804">
        <v>0</v>
      </c>
      <c r="BZ87" s="804">
        <v>-1108760</v>
      </c>
      <c r="CA87" s="804">
        <v>-623677</v>
      </c>
      <c r="CB87" s="804">
        <v>0</v>
      </c>
      <c r="CC87" s="804">
        <v>-1732437</v>
      </c>
      <c r="CD87" s="804">
        <v>583758</v>
      </c>
      <c r="CE87" s="804">
        <v>12054</v>
      </c>
      <c r="CF87" s="804">
        <v>6781</v>
      </c>
      <c r="CG87" s="804">
        <v>0</v>
      </c>
      <c r="CH87" s="804">
        <v>602593</v>
      </c>
      <c r="CI87" s="804">
        <v>50743055</v>
      </c>
      <c r="CJ87" s="804">
        <v>46110612</v>
      </c>
      <c r="CK87" s="804">
        <v>56245992</v>
      </c>
      <c r="CL87" s="804">
        <v>0</v>
      </c>
      <c r="CM87" s="804">
        <v>153099659</v>
      </c>
      <c r="CN87" s="804">
        <v>1827630</v>
      </c>
      <c r="CO87" s="804">
        <v>2254077</v>
      </c>
      <c r="CP87" s="804">
        <v>0</v>
      </c>
      <c r="CQ87" s="804">
        <v>4081707</v>
      </c>
      <c r="CR87" s="804">
        <v>2486290</v>
      </c>
      <c r="CS87" s="804">
        <v>3066424</v>
      </c>
      <c r="CT87" s="804">
        <v>0</v>
      </c>
      <c r="CU87" s="804">
        <v>5552714</v>
      </c>
      <c r="CV87" s="804">
        <v>132400</v>
      </c>
      <c r="CW87" s="804">
        <v>163293</v>
      </c>
      <c r="CX87" s="804">
        <v>0</v>
      </c>
      <c r="CY87" s="804">
        <v>295693</v>
      </c>
      <c r="CZ87" s="804">
        <v>2195</v>
      </c>
      <c r="DA87" s="804">
        <v>2707</v>
      </c>
      <c r="DB87" s="804">
        <v>0</v>
      </c>
      <c r="DC87" s="804">
        <v>4902</v>
      </c>
      <c r="DD87" s="804">
        <v>0</v>
      </c>
      <c r="DE87" s="804">
        <v>0</v>
      </c>
      <c r="DF87" s="804">
        <v>0</v>
      </c>
      <c r="DG87" s="804">
        <v>0</v>
      </c>
      <c r="DH87" s="804">
        <v>55025</v>
      </c>
      <c r="DI87" s="804">
        <v>67865</v>
      </c>
      <c r="DJ87" s="804">
        <v>0</v>
      </c>
      <c r="DK87" s="804">
        <v>122890</v>
      </c>
      <c r="DL87" s="804">
        <v>13105</v>
      </c>
      <c r="DM87" s="804">
        <v>16163</v>
      </c>
      <c r="DN87" s="804">
        <v>0</v>
      </c>
      <c r="DO87" s="804">
        <v>29268</v>
      </c>
      <c r="DP87" s="804">
        <v>0</v>
      </c>
      <c r="DQ87" s="804">
        <v>0</v>
      </c>
      <c r="DR87" s="804">
        <v>0</v>
      </c>
      <c r="DS87" s="804">
        <v>0</v>
      </c>
      <c r="DT87" s="804">
        <v>0</v>
      </c>
      <c r="DU87" s="804">
        <v>0</v>
      </c>
      <c r="DV87" s="804">
        <v>0</v>
      </c>
      <c r="DW87" s="804">
        <v>0</v>
      </c>
      <c r="DX87" s="804">
        <v>1605547</v>
      </c>
      <c r="DY87" s="804">
        <v>1980176</v>
      </c>
      <c r="DZ87" s="804">
        <v>0</v>
      </c>
      <c r="EA87" s="804">
        <v>3585723</v>
      </c>
      <c r="EB87" s="804">
        <v>6122192</v>
      </c>
      <c r="EC87" s="804">
        <v>7550705</v>
      </c>
      <c r="ED87" s="804">
        <v>0</v>
      </c>
      <c r="EE87" s="804">
        <v>13672897</v>
      </c>
      <c r="EF87" s="604" t="s">
        <v>47</v>
      </c>
      <c r="EG87" s="497" t="s">
        <v>623</v>
      </c>
      <c r="EH87" s="243" t="s">
        <v>523</v>
      </c>
      <c r="EI87" s="118" t="s">
        <v>1738</v>
      </c>
    </row>
    <row r="88" spans="1:139" ht="12.75" x14ac:dyDescent="0.2">
      <c r="A88" s="805">
        <v>81</v>
      </c>
      <c r="B88" s="606" t="s">
        <v>50</v>
      </c>
      <c r="C88" s="607" t="s">
        <v>1185</v>
      </c>
      <c r="D88" s="608" t="s">
        <v>1189</v>
      </c>
      <c r="E88" s="609" t="s">
        <v>49</v>
      </c>
      <c r="F88" s="802">
        <v>21835045</v>
      </c>
      <c r="G88" s="804">
        <v>321416</v>
      </c>
      <c r="H88" s="804">
        <v>0</v>
      </c>
      <c r="I88" s="804">
        <v>94909</v>
      </c>
      <c r="J88" s="804">
        <v>0</v>
      </c>
      <c r="K88" s="804">
        <v>94909</v>
      </c>
      <c r="L88" s="804">
        <v>0</v>
      </c>
      <c r="M88" s="804">
        <v>66949</v>
      </c>
      <c r="N88" s="804">
        <v>674728</v>
      </c>
      <c r="O88" s="804">
        <v>674728</v>
      </c>
      <c r="P88" s="804">
        <v>0</v>
      </c>
      <c r="Q88" s="804">
        <v>0</v>
      </c>
      <c r="R88" s="804">
        <v>21319875</v>
      </c>
      <c r="S88" s="804">
        <v>0.5</v>
      </c>
      <c r="T88" s="804">
        <v>0.4</v>
      </c>
      <c r="U88" s="804">
        <v>0.09</v>
      </c>
      <c r="V88" s="804">
        <v>0.01</v>
      </c>
      <c r="W88" s="804">
        <v>1</v>
      </c>
      <c r="X88" s="804">
        <v>10659937</v>
      </c>
      <c r="Y88" s="804">
        <v>8527950</v>
      </c>
      <c r="Z88" s="804">
        <v>1918789</v>
      </c>
      <c r="AA88" s="804">
        <v>213199</v>
      </c>
      <c r="AB88" s="804">
        <v>21319875</v>
      </c>
      <c r="AC88" s="804">
        <v>87812</v>
      </c>
      <c r="AD88" s="804">
        <v>0</v>
      </c>
      <c r="AE88" s="804">
        <v>0</v>
      </c>
      <c r="AF88" s="804">
        <v>0</v>
      </c>
      <c r="AG88" s="804">
        <v>87812</v>
      </c>
      <c r="AH88" s="804">
        <v>10572125</v>
      </c>
      <c r="AI88" s="804">
        <v>8527950</v>
      </c>
      <c r="AJ88" s="804">
        <v>1918789</v>
      </c>
      <c r="AK88" s="804">
        <v>213199</v>
      </c>
      <c r="AL88" s="804">
        <v>21232063</v>
      </c>
      <c r="AM88" s="804">
        <v>94909</v>
      </c>
      <c r="AN88" s="804">
        <v>94909</v>
      </c>
      <c r="AO88" s="804">
        <v>66949</v>
      </c>
      <c r="AP88" s="804">
        <v>66949</v>
      </c>
      <c r="AQ88" s="804">
        <v>674728</v>
      </c>
      <c r="AR88" s="804">
        <v>0</v>
      </c>
      <c r="AS88" s="804">
        <v>674728</v>
      </c>
      <c r="AT88" s="804">
        <v>0</v>
      </c>
      <c r="AU88" s="804">
        <v>0</v>
      </c>
      <c r="AV88" s="804">
        <v>0</v>
      </c>
      <c r="AW88" s="804">
        <v>0</v>
      </c>
      <c r="AX88" s="804">
        <v>87812</v>
      </c>
      <c r="AY88" s="804">
        <v>0</v>
      </c>
      <c r="AZ88" s="804">
        <v>0</v>
      </c>
      <c r="BA88" s="804">
        <v>87812</v>
      </c>
      <c r="BB88" s="804">
        <v>0</v>
      </c>
      <c r="BC88" s="804">
        <v>0</v>
      </c>
      <c r="BD88" s="804">
        <v>0</v>
      </c>
      <c r="BE88" s="804">
        <v>0</v>
      </c>
      <c r="BF88" s="804">
        <v>0</v>
      </c>
      <c r="BG88" s="804">
        <v>0</v>
      </c>
      <c r="BH88" s="804">
        <v>0</v>
      </c>
      <c r="BI88" s="804">
        <v>0</v>
      </c>
      <c r="BJ88" s="804">
        <v>0.5</v>
      </c>
      <c r="BK88" s="804">
        <v>0.4</v>
      </c>
      <c r="BL88" s="804">
        <v>0.09</v>
      </c>
      <c r="BM88" s="804">
        <v>0.01</v>
      </c>
      <c r="BN88" s="804">
        <v>1</v>
      </c>
      <c r="BO88" s="804">
        <v>-103648</v>
      </c>
      <c r="BP88" s="804">
        <v>-82919</v>
      </c>
      <c r="BQ88" s="804">
        <v>-18657</v>
      </c>
      <c r="BR88" s="804">
        <v>-2073</v>
      </c>
      <c r="BS88" s="804">
        <v>-207297</v>
      </c>
      <c r="BT88" s="804">
        <v>0.5</v>
      </c>
      <c r="BU88" s="804">
        <v>0.4</v>
      </c>
      <c r="BV88" s="804">
        <v>0.09</v>
      </c>
      <c r="BW88" s="804">
        <v>0.01</v>
      </c>
      <c r="BX88" s="804">
        <v>1</v>
      </c>
      <c r="BY88" s="804">
        <v>119212</v>
      </c>
      <c r="BZ88" s="804">
        <v>95370</v>
      </c>
      <c r="CA88" s="804">
        <v>21458</v>
      </c>
      <c r="CB88" s="804">
        <v>2384</v>
      </c>
      <c r="CC88" s="804">
        <v>238424</v>
      </c>
      <c r="CD88" s="804">
        <v>15564</v>
      </c>
      <c r="CE88" s="804">
        <v>12451</v>
      </c>
      <c r="CF88" s="804">
        <v>2801</v>
      </c>
      <c r="CG88" s="804">
        <v>311</v>
      </c>
      <c r="CH88" s="804">
        <v>31127</v>
      </c>
      <c r="CI88" s="804">
        <v>10587689</v>
      </c>
      <c r="CJ88" s="804">
        <v>9464799</v>
      </c>
      <c r="CK88" s="804">
        <v>1921590</v>
      </c>
      <c r="CL88" s="804">
        <v>213510</v>
      </c>
      <c r="CM88" s="804">
        <v>22187588</v>
      </c>
      <c r="CN88" s="804">
        <v>375048</v>
      </c>
      <c r="CO88" s="804">
        <v>76905</v>
      </c>
      <c r="CP88" s="804">
        <v>8545</v>
      </c>
      <c r="CQ88" s="804">
        <v>460498</v>
      </c>
      <c r="CR88" s="804">
        <v>812039</v>
      </c>
      <c r="CS88" s="804">
        <v>182709</v>
      </c>
      <c r="CT88" s="804">
        <v>20301</v>
      </c>
      <c r="CU88" s="804">
        <v>1015049</v>
      </c>
      <c r="CV88" s="804">
        <v>63778</v>
      </c>
      <c r="CW88" s="804">
        <v>14350</v>
      </c>
      <c r="CX88" s="804">
        <v>1594</v>
      </c>
      <c r="CY88" s="804">
        <v>79722</v>
      </c>
      <c r="CZ88" s="804">
        <v>0</v>
      </c>
      <c r="DA88" s="804">
        <v>0</v>
      </c>
      <c r="DB88" s="804">
        <v>0</v>
      </c>
      <c r="DC88" s="804">
        <v>0</v>
      </c>
      <c r="DD88" s="804">
        <v>12211</v>
      </c>
      <c r="DE88" s="804">
        <v>2747</v>
      </c>
      <c r="DF88" s="804">
        <v>305</v>
      </c>
      <c r="DG88" s="804">
        <v>15263</v>
      </c>
      <c r="DH88" s="804">
        <v>15278</v>
      </c>
      <c r="DI88" s="804">
        <v>3438</v>
      </c>
      <c r="DJ88" s="804">
        <v>382</v>
      </c>
      <c r="DK88" s="804">
        <v>19098</v>
      </c>
      <c r="DL88" s="804">
        <v>2476</v>
      </c>
      <c r="DM88" s="804">
        <v>557</v>
      </c>
      <c r="DN88" s="804">
        <v>62</v>
      </c>
      <c r="DO88" s="804">
        <v>3095</v>
      </c>
      <c r="DP88" s="804">
        <v>0</v>
      </c>
      <c r="DQ88" s="804">
        <v>0</v>
      </c>
      <c r="DR88" s="804">
        <v>0</v>
      </c>
      <c r="DS88" s="804">
        <v>0</v>
      </c>
      <c r="DT88" s="804">
        <v>0</v>
      </c>
      <c r="DU88" s="804">
        <v>0</v>
      </c>
      <c r="DV88" s="804">
        <v>0</v>
      </c>
      <c r="DW88" s="804">
        <v>0</v>
      </c>
      <c r="DX88" s="804">
        <v>230162</v>
      </c>
      <c r="DY88" s="804">
        <v>51787</v>
      </c>
      <c r="DZ88" s="804">
        <v>5754</v>
      </c>
      <c r="EA88" s="804">
        <v>287703</v>
      </c>
      <c r="EB88" s="804">
        <v>1510992</v>
      </c>
      <c r="EC88" s="804">
        <v>332493</v>
      </c>
      <c r="ED88" s="804">
        <v>36943</v>
      </c>
      <c r="EE88" s="804">
        <v>1880428</v>
      </c>
      <c r="EF88" s="604" t="s">
        <v>49</v>
      </c>
      <c r="EG88" s="497" t="s">
        <v>542</v>
      </c>
      <c r="EH88" s="630" t="s">
        <v>541</v>
      </c>
      <c r="EI88" s="118" t="s">
        <v>1739</v>
      </c>
    </row>
    <row r="89" spans="1:139" ht="12.75" x14ac:dyDescent="0.2">
      <c r="A89" s="805">
        <v>82</v>
      </c>
      <c r="B89" s="606" t="s">
        <v>52</v>
      </c>
      <c r="C89" s="607" t="s">
        <v>1185</v>
      </c>
      <c r="D89" s="608" t="s">
        <v>1194</v>
      </c>
      <c r="E89" s="609" t="s">
        <v>51</v>
      </c>
      <c r="F89" s="802">
        <v>35726612</v>
      </c>
      <c r="G89" s="804">
        <v>255545</v>
      </c>
      <c r="H89" s="804">
        <v>0</v>
      </c>
      <c r="I89" s="804">
        <v>238983</v>
      </c>
      <c r="J89" s="804">
        <v>0</v>
      </c>
      <c r="K89" s="804">
        <v>238983</v>
      </c>
      <c r="L89" s="804">
        <v>0</v>
      </c>
      <c r="M89" s="804">
        <v>255478</v>
      </c>
      <c r="N89" s="804">
        <v>373757</v>
      </c>
      <c r="O89" s="804">
        <v>373757</v>
      </c>
      <c r="P89" s="804">
        <v>0</v>
      </c>
      <c r="Q89" s="804">
        <v>0</v>
      </c>
      <c r="R89" s="804">
        <v>35113939</v>
      </c>
      <c r="S89" s="804">
        <v>0.5</v>
      </c>
      <c r="T89" s="804">
        <v>0.4</v>
      </c>
      <c r="U89" s="804">
        <v>0.09</v>
      </c>
      <c r="V89" s="804">
        <v>0.01</v>
      </c>
      <c r="W89" s="804">
        <v>1</v>
      </c>
      <c r="X89" s="804">
        <v>17556969</v>
      </c>
      <c r="Y89" s="804">
        <v>14045576</v>
      </c>
      <c r="Z89" s="804">
        <v>3160255</v>
      </c>
      <c r="AA89" s="804">
        <v>351139</v>
      </c>
      <c r="AB89" s="804">
        <v>35113939</v>
      </c>
      <c r="AC89" s="804">
        <v>350239</v>
      </c>
      <c r="AD89" s="804">
        <v>0</v>
      </c>
      <c r="AE89" s="804">
        <v>0</v>
      </c>
      <c r="AF89" s="804">
        <v>0</v>
      </c>
      <c r="AG89" s="804">
        <v>350239</v>
      </c>
      <c r="AH89" s="804">
        <v>17206730</v>
      </c>
      <c r="AI89" s="804">
        <v>14045576</v>
      </c>
      <c r="AJ89" s="804">
        <v>3160255</v>
      </c>
      <c r="AK89" s="804">
        <v>351139</v>
      </c>
      <c r="AL89" s="804">
        <v>34763700</v>
      </c>
      <c r="AM89" s="804">
        <v>238983</v>
      </c>
      <c r="AN89" s="804">
        <v>238983</v>
      </c>
      <c r="AO89" s="804">
        <v>255478</v>
      </c>
      <c r="AP89" s="804">
        <v>255478</v>
      </c>
      <c r="AQ89" s="804">
        <v>373757</v>
      </c>
      <c r="AR89" s="804">
        <v>0</v>
      </c>
      <c r="AS89" s="804">
        <v>373757</v>
      </c>
      <c r="AT89" s="804">
        <v>0</v>
      </c>
      <c r="AU89" s="804">
        <v>0</v>
      </c>
      <c r="AV89" s="804">
        <v>0</v>
      </c>
      <c r="AW89" s="804">
        <v>0</v>
      </c>
      <c r="AX89" s="804">
        <v>350239</v>
      </c>
      <c r="AY89" s="804">
        <v>0</v>
      </c>
      <c r="AZ89" s="804">
        <v>0</v>
      </c>
      <c r="BA89" s="804">
        <v>350239</v>
      </c>
      <c r="BB89" s="804">
        <v>0</v>
      </c>
      <c r="BC89" s="804">
        <v>0</v>
      </c>
      <c r="BD89" s="804">
        <v>0</v>
      </c>
      <c r="BE89" s="804">
        <v>0</v>
      </c>
      <c r="BF89" s="804">
        <v>0</v>
      </c>
      <c r="BG89" s="804">
        <v>0</v>
      </c>
      <c r="BH89" s="804">
        <v>0</v>
      </c>
      <c r="BI89" s="804">
        <v>0</v>
      </c>
      <c r="BJ89" s="804">
        <v>0.5</v>
      </c>
      <c r="BK89" s="804">
        <v>0.4</v>
      </c>
      <c r="BL89" s="804">
        <v>0.09</v>
      </c>
      <c r="BM89" s="804">
        <v>0.01</v>
      </c>
      <c r="BN89" s="804">
        <v>1</v>
      </c>
      <c r="BO89" s="804">
        <v>322014</v>
      </c>
      <c r="BP89" s="804">
        <v>257611</v>
      </c>
      <c r="BQ89" s="804">
        <v>57963</v>
      </c>
      <c r="BR89" s="804">
        <v>6440</v>
      </c>
      <c r="BS89" s="804">
        <v>644028</v>
      </c>
      <c r="BT89" s="804">
        <v>0</v>
      </c>
      <c r="BU89" s="804">
        <v>0.4</v>
      </c>
      <c r="BV89" s="804">
        <v>0.59</v>
      </c>
      <c r="BW89" s="804">
        <v>0.01</v>
      </c>
      <c r="BX89" s="804">
        <v>1</v>
      </c>
      <c r="BY89" s="804">
        <v>1</v>
      </c>
      <c r="BZ89" s="804">
        <v>-291708</v>
      </c>
      <c r="CA89" s="804">
        <v>-430269</v>
      </c>
      <c r="CB89" s="804">
        <v>-7293</v>
      </c>
      <c r="CC89" s="804">
        <v>-729269</v>
      </c>
      <c r="CD89" s="804">
        <v>322015</v>
      </c>
      <c r="CE89" s="804">
        <v>-34097</v>
      </c>
      <c r="CF89" s="804">
        <v>-372306</v>
      </c>
      <c r="CG89" s="804">
        <v>-853</v>
      </c>
      <c r="CH89" s="804">
        <v>-85241</v>
      </c>
      <c r="CI89" s="804">
        <v>17528745</v>
      </c>
      <c r="CJ89" s="804">
        <v>15229936</v>
      </c>
      <c r="CK89" s="804">
        <v>2787949</v>
      </c>
      <c r="CL89" s="804">
        <v>350286</v>
      </c>
      <c r="CM89" s="804">
        <v>35896916</v>
      </c>
      <c r="CN89" s="804">
        <v>602206</v>
      </c>
      <c r="CO89" s="804">
        <v>126664</v>
      </c>
      <c r="CP89" s="804">
        <v>14074</v>
      </c>
      <c r="CQ89" s="804">
        <v>742944</v>
      </c>
      <c r="CR89" s="804">
        <v>2191592</v>
      </c>
      <c r="CS89" s="804">
        <v>488666</v>
      </c>
      <c r="CT89" s="804">
        <v>54296</v>
      </c>
      <c r="CU89" s="804">
        <v>2734554</v>
      </c>
      <c r="CV89" s="804">
        <v>97111</v>
      </c>
      <c r="CW89" s="804">
        <v>21379</v>
      </c>
      <c r="CX89" s="804">
        <v>2375</v>
      </c>
      <c r="CY89" s="804">
        <v>120865</v>
      </c>
      <c r="CZ89" s="804">
        <v>16267</v>
      </c>
      <c r="DA89" s="804">
        <v>2118</v>
      </c>
      <c r="DB89" s="804">
        <v>235</v>
      </c>
      <c r="DC89" s="804">
        <v>18620</v>
      </c>
      <c r="DD89" s="804">
        <v>21660</v>
      </c>
      <c r="DE89" s="804">
        <v>4874</v>
      </c>
      <c r="DF89" s="804">
        <v>542</v>
      </c>
      <c r="DG89" s="804">
        <v>27076</v>
      </c>
      <c r="DH89" s="804">
        <v>7176</v>
      </c>
      <c r="DI89" s="804">
        <v>1615</v>
      </c>
      <c r="DJ89" s="804">
        <v>179</v>
      </c>
      <c r="DK89" s="804">
        <v>8970</v>
      </c>
      <c r="DL89" s="804">
        <v>2912</v>
      </c>
      <c r="DM89" s="804">
        <v>655</v>
      </c>
      <c r="DN89" s="804">
        <v>73</v>
      </c>
      <c r="DO89" s="804">
        <v>3640</v>
      </c>
      <c r="DP89" s="804">
        <v>0</v>
      </c>
      <c r="DQ89" s="804">
        <v>0</v>
      </c>
      <c r="DR89" s="804">
        <v>0</v>
      </c>
      <c r="DS89" s="804">
        <v>0</v>
      </c>
      <c r="DT89" s="804">
        <v>0</v>
      </c>
      <c r="DU89" s="804">
        <v>0</v>
      </c>
      <c r="DV89" s="804">
        <v>0</v>
      </c>
      <c r="DW89" s="804">
        <v>0</v>
      </c>
      <c r="DX89" s="804">
        <v>481317</v>
      </c>
      <c r="DY89" s="804">
        <v>108296</v>
      </c>
      <c r="DZ89" s="804">
        <v>12033</v>
      </c>
      <c r="EA89" s="804">
        <v>601646</v>
      </c>
      <c r="EB89" s="804">
        <v>3420241</v>
      </c>
      <c r="EC89" s="804">
        <v>754267</v>
      </c>
      <c r="ED89" s="804">
        <v>83807</v>
      </c>
      <c r="EE89" s="804">
        <v>4258315</v>
      </c>
      <c r="EF89" s="604" t="s">
        <v>51</v>
      </c>
      <c r="EG89" s="497" t="s">
        <v>560</v>
      </c>
      <c r="EH89" s="631" t="s">
        <v>558</v>
      </c>
      <c r="EI89" s="118" t="s">
        <v>1740</v>
      </c>
    </row>
    <row r="90" spans="1:139" ht="12.75" x14ac:dyDescent="0.2">
      <c r="A90" s="805">
        <v>83</v>
      </c>
      <c r="B90" s="606" t="s">
        <v>54</v>
      </c>
      <c r="C90" s="607" t="s">
        <v>1185</v>
      </c>
      <c r="D90" s="608" t="s">
        <v>1186</v>
      </c>
      <c r="E90" s="609" t="s">
        <v>53</v>
      </c>
      <c r="F90" s="802">
        <v>31147336</v>
      </c>
      <c r="G90" s="804">
        <v>289237</v>
      </c>
      <c r="H90" s="804">
        <v>0</v>
      </c>
      <c r="I90" s="804">
        <v>157399</v>
      </c>
      <c r="J90" s="804">
        <v>0</v>
      </c>
      <c r="K90" s="804">
        <v>157399</v>
      </c>
      <c r="L90" s="804">
        <v>0</v>
      </c>
      <c r="M90" s="804">
        <v>27874</v>
      </c>
      <c r="N90" s="804">
        <v>51272</v>
      </c>
      <c r="O90" s="804">
        <v>20509</v>
      </c>
      <c r="P90" s="804">
        <v>30763</v>
      </c>
      <c r="Q90" s="804">
        <v>0</v>
      </c>
      <c r="R90" s="804">
        <v>31200028</v>
      </c>
      <c r="S90" s="804">
        <v>0.5</v>
      </c>
      <c r="T90" s="804">
        <v>0.4</v>
      </c>
      <c r="U90" s="804">
        <v>0.09</v>
      </c>
      <c r="V90" s="804">
        <v>0.01</v>
      </c>
      <c r="W90" s="804">
        <v>1</v>
      </c>
      <c r="X90" s="804">
        <v>15600014</v>
      </c>
      <c r="Y90" s="804">
        <v>12480011</v>
      </c>
      <c r="Z90" s="804">
        <v>2808003</v>
      </c>
      <c r="AA90" s="804">
        <v>312000</v>
      </c>
      <c r="AB90" s="804">
        <v>31200028</v>
      </c>
      <c r="AC90" s="804">
        <v>21014</v>
      </c>
      <c r="AD90" s="804">
        <v>0</v>
      </c>
      <c r="AE90" s="804">
        <v>0</v>
      </c>
      <c r="AF90" s="804">
        <v>0</v>
      </c>
      <c r="AG90" s="804">
        <v>21014</v>
      </c>
      <c r="AH90" s="804">
        <v>15579000</v>
      </c>
      <c r="AI90" s="804">
        <v>12480011</v>
      </c>
      <c r="AJ90" s="804">
        <v>2808003</v>
      </c>
      <c r="AK90" s="804">
        <v>312000</v>
      </c>
      <c r="AL90" s="804">
        <v>31179014</v>
      </c>
      <c r="AM90" s="804">
        <v>157399</v>
      </c>
      <c r="AN90" s="804">
        <v>157399</v>
      </c>
      <c r="AO90" s="804">
        <v>27874</v>
      </c>
      <c r="AP90" s="804">
        <v>27874</v>
      </c>
      <c r="AQ90" s="804">
        <v>20509</v>
      </c>
      <c r="AR90" s="804">
        <v>30763</v>
      </c>
      <c r="AS90" s="804">
        <v>51272</v>
      </c>
      <c r="AT90" s="804">
        <v>0</v>
      </c>
      <c r="AU90" s="804">
        <v>0</v>
      </c>
      <c r="AV90" s="804">
        <v>0</v>
      </c>
      <c r="AW90" s="804">
        <v>0</v>
      </c>
      <c r="AX90" s="804">
        <v>21014</v>
      </c>
      <c r="AY90" s="804">
        <v>0</v>
      </c>
      <c r="AZ90" s="804">
        <v>0</v>
      </c>
      <c r="BA90" s="804">
        <v>21014</v>
      </c>
      <c r="BB90" s="804">
        <v>0</v>
      </c>
      <c r="BC90" s="804">
        <v>0</v>
      </c>
      <c r="BD90" s="804">
        <v>0</v>
      </c>
      <c r="BE90" s="804">
        <v>0</v>
      </c>
      <c r="BF90" s="804">
        <v>0</v>
      </c>
      <c r="BG90" s="804">
        <v>0</v>
      </c>
      <c r="BH90" s="804">
        <v>0</v>
      </c>
      <c r="BI90" s="804">
        <v>0</v>
      </c>
      <c r="BJ90" s="804">
        <v>0.5</v>
      </c>
      <c r="BK90" s="804">
        <v>0.4</v>
      </c>
      <c r="BL90" s="804">
        <v>0.09</v>
      </c>
      <c r="BM90" s="804">
        <v>0.01</v>
      </c>
      <c r="BN90" s="804">
        <v>1</v>
      </c>
      <c r="BO90" s="804">
        <v>-1473288.0000000009</v>
      </c>
      <c r="BP90" s="804">
        <v>-1178630</v>
      </c>
      <c r="BQ90" s="804">
        <v>-265192</v>
      </c>
      <c r="BR90" s="804">
        <v>-29466</v>
      </c>
      <c r="BS90" s="804">
        <v>-2946576.0000000009</v>
      </c>
      <c r="BT90" s="804">
        <v>0.5</v>
      </c>
      <c r="BU90" s="804">
        <v>0.4</v>
      </c>
      <c r="BV90" s="804">
        <v>0.09</v>
      </c>
      <c r="BW90" s="804">
        <v>0.01</v>
      </c>
      <c r="BX90" s="804">
        <v>1</v>
      </c>
      <c r="BY90" s="804">
        <v>-1320025.7999999998</v>
      </c>
      <c r="BZ90" s="804">
        <v>-1056020</v>
      </c>
      <c r="CA90" s="804">
        <v>-237604</v>
      </c>
      <c r="CB90" s="804">
        <v>-26400</v>
      </c>
      <c r="CC90" s="804">
        <v>-2640049.7999999998</v>
      </c>
      <c r="CD90" s="804">
        <v>-2793314</v>
      </c>
      <c r="CE90" s="804">
        <v>-2234650</v>
      </c>
      <c r="CF90" s="804">
        <v>-502796</v>
      </c>
      <c r="CG90" s="804">
        <v>-55866</v>
      </c>
      <c r="CH90" s="804">
        <v>-5586625.8000000007</v>
      </c>
      <c r="CI90" s="804">
        <v>12785686</v>
      </c>
      <c r="CJ90" s="804">
        <v>10472157</v>
      </c>
      <c r="CK90" s="804">
        <v>2335970</v>
      </c>
      <c r="CL90" s="804">
        <v>256134</v>
      </c>
      <c r="CM90" s="804">
        <v>25849947</v>
      </c>
      <c r="CN90" s="804">
        <v>502982</v>
      </c>
      <c r="CO90" s="804">
        <v>113778</v>
      </c>
      <c r="CP90" s="804">
        <v>12505</v>
      </c>
      <c r="CQ90" s="804">
        <v>629265</v>
      </c>
      <c r="CR90" s="804">
        <v>1376707</v>
      </c>
      <c r="CS90" s="804">
        <v>308946</v>
      </c>
      <c r="CT90" s="804">
        <v>34327</v>
      </c>
      <c r="CU90" s="804">
        <v>1719980</v>
      </c>
      <c r="CV90" s="804">
        <v>106027</v>
      </c>
      <c r="CW90" s="804">
        <v>23856</v>
      </c>
      <c r="CX90" s="804">
        <v>2651</v>
      </c>
      <c r="CY90" s="804">
        <v>132534</v>
      </c>
      <c r="CZ90" s="804">
        <v>1252</v>
      </c>
      <c r="DA90" s="804">
        <v>282</v>
      </c>
      <c r="DB90" s="804">
        <v>31</v>
      </c>
      <c r="DC90" s="804">
        <v>1565</v>
      </c>
      <c r="DD90" s="804">
        <v>11589</v>
      </c>
      <c r="DE90" s="804">
        <v>2608</v>
      </c>
      <c r="DF90" s="804">
        <v>290</v>
      </c>
      <c r="DG90" s="804">
        <v>14487</v>
      </c>
      <c r="DH90" s="804">
        <v>19018</v>
      </c>
      <c r="DI90" s="804">
        <v>4279</v>
      </c>
      <c r="DJ90" s="804">
        <v>475</v>
      </c>
      <c r="DK90" s="804">
        <v>23772</v>
      </c>
      <c r="DL90" s="804">
        <v>4992</v>
      </c>
      <c r="DM90" s="804">
        <v>1123</v>
      </c>
      <c r="DN90" s="804">
        <v>125</v>
      </c>
      <c r="DO90" s="804">
        <v>6240</v>
      </c>
      <c r="DP90" s="804">
        <v>0</v>
      </c>
      <c r="DQ90" s="804">
        <v>0</v>
      </c>
      <c r="DR90" s="804">
        <v>0</v>
      </c>
      <c r="DS90" s="804">
        <v>0</v>
      </c>
      <c r="DT90" s="804">
        <v>0</v>
      </c>
      <c r="DU90" s="804">
        <v>0</v>
      </c>
      <c r="DV90" s="804">
        <v>0</v>
      </c>
      <c r="DW90" s="804">
        <v>0</v>
      </c>
      <c r="DX90" s="804">
        <v>567752</v>
      </c>
      <c r="DY90" s="804">
        <v>127744</v>
      </c>
      <c r="DZ90" s="804">
        <v>14194</v>
      </c>
      <c r="EA90" s="804">
        <v>709690</v>
      </c>
      <c r="EB90" s="804">
        <v>2590319</v>
      </c>
      <c r="EC90" s="804">
        <v>582616</v>
      </c>
      <c r="ED90" s="804">
        <v>64598</v>
      </c>
      <c r="EE90" s="804">
        <v>3237533</v>
      </c>
      <c r="EF90" s="604" t="s">
        <v>53</v>
      </c>
      <c r="EG90" s="497" t="s">
        <v>575</v>
      </c>
      <c r="EH90" s="630" t="s">
        <v>573</v>
      </c>
      <c r="EI90" s="118" t="s">
        <v>1741</v>
      </c>
    </row>
    <row r="91" spans="1:139" ht="12.75" x14ac:dyDescent="0.2">
      <c r="A91" s="805">
        <v>84</v>
      </c>
      <c r="B91" s="606" t="s">
        <v>56</v>
      </c>
      <c r="C91" s="607" t="s">
        <v>1185</v>
      </c>
      <c r="D91" s="608" t="s">
        <v>1189</v>
      </c>
      <c r="E91" s="609" t="s">
        <v>55</v>
      </c>
      <c r="F91" s="802">
        <v>42904236</v>
      </c>
      <c r="G91" s="804">
        <v>178530</v>
      </c>
      <c r="H91" s="804">
        <v>0</v>
      </c>
      <c r="I91" s="804">
        <v>199083</v>
      </c>
      <c r="J91" s="804">
        <v>0</v>
      </c>
      <c r="K91" s="804">
        <v>199083</v>
      </c>
      <c r="L91" s="804">
        <v>0</v>
      </c>
      <c r="M91" s="804">
        <v>0</v>
      </c>
      <c r="N91" s="804">
        <v>0</v>
      </c>
      <c r="O91" s="804">
        <v>0</v>
      </c>
      <c r="P91" s="804">
        <v>0</v>
      </c>
      <c r="Q91" s="804">
        <v>0</v>
      </c>
      <c r="R91" s="804">
        <v>42883683</v>
      </c>
      <c r="S91" s="804">
        <v>0.5</v>
      </c>
      <c r="T91" s="804">
        <v>0.4</v>
      </c>
      <c r="U91" s="804">
        <v>0.1</v>
      </c>
      <c r="V91" s="804">
        <v>0</v>
      </c>
      <c r="W91" s="804">
        <v>1</v>
      </c>
      <c r="X91" s="804">
        <v>21441842</v>
      </c>
      <c r="Y91" s="804">
        <v>17153473</v>
      </c>
      <c r="Z91" s="804">
        <v>4288368</v>
      </c>
      <c r="AA91" s="804">
        <v>0</v>
      </c>
      <c r="AB91" s="804">
        <v>42883683</v>
      </c>
      <c r="AC91" s="804">
        <v>0</v>
      </c>
      <c r="AD91" s="804">
        <v>0</v>
      </c>
      <c r="AE91" s="804">
        <v>0</v>
      </c>
      <c r="AF91" s="804">
        <v>0</v>
      </c>
      <c r="AG91" s="804">
        <v>0</v>
      </c>
      <c r="AH91" s="804">
        <v>21441842</v>
      </c>
      <c r="AI91" s="804">
        <v>17153473</v>
      </c>
      <c r="AJ91" s="804">
        <v>4288368</v>
      </c>
      <c r="AK91" s="804">
        <v>0</v>
      </c>
      <c r="AL91" s="804">
        <v>42883683</v>
      </c>
      <c r="AM91" s="804">
        <v>199083</v>
      </c>
      <c r="AN91" s="804">
        <v>199083</v>
      </c>
      <c r="AO91" s="804">
        <v>0</v>
      </c>
      <c r="AP91" s="804">
        <v>0</v>
      </c>
      <c r="AQ91" s="804">
        <v>0</v>
      </c>
      <c r="AR91" s="804">
        <v>0</v>
      </c>
      <c r="AS91" s="804">
        <v>0</v>
      </c>
      <c r="AT91" s="804">
        <v>0</v>
      </c>
      <c r="AU91" s="804">
        <v>0</v>
      </c>
      <c r="AV91" s="804">
        <v>0</v>
      </c>
      <c r="AW91" s="804">
        <v>0</v>
      </c>
      <c r="AX91" s="804">
        <v>0</v>
      </c>
      <c r="AY91" s="804">
        <v>0</v>
      </c>
      <c r="AZ91" s="804">
        <v>0</v>
      </c>
      <c r="BA91" s="804">
        <v>0</v>
      </c>
      <c r="BB91" s="804">
        <v>0</v>
      </c>
      <c r="BC91" s="804">
        <v>0</v>
      </c>
      <c r="BD91" s="804">
        <v>0</v>
      </c>
      <c r="BE91" s="804">
        <v>0</v>
      </c>
      <c r="BF91" s="804">
        <v>0</v>
      </c>
      <c r="BG91" s="804">
        <v>0</v>
      </c>
      <c r="BH91" s="804">
        <v>0</v>
      </c>
      <c r="BI91" s="804">
        <v>0</v>
      </c>
      <c r="BJ91" s="804">
        <v>0.25</v>
      </c>
      <c r="BK91" s="804">
        <v>0.35</v>
      </c>
      <c r="BL91" s="804">
        <v>0.4</v>
      </c>
      <c r="BM91" s="804">
        <v>0</v>
      </c>
      <c r="BN91" s="804">
        <v>1</v>
      </c>
      <c r="BO91" s="804">
        <v>274396</v>
      </c>
      <c r="BP91" s="804">
        <v>384154</v>
      </c>
      <c r="BQ91" s="804">
        <v>439033</v>
      </c>
      <c r="BR91" s="804">
        <v>0</v>
      </c>
      <c r="BS91" s="804">
        <v>1097583</v>
      </c>
      <c r="BT91" s="804">
        <v>0.5</v>
      </c>
      <c r="BU91" s="804">
        <v>0.4</v>
      </c>
      <c r="BV91" s="804">
        <v>0.1</v>
      </c>
      <c r="BW91" s="804">
        <v>0</v>
      </c>
      <c r="BX91" s="804">
        <v>1</v>
      </c>
      <c r="BY91" s="804">
        <v>409357</v>
      </c>
      <c r="BZ91" s="804">
        <v>327486</v>
      </c>
      <c r="CA91" s="804">
        <v>81871</v>
      </c>
      <c r="CB91" s="804">
        <v>0</v>
      </c>
      <c r="CC91" s="804">
        <v>818714</v>
      </c>
      <c r="CD91" s="804">
        <v>683753</v>
      </c>
      <c r="CE91" s="804">
        <v>711640</v>
      </c>
      <c r="CF91" s="804">
        <v>520904</v>
      </c>
      <c r="CG91" s="804">
        <v>0</v>
      </c>
      <c r="CH91" s="804">
        <v>1916297</v>
      </c>
      <c r="CI91" s="804">
        <v>22125595</v>
      </c>
      <c r="CJ91" s="804">
        <v>18064196</v>
      </c>
      <c r="CK91" s="804">
        <v>4809272</v>
      </c>
      <c r="CL91" s="804">
        <v>0</v>
      </c>
      <c r="CM91" s="804">
        <v>44999063</v>
      </c>
      <c r="CN91" s="804">
        <v>687514</v>
      </c>
      <c r="CO91" s="804">
        <v>171878</v>
      </c>
      <c r="CP91" s="804">
        <v>0</v>
      </c>
      <c r="CQ91" s="804">
        <v>859392</v>
      </c>
      <c r="CR91" s="804">
        <v>1690623</v>
      </c>
      <c r="CS91" s="804">
        <v>422656</v>
      </c>
      <c r="CT91" s="804">
        <v>0</v>
      </c>
      <c r="CU91" s="804">
        <v>2113279</v>
      </c>
      <c r="CV91" s="804">
        <v>127259</v>
      </c>
      <c r="CW91" s="804">
        <v>31815</v>
      </c>
      <c r="CX91" s="804">
        <v>0</v>
      </c>
      <c r="CY91" s="804">
        <v>159074</v>
      </c>
      <c r="CZ91" s="804">
        <v>0</v>
      </c>
      <c r="DA91" s="804">
        <v>0</v>
      </c>
      <c r="DB91" s="804">
        <v>0</v>
      </c>
      <c r="DC91" s="804">
        <v>0</v>
      </c>
      <c r="DD91" s="804">
        <v>15573</v>
      </c>
      <c r="DE91" s="804">
        <v>3893</v>
      </c>
      <c r="DF91" s="804">
        <v>0</v>
      </c>
      <c r="DG91" s="804">
        <v>19466</v>
      </c>
      <c r="DH91" s="804">
        <v>12950</v>
      </c>
      <c r="DI91" s="804">
        <v>3238</v>
      </c>
      <c r="DJ91" s="804">
        <v>0</v>
      </c>
      <c r="DK91" s="804">
        <v>16188</v>
      </c>
      <c r="DL91" s="804">
        <v>3744</v>
      </c>
      <c r="DM91" s="804">
        <v>936</v>
      </c>
      <c r="DN91" s="804">
        <v>0</v>
      </c>
      <c r="DO91" s="804">
        <v>4680</v>
      </c>
      <c r="DP91" s="804">
        <v>0</v>
      </c>
      <c r="DQ91" s="804">
        <v>0</v>
      </c>
      <c r="DR91" s="804">
        <v>0</v>
      </c>
      <c r="DS91" s="804">
        <v>0</v>
      </c>
      <c r="DT91" s="804">
        <v>0</v>
      </c>
      <c r="DU91" s="804">
        <v>0</v>
      </c>
      <c r="DV91" s="804">
        <v>0</v>
      </c>
      <c r="DW91" s="804">
        <v>0</v>
      </c>
      <c r="DX91" s="804">
        <v>784774</v>
      </c>
      <c r="DY91" s="804">
        <v>196194</v>
      </c>
      <c r="DZ91" s="804">
        <v>0</v>
      </c>
      <c r="EA91" s="804">
        <v>980968</v>
      </c>
      <c r="EB91" s="804">
        <v>3322437</v>
      </c>
      <c r="EC91" s="804">
        <v>830610</v>
      </c>
      <c r="ED91" s="804">
        <v>0</v>
      </c>
      <c r="EE91" s="804">
        <v>4153047</v>
      </c>
      <c r="EF91" s="604" t="s">
        <v>55</v>
      </c>
      <c r="EG91" s="497" t="s">
        <v>579</v>
      </c>
      <c r="EH91" s="630" t="s">
        <v>551</v>
      </c>
      <c r="EI91" s="118" t="s">
        <v>1742</v>
      </c>
    </row>
    <row r="92" spans="1:139" ht="12.75" x14ac:dyDescent="0.2">
      <c r="A92" s="805">
        <v>85</v>
      </c>
      <c r="B92" s="606" t="s">
        <v>58</v>
      </c>
      <c r="C92" s="607" t="s">
        <v>1185</v>
      </c>
      <c r="D92" s="608" t="s">
        <v>1188</v>
      </c>
      <c r="E92" s="609" t="s">
        <v>57</v>
      </c>
      <c r="F92" s="802">
        <v>37474650</v>
      </c>
      <c r="G92" s="804">
        <v>537879</v>
      </c>
      <c r="H92" s="804">
        <v>0</v>
      </c>
      <c r="I92" s="804">
        <v>257915</v>
      </c>
      <c r="J92" s="804">
        <v>0</v>
      </c>
      <c r="K92" s="804">
        <v>257915</v>
      </c>
      <c r="L92" s="804">
        <v>0</v>
      </c>
      <c r="M92" s="804">
        <v>0</v>
      </c>
      <c r="N92" s="804">
        <v>787489</v>
      </c>
      <c r="O92" s="804">
        <v>680337</v>
      </c>
      <c r="P92" s="804">
        <v>107152</v>
      </c>
      <c r="Q92" s="804">
        <v>0</v>
      </c>
      <c r="R92" s="804">
        <v>36967125</v>
      </c>
      <c r="S92" s="804">
        <v>0.5</v>
      </c>
      <c r="T92" s="804">
        <v>0.4</v>
      </c>
      <c r="U92" s="804">
        <v>0.1</v>
      </c>
      <c r="V92" s="804">
        <v>0</v>
      </c>
      <c r="W92" s="804">
        <v>1</v>
      </c>
      <c r="X92" s="804">
        <v>18483562</v>
      </c>
      <c r="Y92" s="804">
        <v>14786850</v>
      </c>
      <c r="Z92" s="804">
        <v>3696713</v>
      </c>
      <c r="AA92" s="804">
        <v>0</v>
      </c>
      <c r="AB92" s="804">
        <v>36967125</v>
      </c>
      <c r="AC92" s="804">
        <v>0</v>
      </c>
      <c r="AD92" s="804">
        <v>0</v>
      </c>
      <c r="AE92" s="804">
        <v>0</v>
      </c>
      <c r="AF92" s="804">
        <v>0</v>
      </c>
      <c r="AG92" s="804">
        <v>0</v>
      </c>
      <c r="AH92" s="804">
        <v>18483562</v>
      </c>
      <c r="AI92" s="804">
        <v>14786850</v>
      </c>
      <c r="AJ92" s="804">
        <v>3696713</v>
      </c>
      <c r="AK92" s="804">
        <v>0</v>
      </c>
      <c r="AL92" s="804">
        <v>36967125</v>
      </c>
      <c r="AM92" s="804">
        <v>257915</v>
      </c>
      <c r="AN92" s="804">
        <v>257915</v>
      </c>
      <c r="AO92" s="804">
        <v>0</v>
      </c>
      <c r="AP92" s="804">
        <v>0</v>
      </c>
      <c r="AQ92" s="804">
        <v>680337</v>
      </c>
      <c r="AR92" s="804">
        <v>107152</v>
      </c>
      <c r="AS92" s="804">
        <v>787489</v>
      </c>
      <c r="AT92" s="804">
        <v>0</v>
      </c>
      <c r="AU92" s="804">
        <v>0</v>
      </c>
      <c r="AV92" s="804">
        <v>0</v>
      </c>
      <c r="AW92" s="804">
        <v>0</v>
      </c>
      <c r="AX92" s="804">
        <v>0</v>
      </c>
      <c r="AY92" s="804">
        <v>0</v>
      </c>
      <c r="AZ92" s="804">
        <v>0</v>
      </c>
      <c r="BA92" s="804">
        <v>0</v>
      </c>
      <c r="BB92" s="804">
        <v>0</v>
      </c>
      <c r="BC92" s="804">
        <v>0</v>
      </c>
      <c r="BD92" s="804">
        <v>0</v>
      </c>
      <c r="BE92" s="804">
        <v>0</v>
      </c>
      <c r="BF92" s="804">
        <v>0</v>
      </c>
      <c r="BG92" s="804">
        <v>0</v>
      </c>
      <c r="BH92" s="804">
        <v>0</v>
      </c>
      <c r="BI92" s="804">
        <v>0</v>
      </c>
      <c r="BJ92" s="804">
        <v>0.5</v>
      </c>
      <c r="BK92" s="804">
        <v>0.4</v>
      </c>
      <c r="BL92" s="804">
        <v>0.1</v>
      </c>
      <c r="BM92" s="804">
        <v>0</v>
      </c>
      <c r="BN92" s="804">
        <v>1</v>
      </c>
      <c r="BO92" s="804">
        <v>342227</v>
      </c>
      <c r="BP92" s="804">
        <v>273782</v>
      </c>
      <c r="BQ92" s="804">
        <v>68446</v>
      </c>
      <c r="BR92" s="804">
        <v>0</v>
      </c>
      <c r="BS92" s="804">
        <v>684455</v>
      </c>
      <c r="BT92" s="804">
        <v>0</v>
      </c>
      <c r="BU92" s="804">
        <v>0.6</v>
      </c>
      <c r="BV92" s="804">
        <v>0.4</v>
      </c>
      <c r="BW92" s="804">
        <v>0</v>
      </c>
      <c r="BX92" s="804">
        <v>1</v>
      </c>
      <c r="BY92" s="804">
        <v>0</v>
      </c>
      <c r="BZ92" s="804">
        <v>403272</v>
      </c>
      <c r="CA92" s="804">
        <v>268848</v>
      </c>
      <c r="CB92" s="804">
        <v>0</v>
      </c>
      <c r="CC92" s="804">
        <v>672120</v>
      </c>
      <c r="CD92" s="804">
        <v>342227</v>
      </c>
      <c r="CE92" s="804">
        <v>677054</v>
      </c>
      <c r="CF92" s="804">
        <v>337294</v>
      </c>
      <c r="CG92" s="804">
        <v>0</v>
      </c>
      <c r="CH92" s="804">
        <v>1356575</v>
      </c>
      <c r="CI92" s="804">
        <v>18825789</v>
      </c>
      <c r="CJ92" s="804">
        <v>16402156</v>
      </c>
      <c r="CK92" s="804">
        <v>4141159</v>
      </c>
      <c r="CL92" s="804">
        <v>0</v>
      </c>
      <c r="CM92" s="804">
        <v>39369104</v>
      </c>
      <c r="CN92" s="804">
        <v>619927</v>
      </c>
      <c r="CO92" s="804">
        <v>152460</v>
      </c>
      <c r="CP92" s="804">
        <v>0</v>
      </c>
      <c r="CQ92" s="804">
        <v>772387</v>
      </c>
      <c r="CR92" s="804">
        <v>1998743</v>
      </c>
      <c r="CS92" s="804">
        <v>499686</v>
      </c>
      <c r="CT92" s="804">
        <v>0</v>
      </c>
      <c r="CU92" s="804">
        <v>2498429</v>
      </c>
      <c r="CV92" s="804">
        <v>106228</v>
      </c>
      <c r="CW92" s="804">
        <v>26557</v>
      </c>
      <c r="CX92" s="804">
        <v>0</v>
      </c>
      <c r="CY92" s="804">
        <v>132785</v>
      </c>
      <c r="CZ92" s="804">
        <v>0</v>
      </c>
      <c r="DA92" s="804">
        <v>0</v>
      </c>
      <c r="DB92" s="804">
        <v>0</v>
      </c>
      <c r="DC92" s="804">
        <v>0</v>
      </c>
      <c r="DD92" s="804">
        <v>36364</v>
      </c>
      <c r="DE92" s="804">
        <v>9091</v>
      </c>
      <c r="DF92" s="804">
        <v>0</v>
      </c>
      <c r="DG92" s="804">
        <v>45455</v>
      </c>
      <c r="DH92" s="804">
        <v>31581</v>
      </c>
      <c r="DI92" s="804">
        <v>7895</v>
      </c>
      <c r="DJ92" s="804">
        <v>0</v>
      </c>
      <c r="DK92" s="804">
        <v>39476</v>
      </c>
      <c r="DL92" s="804">
        <v>4998</v>
      </c>
      <c r="DM92" s="804">
        <v>1249</v>
      </c>
      <c r="DN92" s="804">
        <v>0</v>
      </c>
      <c r="DO92" s="804">
        <v>6247</v>
      </c>
      <c r="DP92" s="804">
        <v>0</v>
      </c>
      <c r="DQ92" s="804">
        <v>0</v>
      </c>
      <c r="DR92" s="804">
        <v>0</v>
      </c>
      <c r="DS92" s="804">
        <v>0</v>
      </c>
      <c r="DT92" s="804">
        <v>0</v>
      </c>
      <c r="DU92" s="804">
        <v>0</v>
      </c>
      <c r="DV92" s="804">
        <v>0</v>
      </c>
      <c r="DW92" s="804">
        <v>0</v>
      </c>
      <c r="DX92" s="804">
        <v>480086</v>
      </c>
      <c r="DY92" s="804">
        <v>120022</v>
      </c>
      <c r="DZ92" s="804">
        <v>0</v>
      </c>
      <c r="EA92" s="804">
        <v>600108</v>
      </c>
      <c r="EB92" s="804">
        <v>3277927</v>
      </c>
      <c r="EC92" s="804">
        <v>816960</v>
      </c>
      <c r="ED92" s="804">
        <v>0</v>
      </c>
      <c r="EE92" s="804">
        <v>4094887</v>
      </c>
      <c r="EF92" s="604" t="s">
        <v>57</v>
      </c>
      <c r="EG92" s="497" t="s">
        <v>595</v>
      </c>
      <c r="EH92" s="630" t="s">
        <v>551</v>
      </c>
      <c r="EI92" s="118" t="s">
        <v>1743</v>
      </c>
    </row>
    <row r="93" spans="1:139" ht="12.75" x14ac:dyDescent="0.2">
      <c r="A93" s="805">
        <v>86</v>
      </c>
      <c r="B93" s="606" t="s">
        <v>60</v>
      </c>
      <c r="C93" s="607" t="s">
        <v>1185</v>
      </c>
      <c r="D93" s="608" t="s">
        <v>1188</v>
      </c>
      <c r="E93" s="609" t="s">
        <v>59</v>
      </c>
      <c r="F93" s="802">
        <v>36014272</v>
      </c>
      <c r="G93" s="804">
        <v>0</v>
      </c>
      <c r="H93" s="804">
        <v>63395</v>
      </c>
      <c r="I93" s="804">
        <v>154649</v>
      </c>
      <c r="J93" s="804">
        <v>0</v>
      </c>
      <c r="K93" s="804">
        <v>154649</v>
      </c>
      <c r="L93" s="804">
        <v>0</v>
      </c>
      <c r="M93" s="804">
        <v>0</v>
      </c>
      <c r="N93" s="804">
        <v>411471</v>
      </c>
      <c r="O93" s="804">
        <v>411471</v>
      </c>
      <c r="P93" s="804">
        <v>0</v>
      </c>
      <c r="Q93" s="804">
        <v>0</v>
      </c>
      <c r="R93" s="804">
        <v>35384757</v>
      </c>
      <c r="S93" s="804">
        <v>0.5</v>
      </c>
      <c r="T93" s="804">
        <v>0.4</v>
      </c>
      <c r="U93" s="804">
        <v>0.09</v>
      </c>
      <c r="V93" s="804">
        <v>0.01</v>
      </c>
      <c r="W93" s="804">
        <v>1</v>
      </c>
      <c r="X93" s="804">
        <v>17692378</v>
      </c>
      <c r="Y93" s="804">
        <v>14153903</v>
      </c>
      <c r="Z93" s="804">
        <v>3184628</v>
      </c>
      <c r="AA93" s="804">
        <v>353848</v>
      </c>
      <c r="AB93" s="804">
        <v>35384757</v>
      </c>
      <c r="AC93" s="804">
        <v>0</v>
      </c>
      <c r="AD93" s="804">
        <v>0</v>
      </c>
      <c r="AE93" s="804">
        <v>0</v>
      </c>
      <c r="AF93" s="804">
        <v>0</v>
      </c>
      <c r="AG93" s="804">
        <v>0</v>
      </c>
      <c r="AH93" s="804">
        <v>17692378</v>
      </c>
      <c r="AI93" s="804">
        <v>14153903</v>
      </c>
      <c r="AJ93" s="804">
        <v>3184628</v>
      </c>
      <c r="AK93" s="804">
        <v>353848</v>
      </c>
      <c r="AL93" s="804">
        <v>35384757</v>
      </c>
      <c r="AM93" s="804">
        <v>154649</v>
      </c>
      <c r="AN93" s="804">
        <v>154649</v>
      </c>
      <c r="AO93" s="804">
        <v>0</v>
      </c>
      <c r="AP93" s="804">
        <v>0</v>
      </c>
      <c r="AQ93" s="804">
        <v>411471</v>
      </c>
      <c r="AR93" s="804">
        <v>0</v>
      </c>
      <c r="AS93" s="804">
        <v>411471</v>
      </c>
      <c r="AT93" s="804">
        <v>0</v>
      </c>
      <c r="AU93" s="804">
        <v>0</v>
      </c>
      <c r="AV93" s="804">
        <v>0</v>
      </c>
      <c r="AW93" s="804">
        <v>0</v>
      </c>
      <c r="AX93" s="804">
        <v>0</v>
      </c>
      <c r="AY93" s="804">
        <v>0</v>
      </c>
      <c r="AZ93" s="804">
        <v>0</v>
      </c>
      <c r="BA93" s="804">
        <v>0</v>
      </c>
      <c r="BB93" s="804">
        <v>0</v>
      </c>
      <c r="BC93" s="804">
        <v>0</v>
      </c>
      <c r="BD93" s="804">
        <v>0</v>
      </c>
      <c r="BE93" s="804">
        <v>0</v>
      </c>
      <c r="BF93" s="804">
        <v>0</v>
      </c>
      <c r="BG93" s="804">
        <v>0</v>
      </c>
      <c r="BH93" s="804">
        <v>0</v>
      </c>
      <c r="BI93" s="804">
        <v>0</v>
      </c>
      <c r="BJ93" s="804">
        <v>0.25</v>
      </c>
      <c r="BK93" s="804">
        <v>0.4</v>
      </c>
      <c r="BL93" s="804">
        <v>0.33999999999999997</v>
      </c>
      <c r="BM93" s="804">
        <v>0.01</v>
      </c>
      <c r="BN93" s="804">
        <v>1</v>
      </c>
      <c r="BO93" s="804">
        <v>272086</v>
      </c>
      <c r="BP93" s="804">
        <v>435336</v>
      </c>
      <c r="BQ93" s="804">
        <v>370036</v>
      </c>
      <c r="BR93" s="804">
        <v>10883</v>
      </c>
      <c r="BS93" s="804">
        <v>1088341</v>
      </c>
      <c r="BT93" s="804">
        <v>0.5</v>
      </c>
      <c r="BU93" s="804">
        <v>0.4</v>
      </c>
      <c r="BV93" s="804">
        <v>0.1</v>
      </c>
      <c r="BW93" s="804">
        <v>0</v>
      </c>
      <c r="BX93" s="804">
        <v>1</v>
      </c>
      <c r="BY93" s="804">
        <v>425496</v>
      </c>
      <c r="BZ93" s="804">
        <v>340396</v>
      </c>
      <c r="CA93" s="804">
        <v>85099</v>
      </c>
      <c r="CB93" s="804">
        <v>0</v>
      </c>
      <c r="CC93" s="804">
        <v>850991</v>
      </c>
      <c r="CD93" s="804">
        <v>697582</v>
      </c>
      <c r="CE93" s="804">
        <v>775732</v>
      </c>
      <c r="CF93" s="804">
        <v>455135</v>
      </c>
      <c r="CG93" s="804">
        <v>10883</v>
      </c>
      <c r="CH93" s="804">
        <v>1939332</v>
      </c>
      <c r="CI93" s="804">
        <v>18389960</v>
      </c>
      <c r="CJ93" s="804">
        <v>15495755</v>
      </c>
      <c r="CK93" s="804">
        <v>3639763</v>
      </c>
      <c r="CL93" s="804">
        <v>364731</v>
      </c>
      <c r="CM93" s="804">
        <v>37890209</v>
      </c>
      <c r="CN93" s="804">
        <v>583783</v>
      </c>
      <c r="CO93" s="804">
        <v>127640</v>
      </c>
      <c r="CP93" s="804">
        <v>14182</v>
      </c>
      <c r="CQ93" s="804">
        <v>725605</v>
      </c>
      <c r="CR93" s="804">
        <v>888123</v>
      </c>
      <c r="CS93" s="804">
        <v>199828</v>
      </c>
      <c r="CT93" s="804">
        <v>22203</v>
      </c>
      <c r="CU93" s="804">
        <v>1110154</v>
      </c>
      <c r="CV93" s="804">
        <v>42848</v>
      </c>
      <c r="CW93" s="804">
        <v>9641</v>
      </c>
      <c r="CX93" s="804">
        <v>1071</v>
      </c>
      <c r="CY93" s="804">
        <v>53560</v>
      </c>
      <c r="CZ93" s="804">
        <v>2179</v>
      </c>
      <c r="DA93" s="804">
        <v>491</v>
      </c>
      <c r="DB93" s="804">
        <v>55</v>
      </c>
      <c r="DC93" s="804">
        <v>2725</v>
      </c>
      <c r="DD93" s="804">
        <v>8264</v>
      </c>
      <c r="DE93" s="804">
        <v>1860</v>
      </c>
      <c r="DF93" s="804">
        <v>207</v>
      </c>
      <c r="DG93" s="804">
        <v>10331</v>
      </c>
      <c r="DH93" s="804">
        <v>1628</v>
      </c>
      <c r="DI93" s="804">
        <v>366</v>
      </c>
      <c r="DJ93" s="804">
        <v>41</v>
      </c>
      <c r="DK93" s="804">
        <v>2035</v>
      </c>
      <c r="DL93" s="804">
        <v>832</v>
      </c>
      <c r="DM93" s="804">
        <v>187</v>
      </c>
      <c r="DN93" s="804">
        <v>21</v>
      </c>
      <c r="DO93" s="804">
        <v>1040</v>
      </c>
      <c r="DP93" s="804">
        <v>0</v>
      </c>
      <c r="DQ93" s="804">
        <v>0</v>
      </c>
      <c r="DR93" s="804">
        <v>0</v>
      </c>
      <c r="DS93" s="804">
        <v>0</v>
      </c>
      <c r="DT93" s="804">
        <v>0</v>
      </c>
      <c r="DU93" s="804">
        <v>0</v>
      </c>
      <c r="DV93" s="804">
        <v>0</v>
      </c>
      <c r="DW93" s="804">
        <v>0</v>
      </c>
      <c r="DX93" s="804">
        <v>212301</v>
      </c>
      <c r="DY93" s="804">
        <v>47767</v>
      </c>
      <c r="DZ93" s="804">
        <v>5307</v>
      </c>
      <c r="EA93" s="804">
        <v>265375</v>
      </c>
      <c r="EB93" s="804">
        <v>1739958</v>
      </c>
      <c r="EC93" s="804">
        <v>387780</v>
      </c>
      <c r="ED93" s="804">
        <v>43087</v>
      </c>
      <c r="EE93" s="804">
        <v>2170825</v>
      </c>
      <c r="EF93" s="604" t="s">
        <v>59</v>
      </c>
      <c r="EG93" s="497" t="s">
        <v>600</v>
      </c>
      <c r="EH93" s="630" t="s">
        <v>551</v>
      </c>
      <c r="EI93" s="118" t="s">
        <v>1744</v>
      </c>
    </row>
    <row r="94" spans="1:139" ht="14.25" x14ac:dyDescent="0.2">
      <c r="A94" s="805">
        <v>87</v>
      </c>
      <c r="B94" s="606" t="s">
        <v>62</v>
      </c>
      <c r="C94" s="607" t="s">
        <v>524</v>
      </c>
      <c r="D94" s="608" t="s">
        <v>1193</v>
      </c>
      <c r="E94" s="609" t="s">
        <v>1981</v>
      </c>
      <c r="F94" s="802">
        <v>110090536</v>
      </c>
      <c r="G94" s="804">
        <v>0</v>
      </c>
      <c r="H94" s="804">
        <v>7843008</v>
      </c>
      <c r="I94" s="804">
        <v>433888</v>
      </c>
      <c r="J94" s="804">
        <v>0</v>
      </c>
      <c r="K94" s="804">
        <v>433888</v>
      </c>
      <c r="L94" s="804">
        <v>0</v>
      </c>
      <c r="M94" s="804">
        <v>0</v>
      </c>
      <c r="N94" s="804">
        <v>5222150</v>
      </c>
      <c r="O94" s="804">
        <v>5222150</v>
      </c>
      <c r="P94" s="804">
        <v>0</v>
      </c>
      <c r="Q94" s="804">
        <v>0</v>
      </c>
      <c r="R94" s="804">
        <v>96591490</v>
      </c>
      <c r="S94" s="804">
        <v>0.5</v>
      </c>
      <c r="T94" s="804">
        <v>0.49</v>
      </c>
      <c r="U94" s="804">
        <v>0</v>
      </c>
      <c r="V94" s="804">
        <v>0.01</v>
      </c>
      <c r="W94" s="804">
        <v>1</v>
      </c>
      <c r="X94" s="804">
        <v>48295745</v>
      </c>
      <c r="Y94" s="804">
        <v>47329830</v>
      </c>
      <c r="Z94" s="804">
        <v>0</v>
      </c>
      <c r="AA94" s="804">
        <v>965915</v>
      </c>
      <c r="AB94" s="804">
        <v>96591490</v>
      </c>
      <c r="AC94" s="804">
        <v>30000</v>
      </c>
      <c r="AD94" s="804">
        <v>0</v>
      </c>
      <c r="AE94" s="804">
        <v>0</v>
      </c>
      <c r="AF94" s="804">
        <v>0</v>
      </c>
      <c r="AG94" s="804">
        <v>30000</v>
      </c>
      <c r="AH94" s="804">
        <v>48265745</v>
      </c>
      <c r="AI94" s="804">
        <v>47329830</v>
      </c>
      <c r="AJ94" s="804">
        <v>0</v>
      </c>
      <c r="AK94" s="804">
        <v>965915</v>
      </c>
      <c r="AL94" s="804">
        <v>96561490</v>
      </c>
      <c r="AM94" s="804">
        <v>433888</v>
      </c>
      <c r="AN94" s="804">
        <v>433888</v>
      </c>
      <c r="AO94" s="804">
        <v>0</v>
      </c>
      <c r="AP94" s="804">
        <v>0</v>
      </c>
      <c r="AQ94" s="804">
        <v>5222150</v>
      </c>
      <c r="AR94" s="804">
        <v>0</v>
      </c>
      <c r="AS94" s="804">
        <v>5222150</v>
      </c>
      <c r="AT94" s="804">
        <v>0</v>
      </c>
      <c r="AU94" s="804">
        <v>0</v>
      </c>
      <c r="AV94" s="804">
        <v>0</v>
      </c>
      <c r="AW94" s="804">
        <v>0</v>
      </c>
      <c r="AX94" s="804">
        <v>29400</v>
      </c>
      <c r="AY94" s="804">
        <v>0</v>
      </c>
      <c r="AZ94" s="804">
        <v>600</v>
      </c>
      <c r="BA94" s="804">
        <v>30000</v>
      </c>
      <c r="BB94" s="804">
        <v>0</v>
      </c>
      <c r="BC94" s="804">
        <v>0</v>
      </c>
      <c r="BD94" s="804">
        <v>0</v>
      </c>
      <c r="BE94" s="804">
        <v>0</v>
      </c>
      <c r="BF94" s="804">
        <v>0</v>
      </c>
      <c r="BG94" s="804">
        <v>0</v>
      </c>
      <c r="BH94" s="804">
        <v>0</v>
      </c>
      <c r="BI94" s="804">
        <v>0</v>
      </c>
      <c r="BJ94" s="804">
        <v>0.5</v>
      </c>
      <c r="BK94" s="804">
        <v>0.49</v>
      </c>
      <c r="BL94" s="804">
        <v>0</v>
      </c>
      <c r="BM94" s="804">
        <v>0.01</v>
      </c>
      <c r="BN94" s="804">
        <v>1</v>
      </c>
      <c r="BO94" s="804">
        <v>-291357</v>
      </c>
      <c r="BP94" s="804">
        <v>-285529</v>
      </c>
      <c r="BQ94" s="804">
        <v>0</v>
      </c>
      <c r="BR94" s="804">
        <v>-5827</v>
      </c>
      <c r="BS94" s="804">
        <v>-582713</v>
      </c>
      <c r="BT94" s="804">
        <v>0.5</v>
      </c>
      <c r="BU94" s="804">
        <v>0.49</v>
      </c>
      <c r="BV94" s="804">
        <v>0</v>
      </c>
      <c r="BW94" s="804">
        <v>0.01</v>
      </c>
      <c r="BX94" s="804">
        <v>1</v>
      </c>
      <c r="BY94" s="804">
        <v>53296</v>
      </c>
      <c r="BZ94" s="804">
        <v>52230</v>
      </c>
      <c r="CA94" s="804">
        <v>0</v>
      </c>
      <c r="CB94" s="804">
        <v>1066</v>
      </c>
      <c r="CC94" s="804">
        <v>106592</v>
      </c>
      <c r="CD94" s="804">
        <v>-238061</v>
      </c>
      <c r="CE94" s="804">
        <v>-233299</v>
      </c>
      <c r="CF94" s="804">
        <v>0</v>
      </c>
      <c r="CG94" s="804">
        <v>-4761</v>
      </c>
      <c r="CH94" s="804">
        <v>-476121</v>
      </c>
      <c r="CI94" s="804">
        <v>48027684</v>
      </c>
      <c r="CJ94" s="804">
        <v>52781969</v>
      </c>
      <c r="CK94" s="804">
        <v>0</v>
      </c>
      <c r="CL94" s="804">
        <v>961754</v>
      </c>
      <c r="CM94" s="804">
        <v>101771407</v>
      </c>
      <c r="CN94" s="804">
        <v>2107470</v>
      </c>
      <c r="CO94" s="804">
        <v>0</v>
      </c>
      <c r="CP94" s="804">
        <v>38738</v>
      </c>
      <c r="CQ94" s="804">
        <v>2146208</v>
      </c>
      <c r="CR94" s="804">
        <v>4676457</v>
      </c>
      <c r="CS94" s="804">
        <v>0</v>
      </c>
      <c r="CT94" s="804">
        <v>95438</v>
      </c>
      <c r="CU94" s="804">
        <v>4771895</v>
      </c>
      <c r="CV94" s="804">
        <v>249385</v>
      </c>
      <c r="CW94" s="804">
        <v>0</v>
      </c>
      <c r="CX94" s="804">
        <v>5089</v>
      </c>
      <c r="CY94" s="804">
        <v>254474</v>
      </c>
      <c r="CZ94" s="804">
        <v>11856</v>
      </c>
      <c r="DA94" s="804">
        <v>0</v>
      </c>
      <c r="DB94" s="804">
        <v>242</v>
      </c>
      <c r="DC94" s="804">
        <v>12098</v>
      </c>
      <c r="DD94" s="804">
        <v>28729</v>
      </c>
      <c r="DE94" s="804">
        <v>0</v>
      </c>
      <c r="DF94" s="804">
        <v>586</v>
      </c>
      <c r="DG94" s="804">
        <v>29315</v>
      </c>
      <c r="DH94" s="804">
        <v>87288</v>
      </c>
      <c r="DI94" s="804">
        <v>0</v>
      </c>
      <c r="DJ94" s="804">
        <v>1781</v>
      </c>
      <c r="DK94" s="804">
        <v>89069</v>
      </c>
      <c r="DL94" s="804">
        <v>8155</v>
      </c>
      <c r="DM94" s="804">
        <v>0</v>
      </c>
      <c r="DN94" s="804">
        <v>166</v>
      </c>
      <c r="DO94" s="804">
        <v>8321</v>
      </c>
      <c r="DP94" s="804">
        <v>0</v>
      </c>
      <c r="DQ94" s="804">
        <v>0</v>
      </c>
      <c r="DR94" s="804">
        <v>0</v>
      </c>
      <c r="DS94" s="804">
        <v>0</v>
      </c>
      <c r="DT94" s="804">
        <v>0</v>
      </c>
      <c r="DU94" s="804">
        <v>0</v>
      </c>
      <c r="DV94" s="804">
        <v>0</v>
      </c>
      <c r="DW94" s="804">
        <v>0</v>
      </c>
      <c r="DX94" s="804">
        <v>1059581</v>
      </c>
      <c r="DY94" s="804">
        <v>0</v>
      </c>
      <c r="DZ94" s="804">
        <v>21624</v>
      </c>
      <c r="EA94" s="804">
        <v>1081205</v>
      </c>
      <c r="EB94" s="804">
        <v>8228921</v>
      </c>
      <c r="EC94" s="804">
        <v>0</v>
      </c>
      <c r="ED94" s="804">
        <v>163664</v>
      </c>
      <c r="EE94" s="804">
        <v>8392585</v>
      </c>
      <c r="EF94" s="604" t="s">
        <v>580</v>
      </c>
      <c r="EG94" s="497" t="s">
        <v>524</v>
      </c>
      <c r="EH94" s="630" t="s">
        <v>581</v>
      </c>
      <c r="EI94" s="118" t="s">
        <v>1745</v>
      </c>
    </row>
    <row r="95" spans="1:139" ht="12.75" x14ac:dyDescent="0.2">
      <c r="A95" s="805">
        <v>88</v>
      </c>
      <c r="B95" s="606" t="s">
        <v>64</v>
      </c>
      <c r="C95" s="607" t="s">
        <v>1185</v>
      </c>
      <c r="D95" s="608" t="s">
        <v>1195</v>
      </c>
      <c r="E95" s="609" t="s">
        <v>63</v>
      </c>
      <c r="F95" s="802">
        <v>53349768</v>
      </c>
      <c r="G95" s="804">
        <v>0</v>
      </c>
      <c r="H95" s="804">
        <v>61397</v>
      </c>
      <c r="I95" s="804">
        <v>167230</v>
      </c>
      <c r="J95" s="804">
        <v>0</v>
      </c>
      <c r="K95" s="804">
        <v>167230</v>
      </c>
      <c r="L95" s="804">
        <v>0</v>
      </c>
      <c r="M95" s="804">
        <v>0</v>
      </c>
      <c r="N95" s="804">
        <v>0</v>
      </c>
      <c r="O95" s="804">
        <v>0</v>
      </c>
      <c r="P95" s="804">
        <v>0</v>
      </c>
      <c r="Q95" s="804">
        <v>0</v>
      </c>
      <c r="R95" s="804">
        <v>53121141</v>
      </c>
      <c r="S95" s="804">
        <v>0.5</v>
      </c>
      <c r="T95" s="804">
        <v>0.4</v>
      </c>
      <c r="U95" s="804">
        <v>0.09</v>
      </c>
      <c r="V95" s="804">
        <v>0.01</v>
      </c>
      <c r="W95" s="804">
        <v>1</v>
      </c>
      <c r="X95" s="804">
        <v>26560571</v>
      </c>
      <c r="Y95" s="804">
        <v>21248456</v>
      </c>
      <c r="Z95" s="804">
        <v>4780903</v>
      </c>
      <c r="AA95" s="804">
        <v>531211</v>
      </c>
      <c r="AB95" s="804">
        <v>53121141</v>
      </c>
      <c r="AC95" s="804">
        <v>0</v>
      </c>
      <c r="AD95" s="804">
        <v>0</v>
      </c>
      <c r="AE95" s="804">
        <v>0</v>
      </c>
      <c r="AF95" s="804">
        <v>0</v>
      </c>
      <c r="AG95" s="804">
        <v>0</v>
      </c>
      <c r="AH95" s="804">
        <v>26560571</v>
      </c>
      <c r="AI95" s="804">
        <v>21248456</v>
      </c>
      <c r="AJ95" s="804">
        <v>4780903</v>
      </c>
      <c r="AK95" s="804">
        <v>531211</v>
      </c>
      <c r="AL95" s="804">
        <v>53121141</v>
      </c>
      <c r="AM95" s="804">
        <v>167230</v>
      </c>
      <c r="AN95" s="804">
        <v>167230</v>
      </c>
      <c r="AO95" s="804">
        <v>0</v>
      </c>
      <c r="AP95" s="804">
        <v>0</v>
      </c>
      <c r="AQ95" s="804">
        <v>0</v>
      </c>
      <c r="AR95" s="804">
        <v>0</v>
      </c>
      <c r="AS95" s="804">
        <v>0</v>
      </c>
      <c r="AT95" s="804">
        <v>0</v>
      </c>
      <c r="AU95" s="804">
        <v>0</v>
      </c>
      <c r="AV95" s="804">
        <v>0</v>
      </c>
      <c r="AW95" s="804">
        <v>0</v>
      </c>
      <c r="AX95" s="804">
        <v>0</v>
      </c>
      <c r="AY95" s="804">
        <v>0</v>
      </c>
      <c r="AZ95" s="804">
        <v>0</v>
      </c>
      <c r="BA95" s="804">
        <v>0</v>
      </c>
      <c r="BB95" s="804">
        <v>0</v>
      </c>
      <c r="BC95" s="804">
        <v>0</v>
      </c>
      <c r="BD95" s="804">
        <v>0</v>
      </c>
      <c r="BE95" s="804">
        <v>0</v>
      </c>
      <c r="BF95" s="804">
        <v>0</v>
      </c>
      <c r="BG95" s="804">
        <v>0</v>
      </c>
      <c r="BH95" s="804">
        <v>0</v>
      </c>
      <c r="BI95" s="804">
        <v>0</v>
      </c>
      <c r="BJ95" s="804">
        <v>0.25</v>
      </c>
      <c r="BK95" s="804">
        <v>0.4</v>
      </c>
      <c r="BL95" s="804">
        <v>0.33999999999999997</v>
      </c>
      <c r="BM95" s="804">
        <v>0.01</v>
      </c>
      <c r="BN95" s="804">
        <v>1</v>
      </c>
      <c r="BO95" s="804">
        <v>475117.99999999721</v>
      </c>
      <c r="BP95" s="804">
        <v>760189</v>
      </c>
      <c r="BQ95" s="804">
        <v>646160</v>
      </c>
      <c r="BR95" s="804">
        <v>19005</v>
      </c>
      <c r="BS95" s="804">
        <v>1900471.9999999972</v>
      </c>
      <c r="BT95" s="804">
        <v>0.5</v>
      </c>
      <c r="BU95" s="804">
        <v>0.4</v>
      </c>
      <c r="BV95" s="804">
        <v>0.09</v>
      </c>
      <c r="BW95" s="804">
        <v>0.01</v>
      </c>
      <c r="BX95" s="804">
        <v>1</v>
      </c>
      <c r="BY95" s="804">
        <v>-638.09999999869615</v>
      </c>
      <c r="BZ95" s="804">
        <v>-510</v>
      </c>
      <c r="CA95" s="804">
        <v>-115</v>
      </c>
      <c r="CB95" s="804">
        <v>-13</v>
      </c>
      <c r="CC95" s="804">
        <v>-1276.0999999986961</v>
      </c>
      <c r="CD95" s="804">
        <v>474480</v>
      </c>
      <c r="CE95" s="804">
        <v>759679</v>
      </c>
      <c r="CF95" s="804">
        <v>646045</v>
      </c>
      <c r="CG95" s="804">
        <v>18992</v>
      </c>
      <c r="CH95" s="804">
        <v>1899195.8999999985</v>
      </c>
      <c r="CI95" s="804">
        <v>27035051</v>
      </c>
      <c r="CJ95" s="804">
        <v>22175365</v>
      </c>
      <c r="CK95" s="804">
        <v>5426948</v>
      </c>
      <c r="CL95" s="804">
        <v>550203</v>
      </c>
      <c r="CM95" s="804">
        <v>55187567</v>
      </c>
      <c r="CN95" s="804">
        <v>851642</v>
      </c>
      <c r="CO95" s="804">
        <v>191619</v>
      </c>
      <c r="CP95" s="804">
        <v>21291</v>
      </c>
      <c r="CQ95" s="804">
        <v>1064552</v>
      </c>
      <c r="CR95" s="804">
        <v>1265816</v>
      </c>
      <c r="CS95" s="804">
        <v>284809</v>
      </c>
      <c r="CT95" s="804">
        <v>31645</v>
      </c>
      <c r="CU95" s="804">
        <v>1582270</v>
      </c>
      <c r="CV95" s="804">
        <v>91410</v>
      </c>
      <c r="CW95" s="804">
        <v>20567</v>
      </c>
      <c r="CX95" s="804">
        <v>2285</v>
      </c>
      <c r="CY95" s="804">
        <v>114262</v>
      </c>
      <c r="CZ95" s="804">
        <v>0</v>
      </c>
      <c r="DA95" s="804">
        <v>0</v>
      </c>
      <c r="DB95" s="804">
        <v>0</v>
      </c>
      <c r="DC95" s="804">
        <v>0</v>
      </c>
      <c r="DD95" s="804">
        <v>99</v>
      </c>
      <c r="DE95" s="804">
        <v>22</v>
      </c>
      <c r="DF95" s="804">
        <v>2</v>
      </c>
      <c r="DG95" s="804">
        <v>123</v>
      </c>
      <c r="DH95" s="804">
        <v>15349</v>
      </c>
      <c r="DI95" s="804">
        <v>3454</v>
      </c>
      <c r="DJ95" s="804">
        <v>384</v>
      </c>
      <c r="DK95" s="804">
        <v>19187</v>
      </c>
      <c r="DL95" s="804">
        <v>4398</v>
      </c>
      <c r="DM95" s="804">
        <v>989</v>
      </c>
      <c r="DN95" s="804">
        <v>110</v>
      </c>
      <c r="DO95" s="804">
        <v>5497</v>
      </c>
      <c r="DP95" s="804">
        <v>0</v>
      </c>
      <c r="DQ95" s="804">
        <v>0</v>
      </c>
      <c r="DR95" s="804">
        <v>0</v>
      </c>
      <c r="DS95" s="804">
        <v>0</v>
      </c>
      <c r="DT95" s="804">
        <v>0</v>
      </c>
      <c r="DU95" s="804">
        <v>0</v>
      </c>
      <c r="DV95" s="804">
        <v>0</v>
      </c>
      <c r="DW95" s="804">
        <v>0</v>
      </c>
      <c r="DX95" s="804">
        <v>441096</v>
      </c>
      <c r="DY95" s="804">
        <v>99247</v>
      </c>
      <c r="DZ95" s="804">
        <v>11027</v>
      </c>
      <c r="EA95" s="804">
        <v>551370</v>
      </c>
      <c r="EB95" s="804">
        <v>2669810</v>
      </c>
      <c r="EC95" s="804">
        <v>600707</v>
      </c>
      <c r="ED95" s="804">
        <v>66744</v>
      </c>
      <c r="EE95" s="804">
        <v>3337261</v>
      </c>
      <c r="EF95" s="604" t="s">
        <v>63</v>
      </c>
      <c r="EG95" s="497" t="s">
        <v>609</v>
      </c>
      <c r="EH95" s="630" t="s">
        <v>608</v>
      </c>
      <c r="EI95" s="118" t="s">
        <v>1746</v>
      </c>
    </row>
    <row r="96" spans="1:139" ht="12.75" x14ac:dyDescent="0.2">
      <c r="A96" s="805">
        <v>89</v>
      </c>
      <c r="B96" s="606" t="s">
        <v>1128</v>
      </c>
      <c r="C96" s="607" t="s">
        <v>1185</v>
      </c>
      <c r="D96" s="608" t="s">
        <v>1189</v>
      </c>
      <c r="E96" s="609" t="s">
        <v>1127</v>
      </c>
      <c r="F96" s="802">
        <v>96158722</v>
      </c>
      <c r="G96" s="804">
        <v>0</v>
      </c>
      <c r="H96" s="804">
        <v>3742291</v>
      </c>
      <c r="I96" s="804">
        <v>460160</v>
      </c>
      <c r="J96" s="804">
        <v>0</v>
      </c>
      <c r="K96" s="804">
        <v>460160</v>
      </c>
      <c r="L96" s="804">
        <v>0</v>
      </c>
      <c r="M96" s="804">
        <v>435429</v>
      </c>
      <c r="N96" s="804">
        <v>1010507</v>
      </c>
      <c r="O96" s="804">
        <v>1010507</v>
      </c>
      <c r="P96" s="804">
        <v>0</v>
      </c>
      <c r="Q96" s="804">
        <v>0</v>
      </c>
      <c r="R96" s="804">
        <v>90510335</v>
      </c>
      <c r="S96" s="804">
        <v>0.5</v>
      </c>
      <c r="T96" s="804">
        <v>0.4</v>
      </c>
      <c r="U96" s="804">
        <v>0.1</v>
      </c>
      <c r="V96" s="804">
        <v>0</v>
      </c>
      <c r="W96" s="804">
        <v>1</v>
      </c>
      <c r="X96" s="804">
        <v>45255167</v>
      </c>
      <c r="Y96" s="804">
        <v>36204134</v>
      </c>
      <c r="Z96" s="804">
        <v>9051034</v>
      </c>
      <c r="AA96" s="804">
        <v>0</v>
      </c>
      <c r="AB96" s="804">
        <v>90510335</v>
      </c>
      <c r="AC96" s="804">
        <v>94133</v>
      </c>
      <c r="AD96" s="804">
        <v>0</v>
      </c>
      <c r="AE96" s="804">
        <v>0</v>
      </c>
      <c r="AF96" s="804">
        <v>0</v>
      </c>
      <c r="AG96" s="804">
        <v>94133</v>
      </c>
      <c r="AH96" s="804">
        <v>45161034</v>
      </c>
      <c r="AI96" s="804">
        <v>36204134</v>
      </c>
      <c r="AJ96" s="804">
        <v>9051034</v>
      </c>
      <c r="AK96" s="804">
        <v>0</v>
      </c>
      <c r="AL96" s="804">
        <v>90416202</v>
      </c>
      <c r="AM96" s="804">
        <v>460160</v>
      </c>
      <c r="AN96" s="804">
        <v>460160</v>
      </c>
      <c r="AO96" s="804">
        <v>435429</v>
      </c>
      <c r="AP96" s="804">
        <v>435429</v>
      </c>
      <c r="AQ96" s="804">
        <v>1010507</v>
      </c>
      <c r="AR96" s="804">
        <v>0</v>
      </c>
      <c r="AS96" s="804">
        <v>1010507</v>
      </c>
      <c r="AT96" s="804">
        <v>0</v>
      </c>
      <c r="AU96" s="804">
        <v>0</v>
      </c>
      <c r="AV96" s="804">
        <v>0</v>
      </c>
      <c r="AW96" s="804">
        <v>0</v>
      </c>
      <c r="AX96" s="804">
        <v>94133</v>
      </c>
      <c r="AY96" s="804">
        <v>0</v>
      </c>
      <c r="AZ96" s="804">
        <v>0</v>
      </c>
      <c r="BA96" s="804">
        <v>94133</v>
      </c>
      <c r="BB96" s="804">
        <v>0</v>
      </c>
      <c r="BC96" s="804">
        <v>0</v>
      </c>
      <c r="BD96" s="804">
        <v>0</v>
      </c>
      <c r="BE96" s="804">
        <v>0</v>
      </c>
      <c r="BF96" s="804">
        <v>0</v>
      </c>
      <c r="BG96" s="804">
        <v>0</v>
      </c>
      <c r="BH96" s="804">
        <v>0</v>
      </c>
      <c r="BI96" s="804">
        <v>0</v>
      </c>
      <c r="BJ96" s="804">
        <v>0.5</v>
      </c>
      <c r="BK96" s="804">
        <v>0.4</v>
      </c>
      <c r="BL96" s="804">
        <v>0.1</v>
      </c>
      <c r="BM96" s="804">
        <v>0</v>
      </c>
      <c r="BN96" s="804">
        <v>1</v>
      </c>
      <c r="BO96" s="804">
        <v>2525425.9999999925</v>
      </c>
      <c r="BP96" s="804">
        <v>2020341</v>
      </c>
      <c r="BQ96" s="804">
        <v>505085</v>
      </c>
      <c r="BR96" s="804">
        <v>0</v>
      </c>
      <c r="BS96" s="804">
        <v>5050851.9999999925</v>
      </c>
      <c r="BT96" s="804">
        <v>0</v>
      </c>
      <c r="BU96" s="804">
        <v>0.8</v>
      </c>
      <c r="BV96" s="804">
        <v>0.2</v>
      </c>
      <c r="BW96" s="804">
        <v>0</v>
      </c>
      <c r="BX96" s="804">
        <v>1</v>
      </c>
      <c r="BY96" s="804">
        <v>-0.39999999850988388</v>
      </c>
      <c r="BZ96" s="804">
        <v>3156228</v>
      </c>
      <c r="CA96" s="804">
        <v>789057</v>
      </c>
      <c r="CB96" s="804">
        <v>0</v>
      </c>
      <c r="CC96" s="804">
        <v>3945284.6000000015</v>
      </c>
      <c r="CD96" s="804">
        <v>2525426</v>
      </c>
      <c r="CE96" s="804">
        <v>5176569</v>
      </c>
      <c r="CF96" s="804">
        <v>1294142</v>
      </c>
      <c r="CG96" s="804">
        <v>0</v>
      </c>
      <c r="CH96" s="804">
        <v>8996136.599999994</v>
      </c>
      <c r="CI96" s="804">
        <v>47686460</v>
      </c>
      <c r="CJ96" s="804">
        <v>43380932</v>
      </c>
      <c r="CK96" s="804">
        <v>10345176</v>
      </c>
      <c r="CL96" s="804">
        <v>0</v>
      </c>
      <c r="CM96" s="804">
        <v>101412568</v>
      </c>
      <c r="CN96" s="804">
        <v>1512794</v>
      </c>
      <c r="CO96" s="804">
        <v>362767</v>
      </c>
      <c r="CP96" s="804">
        <v>0</v>
      </c>
      <c r="CQ96" s="804">
        <v>1875561</v>
      </c>
      <c r="CR96" s="804">
        <v>3133361</v>
      </c>
      <c r="CS96" s="804">
        <v>777734</v>
      </c>
      <c r="CT96" s="804">
        <v>0</v>
      </c>
      <c r="CU96" s="804">
        <v>3911095</v>
      </c>
      <c r="CV96" s="804">
        <v>142393</v>
      </c>
      <c r="CW96" s="804">
        <v>35231</v>
      </c>
      <c r="CX96" s="804">
        <v>0</v>
      </c>
      <c r="CY96" s="804">
        <v>177624</v>
      </c>
      <c r="CZ96" s="804">
        <v>1038</v>
      </c>
      <c r="DA96" s="804">
        <v>260</v>
      </c>
      <c r="DB96" s="804">
        <v>0</v>
      </c>
      <c r="DC96" s="804">
        <v>1298</v>
      </c>
      <c r="DD96" s="804">
        <v>31694</v>
      </c>
      <c r="DE96" s="804">
        <v>7923</v>
      </c>
      <c r="DF96" s="804">
        <v>0</v>
      </c>
      <c r="DG96" s="804">
        <v>39617</v>
      </c>
      <c r="DH96" s="804">
        <v>70420</v>
      </c>
      <c r="DI96" s="804">
        <v>17605</v>
      </c>
      <c r="DJ96" s="804">
        <v>0</v>
      </c>
      <c r="DK96" s="804">
        <v>88025</v>
      </c>
      <c r="DL96" s="804">
        <v>9777</v>
      </c>
      <c r="DM96" s="804">
        <v>2444</v>
      </c>
      <c r="DN96" s="804">
        <v>0</v>
      </c>
      <c r="DO96" s="804">
        <v>12221</v>
      </c>
      <c r="DP96" s="804">
        <v>0</v>
      </c>
      <c r="DQ96" s="804">
        <v>0</v>
      </c>
      <c r="DR96" s="804">
        <v>0</v>
      </c>
      <c r="DS96" s="804">
        <v>0</v>
      </c>
      <c r="DT96" s="804">
        <v>0</v>
      </c>
      <c r="DU96" s="804">
        <v>0</v>
      </c>
      <c r="DV96" s="804">
        <v>0</v>
      </c>
      <c r="DW96" s="804">
        <v>0</v>
      </c>
      <c r="DX96" s="804">
        <v>848638</v>
      </c>
      <c r="DY96" s="804">
        <v>212160</v>
      </c>
      <c r="DZ96" s="804">
        <v>0</v>
      </c>
      <c r="EA96" s="804">
        <v>1060798</v>
      </c>
      <c r="EB96" s="804">
        <v>5750115</v>
      </c>
      <c r="EC96" s="804">
        <v>1416124</v>
      </c>
      <c r="ED96" s="804">
        <v>0</v>
      </c>
      <c r="EE96" s="804">
        <v>7166239</v>
      </c>
      <c r="EF96" s="604" t="s">
        <v>1127</v>
      </c>
      <c r="EG96" s="497" t="s">
        <v>610</v>
      </c>
      <c r="EH96" s="630" t="s">
        <v>551</v>
      </c>
      <c r="EI96" s="118" t="s">
        <v>1747</v>
      </c>
    </row>
    <row r="97" spans="1:139" ht="12.75" x14ac:dyDescent="0.2">
      <c r="A97" s="805">
        <v>90</v>
      </c>
      <c r="B97" s="606" t="s">
        <v>66</v>
      </c>
      <c r="C97" s="607" t="s">
        <v>1185</v>
      </c>
      <c r="D97" s="608" t="s">
        <v>1186</v>
      </c>
      <c r="E97" s="609" t="s">
        <v>65</v>
      </c>
      <c r="F97" s="802">
        <v>37448942</v>
      </c>
      <c r="G97" s="804">
        <v>219972</v>
      </c>
      <c r="H97" s="804">
        <v>0</v>
      </c>
      <c r="I97" s="804">
        <v>128524</v>
      </c>
      <c r="J97" s="804">
        <v>0</v>
      </c>
      <c r="K97" s="804">
        <v>128524</v>
      </c>
      <c r="L97" s="804">
        <v>0</v>
      </c>
      <c r="M97" s="804">
        <v>0</v>
      </c>
      <c r="N97" s="804">
        <v>0</v>
      </c>
      <c r="O97" s="804">
        <v>0</v>
      </c>
      <c r="P97" s="804">
        <v>0</v>
      </c>
      <c r="Q97" s="804">
        <v>0</v>
      </c>
      <c r="R97" s="804">
        <v>37540390</v>
      </c>
      <c r="S97" s="804">
        <v>0.5</v>
      </c>
      <c r="T97" s="804">
        <v>0.4</v>
      </c>
      <c r="U97" s="804">
        <v>0.09</v>
      </c>
      <c r="V97" s="804">
        <v>0.01</v>
      </c>
      <c r="W97" s="804">
        <v>1</v>
      </c>
      <c r="X97" s="804">
        <v>18770195</v>
      </c>
      <c r="Y97" s="804">
        <v>15016156</v>
      </c>
      <c r="Z97" s="804">
        <v>3378635</v>
      </c>
      <c r="AA97" s="804">
        <v>375404</v>
      </c>
      <c r="AB97" s="804">
        <v>37540390</v>
      </c>
      <c r="AC97" s="804">
        <v>0</v>
      </c>
      <c r="AD97" s="804">
        <v>0</v>
      </c>
      <c r="AE97" s="804">
        <v>0</v>
      </c>
      <c r="AF97" s="804">
        <v>0</v>
      </c>
      <c r="AG97" s="804">
        <v>0</v>
      </c>
      <c r="AH97" s="804">
        <v>18770195</v>
      </c>
      <c r="AI97" s="804">
        <v>15016156</v>
      </c>
      <c r="AJ97" s="804">
        <v>3378635</v>
      </c>
      <c r="AK97" s="804">
        <v>375404</v>
      </c>
      <c r="AL97" s="804">
        <v>37540390</v>
      </c>
      <c r="AM97" s="804">
        <v>128524</v>
      </c>
      <c r="AN97" s="804">
        <v>128524</v>
      </c>
      <c r="AO97" s="804">
        <v>0</v>
      </c>
      <c r="AP97" s="804">
        <v>0</v>
      </c>
      <c r="AQ97" s="804">
        <v>0</v>
      </c>
      <c r="AR97" s="804">
        <v>0</v>
      </c>
      <c r="AS97" s="804">
        <v>0</v>
      </c>
      <c r="AT97" s="804">
        <v>0</v>
      </c>
      <c r="AU97" s="804">
        <v>0</v>
      </c>
      <c r="AV97" s="804">
        <v>0</v>
      </c>
      <c r="AW97" s="804">
        <v>0</v>
      </c>
      <c r="AX97" s="804">
        <v>0</v>
      </c>
      <c r="AY97" s="804">
        <v>0</v>
      </c>
      <c r="AZ97" s="804">
        <v>0</v>
      </c>
      <c r="BA97" s="804">
        <v>0</v>
      </c>
      <c r="BB97" s="804">
        <v>0</v>
      </c>
      <c r="BC97" s="804">
        <v>0</v>
      </c>
      <c r="BD97" s="804">
        <v>0</v>
      </c>
      <c r="BE97" s="804">
        <v>0</v>
      </c>
      <c r="BF97" s="804">
        <v>0</v>
      </c>
      <c r="BG97" s="804">
        <v>0</v>
      </c>
      <c r="BH97" s="804">
        <v>0</v>
      </c>
      <c r="BI97" s="804">
        <v>0</v>
      </c>
      <c r="BJ97" s="804">
        <v>0.24999999999999994</v>
      </c>
      <c r="BK97" s="804">
        <v>0.44</v>
      </c>
      <c r="BL97" s="804">
        <v>0.26</v>
      </c>
      <c r="BM97" s="804">
        <v>0.05</v>
      </c>
      <c r="BN97" s="804">
        <v>1</v>
      </c>
      <c r="BO97" s="804">
        <v>89608</v>
      </c>
      <c r="BP97" s="804">
        <v>157708</v>
      </c>
      <c r="BQ97" s="804">
        <v>93191</v>
      </c>
      <c r="BR97" s="804">
        <v>17921</v>
      </c>
      <c r="BS97" s="804">
        <v>358428</v>
      </c>
      <c r="BT97" s="804">
        <v>0.5</v>
      </c>
      <c r="BU97" s="804">
        <v>0.4</v>
      </c>
      <c r="BV97" s="804">
        <v>0.09</v>
      </c>
      <c r="BW97" s="804">
        <v>0.01</v>
      </c>
      <c r="BX97" s="804">
        <v>1</v>
      </c>
      <c r="BY97" s="804">
        <v>-215748</v>
      </c>
      <c r="BZ97" s="804">
        <v>-172599</v>
      </c>
      <c r="CA97" s="804">
        <v>-38835</v>
      </c>
      <c r="CB97" s="804">
        <v>-4315</v>
      </c>
      <c r="CC97" s="804">
        <v>-431497</v>
      </c>
      <c r="CD97" s="804">
        <v>-126140</v>
      </c>
      <c r="CE97" s="804">
        <v>-14891</v>
      </c>
      <c r="CF97" s="804">
        <v>54356</v>
      </c>
      <c r="CG97" s="804">
        <v>13606</v>
      </c>
      <c r="CH97" s="804">
        <v>-73069</v>
      </c>
      <c r="CI97" s="804">
        <v>18644055</v>
      </c>
      <c r="CJ97" s="804">
        <v>15129789</v>
      </c>
      <c r="CK97" s="804">
        <v>3432991</v>
      </c>
      <c r="CL97" s="804">
        <v>389010</v>
      </c>
      <c r="CM97" s="804">
        <v>37595845</v>
      </c>
      <c r="CN97" s="804">
        <v>601850</v>
      </c>
      <c r="CO97" s="804">
        <v>135416</v>
      </c>
      <c r="CP97" s="804">
        <v>15046</v>
      </c>
      <c r="CQ97" s="804">
        <v>752312</v>
      </c>
      <c r="CR97" s="804">
        <v>1076258</v>
      </c>
      <c r="CS97" s="804">
        <v>242158</v>
      </c>
      <c r="CT97" s="804">
        <v>26906</v>
      </c>
      <c r="CU97" s="804">
        <v>1345322</v>
      </c>
      <c r="CV97" s="804">
        <v>74775</v>
      </c>
      <c r="CW97" s="804">
        <v>16824</v>
      </c>
      <c r="CX97" s="804">
        <v>1869</v>
      </c>
      <c r="CY97" s="804">
        <v>93468</v>
      </c>
      <c r="CZ97" s="804">
        <v>0</v>
      </c>
      <c r="DA97" s="804">
        <v>0</v>
      </c>
      <c r="DB97" s="804">
        <v>0</v>
      </c>
      <c r="DC97" s="804">
        <v>0</v>
      </c>
      <c r="DD97" s="804">
        <v>0</v>
      </c>
      <c r="DE97" s="804">
        <v>0</v>
      </c>
      <c r="DF97" s="804">
        <v>0</v>
      </c>
      <c r="DG97" s="804">
        <v>0</v>
      </c>
      <c r="DH97" s="804">
        <v>18384</v>
      </c>
      <c r="DI97" s="804">
        <v>4137</v>
      </c>
      <c r="DJ97" s="804">
        <v>460</v>
      </c>
      <c r="DK97" s="804">
        <v>22981</v>
      </c>
      <c r="DL97" s="804">
        <v>3328</v>
      </c>
      <c r="DM97" s="804">
        <v>749</v>
      </c>
      <c r="DN97" s="804">
        <v>83</v>
      </c>
      <c r="DO97" s="804">
        <v>4160</v>
      </c>
      <c r="DP97" s="804">
        <v>0</v>
      </c>
      <c r="DQ97" s="804">
        <v>0</v>
      </c>
      <c r="DR97" s="804">
        <v>0</v>
      </c>
      <c r="DS97" s="804">
        <v>0</v>
      </c>
      <c r="DT97" s="804">
        <v>0</v>
      </c>
      <c r="DU97" s="804">
        <v>0</v>
      </c>
      <c r="DV97" s="804">
        <v>0</v>
      </c>
      <c r="DW97" s="804">
        <v>0</v>
      </c>
      <c r="DX97" s="804">
        <v>426129</v>
      </c>
      <c r="DY97" s="804">
        <v>95879</v>
      </c>
      <c r="DZ97" s="804">
        <v>10653</v>
      </c>
      <c r="EA97" s="804">
        <v>532661</v>
      </c>
      <c r="EB97" s="804">
        <v>2200724</v>
      </c>
      <c r="EC97" s="804">
        <v>495163</v>
      </c>
      <c r="ED97" s="804">
        <v>55017</v>
      </c>
      <c r="EE97" s="804">
        <v>2750904</v>
      </c>
      <c r="EF97" s="604" t="s">
        <v>65</v>
      </c>
      <c r="EG97" s="497" t="s">
        <v>566</v>
      </c>
      <c r="EH97" s="630" t="s">
        <v>565</v>
      </c>
      <c r="EI97" s="118" t="s">
        <v>1748</v>
      </c>
    </row>
    <row r="98" spans="1:139" ht="14.25" x14ac:dyDescent="0.2">
      <c r="A98" s="805">
        <v>91</v>
      </c>
      <c r="B98" s="606" t="s">
        <v>68</v>
      </c>
      <c r="C98" s="607" t="s">
        <v>1185</v>
      </c>
      <c r="D98" s="608" t="s">
        <v>1186</v>
      </c>
      <c r="E98" s="609" t="s">
        <v>1982</v>
      </c>
      <c r="F98" s="802">
        <v>60400005</v>
      </c>
      <c r="G98" s="804">
        <v>0</v>
      </c>
      <c r="H98" s="804">
        <v>193459</v>
      </c>
      <c r="I98" s="804">
        <v>145785</v>
      </c>
      <c r="J98" s="804">
        <v>0</v>
      </c>
      <c r="K98" s="804">
        <v>145785</v>
      </c>
      <c r="L98" s="804">
        <v>0</v>
      </c>
      <c r="M98" s="804">
        <v>0</v>
      </c>
      <c r="N98" s="804">
        <v>0</v>
      </c>
      <c r="O98" s="804">
        <v>0</v>
      </c>
      <c r="P98" s="804">
        <v>0</v>
      </c>
      <c r="Q98" s="804">
        <v>0</v>
      </c>
      <c r="R98" s="804">
        <v>60060761</v>
      </c>
      <c r="S98" s="804">
        <v>0.5</v>
      </c>
      <c r="T98" s="804">
        <v>0.4</v>
      </c>
      <c r="U98" s="804">
        <v>0.09</v>
      </c>
      <c r="V98" s="804">
        <v>0.01</v>
      </c>
      <c r="W98" s="804">
        <v>1</v>
      </c>
      <c r="X98" s="804">
        <v>30030381</v>
      </c>
      <c r="Y98" s="804">
        <v>24024304</v>
      </c>
      <c r="Z98" s="804">
        <v>5405468</v>
      </c>
      <c r="AA98" s="804">
        <v>600608</v>
      </c>
      <c r="AB98" s="804">
        <v>60060761</v>
      </c>
      <c r="AC98" s="804">
        <v>0</v>
      </c>
      <c r="AD98" s="804">
        <v>0</v>
      </c>
      <c r="AE98" s="804">
        <v>0</v>
      </c>
      <c r="AF98" s="804">
        <v>0</v>
      </c>
      <c r="AG98" s="804">
        <v>0</v>
      </c>
      <c r="AH98" s="804">
        <v>30030381</v>
      </c>
      <c r="AI98" s="804">
        <v>24024304</v>
      </c>
      <c r="AJ98" s="804">
        <v>5405468</v>
      </c>
      <c r="AK98" s="804">
        <v>600608</v>
      </c>
      <c r="AL98" s="804">
        <v>60060761</v>
      </c>
      <c r="AM98" s="804">
        <v>145785</v>
      </c>
      <c r="AN98" s="804">
        <v>145785</v>
      </c>
      <c r="AO98" s="804">
        <v>0</v>
      </c>
      <c r="AP98" s="804">
        <v>0</v>
      </c>
      <c r="AQ98" s="804">
        <v>0</v>
      </c>
      <c r="AR98" s="804">
        <v>0</v>
      </c>
      <c r="AS98" s="804">
        <v>0</v>
      </c>
      <c r="AT98" s="804">
        <v>0</v>
      </c>
      <c r="AU98" s="804">
        <v>0</v>
      </c>
      <c r="AV98" s="804">
        <v>0</v>
      </c>
      <c r="AW98" s="804">
        <v>0</v>
      </c>
      <c r="AX98" s="804">
        <v>0</v>
      </c>
      <c r="AY98" s="804">
        <v>0</v>
      </c>
      <c r="AZ98" s="804">
        <v>0</v>
      </c>
      <c r="BA98" s="804">
        <v>0</v>
      </c>
      <c r="BB98" s="804">
        <v>0</v>
      </c>
      <c r="BC98" s="804">
        <v>0</v>
      </c>
      <c r="BD98" s="804">
        <v>0</v>
      </c>
      <c r="BE98" s="804">
        <v>0</v>
      </c>
      <c r="BF98" s="804">
        <v>0</v>
      </c>
      <c r="BG98" s="804">
        <v>0</v>
      </c>
      <c r="BH98" s="804">
        <v>0</v>
      </c>
      <c r="BI98" s="804">
        <v>0</v>
      </c>
      <c r="BJ98" s="804">
        <v>0.5</v>
      </c>
      <c r="BK98" s="804">
        <v>0.4</v>
      </c>
      <c r="BL98" s="804">
        <v>0.09</v>
      </c>
      <c r="BM98" s="804">
        <v>0.01</v>
      </c>
      <c r="BN98" s="804">
        <v>1</v>
      </c>
      <c r="BO98" s="804">
        <v>3042072</v>
      </c>
      <c r="BP98" s="804">
        <v>2433658</v>
      </c>
      <c r="BQ98" s="804">
        <v>547573</v>
      </c>
      <c r="BR98" s="804">
        <v>60841</v>
      </c>
      <c r="BS98" s="804">
        <v>6084144</v>
      </c>
      <c r="BT98" s="804">
        <v>0.5</v>
      </c>
      <c r="BU98" s="804">
        <v>0.4</v>
      </c>
      <c r="BV98" s="804">
        <v>0.09</v>
      </c>
      <c r="BW98" s="804">
        <v>0.01</v>
      </c>
      <c r="BX98" s="804">
        <v>1</v>
      </c>
      <c r="BY98" s="804">
        <v>102361</v>
      </c>
      <c r="BZ98" s="804">
        <v>81888</v>
      </c>
      <c r="CA98" s="804">
        <v>18425</v>
      </c>
      <c r="CB98" s="804">
        <v>2047</v>
      </c>
      <c r="CC98" s="804">
        <v>204721</v>
      </c>
      <c r="CD98" s="804">
        <v>3144432</v>
      </c>
      <c r="CE98" s="804">
        <v>2515546</v>
      </c>
      <c r="CF98" s="804">
        <v>565998</v>
      </c>
      <c r="CG98" s="804">
        <v>62889</v>
      </c>
      <c r="CH98" s="804">
        <v>6288865</v>
      </c>
      <c r="CI98" s="804">
        <v>33174813</v>
      </c>
      <c r="CJ98" s="804">
        <v>26685635</v>
      </c>
      <c r="CK98" s="804">
        <v>5971466</v>
      </c>
      <c r="CL98" s="804">
        <v>663497</v>
      </c>
      <c r="CM98" s="804">
        <v>66495411</v>
      </c>
      <c r="CN98" s="804">
        <v>962898</v>
      </c>
      <c r="CO98" s="804">
        <v>216652</v>
      </c>
      <c r="CP98" s="804">
        <v>24072</v>
      </c>
      <c r="CQ98" s="804">
        <v>1203622</v>
      </c>
      <c r="CR98" s="804">
        <v>937450</v>
      </c>
      <c r="CS98" s="804">
        <v>210926</v>
      </c>
      <c r="CT98" s="804">
        <v>23436</v>
      </c>
      <c r="CU98" s="804">
        <v>1171812</v>
      </c>
      <c r="CV98" s="804">
        <v>104538</v>
      </c>
      <c r="CW98" s="804">
        <v>23521</v>
      </c>
      <c r="CX98" s="804">
        <v>2613</v>
      </c>
      <c r="CY98" s="804">
        <v>130672</v>
      </c>
      <c r="CZ98" s="804">
        <v>4660</v>
      </c>
      <c r="DA98" s="804">
        <v>1049</v>
      </c>
      <c r="DB98" s="804">
        <v>117</v>
      </c>
      <c r="DC98" s="804">
        <v>5826</v>
      </c>
      <c r="DD98" s="804">
        <v>0</v>
      </c>
      <c r="DE98" s="804">
        <v>0</v>
      </c>
      <c r="DF98" s="804">
        <v>0</v>
      </c>
      <c r="DG98" s="804">
        <v>0</v>
      </c>
      <c r="DH98" s="804">
        <v>2491</v>
      </c>
      <c r="DI98" s="804">
        <v>560</v>
      </c>
      <c r="DJ98" s="804">
        <v>62</v>
      </c>
      <c r="DK98" s="804">
        <v>3113</v>
      </c>
      <c r="DL98" s="804">
        <v>1993</v>
      </c>
      <c r="DM98" s="804">
        <v>448</v>
      </c>
      <c r="DN98" s="804">
        <v>50</v>
      </c>
      <c r="DO98" s="804">
        <v>2491</v>
      </c>
      <c r="DP98" s="804">
        <v>0</v>
      </c>
      <c r="DQ98" s="804">
        <v>0</v>
      </c>
      <c r="DR98" s="804">
        <v>0</v>
      </c>
      <c r="DS98" s="804">
        <v>0</v>
      </c>
      <c r="DT98" s="804">
        <v>0</v>
      </c>
      <c r="DU98" s="804">
        <v>0</v>
      </c>
      <c r="DV98" s="804">
        <v>0</v>
      </c>
      <c r="DW98" s="804">
        <v>0</v>
      </c>
      <c r="DX98" s="804">
        <v>590172</v>
      </c>
      <c r="DY98" s="804">
        <v>132789</v>
      </c>
      <c r="DZ98" s="804">
        <v>14754</v>
      </c>
      <c r="EA98" s="804">
        <v>737715</v>
      </c>
      <c r="EB98" s="804">
        <v>2604202</v>
      </c>
      <c r="EC98" s="804">
        <v>585945</v>
      </c>
      <c r="ED98" s="804">
        <v>65104</v>
      </c>
      <c r="EE98" s="804">
        <v>3255251</v>
      </c>
      <c r="EF98" s="604" t="s">
        <v>67</v>
      </c>
      <c r="EG98" s="497" t="s">
        <v>575</v>
      </c>
      <c r="EH98" s="630" t="s">
        <v>573</v>
      </c>
      <c r="EI98" s="118" t="s">
        <v>1749</v>
      </c>
    </row>
    <row r="99" spans="1:139" ht="12.75" x14ac:dyDescent="0.2">
      <c r="A99" s="805">
        <v>92</v>
      </c>
      <c r="B99" s="606" t="s">
        <v>70</v>
      </c>
      <c r="C99" s="607" t="s">
        <v>1185</v>
      </c>
      <c r="D99" s="608" t="s">
        <v>1187</v>
      </c>
      <c r="E99" s="609" t="s">
        <v>69</v>
      </c>
      <c r="F99" s="802">
        <v>21433231</v>
      </c>
      <c r="G99" s="804">
        <v>149054</v>
      </c>
      <c r="H99" s="804">
        <v>0</v>
      </c>
      <c r="I99" s="804">
        <v>125270</v>
      </c>
      <c r="J99" s="804">
        <v>0</v>
      </c>
      <c r="K99" s="804">
        <v>125270</v>
      </c>
      <c r="L99" s="804">
        <v>0</v>
      </c>
      <c r="M99" s="804">
        <v>0</v>
      </c>
      <c r="N99" s="804">
        <v>14574</v>
      </c>
      <c r="O99" s="804">
        <v>14574</v>
      </c>
      <c r="P99" s="804">
        <v>0</v>
      </c>
      <c r="Q99" s="804">
        <v>0</v>
      </c>
      <c r="R99" s="804">
        <v>21442441</v>
      </c>
      <c r="S99" s="804">
        <v>0.5</v>
      </c>
      <c r="T99" s="804">
        <v>0.4</v>
      </c>
      <c r="U99" s="804">
        <v>0.1</v>
      </c>
      <c r="V99" s="804">
        <v>0</v>
      </c>
      <c r="W99" s="804">
        <v>1</v>
      </c>
      <c r="X99" s="804">
        <v>10721221</v>
      </c>
      <c r="Y99" s="804">
        <v>8576976</v>
      </c>
      <c r="Z99" s="804">
        <v>2144244</v>
      </c>
      <c r="AA99" s="804">
        <v>0</v>
      </c>
      <c r="AB99" s="804">
        <v>21442441</v>
      </c>
      <c r="AC99" s="804">
        <v>0</v>
      </c>
      <c r="AD99" s="804">
        <v>0</v>
      </c>
      <c r="AE99" s="804">
        <v>0</v>
      </c>
      <c r="AF99" s="804">
        <v>0</v>
      </c>
      <c r="AG99" s="804">
        <v>0</v>
      </c>
      <c r="AH99" s="804">
        <v>10721221</v>
      </c>
      <c r="AI99" s="804">
        <v>8576976</v>
      </c>
      <c r="AJ99" s="804">
        <v>2144244</v>
      </c>
      <c r="AK99" s="804">
        <v>0</v>
      </c>
      <c r="AL99" s="804">
        <v>21442441</v>
      </c>
      <c r="AM99" s="804">
        <v>125270</v>
      </c>
      <c r="AN99" s="804">
        <v>125270</v>
      </c>
      <c r="AO99" s="804">
        <v>0</v>
      </c>
      <c r="AP99" s="804">
        <v>0</v>
      </c>
      <c r="AQ99" s="804">
        <v>14574</v>
      </c>
      <c r="AR99" s="804">
        <v>0</v>
      </c>
      <c r="AS99" s="804">
        <v>14574</v>
      </c>
      <c r="AT99" s="804">
        <v>0</v>
      </c>
      <c r="AU99" s="804">
        <v>0</v>
      </c>
      <c r="AV99" s="804">
        <v>0</v>
      </c>
      <c r="AW99" s="804">
        <v>0</v>
      </c>
      <c r="AX99" s="804">
        <v>0</v>
      </c>
      <c r="AY99" s="804">
        <v>0</v>
      </c>
      <c r="AZ99" s="804">
        <v>0</v>
      </c>
      <c r="BA99" s="804">
        <v>0</v>
      </c>
      <c r="BB99" s="804">
        <v>0</v>
      </c>
      <c r="BC99" s="804">
        <v>0</v>
      </c>
      <c r="BD99" s="804">
        <v>0</v>
      </c>
      <c r="BE99" s="804">
        <v>0</v>
      </c>
      <c r="BF99" s="804">
        <v>0</v>
      </c>
      <c r="BG99" s="804">
        <v>0</v>
      </c>
      <c r="BH99" s="804">
        <v>0</v>
      </c>
      <c r="BI99" s="804">
        <v>0</v>
      </c>
      <c r="BJ99" s="804">
        <v>0.5</v>
      </c>
      <c r="BK99" s="804">
        <v>0.4</v>
      </c>
      <c r="BL99" s="804">
        <v>0.1</v>
      </c>
      <c r="BM99" s="804">
        <v>0</v>
      </c>
      <c r="BN99" s="804">
        <v>1</v>
      </c>
      <c r="BO99" s="804">
        <v>-257038</v>
      </c>
      <c r="BP99" s="804">
        <v>-205630</v>
      </c>
      <c r="BQ99" s="804">
        <v>-51408</v>
      </c>
      <c r="BR99" s="804">
        <v>0</v>
      </c>
      <c r="BS99" s="804">
        <v>-514076</v>
      </c>
      <c r="BT99" s="804">
        <v>0.5</v>
      </c>
      <c r="BU99" s="804">
        <v>0.4</v>
      </c>
      <c r="BV99" s="804">
        <v>0.1</v>
      </c>
      <c r="BW99" s="804">
        <v>0</v>
      </c>
      <c r="BX99" s="804">
        <v>1</v>
      </c>
      <c r="BY99" s="804">
        <v>407836</v>
      </c>
      <c r="BZ99" s="804">
        <v>326269</v>
      </c>
      <c r="CA99" s="804">
        <v>81567</v>
      </c>
      <c r="CB99" s="804">
        <v>0</v>
      </c>
      <c r="CC99" s="804">
        <v>815672</v>
      </c>
      <c r="CD99" s="804">
        <v>150798</v>
      </c>
      <c r="CE99" s="804">
        <v>120639</v>
      </c>
      <c r="CF99" s="804">
        <v>30159</v>
      </c>
      <c r="CG99" s="804">
        <v>0</v>
      </c>
      <c r="CH99" s="804">
        <v>301596</v>
      </c>
      <c r="CI99" s="804">
        <v>10872019</v>
      </c>
      <c r="CJ99" s="804">
        <v>8837459</v>
      </c>
      <c r="CK99" s="804">
        <v>2174403</v>
      </c>
      <c r="CL99" s="804">
        <v>0</v>
      </c>
      <c r="CM99" s="804">
        <v>21883881</v>
      </c>
      <c r="CN99" s="804">
        <v>344351</v>
      </c>
      <c r="CO99" s="804">
        <v>85942</v>
      </c>
      <c r="CP99" s="804">
        <v>0</v>
      </c>
      <c r="CQ99" s="804">
        <v>430293</v>
      </c>
      <c r="CR99" s="804">
        <v>1080562</v>
      </c>
      <c r="CS99" s="804">
        <v>270140</v>
      </c>
      <c r="CT99" s="804">
        <v>0</v>
      </c>
      <c r="CU99" s="804">
        <v>1350702</v>
      </c>
      <c r="CV99" s="804">
        <v>41804</v>
      </c>
      <c r="CW99" s="804">
        <v>10451</v>
      </c>
      <c r="CX99" s="804">
        <v>0</v>
      </c>
      <c r="CY99" s="804">
        <v>52255</v>
      </c>
      <c r="CZ99" s="804">
        <v>0</v>
      </c>
      <c r="DA99" s="804">
        <v>0</v>
      </c>
      <c r="DB99" s="804">
        <v>0</v>
      </c>
      <c r="DC99" s="804">
        <v>0</v>
      </c>
      <c r="DD99" s="804">
        <v>26944</v>
      </c>
      <c r="DE99" s="804">
        <v>6736</v>
      </c>
      <c r="DF99" s="804">
        <v>0</v>
      </c>
      <c r="DG99" s="804">
        <v>33680</v>
      </c>
      <c r="DH99" s="804">
        <v>5102</v>
      </c>
      <c r="DI99" s="804">
        <v>1276</v>
      </c>
      <c r="DJ99" s="804">
        <v>0</v>
      </c>
      <c r="DK99" s="804">
        <v>6378</v>
      </c>
      <c r="DL99" s="804">
        <v>690</v>
      </c>
      <c r="DM99" s="804">
        <v>172</v>
      </c>
      <c r="DN99" s="804">
        <v>0</v>
      </c>
      <c r="DO99" s="804">
        <v>862</v>
      </c>
      <c r="DP99" s="804">
        <v>0</v>
      </c>
      <c r="DQ99" s="804">
        <v>0</v>
      </c>
      <c r="DR99" s="804">
        <v>0</v>
      </c>
      <c r="DS99" s="804">
        <v>0</v>
      </c>
      <c r="DT99" s="804">
        <v>0</v>
      </c>
      <c r="DU99" s="804">
        <v>0</v>
      </c>
      <c r="DV99" s="804">
        <v>0</v>
      </c>
      <c r="DW99" s="804">
        <v>0</v>
      </c>
      <c r="DX99" s="804">
        <v>273151</v>
      </c>
      <c r="DY99" s="804">
        <v>68288</v>
      </c>
      <c r="DZ99" s="804">
        <v>0</v>
      </c>
      <c r="EA99" s="804">
        <v>341439</v>
      </c>
      <c r="EB99" s="804">
        <v>1772604</v>
      </c>
      <c r="EC99" s="804">
        <v>443005</v>
      </c>
      <c r="ED99" s="804">
        <v>0</v>
      </c>
      <c r="EE99" s="804">
        <v>2215609</v>
      </c>
      <c r="EF99" s="604" t="s">
        <v>69</v>
      </c>
      <c r="EG99" s="497" t="s">
        <v>552</v>
      </c>
      <c r="EH99" s="630" t="s">
        <v>551</v>
      </c>
      <c r="EI99" s="118" t="s">
        <v>1750</v>
      </c>
    </row>
    <row r="100" spans="1:139" ht="12.75" x14ac:dyDescent="0.2">
      <c r="A100" s="805">
        <v>93</v>
      </c>
      <c r="B100" s="606" t="s">
        <v>72</v>
      </c>
      <c r="C100" s="607" t="s">
        <v>1185</v>
      </c>
      <c r="D100" s="608" t="s">
        <v>1186</v>
      </c>
      <c r="E100" s="609" t="s">
        <v>71</v>
      </c>
      <c r="F100" s="802">
        <v>65723457</v>
      </c>
      <c r="G100" s="804">
        <v>367138</v>
      </c>
      <c r="H100" s="804">
        <v>0</v>
      </c>
      <c r="I100" s="804">
        <v>182622</v>
      </c>
      <c r="J100" s="804">
        <v>0</v>
      </c>
      <c r="K100" s="804">
        <v>182622</v>
      </c>
      <c r="L100" s="804">
        <v>0</v>
      </c>
      <c r="M100" s="804">
        <v>0</v>
      </c>
      <c r="N100" s="804">
        <v>14845</v>
      </c>
      <c r="O100" s="804">
        <v>14845</v>
      </c>
      <c r="P100" s="804">
        <v>0</v>
      </c>
      <c r="Q100" s="804">
        <v>0</v>
      </c>
      <c r="R100" s="804">
        <v>65893128</v>
      </c>
      <c r="S100" s="804">
        <v>0.5</v>
      </c>
      <c r="T100" s="804">
        <v>0.4</v>
      </c>
      <c r="U100" s="804">
        <v>0.1</v>
      </c>
      <c r="V100" s="804">
        <v>0</v>
      </c>
      <c r="W100" s="804">
        <v>1</v>
      </c>
      <c r="X100" s="804">
        <v>32946564</v>
      </c>
      <c r="Y100" s="804">
        <v>26357251</v>
      </c>
      <c r="Z100" s="804">
        <v>6589313</v>
      </c>
      <c r="AA100" s="804">
        <v>0</v>
      </c>
      <c r="AB100" s="804">
        <v>65893128</v>
      </c>
      <c r="AC100" s="804">
        <v>0</v>
      </c>
      <c r="AD100" s="804">
        <v>0</v>
      </c>
      <c r="AE100" s="804">
        <v>0</v>
      </c>
      <c r="AF100" s="804">
        <v>0</v>
      </c>
      <c r="AG100" s="804">
        <v>0</v>
      </c>
      <c r="AH100" s="804">
        <v>32946564</v>
      </c>
      <c r="AI100" s="804">
        <v>26357251</v>
      </c>
      <c r="AJ100" s="804">
        <v>6589313</v>
      </c>
      <c r="AK100" s="804">
        <v>0</v>
      </c>
      <c r="AL100" s="804">
        <v>65893128</v>
      </c>
      <c r="AM100" s="804">
        <v>182622</v>
      </c>
      <c r="AN100" s="804">
        <v>182622</v>
      </c>
      <c r="AO100" s="804">
        <v>0</v>
      </c>
      <c r="AP100" s="804">
        <v>0</v>
      </c>
      <c r="AQ100" s="804">
        <v>14845</v>
      </c>
      <c r="AR100" s="804">
        <v>0</v>
      </c>
      <c r="AS100" s="804">
        <v>14845</v>
      </c>
      <c r="AT100" s="804">
        <v>0</v>
      </c>
      <c r="AU100" s="804">
        <v>0</v>
      </c>
      <c r="AV100" s="804">
        <v>0</v>
      </c>
      <c r="AW100" s="804">
        <v>0</v>
      </c>
      <c r="AX100" s="804">
        <v>0</v>
      </c>
      <c r="AY100" s="804">
        <v>0</v>
      </c>
      <c r="AZ100" s="804">
        <v>0</v>
      </c>
      <c r="BA100" s="804">
        <v>0</v>
      </c>
      <c r="BB100" s="804">
        <v>0</v>
      </c>
      <c r="BC100" s="804">
        <v>0</v>
      </c>
      <c r="BD100" s="804">
        <v>0</v>
      </c>
      <c r="BE100" s="804">
        <v>0</v>
      </c>
      <c r="BF100" s="804">
        <v>0</v>
      </c>
      <c r="BG100" s="804">
        <v>0</v>
      </c>
      <c r="BH100" s="804">
        <v>0</v>
      </c>
      <c r="BI100" s="804">
        <v>0</v>
      </c>
      <c r="BJ100" s="804">
        <v>0.5</v>
      </c>
      <c r="BK100" s="804">
        <v>0.4</v>
      </c>
      <c r="BL100" s="804">
        <v>0.1</v>
      </c>
      <c r="BM100" s="804">
        <v>0</v>
      </c>
      <c r="BN100" s="804">
        <v>1</v>
      </c>
      <c r="BO100" s="804">
        <v>1537227</v>
      </c>
      <c r="BP100" s="804">
        <v>1229782</v>
      </c>
      <c r="BQ100" s="804">
        <v>307446</v>
      </c>
      <c r="BR100" s="804">
        <v>0</v>
      </c>
      <c r="BS100" s="804">
        <v>3074455</v>
      </c>
      <c r="BT100" s="804">
        <v>0</v>
      </c>
      <c r="BU100" s="804">
        <v>0.3</v>
      </c>
      <c r="BV100" s="804">
        <v>0.7</v>
      </c>
      <c r="BW100" s="804">
        <v>0</v>
      </c>
      <c r="BX100" s="804">
        <v>1</v>
      </c>
      <c r="BY100" s="804">
        <v>0</v>
      </c>
      <c r="BZ100" s="804">
        <v>576422</v>
      </c>
      <c r="CA100" s="804">
        <v>1344985</v>
      </c>
      <c r="CB100" s="804">
        <v>0</v>
      </c>
      <c r="CC100" s="804">
        <v>1921407</v>
      </c>
      <c r="CD100" s="804">
        <v>1537227</v>
      </c>
      <c r="CE100" s="804">
        <v>1806204</v>
      </c>
      <c r="CF100" s="804">
        <v>1652431</v>
      </c>
      <c r="CG100" s="804">
        <v>0</v>
      </c>
      <c r="CH100" s="804">
        <v>4995862</v>
      </c>
      <c r="CI100" s="804">
        <v>34483791</v>
      </c>
      <c r="CJ100" s="804">
        <v>28360922</v>
      </c>
      <c r="CK100" s="804">
        <v>8241744</v>
      </c>
      <c r="CL100" s="804">
        <v>0</v>
      </c>
      <c r="CM100" s="804">
        <v>71086457</v>
      </c>
      <c r="CN100" s="804">
        <v>1056998</v>
      </c>
      <c r="CO100" s="804">
        <v>264101</v>
      </c>
      <c r="CP100" s="804">
        <v>0</v>
      </c>
      <c r="CQ100" s="804">
        <v>1321099</v>
      </c>
      <c r="CR100" s="804">
        <v>1103124</v>
      </c>
      <c r="CS100" s="804">
        <v>275781</v>
      </c>
      <c r="CT100" s="804">
        <v>0</v>
      </c>
      <c r="CU100" s="804">
        <v>1378905</v>
      </c>
      <c r="CV100" s="804">
        <v>125068</v>
      </c>
      <c r="CW100" s="804">
        <v>31267</v>
      </c>
      <c r="CX100" s="804">
        <v>0</v>
      </c>
      <c r="CY100" s="804">
        <v>156335</v>
      </c>
      <c r="CZ100" s="804">
        <v>0</v>
      </c>
      <c r="DA100" s="804">
        <v>0</v>
      </c>
      <c r="DB100" s="804">
        <v>0</v>
      </c>
      <c r="DC100" s="804">
        <v>0</v>
      </c>
      <c r="DD100" s="804">
        <v>0</v>
      </c>
      <c r="DE100" s="804">
        <v>0</v>
      </c>
      <c r="DF100" s="804">
        <v>0</v>
      </c>
      <c r="DG100" s="804">
        <v>0</v>
      </c>
      <c r="DH100" s="804">
        <v>36227</v>
      </c>
      <c r="DI100" s="804">
        <v>9057</v>
      </c>
      <c r="DJ100" s="804">
        <v>0</v>
      </c>
      <c r="DK100" s="804">
        <v>45284</v>
      </c>
      <c r="DL100" s="804">
        <v>9830</v>
      </c>
      <c r="DM100" s="804">
        <v>2458</v>
      </c>
      <c r="DN100" s="804">
        <v>0</v>
      </c>
      <c r="DO100" s="804">
        <v>12288</v>
      </c>
      <c r="DP100" s="804">
        <v>0</v>
      </c>
      <c r="DQ100" s="804">
        <v>0</v>
      </c>
      <c r="DR100" s="804">
        <v>0</v>
      </c>
      <c r="DS100" s="804">
        <v>0</v>
      </c>
      <c r="DT100" s="804">
        <v>0</v>
      </c>
      <c r="DU100" s="804">
        <v>0</v>
      </c>
      <c r="DV100" s="804">
        <v>0</v>
      </c>
      <c r="DW100" s="804">
        <v>0</v>
      </c>
      <c r="DX100" s="804">
        <v>632726</v>
      </c>
      <c r="DY100" s="804">
        <v>158182</v>
      </c>
      <c r="DZ100" s="804">
        <v>0</v>
      </c>
      <c r="EA100" s="804">
        <v>790908</v>
      </c>
      <c r="EB100" s="804">
        <v>2963973</v>
      </c>
      <c r="EC100" s="804">
        <v>740846</v>
      </c>
      <c r="ED100" s="804">
        <v>0</v>
      </c>
      <c r="EE100" s="804">
        <v>3704819</v>
      </c>
      <c r="EF100" s="604" t="s">
        <v>71</v>
      </c>
      <c r="EG100" s="497" t="s">
        <v>611</v>
      </c>
      <c r="EH100" s="630" t="s">
        <v>551</v>
      </c>
      <c r="EI100" s="118" t="s">
        <v>1751</v>
      </c>
    </row>
    <row r="101" spans="1:139" ht="12.75" x14ac:dyDescent="0.2">
      <c r="A101" s="805">
        <v>94</v>
      </c>
      <c r="B101" s="606" t="s">
        <v>74</v>
      </c>
      <c r="C101" s="607" t="s">
        <v>1190</v>
      </c>
      <c r="D101" s="608" t="s">
        <v>1191</v>
      </c>
      <c r="E101" s="609" t="s">
        <v>73</v>
      </c>
      <c r="F101" s="802">
        <v>113736114</v>
      </c>
      <c r="G101" s="804">
        <v>0</v>
      </c>
      <c r="H101" s="804">
        <v>585548</v>
      </c>
      <c r="I101" s="804">
        <v>320104</v>
      </c>
      <c r="J101" s="804">
        <v>0</v>
      </c>
      <c r="K101" s="804">
        <v>320104</v>
      </c>
      <c r="L101" s="804">
        <v>0</v>
      </c>
      <c r="M101" s="804">
        <v>0</v>
      </c>
      <c r="N101" s="804">
        <v>123000</v>
      </c>
      <c r="O101" s="804">
        <v>123000</v>
      </c>
      <c r="P101" s="804">
        <v>0</v>
      </c>
      <c r="Q101" s="804">
        <v>0</v>
      </c>
      <c r="R101" s="804">
        <v>112707462</v>
      </c>
      <c r="S101" s="804">
        <v>0.33</v>
      </c>
      <c r="T101" s="804">
        <v>0.3</v>
      </c>
      <c r="U101" s="804">
        <v>0.37</v>
      </c>
      <c r="V101" s="804">
        <v>0</v>
      </c>
      <c r="W101" s="804">
        <v>1</v>
      </c>
      <c r="X101" s="804">
        <v>37193462</v>
      </c>
      <c r="Y101" s="804">
        <v>33812239</v>
      </c>
      <c r="Z101" s="804">
        <v>41701761</v>
      </c>
      <c r="AA101" s="804">
        <v>0</v>
      </c>
      <c r="AB101" s="804">
        <v>112707462</v>
      </c>
      <c r="AC101" s="804">
        <v>0</v>
      </c>
      <c r="AD101" s="804">
        <v>0</v>
      </c>
      <c r="AE101" s="804">
        <v>0</v>
      </c>
      <c r="AF101" s="804">
        <v>0</v>
      </c>
      <c r="AG101" s="804">
        <v>0</v>
      </c>
      <c r="AH101" s="804">
        <v>37193462</v>
      </c>
      <c r="AI101" s="804">
        <v>33812239</v>
      </c>
      <c r="AJ101" s="804">
        <v>41701761</v>
      </c>
      <c r="AK101" s="804">
        <v>0</v>
      </c>
      <c r="AL101" s="804">
        <v>112707462</v>
      </c>
      <c r="AM101" s="804">
        <v>320104</v>
      </c>
      <c r="AN101" s="804">
        <v>320104</v>
      </c>
      <c r="AO101" s="804">
        <v>0</v>
      </c>
      <c r="AP101" s="804">
        <v>0</v>
      </c>
      <c r="AQ101" s="804">
        <v>123000</v>
      </c>
      <c r="AR101" s="804">
        <v>0</v>
      </c>
      <c r="AS101" s="804">
        <v>123000</v>
      </c>
      <c r="AT101" s="804">
        <v>0</v>
      </c>
      <c r="AU101" s="804">
        <v>0</v>
      </c>
      <c r="AV101" s="804">
        <v>0</v>
      </c>
      <c r="AW101" s="804">
        <v>0</v>
      </c>
      <c r="AX101" s="804">
        <v>0</v>
      </c>
      <c r="AY101" s="804">
        <v>0</v>
      </c>
      <c r="AZ101" s="804">
        <v>0</v>
      </c>
      <c r="BA101" s="804">
        <v>0</v>
      </c>
      <c r="BB101" s="804">
        <v>0</v>
      </c>
      <c r="BC101" s="804">
        <v>0</v>
      </c>
      <c r="BD101" s="804">
        <v>0</v>
      </c>
      <c r="BE101" s="804">
        <v>0</v>
      </c>
      <c r="BF101" s="804">
        <v>0</v>
      </c>
      <c r="BG101" s="804">
        <v>0</v>
      </c>
      <c r="BH101" s="804">
        <v>0</v>
      </c>
      <c r="BI101" s="804">
        <v>0</v>
      </c>
      <c r="BJ101" s="804">
        <v>0.25</v>
      </c>
      <c r="BK101" s="804">
        <v>0.48</v>
      </c>
      <c r="BL101" s="804">
        <v>0.27</v>
      </c>
      <c r="BM101" s="804">
        <v>0</v>
      </c>
      <c r="BN101" s="804">
        <v>1</v>
      </c>
      <c r="BO101" s="804">
        <v>592427</v>
      </c>
      <c r="BP101" s="804">
        <v>1137459</v>
      </c>
      <c r="BQ101" s="804">
        <v>639821</v>
      </c>
      <c r="BR101" s="804">
        <v>0</v>
      </c>
      <c r="BS101" s="804">
        <v>2369707</v>
      </c>
      <c r="BT101" s="804">
        <v>0</v>
      </c>
      <c r="BU101" s="804">
        <v>0.64</v>
      </c>
      <c r="BV101" s="804">
        <v>0.36</v>
      </c>
      <c r="BW101" s="804">
        <v>0</v>
      </c>
      <c r="BX101" s="804">
        <v>1</v>
      </c>
      <c r="BY101" s="804">
        <v>0</v>
      </c>
      <c r="BZ101" s="804">
        <v>-1659759</v>
      </c>
      <c r="CA101" s="804">
        <v>-933614</v>
      </c>
      <c r="CB101" s="804">
        <v>0</v>
      </c>
      <c r="CC101" s="804">
        <v>-2593373</v>
      </c>
      <c r="CD101" s="804">
        <v>592427</v>
      </c>
      <c r="CE101" s="804">
        <v>-522300</v>
      </c>
      <c r="CF101" s="804">
        <v>-293793</v>
      </c>
      <c r="CG101" s="804">
        <v>0</v>
      </c>
      <c r="CH101" s="804">
        <v>-223666</v>
      </c>
      <c r="CI101" s="804">
        <v>37785889</v>
      </c>
      <c r="CJ101" s="804">
        <v>33733043</v>
      </c>
      <c r="CK101" s="804">
        <v>41407968</v>
      </c>
      <c r="CL101" s="804">
        <v>0</v>
      </c>
      <c r="CM101" s="804">
        <v>112926900</v>
      </c>
      <c r="CN101" s="804">
        <v>1360130</v>
      </c>
      <c r="CO101" s="804">
        <v>1671413</v>
      </c>
      <c r="CP101" s="804">
        <v>0</v>
      </c>
      <c r="CQ101" s="804">
        <v>3031543</v>
      </c>
      <c r="CR101" s="804">
        <v>1807711</v>
      </c>
      <c r="CS101" s="804">
        <v>2229510</v>
      </c>
      <c r="CT101" s="804">
        <v>0</v>
      </c>
      <c r="CU101" s="804">
        <v>4037221</v>
      </c>
      <c r="CV101" s="804">
        <v>107400</v>
      </c>
      <c r="CW101" s="804">
        <v>132460</v>
      </c>
      <c r="CX101" s="804">
        <v>0</v>
      </c>
      <c r="CY101" s="804">
        <v>239860</v>
      </c>
      <c r="CZ101" s="804">
        <v>0</v>
      </c>
      <c r="DA101" s="804">
        <v>0</v>
      </c>
      <c r="DB101" s="804">
        <v>0</v>
      </c>
      <c r="DC101" s="804">
        <v>0</v>
      </c>
      <c r="DD101" s="804">
        <v>0</v>
      </c>
      <c r="DE101" s="804">
        <v>0</v>
      </c>
      <c r="DF101" s="804">
        <v>0</v>
      </c>
      <c r="DG101" s="804">
        <v>0</v>
      </c>
      <c r="DH101" s="804">
        <v>9555</v>
      </c>
      <c r="DI101" s="804">
        <v>11785</v>
      </c>
      <c r="DJ101" s="804">
        <v>0</v>
      </c>
      <c r="DK101" s="804">
        <v>21340</v>
      </c>
      <c r="DL101" s="804">
        <v>8111</v>
      </c>
      <c r="DM101" s="804">
        <v>10004</v>
      </c>
      <c r="DN101" s="804">
        <v>0</v>
      </c>
      <c r="DO101" s="804">
        <v>18115</v>
      </c>
      <c r="DP101" s="804">
        <v>0</v>
      </c>
      <c r="DQ101" s="804">
        <v>0</v>
      </c>
      <c r="DR101" s="804">
        <v>0</v>
      </c>
      <c r="DS101" s="804">
        <v>0</v>
      </c>
      <c r="DT101" s="804">
        <v>0</v>
      </c>
      <c r="DU101" s="804">
        <v>0</v>
      </c>
      <c r="DV101" s="804">
        <v>0</v>
      </c>
      <c r="DW101" s="804">
        <v>0</v>
      </c>
      <c r="DX101" s="804">
        <v>1800787</v>
      </c>
      <c r="DY101" s="804">
        <v>2220970</v>
      </c>
      <c r="DZ101" s="804">
        <v>0</v>
      </c>
      <c r="EA101" s="804">
        <v>4021757</v>
      </c>
      <c r="EB101" s="804">
        <v>5093694</v>
      </c>
      <c r="EC101" s="804">
        <v>6276142</v>
      </c>
      <c r="ED101" s="804">
        <v>0</v>
      </c>
      <c r="EE101" s="804">
        <v>11369836</v>
      </c>
      <c r="EF101" s="604" t="s">
        <v>73</v>
      </c>
      <c r="EG101" s="497" t="s">
        <v>623</v>
      </c>
      <c r="EH101" s="243" t="s">
        <v>523</v>
      </c>
      <c r="EI101" s="118" t="s">
        <v>1752</v>
      </c>
    </row>
    <row r="102" spans="1:139" ht="12.75" x14ac:dyDescent="0.2">
      <c r="A102" s="805">
        <v>95</v>
      </c>
      <c r="B102" s="606" t="s">
        <v>76</v>
      </c>
      <c r="C102" s="607" t="s">
        <v>1185</v>
      </c>
      <c r="D102" s="608" t="s">
        <v>1189</v>
      </c>
      <c r="E102" s="609" t="s">
        <v>75</v>
      </c>
      <c r="F102" s="802">
        <v>34832321</v>
      </c>
      <c r="G102" s="804">
        <v>157468</v>
      </c>
      <c r="H102" s="804">
        <v>0</v>
      </c>
      <c r="I102" s="804">
        <v>173214</v>
      </c>
      <c r="J102" s="804">
        <v>0</v>
      </c>
      <c r="K102" s="804">
        <v>173214</v>
      </c>
      <c r="L102" s="804">
        <v>0</v>
      </c>
      <c r="M102" s="804">
        <v>0</v>
      </c>
      <c r="N102" s="804">
        <v>0</v>
      </c>
      <c r="O102" s="804">
        <v>0</v>
      </c>
      <c r="P102" s="804">
        <v>0</v>
      </c>
      <c r="Q102" s="804">
        <v>0</v>
      </c>
      <c r="R102" s="804">
        <v>34816575</v>
      </c>
      <c r="S102" s="804">
        <v>0.5</v>
      </c>
      <c r="T102" s="804">
        <v>0.4</v>
      </c>
      <c r="U102" s="804">
        <v>0.09</v>
      </c>
      <c r="V102" s="804">
        <v>0.01</v>
      </c>
      <c r="W102" s="804">
        <v>1</v>
      </c>
      <c r="X102" s="804">
        <v>17408287</v>
      </c>
      <c r="Y102" s="804">
        <v>13926630</v>
      </c>
      <c r="Z102" s="804">
        <v>3133492</v>
      </c>
      <c r="AA102" s="804">
        <v>348166</v>
      </c>
      <c r="AB102" s="804">
        <v>34816575</v>
      </c>
      <c r="AC102" s="804">
        <v>0</v>
      </c>
      <c r="AD102" s="804">
        <v>0</v>
      </c>
      <c r="AE102" s="804">
        <v>0</v>
      </c>
      <c r="AF102" s="804">
        <v>0</v>
      </c>
      <c r="AG102" s="804">
        <v>0</v>
      </c>
      <c r="AH102" s="804">
        <v>17408287</v>
      </c>
      <c r="AI102" s="804">
        <v>13926630</v>
      </c>
      <c r="AJ102" s="804">
        <v>3133492</v>
      </c>
      <c r="AK102" s="804">
        <v>348166</v>
      </c>
      <c r="AL102" s="804">
        <v>34816575</v>
      </c>
      <c r="AM102" s="804">
        <v>173214</v>
      </c>
      <c r="AN102" s="804">
        <v>173214</v>
      </c>
      <c r="AO102" s="804">
        <v>0</v>
      </c>
      <c r="AP102" s="804">
        <v>0</v>
      </c>
      <c r="AQ102" s="804">
        <v>0</v>
      </c>
      <c r="AR102" s="804">
        <v>0</v>
      </c>
      <c r="AS102" s="804">
        <v>0</v>
      </c>
      <c r="AT102" s="804">
        <v>0</v>
      </c>
      <c r="AU102" s="804">
        <v>0</v>
      </c>
      <c r="AV102" s="804">
        <v>0</v>
      </c>
      <c r="AW102" s="804">
        <v>0</v>
      </c>
      <c r="AX102" s="804">
        <v>0</v>
      </c>
      <c r="AY102" s="804">
        <v>0</v>
      </c>
      <c r="AZ102" s="804">
        <v>0</v>
      </c>
      <c r="BA102" s="804">
        <v>0</v>
      </c>
      <c r="BB102" s="804">
        <v>0</v>
      </c>
      <c r="BC102" s="804">
        <v>0</v>
      </c>
      <c r="BD102" s="804">
        <v>0</v>
      </c>
      <c r="BE102" s="804">
        <v>0</v>
      </c>
      <c r="BF102" s="804">
        <v>0</v>
      </c>
      <c r="BG102" s="804">
        <v>0</v>
      </c>
      <c r="BH102" s="804">
        <v>0</v>
      </c>
      <c r="BI102" s="804">
        <v>0</v>
      </c>
      <c r="BJ102" s="804">
        <v>0.5</v>
      </c>
      <c r="BK102" s="804">
        <v>0.4</v>
      </c>
      <c r="BL102" s="804">
        <v>0.09</v>
      </c>
      <c r="BM102" s="804">
        <v>0.01</v>
      </c>
      <c r="BN102" s="804">
        <v>1</v>
      </c>
      <c r="BO102" s="804">
        <v>-1305725</v>
      </c>
      <c r="BP102" s="804">
        <v>-1044580</v>
      </c>
      <c r="BQ102" s="804">
        <v>-235030</v>
      </c>
      <c r="BR102" s="804">
        <v>-26114</v>
      </c>
      <c r="BS102" s="804">
        <v>-2611449</v>
      </c>
      <c r="BT102" s="804">
        <v>0.5</v>
      </c>
      <c r="BU102" s="804">
        <v>0.4</v>
      </c>
      <c r="BV102" s="804">
        <v>0.09</v>
      </c>
      <c r="BW102" s="804">
        <v>0.01</v>
      </c>
      <c r="BX102" s="804">
        <v>1</v>
      </c>
      <c r="BY102" s="804">
        <v>2276804</v>
      </c>
      <c r="BZ102" s="804">
        <v>1821444</v>
      </c>
      <c r="CA102" s="804">
        <v>409825</v>
      </c>
      <c r="CB102" s="804">
        <v>45536</v>
      </c>
      <c r="CC102" s="804">
        <v>4553609</v>
      </c>
      <c r="CD102" s="804">
        <v>971079</v>
      </c>
      <c r="CE102" s="804">
        <v>776864</v>
      </c>
      <c r="CF102" s="804">
        <v>174795</v>
      </c>
      <c r="CG102" s="804">
        <v>19422</v>
      </c>
      <c r="CH102" s="804">
        <v>1942160</v>
      </c>
      <c r="CI102" s="804">
        <v>18379366</v>
      </c>
      <c r="CJ102" s="804">
        <v>14876708</v>
      </c>
      <c r="CK102" s="804">
        <v>3308287</v>
      </c>
      <c r="CL102" s="804">
        <v>367588</v>
      </c>
      <c r="CM102" s="804">
        <v>36931949</v>
      </c>
      <c r="CN102" s="804">
        <v>558182</v>
      </c>
      <c r="CO102" s="804">
        <v>125591</v>
      </c>
      <c r="CP102" s="804">
        <v>13955</v>
      </c>
      <c r="CQ102" s="804">
        <v>697728</v>
      </c>
      <c r="CR102" s="804">
        <v>1687422</v>
      </c>
      <c r="CS102" s="804">
        <v>379670</v>
      </c>
      <c r="CT102" s="804">
        <v>42186</v>
      </c>
      <c r="CU102" s="804">
        <v>2109278</v>
      </c>
      <c r="CV102" s="804">
        <v>115272</v>
      </c>
      <c r="CW102" s="804">
        <v>25936</v>
      </c>
      <c r="CX102" s="804">
        <v>2882</v>
      </c>
      <c r="CY102" s="804">
        <v>144090</v>
      </c>
      <c r="CZ102" s="804">
        <v>0</v>
      </c>
      <c r="DA102" s="804">
        <v>0</v>
      </c>
      <c r="DB102" s="804">
        <v>0</v>
      </c>
      <c r="DC102" s="804">
        <v>0</v>
      </c>
      <c r="DD102" s="804">
        <v>0</v>
      </c>
      <c r="DE102" s="804">
        <v>0</v>
      </c>
      <c r="DF102" s="804">
        <v>0</v>
      </c>
      <c r="DG102" s="804">
        <v>0</v>
      </c>
      <c r="DH102" s="804">
        <v>433</v>
      </c>
      <c r="DI102" s="804">
        <v>98</v>
      </c>
      <c r="DJ102" s="804">
        <v>11</v>
      </c>
      <c r="DK102" s="804">
        <v>542</v>
      </c>
      <c r="DL102" s="804">
        <v>0</v>
      </c>
      <c r="DM102" s="804">
        <v>0</v>
      </c>
      <c r="DN102" s="804">
        <v>0</v>
      </c>
      <c r="DO102" s="804">
        <v>0</v>
      </c>
      <c r="DP102" s="804">
        <v>0</v>
      </c>
      <c r="DQ102" s="804">
        <v>0</v>
      </c>
      <c r="DR102" s="804">
        <v>0</v>
      </c>
      <c r="DS102" s="804">
        <v>0</v>
      </c>
      <c r="DT102" s="804">
        <v>0</v>
      </c>
      <c r="DU102" s="804">
        <v>0</v>
      </c>
      <c r="DV102" s="804">
        <v>0</v>
      </c>
      <c r="DW102" s="804">
        <v>0</v>
      </c>
      <c r="DX102" s="804">
        <v>595928</v>
      </c>
      <c r="DY102" s="804">
        <v>134084</v>
      </c>
      <c r="DZ102" s="804">
        <v>14898</v>
      </c>
      <c r="EA102" s="804">
        <v>744910</v>
      </c>
      <c r="EB102" s="804">
        <v>2957237</v>
      </c>
      <c r="EC102" s="804">
        <v>665379</v>
      </c>
      <c r="ED102" s="804">
        <v>73932</v>
      </c>
      <c r="EE102" s="804">
        <v>3696548</v>
      </c>
      <c r="EF102" s="604" t="s">
        <v>75</v>
      </c>
      <c r="EG102" s="497" t="s">
        <v>570</v>
      </c>
      <c r="EH102" s="630" t="s">
        <v>568</v>
      </c>
      <c r="EI102" s="118" t="s">
        <v>1753</v>
      </c>
    </row>
    <row r="103" spans="1:139" ht="12.75" x14ac:dyDescent="0.2">
      <c r="A103" s="805">
        <v>96</v>
      </c>
      <c r="B103" s="606" t="s">
        <v>78</v>
      </c>
      <c r="C103" s="607" t="s">
        <v>1185</v>
      </c>
      <c r="D103" s="608" t="s">
        <v>1186</v>
      </c>
      <c r="E103" s="609" t="s">
        <v>914</v>
      </c>
      <c r="F103" s="802">
        <v>25438015</v>
      </c>
      <c r="G103" s="804">
        <v>0</v>
      </c>
      <c r="H103" s="804">
        <v>82288</v>
      </c>
      <c r="I103" s="804">
        <v>81606</v>
      </c>
      <c r="J103" s="804">
        <v>0</v>
      </c>
      <c r="K103" s="804">
        <v>81606</v>
      </c>
      <c r="L103" s="804">
        <v>0</v>
      </c>
      <c r="M103" s="804">
        <v>0</v>
      </c>
      <c r="N103" s="804">
        <v>0</v>
      </c>
      <c r="O103" s="804">
        <v>0</v>
      </c>
      <c r="P103" s="804">
        <v>0</v>
      </c>
      <c r="Q103" s="804">
        <v>0</v>
      </c>
      <c r="R103" s="804">
        <v>25274121</v>
      </c>
      <c r="S103" s="804">
        <v>0.5</v>
      </c>
      <c r="T103" s="804">
        <v>0.4</v>
      </c>
      <c r="U103" s="804">
        <v>0.1</v>
      </c>
      <c r="V103" s="804">
        <v>0</v>
      </c>
      <c r="W103" s="804">
        <v>1</v>
      </c>
      <c r="X103" s="804">
        <v>12637061</v>
      </c>
      <c r="Y103" s="804">
        <v>10109648</v>
      </c>
      <c r="Z103" s="804">
        <v>2527412</v>
      </c>
      <c r="AA103" s="804">
        <v>0</v>
      </c>
      <c r="AB103" s="804">
        <v>25274121</v>
      </c>
      <c r="AC103" s="804">
        <v>0</v>
      </c>
      <c r="AD103" s="804">
        <v>0</v>
      </c>
      <c r="AE103" s="804">
        <v>0</v>
      </c>
      <c r="AF103" s="804">
        <v>0</v>
      </c>
      <c r="AG103" s="804">
        <v>0</v>
      </c>
      <c r="AH103" s="804">
        <v>12637061</v>
      </c>
      <c r="AI103" s="804">
        <v>10109648</v>
      </c>
      <c r="AJ103" s="804">
        <v>2527412</v>
      </c>
      <c r="AK103" s="804">
        <v>0</v>
      </c>
      <c r="AL103" s="804">
        <v>25274121</v>
      </c>
      <c r="AM103" s="804">
        <v>81606</v>
      </c>
      <c r="AN103" s="804">
        <v>81606</v>
      </c>
      <c r="AO103" s="804">
        <v>0</v>
      </c>
      <c r="AP103" s="804">
        <v>0</v>
      </c>
      <c r="AQ103" s="804">
        <v>0</v>
      </c>
      <c r="AR103" s="804">
        <v>0</v>
      </c>
      <c r="AS103" s="804">
        <v>0</v>
      </c>
      <c r="AT103" s="804">
        <v>0</v>
      </c>
      <c r="AU103" s="804">
        <v>0</v>
      </c>
      <c r="AV103" s="804">
        <v>0</v>
      </c>
      <c r="AW103" s="804">
        <v>0</v>
      </c>
      <c r="AX103" s="804">
        <v>0</v>
      </c>
      <c r="AY103" s="804">
        <v>0</v>
      </c>
      <c r="AZ103" s="804">
        <v>0</v>
      </c>
      <c r="BA103" s="804">
        <v>0</v>
      </c>
      <c r="BB103" s="804">
        <v>0</v>
      </c>
      <c r="BC103" s="804">
        <v>0</v>
      </c>
      <c r="BD103" s="804">
        <v>0</v>
      </c>
      <c r="BE103" s="804">
        <v>0</v>
      </c>
      <c r="BF103" s="804">
        <v>0</v>
      </c>
      <c r="BG103" s="804">
        <v>0</v>
      </c>
      <c r="BH103" s="804">
        <v>0</v>
      </c>
      <c r="BI103" s="804">
        <v>0</v>
      </c>
      <c r="BJ103" s="804">
        <v>0.5</v>
      </c>
      <c r="BK103" s="804">
        <v>0.4</v>
      </c>
      <c r="BL103" s="804">
        <v>0.1</v>
      </c>
      <c r="BM103" s="804">
        <v>0</v>
      </c>
      <c r="BN103" s="804">
        <v>1</v>
      </c>
      <c r="BO103" s="804">
        <v>55654</v>
      </c>
      <c r="BP103" s="804">
        <v>44523</v>
      </c>
      <c r="BQ103" s="804">
        <v>11131</v>
      </c>
      <c r="BR103" s="804">
        <v>0</v>
      </c>
      <c r="BS103" s="804">
        <v>111308</v>
      </c>
      <c r="BT103" s="804">
        <v>0</v>
      </c>
      <c r="BU103" s="804">
        <v>0.3</v>
      </c>
      <c r="BV103" s="804">
        <v>0.7</v>
      </c>
      <c r="BW103" s="804">
        <v>0</v>
      </c>
      <c r="BX103" s="804">
        <v>1</v>
      </c>
      <c r="BY103" s="804">
        <v>0</v>
      </c>
      <c r="BZ103" s="804">
        <v>1380020</v>
      </c>
      <c r="CA103" s="804">
        <v>3220048</v>
      </c>
      <c r="CB103" s="804">
        <v>0</v>
      </c>
      <c r="CC103" s="804">
        <v>4600068</v>
      </c>
      <c r="CD103" s="804">
        <v>55654</v>
      </c>
      <c r="CE103" s="804">
        <v>1424543</v>
      </c>
      <c r="CF103" s="804">
        <v>3231179</v>
      </c>
      <c r="CG103" s="804">
        <v>0</v>
      </c>
      <c r="CH103" s="804">
        <v>4711376</v>
      </c>
      <c r="CI103" s="804">
        <v>12692715</v>
      </c>
      <c r="CJ103" s="804">
        <v>11615797</v>
      </c>
      <c r="CK103" s="804">
        <v>5758591</v>
      </c>
      <c r="CL103" s="804">
        <v>0</v>
      </c>
      <c r="CM103" s="804">
        <v>30067103</v>
      </c>
      <c r="CN103" s="804">
        <v>405196</v>
      </c>
      <c r="CO103" s="804">
        <v>101299</v>
      </c>
      <c r="CP103" s="804">
        <v>0</v>
      </c>
      <c r="CQ103" s="804">
        <v>506495</v>
      </c>
      <c r="CR103" s="804">
        <v>598195</v>
      </c>
      <c r="CS103" s="804">
        <v>149549</v>
      </c>
      <c r="CT103" s="804">
        <v>0</v>
      </c>
      <c r="CU103" s="804">
        <v>747744</v>
      </c>
      <c r="CV103" s="804">
        <v>46551</v>
      </c>
      <c r="CW103" s="804">
        <v>11638</v>
      </c>
      <c r="CX103" s="804">
        <v>0</v>
      </c>
      <c r="CY103" s="804">
        <v>58189</v>
      </c>
      <c r="CZ103" s="804">
        <v>0</v>
      </c>
      <c r="DA103" s="804">
        <v>0</v>
      </c>
      <c r="DB103" s="804">
        <v>0</v>
      </c>
      <c r="DC103" s="804">
        <v>0</v>
      </c>
      <c r="DD103" s="804">
        <v>0</v>
      </c>
      <c r="DE103" s="804">
        <v>0</v>
      </c>
      <c r="DF103" s="804">
        <v>0</v>
      </c>
      <c r="DG103" s="804">
        <v>0</v>
      </c>
      <c r="DH103" s="804">
        <v>4328</v>
      </c>
      <c r="DI103" s="804">
        <v>1082</v>
      </c>
      <c r="DJ103" s="804">
        <v>0</v>
      </c>
      <c r="DK103" s="804">
        <v>5410</v>
      </c>
      <c r="DL103" s="804">
        <v>3037</v>
      </c>
      <c r="DM103" s="804">
        <v>759</v>
      </c>
      <c r="DN103" s="804">
        <v>0</v>
      </c>
      <c r="DO103" s="804">
        <v>3796</v>
      </c>
      <c r="DP103" s="804">
        <v>0</v>
      </c>
      <c r="DQ103" s="804">
        <v>0</v>
      </c>
      <c r="DR103" s="804">
        <v>0</v>
      </c>
      <c r="DS103" s="804">
        <v>0</v>
      </c>
      <c r="DT103" s="804">
        <v>0</v>
      </c>
      <c r="DU103" s="804">
        <v>0</v>
      </c>
      <c r="DV103" s="804">
        <v>0</v>
      </c>
      <c r="DW103" s="804">
        <v>0</v>
      </c>
      <c r="DX103" s="804">
        <v>305610</v>
      </c>
      <c r="DY103" s="804">
        <v>76402</v>
      </c>
      <c r="DZ103" s="804">
        <v>0</v>
      </c>
      <c r="EA103" s="804">
        <v>382012</v>
      </c>
      <c r="EB103" s="804">
        <v>1362917</v>
      </c>
      <c r="EC103" s="804">
        <v>340729</v>
      </c>
      <c r="ED103" s="804">
        <v>0</v>
      </c>
      <c r="EE103" s="804">
        <v>1703646</v>
      </c>
      <c r="EF103" s="604" t="s">
        <v>914</v>
      </c>
      <c r="EG103" s="497" t="s">
        <v>611</v>
      </c>
      <c r="EH103" s="630" t="s">
        <v>551</v>
      </c>
      <c r="EI103" s="118" t="s">
        <v>1754</v>
      </c>
    </row>
    <row r="104" spans="1:139" ht="12.75" x14ac:dyDescent="0.2">
      <c r="A104" s="805">
        <v>97</v>
      </c>
      <c r="B104" s="606" t="s">
        <v>80</v>
      </c>
      <c r="C104" s="607" t="s">
        <v>1185</v>
      </c>
      <c r="D104" s="608" t="s">
        <v>1188</v>
      </c>
      <c r="E104" s="609" t="s">
        <v>79</v>
      </c>
      <c r="F104" s="802">
        <v>24916649</v>
      </c>
      <c r="G104" s="804">
        <v>85405</v>
      </c>
      <c r="H104" s="804">
        <v>0</v>
      </c>
      <c r="I104" s="804">
        <v>131239</v>
      </c>
      <c r="J104" s="804">
        <v>0</v>
      </c>
      <c r="K104" s="804">
        <v>131239</v>
      </c>
      <c r="L104" s="804">
        <v>0</v>
      </c>
      <c r="M104" s="804">
        <v>0</v>
      </c>
      <c r="N104" s="804">
        <v>0</v>
      </c>
      <c r="O104" s="804">
        <v>0</v>
      </c>
      <c r="P104" s="804">
        <v>0</v>
      </c>
      <c r="Q104" s="804">
        <v>0</v>
      </c>
      <c r="R104" s="804">
        <v>24870815</v>
      </c>
      <c r="S104" s="804">
        <v>0.5</v>
      </c>
      <c r="T104" s="804">
        <v>0.4</v>
      </c>
      <c r="U104" s="804">
        <v>0.09</v>
      </c>
      <c r="V104" s="804">
        <v>0.01</v>
      </c>
      <c r="W104" s="804">
        <v>1</v>
      </c>
      <c r="X104" s="804">
        <v>12435408</v>
      </c>
      <c r="Y104" s="804">
        <v>9948326</v>
      </c>
      <c r="Z104" s="804">
        <v>2238373</v>
      </c>
      <c r="AA104" s="804">
        <v>248708</v>
      </c>
      <c r="AB104" s="804">
        <v>24870815</v>
      </c>
      <c r="AC104" s="804">
        <v>0</v>
      </c>
      <c r="AD104" s="804">
        <v>0</v>
      </c>
      <c r="AE104" s="804">
        <v>0</v>
      </c>
      <c r="AF104" s="804">
        <v>0</v>
      </c>
      <c r="AG104" s="804">
        <v>0</v>
      </c>
      <c r="AH104" s="804">
        <v>12435408</v>
      </c>
      <c r="AI104" s="804">
        <v>9948326</v>
      </c>
      <c r="AJ104" s="804">
        <v>2238373</v>
      </c>
      <c r="AK104" s="804">
        <v>248708</v>
      </c>
      <c r="AL104" s="804">
        <v>24870815</v>
      </c>
      <c r="AM104" s="804">
        <v>131239</v>
      </c>
      <c r="AN104" s="804">
        <v>131239</v>
      </c>
      <c r="AO104" s="804">
        <v>0</v>
      </c>
      <c r="AP104" s="804">
        <v>0</v>
      </c>
      <c r="AQ104" s="804">
        <v>0</v>
      </c>
      <c r="AR104" s="804">
        <v>0</v>
      </c>
      <c r="AS104" s="804">
        <v>0</v>
      </c>
      <c r="AT104" s="804">
        <v>0</v>
      </c>
      <c r="AU104" s="804">
        <v>0</v>
      </c>
      <c r="AV104" s="804">
        <v>0</v>
      </c>
      <c r="AW104" s="804">
        <v>0</v>
      </c>
      <c r="AX104" s="804">
        <v>0</v>
      </c>
      <c r="AY104" s="804">
        <v>0</v>
      </c>
      <c r="AZ104" s="804">
        <v>0</v>
      </c>
      <c r="BA104" s="804">
        <v>0</v>
      </c>
      <c r="BB104" s="804">
        <v>0</v>
      </c>
      <c r="BC104" s="804">
        <v>0</v>
      </c>
      <c r="BD104" s="804">
        <v>0</v>
      </c>
      <c r="BE104" s="804">
        <v>0</v>
      </c>
      <c r="BF104" s="804">
        <v>0</v>
      </c>
      <c r="BG104" s="804">
        <v>0</v>
      </c>
      <c r="BH104" s="804">
        <v>0</v>
      </c>
      <c r="BI104" s="804">
        <v>0</v>
      </c>
      <c r="BJ104" s="804">
        <v>0.5</v>
      </c>
      <c r="BK104" s="804">
        <v>0.4</v>
      </c>
      <c r="BL104" s="804">
        <v>0.09</v>
      </c>
      <c r="BM104" s="804">
        <v>0.01</v>
      </c>
      <c r="BN104" s="804">
        <v>1</v>
      </c>
      <c r="BO104" s="804">
        <v>-28974</v>
      </c>
      <c r="BP104" s="804">
        <v>-23178</v>
      </c>
      <c r="BQ104" s="804">
        <v>-5215</v>
      </c>
      <c r="BR104" s="804">
        <v>-579</v>
      </c>
      <c r="BS104" s="804">
        <v>-57946</v>
      </c>
      <c r="BT104" s="804">
        <v>0</v>
      </c>
      <c r="BU104" s="804">
        <v>0.5</v>
      </c>
      <c r="BV104" s="804">
        <v>0.49</v>
      </c>
      <c r="BW104" s="804">
        <v>0.01</v>
      </c>
      <c r="BX104" s="804">
        <v>1</v>
      </c>
      <c r="BY104" s="804">
        <v>0</v>
      </c>
      <c r="BZ104" s="804">
        <v>-106593</v>
      </c>
      <c r="CA104" s="804">
        <v>-104461</v>
      </c>
      <c r="CB104" s="804">
        <v>-2132</v>
      </c>
      <c r="CC104" s="804">
        <v>-213186</v>
      </c>
      <c r="CD104" s="804">
        <v>-28974</v>
      </c>
      <c r="CE104" s="804">
        <v>-129771</v>
      </c>
      <c r="CF104" s="804">
        <v>-109676</v>
      </c>
      <c r="CG104" s="804">
        <v>-2711</v>
      </c>
      <c r="CH104" s="804">
        <v>-271132</v>
      </c>
      <c r="CI104" s="804">
        <v>12406434</v>
      </c>
      <c r="CJ104" s="804">
        <v>9949794</v>
      </c>
      <c r="CK104" s="804">
        <v>2128697</v>
      </c>
      <c r="CL104" s="804">
        <v>245997</v>
      </c>
      <c r="CM104" s="804">
        <v>24730922</v>
      </c>
      <c r="CN104" s="804">
        <v>398731</v>
      </c>
      <c r="CO104" s="804">
        <v>89714</v>
      </c>
      <c r="CP104" s="804">
        <v>9968</v>
      </c>
      <c r="CQ104" s="804">
        <v>498413</v>
      </c>
      <c r="CR104" s="804">
        <v>1218442</v>
      </c>
      <c r="CS104" s="804">
        <v>274149</v>
      </c>
      <c r="CT104" s="804">
        <v>30461</v>
      </c>
      <c r="CU104" s="804">
        <v>1523052</v>
      </c>
      <c r="CV104" s="804">
        <v>70308</v>
      </c>
      <c r="CW104" s="804">
        <v>15819</v>
      </c>
      <c r="CX104" s="804">
        <v>1758</v>
      </c>
      <c r="CY104" s="804">
        <v>87885</v>
      </c>
      <c r="CZ104" s="804">
        <v>0</v>
      </c>
      <c r="DA104" s="804">
        <v>0</v>
      </c>
      <c r="DB104" s="804">
        <v>0</v>
      </c>
      <c r="DC104" s="804">
        <v>0</v>
      </c>
      <c r="DD104" s="804">
        <v>2954</v>
      </c>
      <c r="DE104" s="804">
        <v>665</v>
      </c>
      <c r="DF104" s="804">
        <v>74</v>
      </c>
      <c r="DG104" s="804">
        <v>3693</v>
      </c>
      <c r="DH104" s="804">
        <v>11051</v>
      </c>
      <c r="DI104" s="804">
        <v>2486</v>
      </c>
      <c r="DJ104" s="804">
        <v>276</v>
      </c>
      <c r="DK104" s="804">
        <v>13813</v>
      </c>
      <c r="DL104" s="804">
        <v>1664</v>
      </c>
      <c r="DM104" s="804">
        <v>374</v>
      </c>
      <c r="DN104" s="804">
        <v>42</v>
      </c>
      <c r="DO104" s="804">
        <v>2080</v>
      </c>
      <c r="DP104" s="804">
        <v>0</v>
      </c>
      <c r="DQ104" s="804">
        <v>0</v>
      </c>
      <c r="DR104" s="804">
        <v>0</v>
      </c>
      <c r="DS104" s="804">
        <v>0</v>
      </c>
      <c r="DT104" s="804">
        <v>0</v>
      </c>
      <c r="DU104" s="804">
        <v>0</v>
      </c>
      <c r="DV104" s="804">
        <v>0</v>
      </c>
      <c r="DW104" s="804">
        <v>0</v>
      </c>
      <c r="DX104" s="804">
        <v>246742</v>
      </c>
      <c r="DY104" s="804">
        <v>55517</v>
      </c>
      <c r="DZ104" s="804">
        <v>6169</v>
      </c>
      <c r="EA104" s="804">
        <v>308428</v>
      </c>
      <c r="EB104" s="804">
        <v>1949892</v>
      </c>
      <c r="EC104" s="804">
        <v>438724</v>
      </c>
      <c r="ED104" s="804">
        <v>48748</v>
      </c>
      <c r="EE104" s="804">
        <v>2437364</v>
      </c>
      <c r="EF104" s="604" t="s">
        <v>79</v>
      </c>
      <c r="EG104" s="497" t="s">
        <v>555</v>
      </c>
      <c r="EH104" s="630" t="s">
        <v>554</v>
      </c>
      <c r="EI104" s="118" t="s">
        <v>1755</v>
      </c>
    </row>
    <row r="105" spans="1:139" ht="12.75" x14ac:dyDescent="0.2">
      <c r="A105" s="805">
        <v>98</v>
      </c>
      <c r="B105" s="606" t="s">
        <v>82</v>
      </c>
      <c r="C105" s="607" t="s">
        <v>1185</v>
      </c>
      <c r="D105" s="608" t="s">
        <v>1194</v>
      </c>
      <c r="E105" s="609" t="s">
        <v>81</v>
      </c>
      <c r="F105" s="802">
        <v>80423547</v>
      </c>
      <c r="G105" s="804">
        <v>0</v>
      </c>
      <c r="H105" s="804">
        <v>1052721</v>
      </c>
      <c r="I105" s="804">
        <v>214120</v>
      </c>
      <c r="J105" s="804">
        <v>0</v>
      </c>
      <c r="K105" s="804">
        <v>214120</v>
      </c>
      <c r="L105" s="804">
        <v>0</v>
      </c>
      <c r="M105" s="804">
        <v>0</v>
      </c>
      <c r="N105" s="804">
        <v>0</v>
      </c>
      <c r="O105" s="804">
        <v>0</v>
      </c>
      <c r="P105" s="804">
        <v>0</v>
      </c>
      <c r="Q105" s="804">
        <v>0</v>
      </c>
      <c r="R105" s="804">
        <v>79156706</v>
      </c>
      <c r="S105" s="804">
        <v>0.5</v>
      </c>
      <c r="T105" s="804">
        <v>0.4</v>
      </c>
      <c r="U105" s="804">
        <v>0.09</v>
      </c>
      <c r="V105" s="804">
        <v>0.01</v>
      </c>
      <c r="W105" s="804">
        <v>1</v>
      </c>
      <c r="X105" s="804">
        <v>39578353</v>
      </c>
      <c r="Y105" s="804">
        <v>31662682</v>
      </c>
      <c r="Z105" s="804">
        <v>7124104</v>
      </c>
      <c r="AA105" s="804">
        <v>791567</v>
      </c>
      <c r="AB105" s="804">
        <v>79156706</v>
      </c>
      <c r="AC105" s="804">
        <v>0</v>
      </c>
      <c r="AD105" s="804">
        <v>0</v>
      </c>
      <c r="AE105" s="804">
        <v>0</v>
      </c>
      <c r="AF105" s="804">
        <v>0</v>
      </c>
      <c r="AG105" s="804">
        <v>0</v>
      </c>
      <c r="AH105" s="804">
        <v>39578353</v>
      </c>
      <c r="AI105" s="804">
        <v>31662682</v>
      </c>
      <c r="AJ105" s="804">
        <v>7124104</v>
      </c>
      <c r="AK105" s="804">
        <v>791567</v>
      </c>
      <c r="AL105" s="804">
        <v>79156706</v>
      </c>
      <c r="AM105" s="804">
        <v>214120</v>
      </c>
      <c r="AN105" s="804">
        <v>214120</v>
      </c>
      <c r="AO105" s="804">
        <v>0</v>
      </c>
      <c r="AP105" s="804">
        <v>0</v>
      </c>
      <c r="AQ105" s="804">
        <v>0</v>
      </c>
      <c r="AR105" s="804">
        <v>0</v>
      </c>
      <c r="AS105" s="804">
        <v>0</v>
      </c>
      <c r="AT105" s="804">
        <v>0</v>
      </c>
      <c r="AU105" s="804">
        <v>0</v>
      </c>
      <c r="AV105" s="804">
        <v>0</v>
      </c>
      <c r="AW105" s="804">
        <v>0</v>
      </c>
      <c r="AX105" s="804">
        <v>0</v>
      </c>
      <c r="AY105" s="804">
        <v>0</v>
      </c>
      <c r="AZ105" s="804">
        <v>0</v>
      </c>
      <c r="BA105" s="804">
        <v>0</v>
      </c>
      <c r="BB105" s="804">
        <v>0</v>
      </c>
      <c r="BC105" s="804">
        <v>0</v>
      </c>
      <c r="BD105" s="804">
        <v>0</v>
      </c>
      <c r="BE105" s="804">
        <v>0</v>
      </c>
      <c r="BF105" s="804">
        <v>0</v>
      </c>
      <c r="BG105" s="804">
        <v>0</v>
      </c>
      <c r="BH105" s="804">
        <v>0</v>
      </c>
      <c r="BI105" s="804">
        <v>0</v>
      </c>
      <c r="BJ105" s="804">
        <v>0.5</v>
      </c>
      <c r="BK105" s="804">
        <v>0.4</v>
      </c>
      <c r="BL105" s="804">
        <v>0.09</v>
      </c>
      <c r="BM105" s="804">
        <v>0.01</v>
      </c>
      <c r="BN105" s="804">
        <v>1</v>
      </c>
      <c r="BO105" s="804">
        <v>-64317</v>
      </c>
      <c r="BP105" s="804">
        <v>-51453</v>
      </c>
      <c r="BQ105" s="804">
        <v>-11577</v>
      </c>
      <c r="BR105" s="804">
        <v>-1286</v>
      </c>
      <c r="BS105" s="804">
        <v>-128633</v>
      </c>
      <c r="BT105" s="804">
        <v>0</v>
      </c>
      <c r="BU105" s="804">
        <v>0.4</v>
      </c>
      <c r="BV105" s="804">
        <v>0.59</v>
      </c>
      <c r="BW105" s="804">
        <v>0.01</v>
      </c>
      <c r="BX105" s="804">
        <v>1</v>
      </c>
      <c r="BY105" s="804">
        <v>0</v>
      </c>
      <c r="BZ105" s="804">
        <v>189248</v>
      </c>
      <c r="CA105" s="804">
        <v>279140</v>
      </c>
      <c r="CB105" s="804">
        <v>4731</v>
      </c>
      <c r="CC105" s="804">
        <v>473119</v>
      </c>
      <c r="CD105" s="804">
        <v>-64317</v>
      </c>
      <c r="CE105" s="804">
        <v>137795</v>
      </c>
      <c r="CF105" s="804">
        <v>267563</v>
      </c>
      <c r="CG105" s="804">
        <v>3445</v>
      </c>
      <c r="CH105" s="804">
        <v>344486</v>
      </c>
      <c r="CI105" s="804">
        <v>39514036</v>
      </c>
      <c r="CJ105" s="804">
        <v>32014597</v>
      </c>
      <c r="CK105" s="804">
        <v>7391667</v>
      </c>
      <c r="CL105" s="804">
        <v>795012</v>
      </c>
      <c r="CM105" s="804">
        <v>79715312</v>
      </c>
      <c r="CN105" s="804">
        <v>1269045</v>
      </c>
      <c r="CO105" s="804">
        <v>285535</v>
      </c>
      <c r="CP105" s="804">
        <v>31726</v>
      </c>
      <c r="CQ105" s="804">
        <v>1586306</v>
      </c>
      <c r="CR105" s="804">
        <v>1196415</v>
      </c>
      <c r="CS105" s="804">
        <v>269193</v>
      </c>
      <c r="CT105" s="804">
        <v>29910</v>
      </c>
      <c r="CU105" s="804">
        <v>1495518</v>
      </c>
      <c r="CV105" s="804">
        <v>130582</v>
      </c>
      <c r="CW105" s="804">
        <v>29381</v>
      </c>
      <c r="CX105" s="804">
        <v>3265</v>
      </c>
      <c r="CY105" s="804">
        <v>163228</v>
      </c>
      <c r="CZ105" s="804">
        <v>0</v>
      </c>
      <c r="DA105" s="804">
        <v>0</v>
      </c>
      <c r="DB105" s="804">
        <v>0</v>
      </c>
      <c r="DC105" s="804">
        <v>0</v>
      </c>
      <c r="DD105" s="804">
        <v>0</v>
      </c>
      <c r="DE105" s="804">
        <v>0</v>
      </c>
      <c r="DF105" s="804">
        <v>0</v>
      </c>
      <c r="DG105" s="804">
        <v>0</v>
      </c>
      <c r="DH105" s="804">
        <v>8589</v>
      </c>
      <c r="DI105" s="804">
        <v>1933</v>
      </c>
      <c r="DJ105" s="804">
        <v>215</v>
      </c>
      <c r="DK105" s="804">
        <v>10737</v>
      </c>
      <c r="DL105" s="804">
        <v>468</v>
      </c>
      <c r="DM105" s="804">
        <v>105</v>
      </c>
      <c r="DN105" s="804">
        <v>12</v>
      </c>
      <c r="DO105" s="804">
        <v>585</v>
      </c>
      <c r="DP105" s="804">
        <v>0</v>
      </c>
      <c r="DQ105" s="804">
        <v>0</v>
      </c>
      <c r="DR105" s="804">
        <v>0</v>
      </c>
      <c r="DS105" s="804">
        <v>0</v>
      </c>
      <c r="DT105" s="804">
        <v>0</v>
      </c>
      <c r="DU105" s="804">
        <v>0</v>
      </c>
      <c r="DV105" s="804">
        <v>0</v>
      </c>
      <c r="DW105" s="804">
        <v>0</v>
      </c>
      <c r="DX105" s="804">
        <v>816776</v>
      </c>
      <c r="DY105" s="804">
        <v>183775</v>
      </c>
      <c r="DZ105" s="804">
        <v>20419</v>
      </c>
      <c r="EA105" s="804">
        <v>1020970</v>
      </c>
      <c r="EB105" s="804">
        <v>3421875</v>
      </c>
      <c r="EC105" s="804">
        <v>769922</v>
      </c>
      <c r="ED105" s="804">
        <v>85547</v>
      </c>
      <c r="EE105" s="804">
        <v>4277344</v>
      </c>
      <c r="EF105" s="604" t="s">
        <v>81</v>
      </c>
      <c r="EG105" s="497" t="s">
        <v>560</v>
      </c>
      <c r="EH105" s="630" t="s">
        <v>558</v>
      </c>
      <c r="EI105" s="118" t="s">
        <v>1756</v>
      </c>
    </row>
    <row r="106" spans="1:139" ht="12.75" x14ac:dyDescent="0.2">
      <c r="A106" s="805">
        <v>99</v>
      </c>
      <c r="B106" s="606" t="s">
        <v>84</v>
      </c>
      <c r="C106" s="607" t="s">
        <v>1185</v>
      </c>
      <c r="D106" s="608" t="s">
        <v>1186</v>
      </c>
      <c r="E106" s="609" t="s">
        <v>83</v>
      </c>
      <c r="F106" s="802">
        <v>41689917</v>
      </c>
      <c r="G106" s="804">
        <v>0</v>
      </c>
      <c r="H106" s="804">
        <v>201634</v>
      </c>
      <c r="I106" s="804">
        <v>137985</v>
      </c>
      <c r="J106" s="804">
        <v>0</v>
      </c>
      <c r="K106" s="804">
        <v>137985</v>
      </c>
      <c r="L106" s="804">
        <v>0</v>
      </c>
      <c r="M106" s="804">
        <v>304143</v>
      </c>
      <c r="N106" s="804">
        <v>80950</v>
      </c>
      <c r="O106" s="804">
        <v>80950</v>
      </c>
      <c r="P106" s="804">
        <v>0</v>
      </c>
      <c r="Q106" s="804">
        <v>0</v>
      </c>
      <c r="R106" s="804">
        <v>40965205</v>
      </c>
      <c r="S106" s="804">
        <v>0.5</v>
      </c>
      <c r="T106" s="804">
        <v>0.4</v>
      </c>
      <c r="U106" s="804">
        <v>0.09</v>
      </c>
      <c r="V106" s="804">
        <v>0.01</v>
      </c>
      <c r="W106" s="804">
        <v>1</v>
      </c>
      <c r="X106" s="804">
        <v>20482603</v>
      </c>
      <c r="Y106" s="804">
        <v>16386082</v>
      </c>
      <c r="Z106" s="804">
        <v>3686868</v>
      </c>
      <c r="AA106" s="804">
        <v>409652</v>
      </c>
      <c r="AB106" s="804">
        <v>40965205</v>
      </c>
      <c r="AC106" s="804">
        <v>246620</v>
      </c>
      <c r="AD106" s="804">
        <v>0</v>
      </c>
      <c r="AE106" s="804">
        <v>0</v>
      </c>
      <c r="AF106" s="804">
        <v>0</v>
      </c>
      <c r="AG106" s="804">
        <v>246620</v>
      </c>
      <c r="AH106" s="804">
        <v>20235983</v>
      </c>
      <c r="AI106" s="804">
        <v>16386082</v>
      </c>
      <c r="AJ106" s="804">
        <v>3686868</v>
      </c>
      <c r="AK106" s="804">
        <v>409652</v>
      </c>
      <c r="AL106" s="804">
        <v>40718585</v>
      </c>
      <c r="AM106" s="804">
        <v>137985</v>
      </c>
      <c r="AN106" s="804">
        <v>137985</v>
      </c>
      <c r="AO106" s="804">
        <v>304143</v>
      </c>
      <c r="AP106" s="804">
        <v>304143</v>
      </c>
      <c r="AQ106" s="804">
        <v>80950</v>
      </c>
      <c r="AR106" s="804">
        <v>0</v>
      </c>
      <c r="AS106" s="804">
        <v>80950</v>
      </c>
      <c r="AT106" s="804">
        <v>0</v>
      </c>
      <c r="AU106" s="804">
        <v>0</v>
      </c>
      <c r="AV106" s="804">
        <v>0</v>
      </c>
      <c r="AW106" s="804">
        <v>0</v>
      </c>
      <c r="AX106" s="804">
        <v>246620</v>
      </c>
      <c r="AY106" s="804">
        <v>0</v>
      </c>
      <c r="AZ106" s="804">
        <v>0</v>
      </c>
      <c r="BA106" s="804">
        <v>246620</v>
      </c>
      <c r="BB106" s="804">
        <v>0</v>
      </c>
      <c r="BC106" s="804">
        <v>0</v>
      </c>
      <c r="BD106" s="804">
        <v>0</v>
      </c>
      <c r="BE106" s="804">
        <v>0</v>
      </c>
      <c r="BF106" s="804">
        <v>0</v>
      </c>
      <c r="BG106" s="804">
        <v>0</v>
      </c>
      <c r="BH106" s="804">
        <v>0</v>
      </c>
      <c r="BI106" s="804">
        <v>0</v>
      </c>
      <c r="BJ106" s="804">
        <v>0.5</v>
      </c>
      <c r="BK106" s="804">
        <v>0.4</v>
      </c>
      <c r="BL106" s="804">
        <v>0.09</v>
      </c>
      <c r="BM106" s="804">
        <v>0.01</v>
      </c>
      <c r="BN106" s="804">
        <v>1</v>
      </c>
      <c r="BO106" s="804">
        <v>1297316.0000000019</v>
      </c>
      <c r="BP106" s="804">
        <v>1037852</v>
      </c>
      <c r="BQ106" s="804">
        <v>233517</v>
      </c>
      <c r="BR106" s="804">
        <v>25946</v>
      </c>
      <c r="BS106" s="804">
        <v>2594631.0000000019</v>
      </c>
      <c r="BT106" s="804">
        <v>0.5</v>
      </c>
      <c r="BU106" s="804">
        <v>0.4</v>
      </c>
      <c r="BV106" s="804">
        <v>0.09</v>
      </c>
      <c r="BW106" s="804">
        <v>0.01</v>
      </c>
      <c r="BX106" s="804">
        <v>1</v>
      </c>
      <c r="BY106" s="804">
        <v>-2462519.6999999974</v>
      </c>
      <c r="BZ106" s="804">
        <v>-1970015</v>
      </c>
      <c r="CA106" s="804">
        <v>-443253</v>
      </c>
      <c r="CB106" s="804">
        <v>-49250</v>
      </c>
      <c r="CC106" s="804">
        <v>-4925037.6999999974</v>
      </c>
      <c r="CD106" s="804">
        <v>-1165203</v>
      </c>
      <c r="CE106" s="804">
        <v>-932163</v>
      </c>
      <c r="CF106" s="804">
        <v>-209737</v>
      </c>
      <c r="CG106" s="804">
        <v>-23304</v>
      </c>
      <c r="CH106" s="804">
        <v>-2330406.6999999955</v>
      </c>
      <c r="CI106" s="804">
        <v>19070780</v>
      </c>
      <c r="CJ106" s="804">
        <v>16223617</v>
      </c>
      <c r="CK106" s="804">
        <v>3477131</v>
      </c>
      <c r="CL106" s="804">
        <v>386348</v>
      </c>
      <c r="CM106" s="804">
        <v>39157876</v>
      </c>
      <c r="CN106" s="804">
        <v>682076</v>
      </c>
      <c r="CO106" s="804">
        <v>147770</v>
      </c>
      <c r="CP106" s="804">
        <v>16419</v>
      </c>
      <c r="CQ106" s="804">
        <v>846265</v>
      </c>
      <c r="CR106" s="804">
        <v>1067436</v>
      </c>
      <c r="CS106" s="804">
        <v>232463</v>
      </c>
      <c r="CT106" s="804">
        <v>25829</v>
      </c>
      <c r="CU106" s="804">
        <v>1325728</v>
      </c>
      <c r="CV106" s="804">
        <v>84156</v>
      </c>
      <c r="CW106" s="804">
        <v>18847</v>
      </c>
      <c r="CX106" s="804">
        <v>2094</v>
      </c>
      <c r="CY106" s="804">
        <v>105097</v>
      </c>
      <c r="CZ106" s="804">
        <v>16857</v>
      </c>
      <c r="DA106" s="804">
        <v>1025</v>
      </c>
      <c r="DB106" s="804">
        <v>114</v>
      </c>
      <c r="DC106" s="804">
        <v>17996</v>
      </c>
      <c r="DD106" s="804">
        <v>0</v>
      </c>
      <c r="DE106" s="804">
        <v>0</v>
      </c>
      <c r="DF106" s="804">
        <v>0</v>
      </c>
      <c r="DG106" s="804">
        <v>0</v>
      </c>
      <c r="DH106" s="804">
        <v>6307</v>
      </c>
      <c r="DI106" s="804">
        <v>1419</v>
      </c>
      <c r="DJ106" s="804">
        <v>158</v>
      </c>
      <c r="DK106" s="804">
        <v>7884</v>
      </c>
      <c r="DL106" s="804">
        <v>2161</v>
      </c>
      <c r="DM106" s="804">
        <v>486</v>
      </c>
      <c r="DN106" s="804">
        <v>54</v>
      </c>
      <c r="DO106" s="804">
        <v>2701</v>
      </c>
      <c r="DP106" s="804">
        <v>0</v>
      </c>
      <c r="DQ106" s="804">
        <v>0</v>
      </c>
      <c r="DR106" s="804">
        <v>0</v>
      </c>
      <c r="DS106" s="804">
        <v>0</v>
      </c>
      <c r="DT106" s="804">
        <v>0</v>
      </c>
      <c r="DU106" s="804">
        <v>0</v>
      </c>
      <c r="DV106" s="804">
        <v>0</v>
      </c>
      <c r="DW106" s="804">
        <v>0</v>
      </c>
      <c r="DX106" s="804">
        <v>231193</v>
      </c>
      <c r="DY106" s="804">
        <v>52018</v>
      </c>
      <c r="DZ106" s="804">
        <v>5780</v>
      </c>
      <c r="EA106" s="804">
        <v>288991</v>
      </c>
      <c r="EB106" s="804">
        <v>2090186</v>
      </c>
      <c r="EC106" s="804">
        <v>454028</v>
      </c>
      <c r="ED106" s="804">
        <v>50448</v>
      </c>
      <c r="EE106" s="804">
        <v>2594662</v>
      </c>
      <c r="EF106" s="604" t="s">
        <v>83</v>
      </c>
      <c r="EG106" s="497" t="s">
        <v>575</v>
      </c>
      <c r="EH106" s="630" t="s">
        <v>573</v>
      </c>
      <c r="EI106" s="118" t="s">
        <v>1757</v>
      </c>
    </row>
    <row r="107" spans="1:139" ht="12.75" x14ac:dyDescent="0.2">
      <c r="A107" s="805">
        <v>100</v>
      </c>
      <c r="B107" s="606" t="s">
        <v>86</v>
      </c>
      <c r="C107" s="607" t="s">
        <v>1185</v>
      </c>
      <c r="D107" s="608" t="s">
        <v>1189</v>
      </c>
      <c r="E107" s="609" t="s">
        <v>85</v>
      </c>
      <c r="F107" s="802">
        <v>24988241</v>
      </c>
      <c r="G107" s="804">
        <v>71549</v>
      </c>
      <c r="H107" s="804">
        <v>0</v>
      </c>
      <c r="I107" s="804">
        <v>120298</v>
      </c>
      <c r="J107" s="804">
        <v>0</v>
      </c>
      <c r="K107" s="804">
        <v>120298</v>
      </c>
      <c r="L107" s="804">
        <v>0</v>
      </c>
      <c r="M107" s="804">
        <v>0</v>
      </c>
      <c r="N107" s="804">
        <v>361646</v>
      </c>
      <c r="O107" s="804">
        <v>361646</v>
      </c>
      <c r="P107" s="804">
        <v>0</v>
      </c>
      <c r="Q107" s="804">
        <v>0</v>
      </c>
      <c r="R107" s="804">
        <v>24577846</v>
      </c>
      <c r="S107" s="804">
        <v>0.5</v>
      </c>
      <c r="T107" s="804">
        <v>0.4</v>
      </c>
      <c r="U107" s="804">
        <v>0.09</v>
      </c>
      <c r="V107" s="804">
        <v>0.01</v>
      </c>
      <c r="W107" s="804">
        <v>1</v>
      </c>
      <c r="X107" s="804">
        <v>12288924</v>
      </c>
      <c r="Y107" s="804">
        <v>9831138</v>
      </c>
      <c r="Z107" s="804">
        <v>2212006</v>
      </c>
      <c r="AA107" s="804">
        <v>245778</v>
      </c>
      <c r="AB107" s="804">
        <v>24577846</v>
      </c>
      <c r="AC107" s="804">
        <v>0</v>
      </c>
      <c r="AD107" s="804">
        <v>0</v>
      </c>
      <c r="AE107" s="804">
        <v>0</v>
      </c>
      <c r="AF107" s="804">
        <v>0</v>
      </c>
      <c r="AG107" s="804">
        <v>0</v>
      </c>
      <c r="AH107" s="804">
        <v>12288924</v>
      </c>
      <c r="AI107" s="804">
        <v>9831138</v>
      </c>
      <c r="AJ107" s="804">
        <v>2212006</v>
      </c>
      <c r="AK107" s="804">
        <v>245778</v>
      </c>
      <c r="AL107" s="804">
        <v>24577846</v>
      </c>
      <c r="AM107" s="804">
        <v>120298</v>
      </c>
      <c r="AN107" s="804">
        <v>120298</v>
      </c>
      <c r="AO107" s="804">
        <v>0</v>
      </c>
      <c r="AP107" s="804">
        <v>0</v>
      </c>
      <c r="AQ107" s="804">
        <v>361646</v>
      </c>
      <c r="AR107" s="804">
        <v>0</v>
      </c>
      <c r="AS107" s="804">
        <v>361646</v>
      </c>
      <c r="AT107" s="804">
        <v>0</v>
      </c>
      <c r="AU107" s="804">
        <v>0</v>
      </c>
      <c r="AV107" s="804">
        <v>0</v>
      </c>
      <c r="AW107" s="804">
        <v>0</v>
      </c>
      <c r="AX107" s="804">
        <v>0</v>
      </c>
      <c r="AY107" s="804">
        <v>0</v>
      </c>
      <c r="AZ107" s="804">
        <v>0</v>
      </c>
      <c r="BA107" s="804">
        <v>0</v>
      </c>
      <c r="BB107" s="804">
        <v>0</v>
      </c>
      <c r="BC107" s="804">
        <v>0</v>
      </c>
      <c r="BD107" s="804">
        <v>0</v>
      </c>
      <c r="BE107" s="804">
        <v>0</v>
      </c>
      <c r="BF107" s="804">
        <v>0</v>
      </c>
      <c r="BG107" s="804">
        <v>0</v>
      </c>
      <c r="BH107" s="804">
        <v>0</v>
      </c>
      <c r="BI107" s="804">
        <v>0</v>
      </c>
      <c r="BJ107" s="804">
        <v>0.5</v>
      </c>
      <c r="BK107" s="804">
        <v>0.4</v>
      </c>
      <c r="BL107" s="804">
        <v>0.09</v>
      </c>
      <c r="BM107" s="804">
        <v>0.01</v>
      </c>
      <c r="BN107" s="804">
        <v>1</v>
      </c>
      <c r="BO107" s="804">
        <v>-399856</v>
      </c>
      <c r="BP107" s="804">
        <v>-319885</v>
      </c>
      <c r="BQ107" s="804">
        <v>-71974</v>
      </c>
      <c r="BR107" s="804">
        <v>-7997</v>
      </c>
      <c r="BS107" s="804">
        <v>-799712</v>
      </c>
      <c r="BT107" s="804">
        <v>0.5</v>
      </c>
      <c r="BU107" s="804">
        <v>0.4</v>
      </c>
      <c r="BV107" s="804">
        <v>0.09</v>
      </c>
      <c r="BW107" s="804">
        <v>0.01</v>
      </c>
      <c r="BX107" s="804">
        <v>1</v>
      </c>
      <c r="BY107" s="804">
        <v>10669.789999999106</v>
      </c>
      <c r="BZ107" s="804">
        <v>8536</v>
      </c>
      <c r="CA107" s="804">
        <v>1920</v>
      </c>
      <c r="CB107" s="804">
        <v>213</v>
      </c>
      <c r="CC107" s="804">
        <v>21338.789999999106</v>
      </c>
      <c r="CD107" s="804">
        <v>-389186</v>
      </c>
      <c r="CE107" s="804">
        <v>-311349</v>
      </c>
      <c r="CF107" s="804">
        <v>-70054</v>
      </c>
      <c r="CG107" s="804">
        <v>-7784</v>
      </c>
      <c r="CH107" s="804">
        <v>-778373.21000000089</v>
      </c>
      <c r="CI107" s="804">
        <v>11899738</v>
      </c>
      <c r="CJ107" s="804">
        <v>10001733</v>
      </c>
      <c r="CK107" s="804">
        <v>2141952</v>
      </c>
      <c r="CL107" s="804">
        <v>237994</v>
      </c>
      <c r="CM107" s="804">
        <v>24281417</v>
      </c>
      <c r="CN107" s="804">
        <v>408528</v>
      </c>
      <c r="CO107" s="804">
        <v>88658</v>
      </c>
      <c r="CP107" s="804">
        <v>9851</v>
      </c>
      <c r="CQ107" s="804">
        <v>507037</v>
      </c>
      <c r="CR107" s="804">
        <v>1078531</v>
      </c>
      <c r="CS107" s="804">
        <v>242670</v>
      </c>
      <c r="CT107" s="804">
        <v>26963</v>
      </c>
      <c r="CU107" s="804">
        <v>1348164</v>
      </c>
      <c r="CV107" s="804">
        <v>52077</v>
      </c>
      <c r="CW107" s="804">
        <v>11717</v>
      </c>
      <c r="CX107" s="804">
        <v>1302</v>
      </c>
      <c r="CY107" s="804">
        <v>65096</v>
      </c>
      <c r="CZ107" s="804">
        <v>0</v>
      </c>
      <c r="DA107" s="804">
        <v>0</v>
      </c>
      <c r="DB107" s="804">
        <v>0</v>
      </c>
      <c r="DC107" s="804">
        <v>0</v>
      </c>
      <c r="DD107" s="804">
        <v>9199</v>
      </c>
      <c r="DE107" s="804">
        <v>2070</v>
      </c>
      <c r="DF107" s="804">
        <v>230</v>
      </c>
      <c r="DG107" s="804">
        <v>11499</v>
      </c>
      <c r="DH107" s="804">
        <v>10424</v>
      </c>
      <c r="DI107" s="804">
        <v>2346</v>
      </c>
      <c r="DJ107" s="804">
        <v>261</v>
      </c>
      <c r="DK107" s="804">
        <v>13031</v>
      </c>
      <c r="DL107" s="804">
        <v>1897</v>
      </c>
      <c r="DM107" s="804">
        <v>427</v>
      </c>
      <c r="DN107" s="804">
        <v>47</v>
      </c>
      <c r="DO107" s="804">
        <v>2371</v>
      </c>
      <c r="DP107" s="804">
        <v>0</v>
      </c>
      <c r="DQ107" s="804">
        <v>0</v>
      </c>
      <c r="DR107" s="804">
        <v>0</v>
      </c>
      <c r="DS107" s="804">
        <v>0</v>
      </c>
      <c r="DT107" s="804">
        <v>0</v>
      </c>
      <c r="DU107" s="804">
        <v>0</v>
      </c>
      <c r="DV107" s="804">
        <v>0</v>
      </c>
      <c r="DW107" s="804">
        <v>0</v>
      </c>
      <c r="DX107" s="804">
        <v>212010</v>
      </c>
      <c r="DY107" s="804">
        <v>47702</v>
      </c>
      <c r="DZ107" s="804">
        <v>5300</v>
      </c>
      <c r="EA107" s="804">
        <v>265012</v>
      </c>
      <c r="EB107" s="804">
        <v>1772666</v>
      </c>
      <c r="EC107" s="804">
        <v>395590</v>
      </c>
      <c r="ED107" s="804">
        <v>43954</v>
      </c>
      <c r="EE107" s="804">
        <v>2212210</v>
      </c>
      <c r="EF107" s="604" t="s">
        <v>85</v>
      </c>
      <c r="EG107" s="497" t="s">
        <v>542</v>
      </c>
      <c r="EH107" s="630" t="s">
        <v>541</v>
      </c>
      <c r="EI107" s="118" t="s">
        <v>1758</v>
      </c>
    </row>
    <row r="108" spans="1:139" ht="12.75" x14ac:dyDescent="0.2">
      <c r="A108" s="805">
        <v>101</v>
      </c>
      <c r="B108" s="606" t="s">
        <v>341</v>
      </c>
      <c r="C108" s="607" t="s">
        <v>1185</v>
      </c>
      <c r="D108" s="608" t="s">
        <v>1189</v>
      </c>
      <c r="E108" s="609" t="s">
        <v>1120</v>
      </c>
      <c r="F108" s="802">
        <v>27773617</v>
      </c>
      <c r="G108" s="804">
        <v>0</v>
      </c>
      <c r="H108" s="804">
        <v>213529</v>
      </c>
      <c r="I108" s="804">
        <v>142590</v>
      </c>
      <c r="J108" s="804">
        <v>0</v>
      </c>
      <c r="K108" s="804">
        <v>142590</v>
      </c>
      <c r="L108" s="804">
        <v>0</v>
      </c>
      <c r="M108" s="804">
        <v>0</v>
      </c>
      <c r="N108" s="804">
        <v>0</v>
      </c>
      <c r="O108" s="804">
        <v>0</v>
      </c>
      <c r="P108" s="804">
        <v>0</v>
      </c>
      <c r="Q108" s="804">
        <v>0</v>
      </c>
      <c r="R108" s="804">
        <v>27417498</v>
      </c>
      <c r="S108" s="804">
        <v>0.5</v>
      </c>
      <c r="T108" s="804">
        <v>0.4</v>
      </c>
      <c r="U108" s="804">
        <v>0.09</v>
      </c>
      <c r="V108" s="804">
        <v>0.01</v>
      </c>
      <c r="W108" s="804">
        <v>1</v>
      </c>
      <c r="X108" s="804">
        <v>13708749</v>
      </c>
      <c r="Y108" s="804">
        <v>10966999</v>
      </c>
      <c r="Z108" s="804">
        <v>2467575</v>
      </c>
      <c r="AA108" s="804">
        <v>274175</v>
      </c>
      <c r="AB108" s="804">
        <v>27417498</v>
      </c>
      <c r="AC108" s="804">
        <v>0</v>
      </c>
      <c r="AD108" s="804">
        <v>0</v>
      </c>
      <c r="AE108" s="804">
        <v>0</v>
      </c>
      <c r="AF108" s="804">
        <v>0</v>
      </c>
      <c r="AG108" s="804">
        <v>0</v>
      </c>
      <c r="AH108" s="804">
        <v>13708749</v>
      </c>
      <c r="AI108" s="804">
        <v>10966999</v>
      </c>
      <c r="AJ108" s="804">
        <v>2467575</v>
      </c>
      <c r="AK108" s="804">
        <v>274175</v>
      </c>
      <c r="AL108" s="804">
        <v>27417498</v>
      </c>
      <c r="AM108" s="804">
        <v>142590</v>
      </c>
      <c r="AN108" s="804">
        <v>142590</v>
      </c>
      <c r="AO108" s="804">
        <v>0</v>
      </c>
      <c r="AP108" s="804">
        <v>0</v>
      </c>
      <c r="AQ108" s="804">
        <v>0</v>
      </c>
      <c r="AR108" s="804">
        <v>0</v>
      </c>
      <c r="AS108" s="804">
        <v>0</v>
      </c>
      <c r="AT108" s="804">
        <v>0</v>
      </c>
      <c r="AU108" s="804">
        <v>0</v>
      </c>
      <c r="AV108" s="804">
        <v>0</v>
      </c>
      <c r="AW108" s="804">
        <v>0</v>
      </c>
      <c r="AX108" s="804">
        <v>0</v>
      </c>
      <c r="AY108" s="804">
        <v>0</v>
      </c>
      <c r="AZ108" s="804">
        <v>0</v>
      </c>
      <c r="BA108" s="804">
        <v>0</v>
      </c>
      <c r="BB108" s="804">
        <v>0</v>
      </c>
      <c r="BC108" s="804">
        <v>0</v>
      </c>
      <c r="BD108" s="804">
        <v>0</v>
      </c>
      <c r="BE108" s="804">
        <v>0</v>
      </c>
      <c r="BF108" s="804">
        <v>0</v>
      </c>
      <c r="BG108" s="804">
        <v>0</v>
      </c>
      <c r="BH108" s="804">
        <v>0</v>
      </c>
      <c r="BI108" s="804">
        <v>0</v>
      </c>
      <c r="BJ108" s="804">
        <v>0.5</v>
      </c>
      <c r="BK108" s="804">
        <v>0.4</v>
      </c>
      <c r="BL108" s="804">
        <v>0.09</v>
      </c>
      <c r="BM108" s="804">
        <v>0.01</v>
      </c>
      <c r="BN108" s="804">
        <v>1</v>
      </c>
      <c r="BO108" s="804">
        <v>-2084770.0000000014</v>
      </c>
      <c r="BP108" s="804">
        <v>-1667816</v>
      </c>
      <c r="BQ108" s="804">
        <v>-375259</v>
      </c>
      <c r="BR108" s="804">
        <v>-41695</v>
      </c>
      <c r="BS108" s="804">
        <v>-4169540.0000000014</v>
      </c>
      <c r="BT108" s="804">
        <v>0</v>
      </c>
      <c r="BU108" s="804">
        <v>0.4</v>
      </c>
      <c r="BV108" s="804">
        <v>0.59</v>
      </c>
      <c r="BW108" s="804">
        <v>0.01</v>
      </c>
      <c r="BX108" s="804">
        <v>1</v>
      </c>
      <c r="BY108" s="804">
        <v>0.36000000080093741</v>
      </c>
      <c r="BZ108" s="804">
        <v>81406</v>
      </c>
      <c r="CA108" s="804">
        <v>120074</v>
      </c>
      <c r="CB108" s="804">
        <v>2035</v>
      </c>
      <c r="CC108" s="804">
        <v>203515.3600000008</v>
      </c>
      <c r="CD108" s="804">
        <v>-2084770</v>
      </c>
      <c r="CE108" s="804">
        <v>-1586410</v>
      </c>
      <c r="CF108" s="804">
        <v>-255185</v>
      </c>
      <c r="CG108" s="804">
        <v>-39660</v>
      </c>
      <c r="CH108" s="804">
        <v>-3966024.6400000006</v>
      </c>
      <c r="CI108" s="804">
        <v>11623979</v>
      </c>
      <c r="CJ108" s="804">
        <v>9523179</v>
      </c>
      <c r="CK108" s="804">
        <v>2212390</v>
      </c>
      <c r="CL108" s="804">
        <v>234515</v>
      </c>
      <c r="CM108" s="804">
        <v>23594063</v>
      </c>
      <c r="CN108" s="804">
        <v>439559</v>
      </c>
      <c r="CO108" s="804">
        <v>98901</v>
      </c>
      <c r="CP108" s="804">
        <v>10989</v>
      </c>
      <c r="CQ108" s="804">
        <v>549449</v>
      </c>
      <c r="CR108" s="804">
        <v>1247362</v>
      </c>
      <c r="CS108" s="804">
        <v>280657</v>
      </c>
      <c r="CT108" s="804">
        <v>31184</v>
      </c>
      <c r="CU108" s="804">
        <v>1559203</v>
      </c>
      <c r="CV108" s="804">
        <v>51083</v>
      </c>
      <c r="CW108" s="804">
        <v>11494</v>
      </c>
      <c r="CX108" s="804">
        <v>1277</v>
      </c>
      <c r="CY108" s="804">
        <v>63854</v>
      </c>
      <c r="CZ108" s="804">
        <v>7940</v>
      </c>
      <c r="DA108" s="804">
        <v>1787</v>
      </c>
      <c r="DB108" s="804">
        <v>199</v>
      </c>
      <c r="DC108" s="804">
        <v>9926</v>
      </c>
      <c r="DD108" s="804">
        <v>8678</v>
      </c>
      <c r="DE108" s="804">
        <v>1952</v>
      </c>
      <c r="DF108" s="804">
        <v>217</v>
      </c>
      <c r="DG108" s="804">
        <v>10847</v>
      </c>
      <c r="DH108" s="804">
        <v>15323</v>
      </c>
      <c r="DI108" s="804">
        <v>3447</v>
      </c>
      <c r="DJ108" s="804">
        <v>383</v>
      </c>
      <c r="DK108" s="804">
        <v>19153</v>
      </c>
      <c r="DL108" s="804">
        <v>1341</v>
      </c>
      <c r="DM108" s="804">
        <v>301</v>
      </c>
      <c r="DN108" s="804">
        <v>33</v>
      </c>
      <c r="DO108" s="804">
        <v>1675</v>
      </c>
      <c r="DP108" s="804">
        <v>0</v>
      </c>
      <c r="DQ108" s="804">
        <v>0</v>
      </c>
      <c r="DR108" s="804">
        <v>0</v>
      </c>
      <c r="DS108" s="804">
        <v>0</v>
      </c>
      <c r="DT108" s="804">
        <v>0</v>
      </c>
      <c r="DU108" s="804">
        <v>0</v>
      </c>
      <c r="DV108" s="804">
        <v>0</v>
      </c>
      <c r="DW108" s="804">
        <v>0</v>
      </c>
      <c r="DX108" s="804">
        <v>344958</v>
      </c>
      <c r="DY108" s="804">
        <v>77616</v>
      </c>
      <c r="DZ108" s="804">
        <v>8624</v>
      </c>
      <c r="EA108" s="804">
        <v>431198</v>
      </c>
      <c r="EB108" s="804">
        <v>2116244</v>
      </c>
      <c r="EC108" s="804">
        <v>476155</v>
      </c>
      <c r="ED108" s="804">
        <v>52906</v>
      </c>
      <c r="EE108" s="804">
        <v>2645305</v>
      </c>
      <c r="EF108" s="604" t="s">
        <v>1120</v>
      </c>
      <c r="EG108" s="497" t="s">
        <v>610</v>
      </c>
      <c r="EH108" s="630" t="s">
        <v>551</v>
      </c>
      <c r="EI108" s="118" t="s">
        <v>1759</v>
      </c>
    </row>
    <row r="109" spans="1:139" ht="12.75" x14ac:dyDescent="0.2">
      <c r="A109" s="805">
        <v>102</v>
      </c>
      <c r="B109" s="606" t="s">
        <v>88</v>
      </c>
      <c r="C109" s="607" t="s">
        <v>1185</v>
      </c>
      <c r="D109" s="608" t="s">
        <v>1194</v>
      </c>
      <c r="E109" s="609" t="s">
        <v>87</v>
      </c>
      <c r="F109" s="802">
        <v>13587087</v>
      </c>
      <c r="G109" s="804">
        <v>269129</v>
      </c>
      <c r="H109" s="804">
        <v>0</v>
      </c>
      <c r="I109" s="804">
        <v>116184</v>
      </c>
      <c r="J109" s="804">
        <v>0</v>
      </c>
      <c r="K109" s="804">
        <v>116184</v>
      </c>
      <c r="L109" s="804">
        <v>0</v>
      </c>
      <c r="M109" s="804">
        <v>0</v>
      </c>
      <c r="N109" s="804">
        <v>241131</v>
      </c>
      <c r="O109" s="804">
        <v>241131</v>
      </c>
      <c r="P109" s="804">
        <v>0</v>
      </c>
      <c r="Q109" s="804">
        <v>0</v>
      </c>
      <c r="R109" s="804">
        <v>13498901</v>
      </c>
      <c r="S109" s="804">
        <v>0.5</v>
      </c>
      <c r="T109" s="804">
        <v>0.4</v>
      </c>
      <c r="U109" s="804">
        <v>0.1</v>
      </c>
      <c r="V109" s="804">
        <v>0</v>
      </c>
      <c r="W109" s="804">
        <v>1</v>
      </c>
      <c r="X109" s="804">
        <v>6749451</v>
      </c>
      <c r="Y109" s="804">
        <v>5399560</v>
      </c>
      <c r="Z109" s="804">
        <v>1349890</v>
      </c>
      <c r="AA109" s="804">
        <v>0</v>
      </c>
      <c r="AB109" s="804">
        <v>13498901</v>
      </c>
      <c r="AC109" s="804">
        <v>0</v>
      </c>
      <c r="AD109" s="804">
        <v>0</v>
      </c>
      <c r="AE109" s="804">
        <v>0</v>
      </c>
      <c r="AF109" s="804">
        <v>0</v>
      </c>
      <c r="AG109" s="804">
        <v>0</v>
      </c>
      <c r="AH109" s="804">
        <v>6749451</v>
      </c>
      <c r="AI109" s="804">
        <v>5399560</v>
      </c>
      <c r="AJ109" s="804">
        <v>1349890</v>
      </c>
      <c r="AK109" s="804">
        <v>0</v>
      </c>
      <c r="AL109" s="804">
        <v>13498901</v>
      </c>
      <c r="AM109" s="804">
        <v>116184</v>
      </c>
      <c r="AN109" s="804">
        <v>116184</v>
      </c>
      <c r="AO109" s="804">
        <v>0</v>
      </c>
      <c r="AP109" s="804">
        <v>0</v>
      </c>
      <c r="AQ109" s="804">
        <v>241131</v>
      </c>
      <c r="AR109" s="804">
        <v>0</v>
      </c>
      <c r="AS109" s="804">
        <v>241131</v>
      </c>
      <c r="AT109" s="804">
        <v>0</v>
      </c>
      <c r="AU109" s="804">
        <v>0</v>
      </c>
      <c r="AV109" s="804">
        <v>0</v>
      </c>
      <c r="AW109" s="804">
        <v>0</v>
      </c>
      <c r="AX109" s="804">
        <v>0</v>
      </c>
      <c r="AY109" s="804">
        <v>0</v>
      </c>
      <c r="AZ109" s="804">
        <v>0</v>
      </c>
      <c r="BA109" s="804">
        <v>0</v>
      </c>
      <c r="BB109" s="804">
        <v>0</v>
      </c>
      <c r="BC109" s="804">
        <v>0</v>
      </c>
      <c r="BD109" s="804">
        <v>0</v>
      </c>
      <c r="BE109" s="804">
        <v>0</v>
      </c>
      <c r="BF109" s="804">
        <v>0</v>
      </c>
      <c r="BG109" s="804">
        <v>0</v>
      </c>
      <c r="BH109" s="804">
        <v>0</v>
      </c>
      <c r="BI109" s="804">
        <v>0</v>
      </c>
      <c r="BJ109" s="804">
        <v>0.5</v>
      </c>
      <c r="BK109" s="804">
        <v>0.4</v>
      </c>
      <c r="BL109" s="804">
        <v>0.1</v>
      </c>
      <c r="BM109" s="804">
        <v>0</v>
      </c>
      <c r="BN109" s="804">
        <v>1</v>
      </c>
      <c r="BO109" s="804">
        <v>-158539</v>
      </c>
      <c r="BP109" s="804">
        <v>-126832</v>
      </c>
      <c r="BQ109" s="804">
        <v>-31708</v>
      </c>
      <c r="BR109" s="804">
        <v>0</v>
      </c>
      <c r="BS109" s="804">
        <v>-317079</v>
      </c>
      <c r="BT109" s="804">
        <v>0</v>
      </c>
      <c r="BU109" s="804">
        <v>0.5</v>
      </c>
      <c r="BV109" s="804">
        <v>0.5</v>
      </c>
      <c r="BW109" s="804">
        <v>0</v>
      </c>
      <c r="BX109" s="804">
        <v>1</v>
      </c>
      <c r="BY109" s="804">
        <v>-1</v>
      </c>
      <c r="BZ109" s="804">
        <v>32365</v>
      </c>
      <c r="CA109" s="804">
        <v>32365</v>
      </c>
      <c r="CB109" s="804">
        <v>0</v>
      </c>
      <c r="CC109" s="804">
        <v>64729</v>
      </c>
      <c r="CD109" s="804">
        <v>-158540</v>
      </c>
      <c r="CE109" s="804">
        <v>-94467</v>
      </c>
      <c r="CF109" s="804">
        <v>657</v>
      </c>
      <c r="CG109" s="804">
        <v>0</v>
      </c>
      <c r="CH109" s="804">
        <v>-252350</v>
      </c>
      <c r="CI109" s="804">
        <v>6590911</v>
      </c>
      <c r="CJ109" s="804">
        <v>5662408</v>
      </c>
      <c r="CK109" s="804">
        <v>1350547</v>
      </c>
      <c r="CL109" s="804">
        <v>0</v>
      </c>
      <c r="CM109" s="804">
        <v>13603866</v>
      </c>
      <c r="CN109" s="804">
        <v>226080</v>
      </c>
      <c r="CO109" s="804">
        <v>54104</v>
      </c>
      <c r="CP109" s="804">
        <v>0</v>
      </c>
      <c r="CQ109" s="804">
        <v>280184</v>
      </c>
      <c r="CR109" s="804">
        <v>999083</v>
      </c>
      <c r="CS109" s="804">
        <v>249771</v>
      </c>
      <c r="CT109" s="804">
        <v>0</v>
      </c>
      <c r="CU109" s="804">
        <v>1248854</v>
      </c>
      <c r="CV109" s="804">
        <v>35158</v>
      </c>
      <c r="CW109" s="804">
        <v>8789</v>
      </c>
      <c r="CX109" s="804">
        <v>0</v>
      </c>
      <c r="CY109" s="804">
        <v>43947</v>
      </c>
      <c r="CZ109" s="804">
        <v>0</v>
      </c>
      <c r="DA109" s="804">
        <v>0</v>
      </c>
      <c r="DB109" s="804">
        <v>0</v>
      </c>
      <c r="DC109" s="804">
        <v>0</v>
      </c>
      <c r="DD109" s="804">
        <v>12010</v>
      </c>
      <c r="DE109" s="804">
        <v>3002</v>
      </c>
      <c r="DF109" s="804">
        <v>0</v>
      </c>
      <c r="DG109" s="804">
        <v>15012</v>
      </c>
      <c r="DH109" s="804">
        <v>6477</v>
      </c>
      <c r="DI109" s="804">
        <v>1619</v>
      </c>
      <c r="DJ109" s="804">
        <v>0</v>
      </c>
      <c r="DK109" s="804">
        <v>8096</v>
      </c>
      <c r="DL109" s="804">
        <v>2003</v>
      </c>
      <c r="DM109" s="804">
        <v>501</v>
      </c>
      <c r="DN109" s="804">
        <v>0</v>
      </c>
      <c r="DO109" s="804">
        <v>2504</v>
      </c>
      <c r="DP109" s="804">
        <v>0</v>
      </c>
      <c r="DQ109" s="804">
        <v>0</v>
      </c>
      <c r="DR109" s="804">
        <v>0</v>
      </c>
      <c r="DS109" s="804">
        <v>0</v>
      </c>
      <c r="DT109" s="804">
        <v>0</v>
      </c>
      <c r="DU109" s="804">
        <v>0</v>
      </c>
      <c r="DV109" s="804">
        <v>0</v>
      </c>
      <c r="DW109" s="804">
        <v>0</v>
      </c>
      <c r="DX109" s="804">
        <v>93486</v>
      </c>
      <c r="DY109" s="804">
        <v>23371</v>
      </c>
      <c r="DZ109" s="804">
        <v>0</v>
      </c>
      <c r="EA109" s="804">
        <v>116857</v>
      </c>
      <c r="EB109" s="804">
        <v>1374297</v>
      </c>
      <c r="EC109" s="804">
        <v>341157</v>
      </c>
      <c r="ED109" s="804">
        <v>0</v>
      </c>
      <c r="EE109" s="804">
        <v>1715454</v>
      </c>
      <c r="EF109" s="604" t="s">
        <v>87</v>
      </c>
      <c r="EG109" s="497" t="s">
        <v>571</v>
      </c>
      <c r="EH109" s="630" t="s">
        <v>551</v>
      </c>
      <c r="EI109" s="118" t="s">
        <v>1760</v>
      </c>
    </row>
    <row r="110" spans="1:139" ht="12.75" x14ac:dyDescent="0.2">
      <c r="A110" s="805">
        <v>103</v>
      </c>
      <c r="B110" s="606" t="s">
        <v>90</v>
      </c>
      <c r="C110" s="607" t="s">
        <v>1185</v>
      </c>
      <c r="D110" s="608" t="s">
        <v>1187</v>
      </c>
      <c r="E110" s="609" t="s">
        <v>89</v>
      </c>
      <c r="F110" s="802">
        <v>25434746</v>
      </c>
      <c r="G110" s="804">
        <v>21177</v>
      </c>
      <c r="H110" s="804">
        <v>0</v>
      </c>
      <c r="I110" s="804">
        <v>110908</v>
      </c>
      <c r="J110" s="804">
        <v>0</v>
      </c>
      <c r="K110" s="804">
        <v>110908</v>
      </c>
      <c r="L110" s="804">
        <v>0</v>
      </c>
      <c r="M110" s="804">
        <v>0</v>
      </c>
      <c r="N110" s="804">
        <v>59642</v>
      </c>
      <c r="O110" s="804">
        <v>59642</v>
      </c>
      <c r="P110" s="804">
        <v>0</v>
      </c>
      <c r="Q110" s="804">
        <v>26368</v>
      </c>
      <c r="R110" s="804">
        <v>25259005</v>
      </c>
      <c r="S110" s="804">
        <v>0.5</v>
      </c>
      <c r="T110" s="804">
        <v>0.4</v>
      </c>
      <c r="U110" s="804">
        <v>0.09</v>
      </c>
      <c r="V110" s="804">
        <v>0.01</v>
      </c>
      <c r="W110" s="804">
        <v>1</v>
      </c>
      <c r="X110" s="804">
        <v>12629503</v>
      </c>
      <c r="Y110" s="804">
        <v>10103602</v>
      </c>
      <c r="Z110" s="804">
        <v>2273310</v>
      </c>
      <c r="AA110" s="804">
        <v>252590</v>
      </c>
      <c r="AB110" s="804">
        <v>25259005</v>
      </c>
      <c r="AC110" s="804">
        <v>292339</v>
      </c>
      <c r="AD110" s="804">
        <v>0</v>
      </c>
      <c r="AE110" s="804">
        <v>0</v>
      </c>
      <c r="AF110" s="804">
        <v>0</v>
      </c>
      <c r="AG110" s="804">
        <v>292339</v>
      </c>
      <c r="AH110" s="804">
        <v>12337164</v>
      </c>
      <c r="AI110" s="804">
        <v>10103602</v>
      </c>
      <c r="AJ110" s="804">
        <v>2273310</v>
      </c>
      <c r="AK110" s="804">
        <v>252590</v>
      </c>
      <c r="AL110" s="804">
        <v>24966666</v>
      </c>
      <c r="AM110" s="804">
        <v>110908</v>
      </c>
      <c r="AN110" s="804">
        <v>110908</v>
      </c>
      <c r="AO110" s="804">
        <v>0</v>
      </c>
      <c r="AP110" s="804">
        <v>0</v>
      </c>
      <c r="AQ110" s="804">
        <v>59642</v>
      </c>
      <c r="AR110" s="804">
        <v>0</v>
      </c>
      <c r="AS110" s="804">
        <v>59642</v>
      </c>
      <c r="AT110" s="804">
        <v>10547.2</v>
      </c>
      <c r="AU110" s="804">
        <v>15557.119999999999</v>
      </c>
      <c r="AV110" s="804">
        <v>263.68</v>
      </c>
      <c r="AW110" s="804">
        <v>26368</v>
      </c>
      <c r="AX110" s="804">
        <v>292339</v>
      </c>
      <c r="AY110" s="804">
        <v>0</v>
      </c>
      <c r="AZ110" s="804">
        <v>0</v>
      </c>
      <c r="BA110" s="804">
        <v>292339</v>
      </c>
      <c r="BB110" s="804">
        <v>0</v>
      </c>
      <c r="BC110" s="804">
        <v>0</v>
      </c>
      <c r="BD110" s="804">
        <v>0</v>
      </c>
      <c r="BE110" s="804">
        <v>0</v>
      </c>
      <c r="BF110" s="804">
        <v>0</v>
      </c>
      <c r="BG110" s="804">
        <v>0</v>
      </c>
      <c r="BH110" s="804">
        <v>0</v>
      </c>
      <c r="BI110" s="804">
        <v>0</v>
      </c>
      <c r="BJ110" s="804">
        <v>0.25</v>
      </c>
      <c r="BK110" s="804">
        <v>0.56000000000000005</v>
      </c>
      <c r="BL110" s="804">
        <v>0.17499999999999999</v>
      </c>
      <c r="BM110" s="804">
        <v>1.4999999999999999E-2</v>
      </c>
      <c r="BN110" s="804">
        <v>1</v>
      </c>
      <c r="BO110" s="804">
        <v>25910</v>
      </c>
      <c r="BP110" s="804">
        <v>58040</v>
      </c>
      <c r="BQ110" s="804">
        <v>18138</v>
      </c>
      <c r="BR110" s="804">
        <v>1555</v>
      </c>
      <c r="BS110" s="804">
        <v>103643</v>
      </c>
      <c r="BT110" s="804">
        <v>0.5</v>
      </c>
      <c r="BU110" s="804">
        <v>0.4</v>
      </c>
      <c r="BV110" s="804">
        <v>0.09</v>
      </c>
      <c r="BW110" s="804">
        <v>0.01</v>
      </c>
      <c r="BX110" s="804">
        <v>1</v>
      </c>
      <c r="BY110" s="804">
        <v>146190</v>
      </c>
      <c r="BZ110" s="804">
        <v>116952</v>
      </c>
      <c r="CA110" s="804">
        <v>26314</v>
      </c>
      <c r="CB110" s="804">
        <v>2924</v>
      </c>
      <c r="CC110" s="804">
        <v>292380</v>
      </c>
      <c r="CD110" s="804">
        <v>172100</v>
      </c>
      <c r="CE110" s="804">
        <v>174992</v>
      </c>
      <c r="CF110" s="804">
        <v>44452</v>
      </c>
      <c r="CG110" s="804">
        <v>4479</v>
      </c>
      <c r="CH110" s="804">
        <v>396023</v>
      </c>
      <c r="CI110" s="804">
        <v>12509264</v>
      </c>
      <c r="CJ110" s="804">
        <v>10752030</v>
      </c>
      <c r="CK110" s="804">
        <v>2333319</v>
      </c>
      <c r="CL110" s="804">
        <v>257333</v>
      </c>
      <c r="CM110" s="804">
        <v>25851946</v>
      </c>
      <c r="CN110" s="804">
        <v>419484</v>
      </c>
      <c r="CO110" s="804">
        <v>91738</v>
      </c>
      <c r="CP110" s="804">
        <v>10134</v>
      </c>
      <c r="CQ110" s="804">
        <v>521356</v>
      </c>
      <c r="CR110" s="804">
        <v>1072164</v>
      </c>
      <c r="CS110" s="804">
        <v>234564</v>
      </c>
      <c r="CT110" s="804">
        <v>26063</v>
      </c>
      <c r="CU110" s="804">
        <v>1332791</v>
      </c>
      <c r="CV110" s="804">
        <v>53906</v>
      </c>
      <c r="CW110" s="804">
        <v>10214</v>
      </c>
      <c r="CX110" s="804">
        <v>1135</v>
      </c>
      <c r="CY110" s="804">
        <v>65255</v>
      </c>
      <c r="CZ110" s="804">
        <v>1516</v>
      </c>
      <c r="DA110" s="804">
        <v>341</v>
      </c>
      <c r="DB110" s="804">
        <v>38</v>
      </c>
      <c r="DC110" s="804">
        <v>1895</v>
      </c>
      <c r="DD110" s="804">
        <v>1842</v>
      </c>
      <c r="DE110" s="804">
        <v>415</v>
      </c>
      <c r="DF110" s="804">
        <v>46</v>
      </c>
      <c r="DG110" s="804">
        <v>2303</v>
      </c>
      <c r="DH110" s="804">
        <v>6000</v>
      </c>
      <c r="DI110" s="804">
        <v>1350</v>
      </c>
      <c r="DJ110" s="804">
        <v>150</v>
      </c>
      <c r="DK110" s="804">
        <v>7500</v>
      </c>
      <c r="DL110" s="804">
        <v>1497</v>
      </c>
      <c r="DM110" s="804">
        <v>337</v>
      </c>
      <c r="DN110" s="804">
        <v>37</v>
      </c>
      <c r="DO110" s="804">
        <v>1871</v>
      </c>
      <c r="DP110" s="804">
        <v>0</v>
      </c>
      <c r="DQ110" s="804">
        <v>0</v>
      </c>
      <c r="DR110" s="804">
        <v>0</v>
      </c>
      <c r="DS110" s="804">
        <v>0</v>
      </c>
      <c r="DT110" s="804">
        <v>0</v>
      </c>
      <c r="DU110" s="804">
        <v>0</v>
      </c>
      <c r="DV110" s="804">
        <v>0</v>
      </c>
      <c r="DW110" s="804">
        <v>0</v>
      </c>
      <c r="DX110" s="804">
        <v>368575</v>
      </c>
      <c r="DY110" s="804">
        <v>82929</v>
      </c>
      <c r="DZ110" s="804">
        <v>9214</v>
      </c>
      <c r="EA110" s="804">
        <v>460718</v>
      </c>
      <c r="EB110" s="804">
        <v>1924984</v>
      </c>
      <c r="EC110" s="804">
        <v>421888</v>
      </c>
      <c r="ED110" s="804">
        <v>46817</v>
      </c>
      <c r="EE110" s="804">
        <v>2393689</v>
      </c>
      <c r="EF110" s="604" t="s">
        <v>89</v>
      </c>
      <c r="EG110" s="497" t="s">
        <v>590</v>
      </c>
      <c r="EH110" s="630" t="s">
        <v>588</v>
      </c>
      <c r="EI110" s="118" t="s">
        <v>1761</v>
      </c>
    </row>
    <row r="111" spans="1:139" ht="12.75" x14ac:dyDescent="0.2">
      <c r="A111" s="805">
        <v>104</v>
      </c>
      <c r="B111" s="606" t="s">
        <v>92</v>
      </c>
      <c r="C111" s="607" t="s">
        <v>1192</v>
      </c>
      <c r="D111" s="608" t="s">
        <v>1197</v>
      </c>
      <c r="E111" s="609" t="s">
        <v>91</v>
      </c>
      <c r="F111" s="802">
        <v>83019332</v>
      </c>
      <c r="G111" s="804">
        <v>0</v>
      </c>
      <c r="H111" s="804">
        <v>869120</v>
      </c>
      <c r="I111" s="804">
        <v>273210</v>
      </c>
      <c r="J111" s="804">
        <v>0</v>
      </c>
      <c r="K111" s="804">
        <v>273210</v>
      </c>
      <c r="L111" s="804">
        <v>0</v>
      </c>
      <c r="M111" s="804">
        <v>958189</v>
      </c>
      <c r="N111" s="804">
        <v>0</v>
      </c>
      <c r="O111" s="804">
        <v>0</v>
      </c>
      <c r="P111" s="804">
        <v>0</v>
      </c>
      <c r="Q111" s="804">
        <v>0</v>
      </c>
      <c r="R111" s="804">
        <v>80918813</v>
      </c>
      <c r="S111" s="804">
        <v>0.5</v>
      </c>
      <c r="T111" s="804">
        <v>0.49</v>
      </c>
      <c r="U111" s="804">
        <v>0</v>
      </c>
      <c r="V111" s="804">
        <v>0.01</v>
      </c>
      <c r="W111" s="804">
        <v>1</v>
      </c>
      <c r="X111" s="804">
        <v>40459407</v>
      </c>
      <c r="Y111" s="804">
        <v>39650218</v>
      </c>
      <c r="Z111" s="804">
        <v>0</v>
      </c>
      <c r="AA111" s="804">
        <v>809188</v>
      </c>
      <c r="AB111" s="804">
        <v>80918813</v>
      </c>
      <c r="AC111" s="804">
        <v>0</v>
      </c>
      <c r="AD111" s="804">
        <v>0</v>
      </c>
      <c r="AE111" s="804">
        <v>0</v>
      </c>
      <c r="AF111" s="804">
        <v>0</v>
      </c>
      <c r="AG111" s="804">
        <v>0</v>
      </c>
      <c r="AH111" s="804">
        <v>40459407</v>
      </c>
      <c r="AI111" s="804">
        <v>39650218</v>
      </c>
      <c r="AJ111" s="804">
        <v>0</v>
      </c>
      <c r="AK111" s="804">
        <v>809188</v>
      </c>
      <c r="AL111" s="804">
        <v>80918813</v>
      </c>
      <c r="AM111" s="804">
        <v>273210</v>
      </c>
      <c r="AN111" s="804">
        <v>273210</v>
      </c>
      <c r="AO111" s="804">
        <v>958189</v>
      </c>
      <c r="AP111" s="804">
        <v>958189</v>
      </c>
      <c r="AQ111" s="804">
        <v>0</v>
      </c>
      <c r="AR111" s="804">
        <v>0</v>
      </c>
      <c r="AS111" s="804">
        <v>0</v>
      </c>
      <c r="AT111" s="804">
        <v>0</v>
      </c>
      <c r="AU111" s="804">
        <v>0</v>
      </c>
      <c r="AV111" s="804">
        <v>0</v>
      </c>
      <c r="AW111" s="804">
        <v>0</v>
      </c>
      <c r="AX111" s="804">
        <v>0</v>
      </c>
      <c r="AY111" s="804">
        <v>0</v>
      </c>
      <c r="AZ111" s="804">
        <v>0</v>
      </c>
      <c r="BA111" s="804">
        <v>0</v>
      </c>
      <c r="BB111" s="804">
        <v>0</v>
      </c>
      <c r="BC111" s="804">
        <v>0</v>
      </c>
      <c r="BD111" s="804">
        <v>0</v>
      </c>
      <c r="BE111" s="804">
        <v>0</v>
      </c>
      <c r="BF111" s="804">
        <v>0</v>
      </c>
      <c r="BG111" s="804">
        <v>0</v>
      </c>
      <c r="BH111" s="804">
        <v>0</v>
      </c>
      <c r="BI111" s="804">
        <v>0</v>
      </c>
      <c r="BJ111" s="804">
        <v>0.5</v>
      </c>
      <c r="BK111" s="804">
        <v>0.49</v>
      </c>
      <c r="BL111" s="804">
        <v>0</v>
      </c>
      <c r="BM111" s="804">
        <v>0.01</v>
      </c>
      <c r="BN111" s="804">
        <v>1</v>
      </c>
      <c r="BO111" s="804">
        <v>2341448</v>
      </c>
      <c r="BP111" s="804">
        <v>2294620</v>
      </c>
      <c r="BQ111" s="804">
        <v>0</v>
      </c>
      <c r="BR111" s="804">
        <v>46829</v>
      </c>
      <c r="BS111" s="804">
        <v>4682897</v>
      </c>
      <c r="BT111" s="804">
        <v>0.5</v>
      </c>
      <c r="BU111" s="804">
        <v>0.49</v>
      </c>
      <c r="BV111" s="804">
        <v>0</v>
      </c>
      <c r="BW111" s="804">
        <v>0.01</v>
      </c>
      <c r="BX111" s="804">
        <v>1</v>
      </c>
      <c r="BY111" s="804">
        <v>283225</v>
      </c>
      <c r="BZ111" s="804">
        <v>277560</v>
      </c>
      <c r="CA111" s="804">
        <v>0</v>
      </c>
      <c r="CB111" s="804">
        <v>5664</v>
      </c>
      <c r="CC111" s="804">
        <v>566449</v>
      </c>
      <c r="CD111" s="804">
        <v>2624673</v>
      </c>
      <c r="CE111" s="804">
        <v>2572180</v>
      </c>
      <c r="CF111" s="804">
        <v>0</v>
      </c>
      <c r="CG111" s="804">
        <v>52493</v>
      </c>
      <c r="CH111" s="804">
        <v>5249346</v>
      </c>
      <c r="CI111" s="804">
        <v>43084080</v>
      </c>
      <c r="CJ111" s="804">
        <v>43453797</v>
      </c>
      <c r="CK111" s="804">
        <v>0</v>
      </c>
      <c r="CL111" s="804">
        <v>861681</v>
      </c>
      <c r="CM111" s="804">
        <v>87399558</v>
      </c>
      <c r="CN111" s="804">
        <v>1627591</v>
      </c>
      <c r="CO111" s="804">
        <v>0</v>
      </c>
      <c r="CP111" s="804">
        <v>32432</v>
      </c>
      <c r="CQ111" s="804">
        <v>1660023</v>
      </c>
      <c r="CR111" s="804">
        <v>2642154</v>
      </c>
      <c r="CS111" s="804">
        <v>0</v>
      </c>
      <c r="CT111" s="804">
        <v>52209</v>
      </c>
      <c r="CU111" s="804">
        <v>2694363</v>
      </c>
      <c r="CV111" s="804">
        <v>179470</v>
      </c>
      <c r="CW111" s="804">
        <v>0</v>
      </c>
      <c r="CX111" s="804">
        <v>3519</v>
      </c>
      <c r="CY111" s="804">
        <v>182989</v>
      </c>
      <c r="CZ111" s="804">
        <v>2607</v>
      </c>
      <c r="DA111" s="804">
        <v>0</v>
      </c>
      <c r="DB111" s="804">
        <v>53</v>
      </c>
      <c r="DC111" s="804">
        <v>2660</v>
      </c>
      <c r="DD111" s="804">
        <v>6439</v>
      </c>
      <c r="DE111" s="804">
        <v>0</v>
      </c>
      <c r="DF111" s="804">
        <v>131</v>
      </c>
      <c r="DG111" s="804">
        <v>6570</v>
      </c>
      <c r="DH111" s="804">
        <v>23192</v>
      </c>
      <c r="DI111" s="804">
        <v>0</v>
      </c>
      <c r="DJ111" s="804">
        <v>473</v>
      </c>
      <c r="DK111" s="804">
        <v>23665</v>
      </c>
      <c r="DL111" s="804">
        <v>5770</v>
      </c>
      <c r="DM111" s="804">
        <v>0</v>
      </c>
      <c r="DN111" s="804">
        <v>109</v>
      </c>
      <c r="DO111" s="804">
        <v>5879</v>
      </c>
      <c r="DP111" s="804">
        <v>0</v>
      </c>
      <c r="DQ111" s="804">
        <v>0</v>
      </c>
      <c r="DR111" s="804">
        <v>0</v>
      </c>
      <c r="DS111" s="804">
        <v>0</v>
      </c>
      <c r="DT111" s="804">
        <v>0</v>
      </c>
      <c r="DU111" s="804">
        <v>0</v>
      </c>
      <c r="DV111" s="804">
        <v>0</v>
      </c>
      <c r="DW111" s="804">
        <v>0</v>
      </c>
      <c r="DX111" s="804">
        <v>642619</v>
      </c>
      <c r="DY111" s="804">
        <v>0</v>
      </c>
      <c r="DZ111" s="804">
        <v>12659</v>
      </c>
      <c r="EA111" s="804">
        <v>655278</v>
      </c>
      <c r="EB111" s="804">
        <v>5129842</v>
      </c>
      <c r="EC111" s="804">
        <v>0</v>
      </c>
      <c r="ED111" s="804">
        <v>101585</v>
      </c>
      <c r="EE111" s="804">
        <v>5231427</v>
      </c>
      <c r="EF111" s="604" t="s">
        <v>91</v>
      </c>
      <c r="EG111" s="497" t="s">
        <v>616</v>
      </c>
      <c r="EH111" s="630" t="s">
        <v>620</v>
      </c>
      <c r="EI111" s="118" t="s">
        <v>1762</v>
      </c>
    </row>
    <row r="112" spans="1:139" ht="12.75" x14ac:dyDescent="0.2">
      <c r="A112" s="805">
        <v>105</v>
      </c>
      <c r="B112" s="606" t="s">
        <v>94</v>
      </c>
      <c r="C112" s="607" t="s">
        <v>1185</v>
      </c>
      <c r="D112" s="608" t="s">
        <v>1188</v>
      </c>
      <c r="E112" s="609" t="s">
        <v>93</v>
      </c>
      <c r="F112" s="802">
        <v>22674862.18</v>
      </c>
      <c r="G112" s="804">
        <v>125321.29000000001</v>
      </c>
      <c r="H112" s="804">
        <v>0</v>
      </c>
      <c r="I112" s="804">
        <v>96995</v>
      </c>
      <c r="J112" s="804">
        <v>0</v>
      </c>
      <c r="K112" s="804">
        <v>96995</v>
      </c>
      <c r="L112" s="804">
        <v>0</v>
      </c>
      <c r="M112" s="804">
        <v>0</v>
      </c>
      <c r="N112" s="804">
        <v>200072</v>
      </c>
      <c r="O112" s="804">
        <v>46131</v>
      </c>
      <c r="P112" s="804">
        <v>153941</v>
      </c>
      <c r="Q112" s="804">
        <v>0</v>
      </c>
      <c r="R112" s="804">
        <v>22503116</v>
      </c>
      <c r="S112" s="804">
        <v>0.5</v>
      </c>
      <c r="T112" s="804">
        <v>0.4</v>
      </c>
      <c r="U112" s="804">
        <v>0.09</v>
      </c>
      <c r="V112" s="804">
        <v>0.01</v>
      </c>
      <c r="W112" s="804">
        <v>1</v>
      </c>
      <c r="X112" s="804">
        <v>11251559</v>
      </c>
      <c r="Y112" s="804">
        <v>9001246</v>
      </c>
      <c r="Z112" s="804">
        <v>2025280</v>
      </c>
      <c r="AA112" s="804">
        <v>225031</v>
      </c>
      <c r="AB112" s="804">
        <v>22503116</v>
      </c>
      <c r="AC112" s="804">
        <v>0</v>
      </c>
      <c r="AD112" s="804">
        <v>0</v>
      </c>
      <c r="AE112" s="804">
        <v>0</v>
      </c>
      <c r="AF112" s="804">
        <v>0</v>
      </c>
      <c r="AG112" s="804">
        <v>0</v>
      </c>
      <c r="AH112" s="804">
        <v>11251559</v>
      </c>
      <c r="AI112" s="804">
        <v>9001246</v>
      </c>
      <c r="AJ112" s="804">
        <v>2025280</v>
      </c>
      <c r="AK112" s="804">
        <v>225031</v>
      </c>
      <c r="AL112" s="804">
        <v>22503116</v>
      </c>
      <c r="AM112" s="804">
        <v>96995</v>
      </c>
      <c r="AN112" s="804">
        <v>96995</v>
      </c>
      <c r="AO112" s="804">
        <v>0</v>
      </c>
      <c r="AP112" s="804">
        <v>0</v>
      </c>
      <c r="AQ112" s="804">
        <v>46131</v>
      </c>
      <c r="AR112" s="804">
        <v>153941</v>
      </c>
      <c r="AS112" s="804">
        <v>200072</v>
      </c>
      <c r="AT112" s="804">
        <v>0</v>
      </c>
      <c r="AU112" s="804">
        <v>0</v>
      </c>
      <c r="AV112" s="804">
        <v>0</v>
      </c>
      <c r="AW112" s="804">
        <v>0</v>
      </c>
      <c r="AX112" s="804">
        <v>0</v>
      </c>
      <c r="AY112" s="804">
        <v>0</v>
      </c>
      <c r="AZ112" s="804">
        <v>0</v>
      </c>
      <c r="BA112" s="804">
        <v>0</v>
      </c>
      <c r="BB112" s="804">
        <v>0</v>
      </c>
      <c r="BC112" s="804">
        <v>0</v>
      </c>
      <c r="BD112" s="804">
        <v>0</v>
      </c>
      <c r="BE112" s="804">
        <v>0</v>
      </c>
      <c r="BF112" s="804">
        <v>0</v>
      </c>
      <c r="BG112" s="804">
        <v>0</v>
      </c>
      <c r="BH112" s="804">
        <v>0</v>
      </c>
      <c r="BI112" s="804">
        <v>0</v>
      </c>
      <c r="BJ112" s="804">
        <v>0.5</v>
      </c>
      <c r="BK112" s="804">
        <v>0.4</v>
      </c>
      <c r="BL112" s="804">
        <v>0.09</v>
      </c>
      <c r="BM112" s="804">
        <v>0.01</v>
      </c>
      <c r="BN112" s="804">
        <v>1</v>
      </c>
      <c r="BO112" s="804">
        <v>-469657.0000000014</v>
      </c>
      <c r="BP112" s="804">
        <v>-375725</v>
      </c>
      <c r="BQ112" s="804">
        <v>-84538</v>
      </c>
      <c r="BR112" s="804">
        <v>-9393</v>
      </c>
      <c r="BS112" s="804">
        <v>-939313.0000000014</v>
      </c>
      <c r="BT112" s="804">
        <v>0.5</v>
      </c>
      <c r="BU112" s="804">
        <v>0.4</v>
      </c>
      <c r="BV112" s="804">
        <v>0.09</v>
      </c>
      <c r="BW112" s="804">
        <v>0.01</v>
      </c>
      <c r="BX112" s="804">
        <v>1</v>
      </c>
      <c r="BY112" s="804">
        <v>75236.009999999311</v>
      </c>
      <c r="BZ112" s="804">
        <v>60189</v>
      </c>
      <c r="CA112" s="804">
        <v>13543</v>
      </c>
      <c r="CB112" s="804">
        <v>1505</v>
      </c>
      <c r="CC112" s="804">
        <v>150473.00999999931</v>
      </c>
      <c r="CD112" s="804">
        <v>-394421</v>
      </c>
      <c r="CE112" s="804">
        <v>-315536</v>
      </c>
      <c r="CF112" s="804">
        <v>-70995</v>
      </c>
      <c r="CG112" s="804">
        <v>-7888</v>
      </c>
      <c r="CH112" s="804">
        <v>-788839.99000000209</v>
      </c>
      <c r="CI112" s="804">
        <v>10857138</v>
      </c>
      <c r="CJ112" s="804">
        <v>8828836</v>
      </c>
      <c r="CK112" s="804">
        <v>2108226</v>
      </c>
      <c r="CL112" s="804">
        <v>217143</v>
      </c>
      <c r="CM112" s="804">
        <v>22011343</v>
      </c>
      <c r="CN112" s="804">
        <v>362620</v>
      </c>
      <c r="CO112" s="804">
        <v>87344</v>
      </c>
      <c r="CP112" s="804">
        <v>9019</v>
      </c>
      <c r="CQ112" s="804">
        <v>458983</v>
      </c>
      <c r="CR112" s="804">
        <v>860180</v>
      </c>
      <c r="CS112" s="804">
        <v>193540</v>
      </c>
      <c r="CT112" s="804">
        <v>21504</v>
      </c>
      <c r="CU112" s="804">
        <v>1075224</v>
      </c>
      <c r="CV112" s="804">
        <v>52821</v>
      </c>
      <c r="CW112" s="804">
        <v>11692</v>
      </c>
      <c r="CX112" s="804">
        <v>1299</v>
      </c>
      <c r="CY112" s="804">
        <v>65812</v>
      </c>
      <c r="CZ112" s="804">
        <v>0</v>
      </c>
      <c r="DA112" s="804">
        <v>0</v>
      </c>
      <c r="DB112" s="804">
        <v>0</v>
      </c>
      <c r="DC112" s="804">
        <v>0</v>
      </c>
      <c r="DD112" s="804">
        <v>0</v>
      </c>
      <c r="DE112" s="804">
        <v>0</v>
      </c>
      <c r="DF112" s="804">
        <v>0</v>
      </c>
      <c r="DG112" s="804">
        <v>0</v>
      </c>
      <c r="DH112" s="804">
        <v>5617</v>
      </c>
      <c r="DI112" s="804">
        <v>1264</v>
      </c>
      <c r="DJ112" s="804">
        <v>140</v>
      </c>
      <c r="DK112" s="804">
        <v>7021</v>
      </c>
      <c r="DL112" s="804">
        <v>2496</v>
      </c>
      <c r="DM112" s="804">
        <v>562</v>
      </c>
      <c r="DN112" s="804">
        <v>62</v>
      </c>
      <c r="DO112" s="804">
        <v>3120</v>
      </c>
      <c r="DP112" s="804">
        <v>0</v>
      </c>
      <c r="DQ112" s="804">
        <v>0</v>
      </c>
      <c r="DR112" s="804">
        <v>0</v>
      </c>
      <c r="DS112" s="804">
        <v>0</v>
      </c>
      <c r="DT112" s="804">
        <v>0</v>
      </c>
      <c r="DU112" s="804">
        <v>0</v>
      </c>
      <c r="DV112" s="804">
        <v>0</v>
      </c>
      <c r="DW112" s="804">
        <v>0</v>
      </c>
      <c r="DX112" s="804">
        <v>376699</v>
      </c>
      <c r="DY112" s="804">
        <v>84758</v>
      </c>
      <c r="DZ112" s="804">
        <v>9418</v>
      </c>
      <c r="EA112" s="804">
        <v>470875</v>
      </c>
      <c r="EB112" s="804">
        <v>1660433</v>
      </c>
      <c r="EC112" s="804">
        <v>379160</v>
      </c>
      <c r="ED112" s="804">
        <v>41442</v>
      </c>
      <c r="EE112" s="804">
        <v>2081035</v>
      </c>
      <c r="EF112" s="604" t="s">
        <v>93</v>
      </c>
      <c r="EG112" s="497" t="s">
        <v>603</v>
      </c>
      <c r="EH112" s="630" t="s">
        <v>602</v>
      </c>
      <c r="EI112" s="118" t="s">
        <v>1763</v>
      </c>
    </row>
    <row r="113" spans="1:139" ht="12.75" x14ac:dyDescent="0.2">
      <c r="A113" s="805">
        <v>106</v>
      </c>
      <c r="B113" s="606" t="s">
        <v>96</v>
      </c>
      <c r="C113" s="607" t="s">
        <v>1185</v>
      </c>
      <c r="D113" s="608" t="s">
        <v>1194</v>
      </c>
      <c r="E113" s="609" t="s">
        <v>95</v>
      </c>
      <c r="F113" s="802">
        <v>55590567</v>
      </c>
      <c r="G113" s="804">
        <v>0</v>
      </c>
      <c r="H113" s="804">
        <v>579180</v>
      </c>
      <c r="I113" s="804">
        <v>170614</v>
      </c>
      <c r="J113" s="804">
        <v>0</v>
      </c>
      <c r="K113" s="804">
        <v>170614</v>
      </c>
      <c r="L113" s="804">
        <v>0</v>
      </c>
      <c r="M113" s="804">
        <v>0</v>
      </c>
      <c r="N113" s="804">
        <v>0</v>
      </c>
      <c r="O113" s="804">
        <v>0</v>
      </c>
      <c r="P113" s="804">
        <v>0</v>
      </c>
      <c r="Q113" s="804">
        <v>0</v>
      </c>
      <c r="R113" s="804">
        <v>54840773</v>
      </c>
      <c r="S113" s="804">
        <v>0.5</v>
      </c>
      <c r="T113" s="804">
        <v>0.4</v>
      </c>
      <c r="U113" s="804">
        <v>0.1</v>
      </c>
      <c r="V113" s="804">
        <v>0</v>
      </c>
      <c r="W113" s="804">
        <v>1</v>
      </c>
      <c r="X113" s="804">
        <v>27420387</v>
      </c>
      <c r="Y113" s="804">
        <v>21936309</v>
      </c>
      <c r="Z113" s="804">
        <v>5484077</v>
      </c>
      <c r="AA113" s="804">
        <v>0</v>
      </c>
      <c r="AB113" s="804">
        <v>54840773</v>
      </c>
      <c r="AC113" s="804">
        <v>0</v>
      </c>
      <c r="AD113" s="804">
        <v>0</v>
      </c>
      <c r="AE113" s="804">
        <v>0</v>
      </c>
      <c r="AF113" s="804">
        <v>0</v>
      </c>
      <c r="AG113" s="804">
        <v>0</v>
      </c>
      <c r="AH113" s="804">
        <v>27420387</v>
      </c>
      <c r="AI113" s="804">
        <v>21936309</v>
      </c>
      <c r="AJ113" s="804">
        <v>5484077</v>
      </c>
      <c r="AK113" s="804">
        <v>0</v>
      </c>
      <c r="AL113" s="804">
        <v>54840773</v>
      </c>
      <c r="AM113" s="804">
        <v>170614</v>
      </c>
      <c r="AN113" s="804">
        <v>170614</v>
      </c>
      <c r="AO113" s="804">
        <v>0</v>
      </c>
      <c r="AP113" s="804">
        <v>0</v>
      </c>
      <c r="AQ113" s="804">
        <v>0</v>
      </c>
      <c r="AR113" s="804">
        <v>0</v>
      </c>
      <c r="AS113" s="804">
        <v>0</v>
      </c>
      <c r="AT113" s="804">
        <v>0</v>
      </c>
      <c r="AU113" s="804">
        <v>0</v>
      </c>
      <c r="AV113" s="804">
        <v>0</v>
      </c>
      <c r="AW113" s="804">
        <v>0</v>
      </c>
      <c r="AX113" s="804">
        <v>0</v>
      </c>
      <c r="AY113" s="804">
        <v>0</v>
      </c>
      <c r="AZ113" s="804">
        <v>0</v>
      </c>
      <c r="BA113" s="804">
        <v>0</v>
      </c>
      <c r="BB113" s="804">
        <v>0</v>
      </c>
      <c r="BC113" s="804">
        <v>0</v>
      </c>
      <c r="BD113" s="804">
        <v>0</v>
      </c>
      <c r="BE113" s="804">
        <v>0</v>
      </c>
      <c r="BF113" s="804">
        <v>0</v>
      </c>
      <c r="BG113" s="804">
        <v>0</v>
      </c>
      <c r="BH113" s="804">
        <v>0</v>
      </c>
      <c r="BI113" s="804">
        <v>0</v>
      </c>
      <c r="BJ113" s="804">
        <v>0.5</v>
      </c>
      <c r="BK113" s="804">
        <v>0.4</v>
      </c>
      <c r="BL113" s="804">
        <v>0.1</v>
      </c>
      <c r="BM113" s="804">
        <v>0</v>
      </c>
      <c r="BN113" s="804">
        <v>1</v>
      </c>
      <c r="BO113" s="804">
        <v>505935</v>
      </c>
      <c r="BP113" s="804">
        <v>404748</v>
      </c>
      <c r="BQ113" s="804">
        <v>101187</v>
      </c>
      <c r="BR113" s="804">
        <v>0</v>
      </c>
      <c r="BS113" s="804">
        <v>1011870</v>
      </c>
      <c r="BT113" s="804">
        <v>0</v>
      </c>
      <c r="BU113" s="804">
        <v>0.5</v>
      </c>
      <c r="BV113" s="804">
        <v>0.5</v>
      </c>
      <c r="BW113" s="804">
        <v>0</v>
      </c>
      <c r="BX113" s="804">
        <v>1</v>
      </c>
      <c r="BY113" s="804">
        <v>0</v>
      </c>
      <c r="BZ113" s="804">
        <v>-276645</v>
      </c>
      <c r="CA113" s="804">
        <v>-276645</v>
      </c>
      <c r="CB113" s="804">
        <v>0</v>
      </c>
      <c r="CC113" s="804">
        <v>-553290</v>
      </c>
      <c r="CD113" s="804">
        <v>505935</v>
      </c>
      <c r="CE113" s="804">
        <v>128103</v>
      </c>
      <c r="CF113" s="804">
        <v>-175458</v>
      </c>
      <c r="CG113" s="804">
        <v>0</v>
      </c>
      <c r="CH113" s="804">
        <v>458580</v>
      </c>
      <c r="CI113" s="804">
        <v>27926322</v>
      </c>
      <c r="CJ113" s="804">
        <v>22235026</v>
      </c>
      <c r="CK113" s="804">
        <v>5308619</v>
      </c>
      <c r="CL113" s="804">
        <v>0</v>
      </c>
      <c r="CM113" s="804">
        <v>55469967</v>
      </c>
      <c r="CN113" s="804">
        <v>879211</v>
      </c>
      <c r="CO113" s="804">
        <v>219803</v>
      </c>
      <c r="CP113" s="804">
        <v>0</v>
      </c>
      <c r="CQ113" s="804">
        <v>1099014</v>
      </c>
      <c r="CR113" s="804">
        <v>921247</v>
      </c>
      <c r="CS113" s="804">
        <v>230312</v>
      </c>
      <c r="CT113" s="804">
        <v>0</v>
      </c>
      <c r="CU113" s="804">
        <v>1151559</v>
      </c>
      <c r="CV113" s="804">
        <v>93625</v>
      </c>
      <c r="CW113" s="804">
        <v>23406</v>
      </c>
      <c r="CX113" s="804">
        <v>0</v>
      </c>
      <c r="CY113" s="804">
        <v>117031</v>
      </c>
      <c r="CZ113" s="804">
        <v>4160</v>
      </c>
      <c r="DA113" s="804">
        <v>1040</v>
      </c>
      <c r="DB113" s="804">
        <v>0</v>
      </c>
      <c r="DC113" s="804">
        <v>5200</v>
      </c>
      <c r="DD113" s="804">
        <v>0</v>
      </c>
      <c r="DE113" s="804">
        <v>0</v>
      </c>
      <c r="DF113" s="804">
        <v>0</v>
      </c>
      <c r="DG113" s="804">
        <v>0</v>
      </c>
      <c r="DH113" s="804">
        <v>1142</v>
      </c>
      <c r="DI113" s="804">
        <v>286</v>
      </c>
      <c r="DJ113" s="804">
        <v>0</v>
      </c>
      <c r="DK113" s="804">
        <v>1428</v>
      </c>
      <c r="DL113" s="804">
        <v>2393</v>
      </c>
      <c r="DM113" s="804">
        <v>598</v>
      </c>
      <c r="DN113" s="804">
        <v>0</v>
      </c>
      <c r="DO113" s="804">
        <v>2991</v>
      </c>
      <c r="DP113" s="804">
        <v>0</v>
      </c>
      <c r="DQ113" s="804">
        <v>0</v>
      </c>
      <c r="DR113" s="804">
        <v>0</v>
      </c>
      <c r="DS113" s="804">
        <v>0</v>
      </c>
      <c r="DT113" s="804">
        <v>0</v>
      </c>
      <c r="DU113" s="804">
        <v>0</v>
      </c>
      <c r="DV113" s="804">
        <v>0</v>
      </c>
      <c r="DW113" s="804">
        <v>0</v>
      </c>
      <c r="DX113" s="804">
        <v>295689</v>
      </c>
      <c r="DY113" s="804">
        <v>73922</v>
      </c>
      <c r="DZ113" s="804">
        <v>0</v>
      </c>
      <c r="EA113" s="804">
        <v>369611</v>
      </c>
      <c r="EB113" s="804">
        <v>2197467</v>
      </c>
      <c r="EC113" s="804">
        <v>549367</v>
      </c>
      <c r="ED113" s="804">
        <v>0</v>
      </c>
      <c r="EE113" s="804">
        <v>2746834</v>
      </c>
      <c r="EF113" s="604" t="s">
        <v>95</v>
      </c>
      <c r="EG113" s="497" t="s">
        <v>571</v>
      </c>
      <c r="EH113" s="630" t="s">
        <v>551</v>
      </c>
      <c r="EI113" s="118" t="s">
        <v>1764</v>
      </c>
    </row>
    <row r="114" spans="1:139" ht="12.75" x14ac:dyDescent="0.2">
      <c r="A114" s="805">
        <v>107</v>
      </c>
      <c r="B114" s="606" t="s">
        <v>98</v>
      </c>
      <c r="C114" s="607" t="s">
        <v>1185</v>
      </c>
      <c r="D114" s="608" t="s">
        <v>1186</v>
      </c>
      <c r="E114" s="609" t="s">
        <v>97</v>
      </c>
      <c r="F114" s="802">
        <v>16326082</v>
      </c>
      <c r="G114" s="804">
        <v>16127</v>
      </c>
      <c r="H114" s="804">
        <v>0</v>
      </c>
      <c r="I114" s="804">
        <v>75059</v>
      </c>
      <c r="J114" s="804">
        <v>0</v>
      </c>
      <c r="K114" s="804">
        <v>75059</v>
      </c>
      <c r="L114" s="804">
        <v>0</v>
      </c>
      <c r="M114" s="804">
        <v>0</v>
      </c>
      <c r="N114" s="804">
        <v>0</v>
      </c>
      <c r="O114" s="804">
        <v>0</v>
      </c>
      <c r="P114" s="804">
        <v>0</v>
      </c>
      <c r="Q114" s="804">
        <v>0</v>
      </c>
      <c r="R114" s="804">
        <v>16267150</v>
      </c>
      <c r="S114" s="804">
        <v>0.5</v>
      </c>
      <c r="T114" s="804">
        <v>0.4</v>
      </c>
      <c r="U114" s="804">
        <v>0.09</v>
      </c>
      <c r="V114" s="804">
        <v>0.01</v>
      </c>
      <c r="W114" s="804">
        <v>1</v>
      </c>
      <c r="X114" s="804">
        <v>8133574</v>
      </c>
      <c r="Y114" s="804">
        <v>6506860</v>
      </c>
      <c r="Z114" s="804">
        <v>1464044</v>
      </c>
      <c r="AA114" s="804">
        <v>162672</v>
      </c>
      <c r="AB114" s="804">
        <v>16267150</v>
      </c>
      <c r="AC114" s="804">
        <v>401730</v>
      </c>
      <c r="AD114" s="804">
        <v>0</v>
      </c>
      <c r="AE114" s="804">
        <v>0</v>
      </c>
      <c r="AF114" s="804">
        <v>0</v>
      </c>
      <c r="AG114" s="804">
        <v>401730</v>
      </c>
      <c r="AH114" s="804">
        <v>7731844</v>
      </c>
      <c r="AI114" s="804">
        <v>6506860</v>
      </c>
      <c r="AJ114" s="804">
        <v>1464044</v>
      </c>
      <c r="AK114" s="804">
        <v>162672</v>
      </c>
      <c r="AL114" s="804">
        <v>15865420</v>
      </c>
      <c r="AM114" s="804">
        <v>75059</v>
      </c>
      <c r="AN114" s="804">
        <v>75059</v>
      </c>
      <c r="AO114" s="804">
        <v>0</v>
      </c>
      <c r="AP114" s="804">
        <v>0</v>
      </c>
      <c r="AQ114" s="804">
        <v>0</v>
      </c>
      <c r="AR114" s="804">
        <v>0</v>
      </c>
      <c r="AS114" s="804">
        <v>0</v>
      </c>
      <c r="AT114" s="804">
        <v>0</v>
      </c>
      <c r="AU114" s="804">
        <v>0</v>
      </c>
      <c r="AV114" s="804">
        <v>0</v>
      </c>
      <c r="AW114" s="804">
        <v>0</v>
      </c>
      <c r="AX114" s="804">
        <v>401730</v>
      </c>
      <c r="AY114" s="804">
        <v>0</v>
      </c>
      <c r="AZ114" s="804">
        <v>0</v>
      </c>
      <c r="BA114" s="804">
        <v>401730</v>
      </c>
      <c r="BB114" s="804">
        <v>0</v>
      </c>
      <c r="BC114" s="804">
        <v>0</v>
      </c>
      <c r="BD114" s="804">
        <v>0</v>
      </c>
      <c r="BE114" s="804">
        <v>0</v>
      </c>
      <c r="BF114" s="804">
        <v>0</v>
      </c>
      <c r="BG114" s="804">
        <v>0</v>
      </c>
      <c r="BH114" s="804">
        <v>0</v>
      </c>
      <c r="BI114" s="804">
        <v>0</v>
      </c>
      <c r="BJ114" s="804">
        <v>0.5</v>
      </c>
      <c r="BK114" s="804">
        <v>0.4</v>
      </c>
      <c r="BL114" s="804">
        <v>0.09</v>
      </c>
      <c r="BM114" s="804">
        <v>0.01</v>
      </c>
      <c r="BN114" s="804">
        <v>1</v>
      </c>
      <c r="BO114" s="804">
        <v>191236</v>
      </c>
      <c r="BP114" s="804">
        <v>152989</v>
      </c>
      <c r="BQ114" s="804">
        <v>34422</v>
      </c>
      <c r="BR114" s="804">
        <v>3825</v>
      </c>
      <c r="BS114" s="804">
        <v>382472</v>
      </c>
      <c r="BT114" s="804">
        <v>0.5</v>
      </c>
      <c r="BU114" s="804">
        <v>0.4</v>
      </c>
      <c r="BV114" s="804">
        <v>0.09</v>
      </c>
      <c r="BW114" s="804">
        <v>0.01</v>
      </c>
      <c r="BX114" s="804">
        <v>1</v>
      </c>
      <c r="BY114" s="804">
        <v>-43505.800000000745</v>
      </c>
      <c r="BZ114" s="804">
        <v>-34804</v>
      </c>
      <c r="CA114" s="804">
        <v>-7831</v>
      </c>
      <c r="CB114" s="804">
        <v>-870</v>
      </c>
      <c r="CC114" s="804">
        <v>-87010.800000000745</v>
      </c>
      <c r="CD114" s="804">
        <v>147730</v>
      </c>
      <c r="CE114" s="804">
        <v>118184</v>
      </c>
      <c r="CF114" s="804">
        <v>26592</v>
      </c>
      <c r="CG114" s="804">
        <v>2955</v>
      </c>
      <c r="CH114" s="804">
        <v>295461.19999999925</v>
      </c>
      <c r="CI114" s="804">
        <v>7879574</v>
      </c>
      <c r="CJ114" s="804">
        <v>7101833</v>
      </c>
      <c r="CK114" s="804">
        <v>1490636</v>
      </c>
      <c r="CL114" s="804">
        <v>165627</v>
      </c>
      <c r="CM114" s="804">
        <v>16637670</v>
      </c>
      <c r="CN114" s="804">
        <v>276897</v>
      </c>
      <c r="CO114" s="804">
        <v>58679</v>
      </c>
      <c r="CP114" s="804">
        <v>6520</v>
      </c>
      <c r="CQ114" s="804">
        <v>342096</v>
      </c>
      <c r="CR114" s="804">
        <v>672439</v>
      </c>
      <c r="CS114" s="804">
        <v>143372</v>
      </c>
      <c r="CT114" s="804">
        <v>15930</v>
      </c>
      <c r="CU114" s="804">
        <v>831741</v>
      </c>
      <c r="CV114" s="804">
        <v>38539</v>
      </c>
      <c r="CW114" s="804">
        <v>7148</v>
      </c>
      <c r="CX114" s="804">
        <v>794</v>
      </c>
      <c r="CY114" s="804">
        <v>46481</v>
      </c>
      <c r="CZ114" s="804">
        <v>4160</v>
      </c>
      <c r="DA114" s="804">
        <v>936</v>
      </c>
      <c r="DB114" s="804">
        <v>104</v>
      </c>
      <c r="DC114" s="804">
        <v>5200</v>
      </c>
      <c r="DD114" s="804">
        <v>0</v>
      </c>
      <c r="DE114" s="804">
        <v>0</v>
      </c>
      <c r="DF114" s="804">
        <v>0</v>
      </c>
      <c r="DG114" s="804">
        <v>0</v>
      </c>
      <c r="DH114" s="804">
        <v>2394</v>
      </c>
      <c r="DI114" s="804">
        <v>539</v>
      </c>
      <c r="DJ114" s="804">
        <v>60</v>
      </c>
      <c r="DK114" s="804">
        <v>2993</v>
      </c>
      <c r="DL114" s="804">
        <v>1325</v>
      </c>
      <c r="DM114" s="804">
        <v>298</v>
      </c>
      <c r="DN114" s="804">
        <v>33</v>
      </c>
      <c r="DO114" s="804">
        <v>1656</v>
      </c>
      <c r="DP114" s="804">
        <v>0</v>
      </c>
      <c r="DQ114" s="804">
        <v>0</v>
      </c>
      <c r="DR114" s="804">
        <v>0</v>
      </c>
      <c r="DS114" s="804">
        <v>0</v>
      </c>
      <c r="DT114" s="804">
        <v>0</v>
      </c>
      <c r="DU114" s="804">
        <v>0</v>
      </c>
      <c r="DV114" s="804">
        <v>0</v>
      </c>
      <c r="DW114" s="804">
        <v>0</v>
      </c>
      <c r="DX114" s="804">
        <v>166799</v>
      </c>
      <c r="DY114" s="804">
        <v>37530</v>
      </c>
      <c r="DZ114" s="804">
        <v>4170</v>
      </c>
      <c r="EA114" s="804">
        <v>208499</v>
      </c>
      <c r="EB114" s="804">
        <v>1162553</v>
      </c>
      <c r="EC114" s="804">
        <v>248502</v>
      </c>
      <c r="ED114" s="804">
        <v>27611</v>
      </c>
      <c r="EE114" s="804">
        <v>1438666</v>
      </c>
      <c r="EF114" s="604" t="s">
        <v>97</v>
      </c>
      <c r="EG114" s="497" t="s">
        <v>575</v>
      </c>
      <c r="EH114" s="630" t="s">
        <v>573</v>
      </c>
      <c r="EI114" s="118" t="s">
        <v>1765</v>
      </c>
    </row>
    <row r="115" spans="1:139" ht="12.75" x14ac:dyDescent="0.2">
      <c r="A115" s="805">
        <v>108</v>
      </c>
      <c r="B115" s="606" t="s">
        <v>100</v>
      </c>
      <c r="C115" s="607" t="s">
        <v>1185</v>
      </c>
      <c r="D115" s="608" t="s">
        <v>1186</v>
      </c>
      <c r="E115" s="609" t="s">
        <v>99</v>
      </c>
      <c r="F115" s="802">
        <v>24899556</v>
      </c>
      <c r="G115" s="804">
        <v>42494</v>
      </c>
      <c r="H115" s="804">
        <v>0</v>
      </c>
      <c r="I115" s="804">
        <v>91575</v>
      </c>
      <c r="J115" s="804">
        <v>0</v>
      </c>
      <c r="K115" s="804">
        <v>91575</v>
      </c>
      <c r="L115" s="804">
        <v>0</v>
      </c>
      <c r="M115" s="804">
        <v>445000</v>
      </c>
      <c r="N115" s="804">
        <v>0</v>
      </c>
      <c r="O115" s="804">
        <v>0</v>
      </c>
      <c r="P115" s="804">
        <v>0</v>
      </c>
      <c r="Q115" s="804">
        <v>0</v>
      </c>
      <c r="R115" s="804">
        <v>24405475</v>
      </c>
      <c r="S115" s="804">
        <v>0.5</v>
      </c>
      <c r="T115" s="804">
        <v>0.4</v>
      </c>
      <c r="U115" s="804">
        <v>0.09</v>
      </c>
      <c r="V115" s="804">
        <v>0.01</v>
      </c>
      <c r="W115" s="804">
        <v>1</v>
      </c>
      <c r="X115" s="804">
        <v>12202737</v>
      </c>
      <c r="Y115" s="804">
        <v>9762190</v>
      </c>
      <c r="Z115" s="804">
        <v>2196493</v>
      </c>
      <c r="AA115" s="804">
        <v>244055</v>
      </c>
      <c r="AB115" s="804">
        <v>24405475</v>
      </c>
      <c r="AC115" s="804">
        <v>55000</v>
      </c>
      <c r="AD115" s="804">
        <v>0</v>
      </c>
      <c r="AE115" s="804">
        <v>0</v>
      </c>
      <c r="AF115" s="804">
        <v>0</v>
      </c>
      <c r="AG115" s="804">
        <v>55000</v>
      </c>
      <c r="AH115" s="804">
        <v>12147737</v>
      </c>
      <c r="AI115" s="804">
        <v>9762190</v>
      </c>
      <c r="AJ115" s="804">
        <v>2196493</v>
      </c>
      <c r="AK115" s="804">
        <v>244055</v>
      </c>
      <c r="AL115" s="804">
        <v>24350475</v>
      </c>
      <c r="AM115" s="804">
        <v>91575</v>
      </c>
      <c r="AN115" s="804">
        <v>91575</v>
      </c>
      <c r="AO115" s="804">
        <v>445000</v>
      </c>
      <c r="AP115" s="804">
        <v>445000</v>
      </c>
      <c r="AQ115" s="804">
        <v>0</v>
      </c>
      <c r="AR115" s="804">
        <v>0</v>
      </c>
      <c r="AS115" s="804">
        <v>0</v>
      </c>
      <c r="AT115" s="804">
        <v>0</v>
      </c>
      <c r="AU115" s="804">
        <v>0</v>
      </c>
      <c r="AV115" s="804">
        <v>0</v>
      </c>
      <c r="AW115" s="804">
        <v>0</v>
      </c>
      <c r="AX115" s="804">
        <v>55000</v>
      </c>
      <c r="AY115" s="804">
        <v>0</v>
      </c>
      <c r="AZ115" s="804">
        <v>0</v>
      </c>
      <c r="BA115" s="804">
        <v>55000</v>
      </c>
      <c r="BB115" s="804">
        <v>0</v>
      </c>
      <c r="BC115" s="804">
        <v>0</v>
      </c>
      <c r="BD115" s="804">
        <v>0</v>
      </c>
      <c r="BE115" s="804">
        <v>0</v>
      </c>
      <c r="BF115" s="804">
        <v>0</v>
      </c>
      <c r="BG115" s="804">
        <v>0</v>
      </c>
      <c r="BH115" s="804">
        <v>0</v>
      </c>
      <c r="BI115" s="804">
        <v>0</v>
      </c>
      <c r="BJ115" s="804">
        <v>0.5</v>
      </c>
      <c r="BK115" s="804">
        <v>0.4</v>
      </c>
      <c r="BL115" s="804">
        <v>0.09</v>
      </c>
      <c r="BM115" s="804">
        <v>0.01</v>
      </c>
      <c r="BN115" s="804">
        <v>1</v>
      </c>
      <c r="BO115" s="804">
        <v>-497324</v>
      </c>
      <c r="BP115" s="804">
        <v>-397860</v>
      </c>
      <c r="BQ115" s="804">
        <v>-89519</v>
      </c>
      <c r="BR115" s="804">
        <v>-9947</v>
      </c>
      <c r="BS115" s="804">
        <v>-994650</v>
      </c>
      <c r="BT115" s="804">
        <v>0</v>
      </c>
      <c r="BU115" s="804">
        <v>0.4</v>
      </c>
      <c r="BV115" s="804">
        <v>0.59</v>
      </c>
      <c r="BW115" s="804">
        <v>0.01</v>
      </c>
      <c r="BX115" s="804">
        <v>1</v>
      </c>
      <c r="BY115" s="804">
        <v>-1</v>
      </c>
      <c r="BZ115" s="804">
        <v>397860</v>
      </c>
      <c r="CA115" s="804">
        <v>586844</v>
      </c>
      <c r="CB115" s="804">
        <v>9947</v>
      </c>
      <c r="CC115" s="804">
        <v>994650</v>
      </c>
      <c r="CD115" s="804">
        <v>-497325</v>
      </c>
      <c r="CE115" s="804">
        <v>0</v>
      </c>
      <c r="CF115" s="804">
        <v>497325</v>
      </c>
      <c r="CG115" s="804">
        <v>0</v>
      </c>
      <c r="CH115" s="804">
        <v>0</v>
      </c>
      <c r="CI115" s="804">
        <v>11650412</v>
      </c>
      <c r="CJ115" s="804">
        <v>10353765</v>
      </c>
      <c r="CK115" s="804">
        <v>2693818</v>
      </c>
      <c r="CL115" s="804">
        <v>244055</v>
      </c>
      <c r="CM115" s="804">
        <v>24942050</v>
      </c>
      <c r="CN115" s="804">
        <v>411310</v>
      </c>
      <c r="CO115" s="804">
        <v>88036</v>
      </c>
      <c r="CP115" s="804">
        <v>9782</v>
      </c>
      <c r="CQ115" s="804">
        <v>509128</v>
      </c>
      <c r="CR115" s="804">
        <v>875080</v>
      </c>
      <c r="CS115" s="804">
        <v>196893</v>
      </c>
      <c r="CT115" s="804">
        <v>21877</v>
      </c>
      <c r="CU115" s="804">
        <v>1093850</v>
      </c>
      <c r="CV115" s="804">
        <v>35707</v>
      </c>
      <c r="CW115" s="804">
        <v>8034</v>
      </c>
      <c r="CX115" s="804">
        <v>893</v>
      </c>
      <c r="CY115" s="804">
        <v>44634</v>
      </c>
      <c r="CZ115" s="804">
        <v>2388</v>
      </c>
      <c r="DA115" s="804">
        <v>537</v>
      </c>
      <c r="DB115" s="804">
        <v>60</v>
      </c>
      <c r="DC115" s="804">
        <v>2985</v>
      </c>
      <c r="DD115" s="804">
        <v>2572</v>
      </c>
      <c r="DE115" s="804">
        <v>579</v>
      </c>
      <c r="DF115" s="804">
        <v>64</v>
      </c>
      <c r="DG115" s="804">
        <v>3215</v>
      </c>
      <c r="DH115" s="804">
        <v>10592</v>
      </c>
      <c r="DI115" s="804">
        <v>2383</v>
      </c>
      <c r="DJ115" s="804">
        <v>265</v>
      </c>
      <c r="DK115" s="804">
        <v>13240</v>
      </c>
      <c r="DL115" s="804">
        <v>0</v>
      </c>
      <c r="DM115" s="804">
        <v>0</v>
      </c>
      <c r="DN115" s="804">
        <v>0</v>
      </c>
      <c r="DO115" s="804">
        <v>0</v>
      </c>
      <c r="DP115" s="804">
        <v>0</v>
      </c>
      <c r="DQ115" s="804">
        <v>0</v>
      </c>
      <c r="DR115" s="804">
        <v>0</v>
      </c>
      <c r="DS115" s="804">
        <v>0</v>
      </c>
      <c r="DT115" s="804">
        <v>0</v>
      </c>
      <c r="DU115" s="804">
        <v>0</v>
      </c>
      <c r="DV115" s="804">
        <v>0</v>
      </c>
      <c r="DW115" s="804">
        <v>0</v>
      </c>
      <c r="DX115" s="804">
        <v>235344</v>
      </c>
      <c r="DY115" s="804">
        <v>52953</v>
      </c>
      <c r="DZ115" s="804">
        <v>5884</v>
      </c>
      <c r="EA115" s="804">
        <v>294181</v>
      </c>
      <c r="EB115" s="804">
        <v>1572993</v>
      </c>
      <c r="EC115" s="804">
        <v>349415</v>
      </c>
      <c r="ED115" s="804">
        <v>38825</v>
      </c>
      <c r="EE115" s="804">
        <v>1961233</v>
      </c>
      <c r="EF115" s="604" t="s">
        <v>99</v>
      </c>
      <c r="EG115" s="497" t="s">
        <v>586</v>
      </c>
      <c r="EH115" s="630" t="s">
        <v>585</v>
      </c>
      <c r="EI115" s="118" t="s">
        <v>1766</v>
      </c>
    </row>
    <row r="116" spans="1:139" ht="12.75" x14ac:dyDescent="0.2">
      <c r="A116" s="805">
        <v>109</v>
      </c>
      <c r="B116" s="606" t="s">
        <v>102</v>
      </c>
      <c r="C116" s="607" t="s">
        <v>1185</v>
      </c>
      <c r="D116" s="608" t="s">
        <v>1189</v>
      </c>
      <c r="E116" s="609" t="s">
        <v>101</v>
      </c>
      <c r="F116" s="802">
        <v>32005616</v>
      </c>
      <c r="G116" s="804">
        <v>0</v>
      </c>
      <c r="H116" s="804">
        <v>558261</v>
      </c>
      <c r="I116" s="804">
        <v>181184</v>
      </c>
      <c r="J116" s="804">
        <v>0</v>
      </c>
      <c r="K116" s="804">
        <v>181184</v>
      </c>
      <c r="L116" s="804">
        <v>0</v>
      </c>
      <c r="M116" s="804">
        <v>1102810</v>
      </c>
      <c r="N116" s="804">
        <v>60329</v>
      </c>
      <c r="O116" s="804">
        <v>60329</v>
      </c>
      <c r="P116" s="804">
        <v>0</v>
      </c>
      <c r="Q116" s="804">
        <v>0</v>
      </c>
      <c r="R116" s="804">
        <v>30103032</v>
      </c>
      <c r="S116" s="804">
        <v>0.5</v>
      </c>
      <c r="T116" s="804">
        <v>0.4</v>
      </c>
      <c r="U116" s="804">
        <v>0.1</v>
      </c>
      <c r="V116" s="804">
        <v>0</v>
      </c>
      <c r="W116" s="804">
        <v>1</v>
      </c>
      <c r="X116" s="804">
        <v>15051516</v>
      </c>
      <c r="Y116" s="804">
        <v>12041213</v>
      </c>
      <c r="Z116" s="804">
        <v>3010303</v>
      </c>
      <c r="AA116" s="804">
        <v>0</v>
      </c>
      <c r="AB116" s="804">
        <v>30103032</v>
      </c>
      <c r="AC116" s="804">
        <v>350643</v>
      </c>
      <c r="AD116" s="804">
        <v>0</v>
      </c>
      <c r="AE116" s="804">
        <v>0</v>
      </c>
      <c r="AF116" s="804">
        <v>0</v>
      </c>
      <c r="AG116" s="804">
        <v>350643</v>
      </c>
      <c r="AH116" s="804">
        <v>14700873</v>
      </c>
      <c r="AI116" s="804">
        <v>12041213</v>
      </c>
      <c r="AJ116" s="804">
        <v>3010303</v>
      </c>
      <c r="AK116" s="804">
        <v>0</v>
      </c>
      <c r="AL116" s="804">
        <v>29752389</v>
      </c>
      <c r="AM116" s="804">
        <v>181184</v>
      </c>
      <c r="AN116" s="804">
        <v>181184</v>
      </c>
      <c r="AO116" s="804">
        <v>1102810</v>
      </c>
      <c r="AP116" s="804">
        <v>1102810</v>
      </c>
      <c r="AQ116" s="804">
        <v>60329</v>
      </c>
      <c r="AR116" s="804">
        <v>0</v>
      </c>
      <c r="AS116" s="804">
        <v>60329</v>
      </c>
      <c r="AT116" s="804">
        <v>0</v>
      </c>
      <c r="AU116" s="804">
        <v>0</v>
      </c>
      <c r="AV116" s="804">
        <v>0</v>
      </c>
      <c r="AW116" s="804">
        <v>0</v>
      </c>
      <c r="AX116" s="804">
        <v>350643</v>
      </c>
      <c r="AY116" s="804">
        <v>0</v>
      </c>
      <c r="AZ116" s="804">
        <v>0</v>
      </c>
      <c r="BA116" s="804">
        <v>350643</v>
      </c>
      <c r="BB116" s="804">
        <v>0</v>
      </c>
      <c r="BC116" s="804">
        <v>0</v>
      </c>
      <c r="BD116" s="804">
        <v>0</v>
      </c>
      <c r="BE116" s="804">
        <v>0</v>
      </c>
      <c r="BF116" s="804">
        <v>0</v>
      </c>
      <c r="BG116" s="804">
        <v>0</v>
      </c>
      <c r="BH116" s="804">
        <v>0</v>
      </c>
      <c r="BI116" s="804">
        <v>0</v>
      </c>
      <c r="BJ116" s="804">
        <v>0.25000000000000006</v>
      </c>
      <c r="BK116" s="804">
        <v>0.42499999999999999</v>
      </c>
      <c r="BL116" s="804">
        <v>0.32500000000000001</v>
      </c>
      <c r="BM116" s="804">
        <v>0</v>
      </c>
      <c r="BN116" s="804">
        <v>1</v>
      </c>
      <c r="BO116" s="804">
        <v>-703591</v>
      </c>
      <c r="BP116" s="804">
        <v>-1196104</v>
      </c>
      <c r="BQ116" s="804">
        <v>-914668</v>
      </c>
      <c r="BR116" s="804">
        <v>0</v>
      </c>
      <c r="BS116" s="804">
        <v>-2814363</v>
      </c>
      <c r="BT116" s="804">
        <v>0.5</v>
      </c>
      <c r="BU116" s="804">
        <v>0.4</v>
      </c>
      <c r="BV116" s="804">
        <v>0.1</v>
      </c>
      <c r="BW116" s="804">
        <v>0</v>
      </c>
      <c r="BX116" s="804">
        <v>1</v>
      </c>
      <c r="BY116" s="804">
        <v>3778699</v>
      </c>
      <c r="BZ116" s="804">
        <v>3022960</v>
      </c>
      <c r="CA116" s="804">
        <v>755740</v>
      </c>
      <c r="CB116" s="804">
        <v>0</v>
      </c>
      <c r="CC116" s="804">
        <v>7557399</v>
      </c>
      <c r="CD116" s="804">
        <v>3075108</v>
      </c>
      <c r="CE116" s="804">
        <v>1826856</v>
      </c>
      <c r="CF116" s="804">
        <v>-158928</v>
      </c>
      <c r="CG116" s="804">
        <v>0</v>
      </c>
      <c r="CH116" s="804">
        <v>4743036</v>
      </c>
      <c r="CI116" s="804">
        <v>17775981</v>
      </c>
      <c r="CJ116" s="804">
        <v>15563035</v>
      </c>
      <c r="CK116" s="804">
        <v>2851375</v>
      </c>
      <c r="CL116" s="804">
        <v>0</v>
      </c>
      <c r="CM116" s="804">
        <v>36190391</v>
      </c>
      <c r="CN116" s="804">
        <v>543286</v>
      </c>
      <c r="CO116" s="804">
        <v>120653</v>
      </c>
      <c r="CP116" s="804">
        <v>0</v>
      </c>
      <c r="CQ116" s="804">
        <v>663939</v>
      </c>
      <c r="CR116" s="804">
        <v>1109467</v>
      </c>
      <c r="CS116" s="804">
        <v>277367</v>
      </c>
      <c r="CT116" s="804">
        <v>0</v>
      </c>
      <c r="CU116" s="804">
        <v>1386834</v>
      </c>
      <c r="CV116" s="804">
        <v>67656</v>
      </c>
      <c r="CW116" s="804">
        <v>15735</v>
      </c>
      <c r="CX116" s="804">
        <v>0</v>
      </c>
      <c r="CY116" s="804">
        <v>83391</v>
      </c>
      <c r="CZ116" s="804">
        <v>3230</v>
      </c>
      <c r="DA116" s="804">
        <v>808</v>
      </c>
      <c r="DB116" s="804">
        <v>0</v>
      </c>
      <c r="DC116" s="804">
        <v>4038</v>
      </c>
      <c r="DD116" s="804">
        <v>291</v>
      </c>
      <c r="DE116" s="804">
        <v>73</v>
      </c>
      <c r="DF116" s="804">
        <v>0</v>
      </c>
      <c r="DG116" s="804">
        <v>364</v>
      </c>
      <c r="DH116" s="804">
        <v>6626</v>
      </c>
      <c r="DI116" s="804">
        <v>1657</v>
      </c>
      <c r="DJ116" s="804">
        <v>0</v>
      </c>
      <c r="DK116" s="804">
        <v>8283</v>
      </c>
      <c r="DL116" s="804">
        <v>3744</v>
      </c>
      <c r="DM116" s="804">
        <v>936</v>
      </c>
      <c r="DN116" s="804">
        <v>0</v>
      </c>
      <c r="DO116" s="804">
        <v>4680</v>
      </c>
      <c r="DP116" s="804">
        <v>0</v>
      </c>
      <c r="DQ116" s="804">
        <v>0</v>
      </c>
      <c r="DR116" s="804">
        <v>0</v>
      </c>
      <c r="DS116" s="804">
        <v>0</v>
      </c>
      <c r="DT116" s="804">
        <v>0</v>
      </c>
      <c r="DU116" s="804">
        <v>0</v>
      </c>
      <c r="DV116" s="804">
        <v>0</v>
      </c>
      <c r="DW116" s="804">
        <v>0</v>
      </c>
      <c r="DX116" s="804">
        <v>372490</v>
      </c>
      <c r="DY116" s="804">
        <v>93123</v>
      </c>
      <c r="DZ116" s="804">
        <v>0</v>
      </c>
      <c r="EA116" s="804">
        <v>465613</v>
      </c>
      <c r="EB116" s="804">
        <v>2106790</v>
      </c>
      <c r="EC116" s="804">
        <v>510352</v>
      </c>
      <c r="ED116" s="804">
        <v>0</v>
      </c>
      <c r="EE116" s="804">
        <v>2617142</v>
      </c>
      <c r="EF116" s="604" t="s">
        <v>101</v>
      </c>
      <c r="EG116" s="497" t="s">
        <v>596</v>
      </c>
      <c r="EH116" s="630" t="s">
        <v>551</v>
      </c>
      <c r="EI116" s="118" t="s">
        <v>1767</v>
      </c>
    </row>
    <row r="117" spans="1:139" ht="12.75" x14ac:dyDescent="0.2">
      <c r="A117" s="805">
        <v>110</v>
      </c>
      <c r="B117" s="606" t="s">
        <v>104</v>
      </c>
      <c r="C117" s="607" t="s">
        <v>1196</v>
      </c>
      <c r="D117" s="608" t="s">
        <v>1191</v>
      </c>
      <c r="E117" s="609" t="s">
        <v>103</v>
      </c>
      <c r="F117" s="802">
        <v>97671309</v>
      </c>
      <c r="G117" s="804">
        <v>183256</v>
      </c>
      <c r="H117" s="804">
        <v>0</v>
      </c>
      <c r="I117" s="804">
        <v>298670</v>
      </c>
      <c r="J117" s="804">
        <v>0</v>
      </c>
      <c r="K117" s="804">
        <v>298670</v>
      </c>
      <c r="L117" s="804">
        <v>0</v>
      </c>
      <c r="M117" s="804">
        <v>0</v>
      </c>
      <c r="N117" s="804">
        <v>0</v>
      </c>
      <c r="O117" s="804">
        <v>0</v>
      </c>
      <c r="P117" s="804">
        <v>0</v>
      </c>
      <c r="Q117" s="804">
        <v>0</v>
      </c>
      <c r="R117" s="804">
        <v>97555895</v>
      </c>
      <c r="S117" s="804">
        <v>0.33</v>
      </c>
      <c r="T117" s="804">
        <v>0.3</v>
      </c>
      <c r="U117" s="804">
        <v>0.37</v>
      </c>
      <c r="V117" s="804">
        <v>0</v>
      </c>
      <c r="W117" s="804">
        <v>1</v>
      </c>
      <c r="X117" s="804">
        <v>32193445</v>
      </c>
      <c r="Y117" s="804">
        <v>29266769</v>
      </c>
      <c r="Z117" s="804">
        <v>36095681</v>
      </c>
      <c r="AA117" s="804">
        <v>0</v>
      </c>
      <c r="AB117" s="804">
        <v>97555895</v>
      </c>
      <c r="AC117" s="804">
        <v>0</v>
      </c>
      <c r="AD117" s="804">
        <v>0</v>
      </c>
      <c r="AE117" s="804">
        <v>0</v>
      </c>
      <c r="AF117" s="804">
        <v>0</v>
      </c>
      <c r="AG117" s="804">
        <v>0</v>
      </c>
      <c r="AH117" s="804">
        <v>32193445</v>
      </c>
      <c r="AI117" s="804">
        <v>29266769</v>
      </c>
      <c r="AJ117" s="804">
        <v>36095681</v>
      </c>
      <c r="AK117" s="804">
        <v>0</v>
      </c>
      <c r="AL117" s="804">
        <v>97555895</v>
      </c>
      <c r="AM117" s="804">
        <v>298670</v>
      </c>
      <c r="AN117" s="804">
        <v>298670</v>
      </c>
      <c r="AO117" s="804">
        <v>0</v>
      </c>
      <c r="AP117" s="804">
        <v>0</v>
      </c>
      <c r="AQ117" s="804">
        <v>0</v>
      </c>
      <c r="AR117" s="804">
        <v>0</v>
      </c>
      <c r="AS117" s="804">
        <v>0</v>
      </c>
      <c r="AT117" s="804">
        <v>0</v>
      </c>
      <c r="AU117" s="804">
        <v>0</v>
      </c>
      <c r="AV117" s="804">
        <v>0</v>
      </c>
      <c r="AW117" s="804">
        <v>0</v>
      </c>
      <c r="AX117" s="804">
        <v>0</v>
      </c>
      <c r="AY117" s="804">
        <v>0</v>
      </c>
      <c r="AZ117" s="804">
        <v>0</v>
      </c>
      <c r="BA117" s="804">
        <v>0</v>
      </c>
      <c r="BB117" s="804">
        <v>0</v>
      </c>
      <c r="BC117" s="804">
        <v>0</v>
      </c>
      <c r="BD117" s="804">
        <v>0</v>
      </c>
      <c r="BE117" s="804">
        <v>0</v>
      </c>
      <c r="BF117" s="804">
        <v>0</v>
      </c>
      <c r="BG117" s="804">
        <v>0</v>
      </c>
      <c r="BH117" s="804">
        <v>0</v>
      </c>
      <c r="BI117" s="804">
        <v>0</v>
      </c>
      <c r="BJ117" s="804">
        <v>0.25</v>
      </c>
      <c r="BK117" s="804">
        <v>0.48</v>
      </c>
      <c r="BL117" s="804">
        <v>0.27</v>
      </c>
      <c r="BM117" s="804">
        <v>0</v>
      </c>
      <c r="BN117" s="804">
        <v>1</v>
      </c>
      <c r="BO117" s="804">
        <v>2298924</v>
      </c>
      <c r="BP117" s="804">
        <v>4413935</v>
      </c>
      <c r="BQ117" s="804">
        <v>2482838</v>
      </c>
      <c r="BR117" s="804">
        <v>0</v>
      </c>
      <c r="BS117" s="804">
        <v>9195697</v>
      </c>
      <c r="BT117" s="804">
        <v>0</v>
      </c>
      <c r="BU117" s="804">
        <v>0.64</v>
      </c>
      <c r="BV117" s="804">
        <v>0.36</v>
      </c>
      <c r="BW117" s="804">
        <v>0</v>
      </c>
      <c r="BX117" s="804">
        <v>1</v>
      </c>
      <c r="BY117" s="804">
        <v>0</v>
      </c>
      <c r="BZ117" s="804">
        <v>859844</v>
      </c>
      <c r="CA117" s="804">
        <v>483662</v>
      </c>
      <c r="CB117" s="804">
        <v>0</v>
      </c>
      <c r="CC117" s="804">
        <v>1343506</v>
      </c>
      <c r="CD117" s="804">
        <v>2298924</v>
      </c>
      <c r="CE117" s="804">
        <v>5273779</v>
      </c>
      <c r="CF117" s="804">
        <v>2966500</v>
      </c>
      <c r="CG117" s="804">
        <v>0</v>
      </c>
      <c r="CH117" s="804">
        <v>10539203</v>
      </c>
      <c r="CI117" s="804">
        <v>34492369</v>
      </c>
      <c r="CJ117" s="804">
        <v>34839218</v>
      </c>
      <c r="CK117" s="804">
        <v>39062181</v>
      </c>
      <c r="CL117" s="804">
        <v>0</v>
      </c>
      <c r="CM117" s="804">
        <v>108393768</v>
      </c>
      <c r="CN117" s="804">
        <v>1173017</v>
      </c>
      <c r="CO117" s="804">
        <v>1446721</v>
      </c>
      <c r="CP117" s="804">
        <v>0</v>
      </c>
      <c r="CQ117" s="804">
        <v>2619738</v>
      </c>
      <c r="CR117" s="804">
        <v>1339840</v>
      </c>
      <c r="CS117" s="804">
        <v>1652468</v>
      </c>
      <c r="CT117" s="804">
        <v>0</v>
      </c>
      <c r="CU117" s="804">
        <v>2992308</v>
      </c>
      <c r="CV117" s="804">
        <v>72640</v>
      </c>
      <c r="CW117" s="804">
        <v>89590</v>
      </c>
      <c r="CX117" s="804">
        <v>0</v>
      </c>
      <c r="CY117" s="804">
        <v>162230</v>
      </c>
      <c r="CZ117" s="804">
        <v>0</v>
      </c>
      <c r="DA117" s="804">
        <v>0</v>
      </c>
      <c r="DB117" s="804">
        <v>0</v>
      </c>
      <c r="DC117" s="804">
        <v>0</v>
      </c>
      <c r="DD117" s="804">
        <v>0</v>
      </c>
      <c r="DE117" s="804">
        <v>0</v>
      </c>
      <c r="DF117" s="804">
        <v>0</v>
      </c>
      <c r="DG117" s="804">
        <v>0</v>
      </c>
      <c r="DH117" s="804">
        <v>17475</v>
      </c>
      <c r="DI117" s="804">
        <v>21552</v>
      </c>
      <c r="DJ117" s="804">
        <v>0</v>
      </c>
      <c r="DK117" s="804">
        <v>39027</v>
      </c>
      <c r="DL117" s="804">
        <v>8112</v>
      </c>
      <c r="DM117" s="804">
        <v>10006</v>
      </c>
      <c r="DN117" s="804">
        <v>0</v>
      </c>
      <c r="DO117" s="804">
        <v>18118</v>
      </c>
      <c r="DP117" s="804">
        <v>0</v>
      </c>
      <c r="DQ117" s="804">
        <v>0</v>
      </c>
      <c r="DR117" s="804">
        <v>0</v>
      </c>
      <c r="DS117" s="804">
        <v>0</v>
      </c>
      <c r="DT117" s="804">
        <v>0</v>
      </c>
      <c r="DU117" s="804">
        <v>0</v>
      </c>
      <c r="DV117" s="804">
        <v>0</v>
      </c>
      <c r="DW117" s="804">
        <v>0</v>
      </c>
      <c r="DX117" s="804">
        <v>859258</v>
      </c>
      <c r="DY117" s="804">
        <v>1059750</v>
      </c>
      <c r="DZ117" s="804">
        <v>0</v>
      </c>
      <c r="EA117" s="804">
        <v>1919008</v>
      </c>
      <c r="EB117" s="804">
        <v>3470342</v>
      </c>
      <c r="EC117" s="804">
        <v>4280087</v>
      </c>
      <c r="ED117" s="804">
        <v>0</v>
      </c>
      <c r="EE117" s="804">
        <v>7750429</v>
      </c>
      <c r="EF117" s="604" t="s">
        <v>103</v>
      </c>
      <c r="EG117" s="497" t="s">
        <v>623</v>
      </c>
      <c r="EH117" s="243" t="s">
        <v>523</v>
      </c>
      <c r="EI117" s="118" t="s">
        <v>1768</v>
      </c>
    </row>
    <row r="118" spans="1:139" ht="12.75" x14ac:dyDescent="0.2">
      <c r="A118" s="805">
        <v>111</v>
      </c>
      <c r="B118" s="606" t="s">
        <v>106</v>
      </c>
      <c r="C118" s="607" t="s">
        <v>1185</v>
      </c>
      <c r="D118" s="608" t="s">
        <v>1186</v>
      </c>
      <c r="E118" s="609" t="s">
        <v>105</v>
      </c>
      <c r="F118" s="802">
        <v>86773430</v>
      </c>
      <c r="G118" s="804">
        <v>240721</v>
      </c>
      <c r="H118" s="804">
        <v>0</v>
      </c>
      <c r="I118" s="804">
        <v>231039</v>
      </c>
      <c r="J118" s="804">
        <v>0</v>
      </c>
      <c r="K118" s="804">
        <v>231039</v>
      </c>
      <c r="L118" s="804">
        <v>0</v>
      </c>
      <c r="M118" s="804">
        <v>0</v>
      </c>
      <c r="N118" s="804">
        <v>0</v>
      </c>
      <c r="O118" s="804">
        <v>0</v>
      </c>
      <c r="P118" s="804">
        <v>0</v>
      </c>
      <c r="Q118" s="804">
        <v>0</v>
      </c>
      <c r="R118" s="804">
        <v>86783112</v>
      </c>
      <c r="S118" s="804">
        <v>0.5</v>
      </c>
      <c r="T118" s="804">
        <v>0.4</v>
      </c>
      <c r="U118" s="804">
        <v>0.1</v>
      </c>
      <c r="V118" s="804">
        <v>0</v>
      </c>
      <c r="W118" s="804">
        <v>1</v>
      </c>
      <c r="X118" s="804">
        <v>43391556</v>
      </c>
      <c r="Y118" s="804">
        <v>34713245</v>
      </c>
      <c r="Z118" s="804">
        <v>8678311</v>
      </c>
      <c r="AA118" s="804">
        <v>0</v>
      </c>
      <c r="AB118" s="804">
        <v>86783112</v>
      </c>
      <c r="AC118" s="804">
        <v>0</v>
      </c>
      <c r="AD118" s="804">
        <v>0</v>
      </c>
      <c r="AE118" s="804">
        <v>0</v>
      </c>
      <c r="AF118" s="804">
        <v>0</v>
      </c>
      <c r="AG118" s="804">
        <v>0</v>
      </c>
      <c r="AH118" s="804">
        <v>43391556</v>
      </c>
      <c r="AI118" s="804">
        <v>34713245</v>
      </c>
      <c r="AJ118" s="804">
        <v>8678311</v>
      </c>
      <c r="AK118" s="804">
        <v>0</v>
      </c>
      <c r="AL118" s="804">
        <v>86783112</v>
      </c>
      <c r="AM118" s="804">
        <v>231039</v>
      </c>
      <c r="AN118" s="804">
        <v>231039</v>
      </c>
      <c r="AO118" s="804">
        <v>0</v>
      </c>
      <c r="AP118" s="804">
        <v>0</v>
      </c>
      <c r="AQ118" s="804">
        <v>0</v>
      </c>
      <c r="AR118" s="804">
        <v>0</v>
      </c>
      <c r="AS118" s="804">
        <v>0</v>
      </c>
      <c r="AT118" s="804">
        <v>0</v>
      </c>
      <c r="AU118" s="804">
        <v>0</v>
      </c>
      <c r="AV118" s="804">
        <v>0</v>
      </c>
      <c r="AW118" s="804">
        <v>0</v>
      </c>
      <c r="AX118" s="804">
        <v>0</v>
      </c>
      <c r="AY118" s="804">
        <v>0</v>
      </c>
      <c r="AZ118" s="804">
        <v>0</v>
      </c>
      <c r="BA118" s="804">
        <v>0</v>
      </c>
      <c r="BB118" s="804">
        <v>0</v>
      </c>
      <c r="BC118" s="804">
        <v>0</v>
      </c>
      <c r="BD118" s="804">
        <v>0</v>
      </c>
      <c r="BE118" s="804">
        <v>0</v>
      </c>
      <c r="BF118" s="804">
        <v>0</v>
      </c>
      <c r="BG118" s="804">
        <v>0</v>
      </c>
      <c r="BH118" s="804">
        <v>0</v>
      </c>
      <c r="BI118" s="804">
        <v>0</v>
      </c>
      <c r="BJ118" s="804">
        <v>0.5</v>
      </c>
      <c r="BK118" s="804">
        <v>0.4</v>
      </c>
      <c r="BL118" s="804">
        <v>0.1</v>
      </c>
      <c r="BM118" s="804">
        <v>0</v>
      </c>
      <c r="BN118" s="804">
        <v>1</v>
      </c>
      <c r="BO118" s="804">
        <v>6207809</v>
      </c>
      <c r="BP118" s="804">
        <v>4966248</v>
      </c>
      <c r="BQ118" s="804">
        <v>1241562</v>
      </c>
      <c r="BR118" s="804">
        <v>0</v>
      </c>
      <c r="BS118" s="804">
        <v>12415619</v>
      </c>
      <c r="BT118" s="804">
        <v>0</v>
      </c>
      <c r="BU118" s="804">
        <v>0.3</v>
      </c>
      <c r="BV118" s="804">
        <v>0.7</v>
      </c>
      <c r="BW118" s="804">
        <v>0</v>
      </c>
      <c r="BX118" s="804">
        <v>1</v>
      </c>
      <c r="BY118" s="804">
        <v>1</v>
      </c>
      <c r="BZ118" s="804">
        <v>-825818</v>
      </c>
      <c r="CA118" s="804">
        <v>-1926908</v>
      </c>
      <c r="CB118" s="804">
        <v>0</v>
      </c>
      <c r="CC118" s="804">
        <v>-2752725</v>
      </c>
      <c r="CD118" s="804">
        <v>6207810</v>
      </c>
      <c r="CE118" s="804">
        <v>4140430</v>
      </c>
      <c r="CF118" s="804">
        <v>-685346</v>
      </c>
      <c r="CG118" s="804">
        <v>0</v>
      </c>
      <c r="CH118" s="804">
        <v>9662894</v>
      </c>
      <c r="CI118" s="804">
        <v>49599366</v>
      </c>
      <c r="CJ118" s="804">
        <v>39084714</v>
      </c>
      <c r="CK118" s="804">
        <v>7992965</v>
      </c>
      <c r="CL118" s="804">
        <v>0</v>
      </c>
      <c r="CM118" s="804">
        <v>96677045</v>
      </c>
      <c r="CN118" s="804">
        <v>1391312</v>
      </c>
      <c r="CO118" s="804">
        <v>347828</v>
      </c>
      <c r="CP118" s="804">
        <v>0</v>
      </c>
      <c r="CQ118" s="804">
        <v>1739140</v>
      </c>
      <c r="CR118" s="804">
        <v>1057908</v>
      </c>
      <c r="CS118" s="804">
        <v>264477</v>
      </c>
      <c r="CT118" s="804">
        <v>0</v>
      </c>
      <c r="CU118" s="804">
        <v>1322385</v>
      </c>
      <c r="CV118" s="804">
        <v>121580</v>
      </c>
      <c r="CW118" s="804">
        <v>30395</v>
      </c>
      <c r="CX118" s="804">
        <v>0</v>
      </c>
      <c r="CY118" s="804">
        <v>151975</v>
      </c>
      <c r="CZ118" s="804">
        <v>3456</v>
      </c>
      <c r="DA118" s="804">
        <v>864</v>
      </c>
      <c r="DB118" s="804">
        <v>0</v>
      </c>
      <c r="DC118" s="804">
        <v>4320</v>
      </c>
      <c r="DD118" s="804">
        <v>5637</v>
      </c>
      <c r="DE118" s="804">
        <v>1409</v>
      </c>
      <c r="DF118" s="804">
        <v>0</v>
      </c>
      <c r="DG118" s="804">
        <v>7046</v>
      </c>
      <c r="DH118" s="804">
        <v>9116</v>
      </c>
      <c r="DI118" s="804">
        <v>2279</v>
      </c>
      <c r="DJ118" s="804">
        <v>0</v>
      </c>
      <c r="DK118" s="804">
        <v>11395</v>
      </c>
      <c r="DL118" s="804">
        <v>7489</v>
      </c>
      <c r="DM118" s="804">
        <v>1872</v>
      </c>
      <c r="DN118" s="804">
        <v>0</v>
      </c>
      <c r="DO118" s="804">
        <v>9361</v>
      </c>
      <c r="DP118" s="804">
        <v>0</v>
      </c>
      <c r="DQ118" s="804">
        <v>0</v>
      </c>
      <c r="DR118" s="804">
        <v>0</v>
      </c>
      <c r="DS118" s="804">
        <v>0</v>
      </c>
      <c r="DT118" s="804">
        <v>0</v>
      </c>
      <c r="DU118" s="804">
        <v>0</v>
      </c>
      <c r="DV118" s="804">
        <v>0</v>
      </c>
      <c r="DW118" s="804">
        <v>0</v>
      </c>
      <c r="DX118" s="804">
        <v>638658</v>
      </c>
      <c r="DY118" s="804">
        <v>159665</v>
      </c>
      <c r="DZ118" s="804">
        <v>0</v>
      </c>
      <c r="EA118" s="804">
        <v>798323</v>
      </c>
      <c r="EB118" s="804">
        <v>3235156</v>
      </c>
      <c r="EC118" s="804">
        <v>808789</v>
      </c>
      <c r="ED118" s="804">
        <v>0</v>
      </c>
      <c r="EE118" s="804">
        <v>4043945</v>
      </c>
      <c r="EF118" s="604" t="s">
        <v>105</v>
      </c>
      <c r="EG118" s="497" t="s">
        <v>611</v>
      </c>
      <c r="EH118" s="630" t="s">
        <v>551</v>
      </c>
      <c r="EI118" s="118" t="s">
        <v>1769</v>
      </c>
    </row>
    <row r="119" spans="1:139" ht="12.75" x14ac:dyDescent="0.2">
      <c r="A119" s="805">
        <v>112</v>
      </c>
      <c r="B119" s="606" t="s">
        <v>108</v>
      </c>
      <c r="C119" s="607" t="s">
        <v>1196</v>
      </c>
      <c r="D119" s="608" t="s">
        <v>1191</v>
      </c>
      <c r="E119" s="609" t="s">
        <v>107</v>
      </c>
      <c r="F119" s="802">
        <v>141198267</v>
      </c>
      <c r="G119" s="804">
        <v>6401912</v>
      </c>
      <c r="H119" s="804">
        <v>0</v>
      </c>
      <c r="I119" s="804">
        <v>572716</v>
      </c>
      <c r="J119" s="804">
        <v>0</v>
      </c>
      <c r="K119" s="804">
        <v>572716</v>
      </c>
      <c r="L119" s="804">
        <v>0</v>
      </c>
      <c r="M119" s="804">
        <v>0</v>
      </c>
      <c r="N119" s="804">
        <v>0</v>
      </c>
      <c r="O119" s="804">
        <v>0</v>
      </c>
      <c r="P119" s="804">
        <v>0</v>
      </c>
      <c r="Q119" s="804">
        <v>0</v>
      </c>
      <c r="R119" s="804">
        <v>147027463</v>
      </c>
      <c r="S119" s="804">
        <v>0.33</v>
      </c>
      <c r="T119" s="804">
        <v>0.3</v>
      </c>
      <c r="U119" s="804">
        <v>0.37</v>
      </c>
      <c r="V119" s="804">
        <v>0</v>
      </c>
      <c r="W119" s="804">
        <v>1</v>
      </c>
      <c r="X119" s="804">
        <v>48519063</v>
      </c>
      <c r="Y119" s="804">
        <v>44108239</v>
      </c>
      <c r="Z119" s="804">
        <v>54400161</v>
      </c>
      <c r="AA119" s="804">
        <v>0</v>
      </c>
      <c r="AB119" s="804">
        <v>147027463</v>
      </c>
      <c r="AC119" s="804">
        <v>0</v>
      </c>
      <c r="AD119" s="804">
        <v>0</v>
      </c>
      <c r="AE119" s="804">
        <v>0</v>
      </c>
      <c r="AF119" s="804">
        <v>0</v>
      </c>
      <c r="AG119" s="804">
        <v>0</v>
      </c>
      <c r="AH119" s="804">
        <v>48519063</v>
      </c>
      <c r="AI119" s="804">
        <v>44108239</v>
      </c>
      <c r="AJ119" s="804">
        <v>54400161</v>
      </c>
      <c r="AK119" s="804">
        <v>0</v>
      </c>
      <c r="AL119" s="804">
        <v>147027463</v>
      </c>
      <c r="AM119" s="804">
        <v>572716</v>
      </c>
      <c r="AN119" s="804">
        <v>572716</v>
      </c>
      <c r="AO119" s="804">
        <v>0</v>
      </c>
      <c r="AP119" s="804">
        <v>0</v>
      </c>
      <c r="AQ119" s="804">
        <v>0</v>
      </c>
      <c r="AR119" s="804">
        <v>0</v>
      </c>
      <c r="AS119" s="804">
        <v>0</v>
      </c>
      <c r="AT119" s="804">
        <v>0</v>
      </c>
      <c r="AU119" s="804">
        <v>0</v>
      </c>
      <c r="AV119" s="804">
        <v>0</v>
      </c>
      <c r="AW119" s="804">
        <v>0</v>
      </c>
      <c r="AX119" s="804">
        <v>0</v>
      </c>
      <c r="AY119" s="804">
        <v>0</v>
      </c>
      <c r="AZ119" s="804">
        <v>0</v>
      </c>
      <c r="BA119" s="804">
        <v>0</v>
      </c>
      <c r="BB119" s="804">
        <v>0</v>
      </c>
      <c r="BC119" s="804">
        <v>0</v>
      </c>
      <c r="BD119" s="804">
        <v>0</v>
      </c>
      <c r="BE119" s="804">
        <v>0</v>
      </c>
      <c r="BF119" s="804">
        <v>0</v>
      </c>
      <c r="BG119" s="804">
        <v>0</v>
      </c>
      <c r="BH119" s="804">
        <v>0</v>
      </c>
      <c r="BI119" s="804">
        <v>0</v>
      </c>
      <c r="BJ119" s="804">
        <v>0.25</v>
      </c>
      <c r="BK119" s="804">
        <v>0.48</v>
      </c>
      <c r="BL119" s="804">
        <v>0.27</v>
      </c>
      <c r="BM119" s="804">
        <v>0</v>
      </c>
      <c r="BN119" s="804">
        <v>1</v>
      </c>
      <c r="BO119" s="804">
        <v>3060700.9999999963</v>
      </c>
      <c r="BP119" s="804">
        <v>5876545</v>
      </c>
      <c r="BQ119" s="804">
        <v>3305557</v>
      </c>
      <c r="BR119" s="804">
        <v>0</v>
      </c>
      <c r="BS119" s="804">
        <v>12242802.999999996</v>
      </c>
      <c r="BT119" s="804">
        <v>0</v>
      </c>
      <c r="BU119" s="804">
        <v>0.64</v>
      </c>
      <c r="BV119" s="804">
        <v>0.36</v>
      </c>
      <c r="BW119" s="804">
        <v>0</v>
      </c>
      <c r="BX119" s="804">
        <v>1</v>
      </c>
      <c r="BY119" s="804">
        <v>-0.55999999865889549</v>
      </c>
      <c r="BZ119" s="804">
        <v>-6568891</v>
      </c>
      <c r="CA119" s="804">
        <v>-3695001</v>
      </c>
      <c r="CB119" s="804">
        <v>0</v>
      </c>
      <c r="CC119" s="804">
        <v>-10263892.559999999</v>
      </c>
      <c r="CD119" s="804">
        <v>3060700</v>
      </c>
      <c r="CE119" s="804">
        <v>-692346</v>
      </c>
      <c r="CF119" s="804">
        <v>-389444</v>
      </c>
      <c r="CG119" s="804">
        <v>0</v>
      </c>
      <c r="CH119" s="804">
        <v>1978910.4399999976</v>
      </c>
      <c r="CI119" s="804">
        <v>51579763</v>
      </c>
      <c r="CJ119" s="804">
        <v>43988609</v>
      </c>
      <c r="CK119" s="804">
        <v>54010717</v>
      </c>
      <c r="CL119" s="804">
        <v>0</v>
      </c>
      <c r="CM119" s="804">
        <v>149579089</v>
      </c>
      <c r="CN119" s="804">
        <v>1767865</v>
      </c>
      <c r="CO119" s="804">
        <v>2180367</v>
      </c>
      <c r="CP119" s="804">
        <v>0</v>
      </c>
      <c r="CQ119" s="804">
        <v>3948232</v>
      </c>
      <c r="CR119" s="804">
        <v>2364896</v>
      </c>
      <c r="CS119" s="804">
        <v>2916704</v>
      </c>
      <c r="CT119" s="804">
        <v>0</v>
      </c>
      <c r="CU119" s="804">
        <v>5281600</v>
      </c>
      <c r="CV119" s="804">
        <v>188794</v>
      </c>
      <c r="CW119" s="804">
        <v>232846</v>
      </c>
      <c r="CX119" s="804">
        <v>0</v>
      </c>
      <c r="CY119" s="804">
        <v>421640</v>
      </c>
      <c r="CZ119" s="804">
        <v>0</v>
      </c>
      <c r="DA119" s="804">
        <v>0</v>
      </c>
      <c r="DB119" s="804">
        <v>0</v>
      </c>
      <c r="DC119" s="804">
        <v>0</v>
      </c>
      <c r="DD119" s="804">
        <v>0</v>
      </c>
      <c r="DE119" s="804">
        <v>0</v>
      </c>
      <c r="DF119" s="804">
        <v>0</v>
      </c>
      <c r="DG119" s="804">
        <v>0</v>
      </c>
      <c r="DH119" s="804">
        <v>191193</v>
      </c>
      <c r="DI119" s="804">
        <v>235805</v>
      </c>
      <c r="DJ119" s="804">
        <v>0</v>
      </c>
      <c r="DK119" s="804">
        <v>426998</v>
      </c>
      <c r="DL119" s="804">
        <v>36819</v>
      </c>
      <c r="DM119" s="804">
        <v>45410</v>
      </c>
      <c r="DN119" s="804">
        <v>0</v>
      </c>
      <c r="DO119" s="804">
        <v>82229</v>
      </c>
      <c r="DP119" s="804">
        <v>0</v>
      </c>
      <c r="DQ119" s="804">
        <v>0</v>
      </c>
      <c r="DR119" s="804">
        <v>0</v>
      </c>
      <c r="DS119" s="804">
        <v>0</v>
      </c>
      <c r="DT119" s="804">
        <v>0</v>
      </c>
      <c r="DU119" s="804">
        <v>0</v>
      </c>
      <c r="DV119" s="804">
        <v>0</v>
      </c>
      <c r="DW119" s="804">
        <v>0</v>
      </c>
      <c r="DX119" s="804">
        <v>1387063</v>
      </c>
      <c r="DY119" s="804">
        <v>1710710</v>
      </c>
      <c r="DZ119" s="804">
        <v>0</v>
      </c>
      <c r="EA119" s="804">
        <v>3097773</v>
      </c>
      <c r="EB119" s="804">
        <v>5936630</v>
      </c>
      <c r="EC119" s="804">
        <v>7321842</v>
      </c>
      <c r="ED119" s="804">
        <v>0</v>
      </c>
      <c r="EE119" s="804">
        <v>13258472</v>
      </c>
      <c r="EF119" s="604" t="s">
        <v>107</v>
      </c>
      <c r="EG119" s="497" t="s">
        <v>623</v>
      </c>
      <c r="EH119" s="243" t="s">
        <v>523</v>
      </c>
      <c r="EI119" s="118" t="s">
        <v>1770</v>
      </c>
    </row>
    <row r="120" spans="1:139" ht="12.75" x14ac:dyDescent="0.2">
      <c r="A120" s="805">
        <v>113</v>
      </c>
      <c r="B120" s="606" t="s">
        <v>110</v>
      </c>
      <c r="C120" s="607" t="s">
        <v>524</v>
      </c>
      <c r="D120" s="608" t="s">
        <v>1187</v>
      </c>
      <c r="E120" s="609" t="s">
        <v>543</v>
      </c>
      <c r="F120" s="802">
        <v>56177945</v>
      </c>
      <c r="G120" s="804">
        <v>0</v>
      </c>
      <c r="H120" s="804">
        <v>1382637</v>
      </c>
      <c r="I120" s="804">
        <v>157134</v>
      </c>
      <c r="J120" s="804">
        <v>0</v>
      </c>
      <c r="K120" s="804">
        <v>157134</v>
      </c>
      <c r="L120" s="804">
        <v>0</v>
      </c>
      <c r="M120" s="804">
        <v>161976</v>
      </c>
      <c r="N120" s="804">
        <v>0</v>
      </c>
      <c r="O120" s="804">
        <v>0</v>
      </c>
      <c r="P120" s="804">
        <v>0</v>
      </c>
      <c r="Q120" s="804">
        <v>0</v>
      </c>
      <c r="R120" s="804">
        <v>54476198</v>
      </c>
      <c r="S120" s="804">
        <v>0</v>
      </c>
      <c r="T120" s="804">
        <v>0.99</v>
      </c>
      <c r="U120" s="804">
        <v>0</v>
      </c>
      <c r="V120" s="804">
        <v>0.01</v>
      </c>
      <c r="W120" s="804">
        <v>1</v>
      </c>
      <c r="X120" s="804">
        <v>0</v>
      </c>
      <c r="Y120" s="804">
        <v>53931436</v>
      </c>
      <c r="Z120" s="804">
        <v>0</v>
      </c>
      <c r="AA120" s="804">
        <v>544762</v>
      </c>
      <c r="AB120" s="804">
        <v>54476198</v>
      </c>
      <c r="AC120" s="804">
        <v>0</v>
      </c>
      <c r="AD120" s="804">
        <v>0</v>
      </c>
      <c r="AE120" s="804">
        <v>0</v>
      </c>
      <c r="AF120" s="804">
        <v>0</v>
      </c>
      <c r="AG120" s="804">
        <v>0</v>
      </c>
      <c r="AH120" s="804">
        <v>0</v>
      </c>
      <c r="AI120" s="804">
        <v>53931436</v>
      </c>
      <c r="AJ120" s="804">
        <v>0</v>
      </c>
      <c r="AK120" s="804">
        <v>544762</v>
      </c>
      <c r="AL120" s="804">
        <v>54476198</v>
      </c>
      <c r="AM120" s="804">
        <v>157134</v>
      </c>
      <c r="AN120" s="804">
        <v>157134</v>
      </c>
      <c r="AO120" s="804">
        <v>161976</v>
      </c>
      <c r="AP120" s="804">
        <v>161976</v>
      </c>
      <c r="AQ120" s="804">
        <v>0</v>
      </c>
      <c r="AR120" s="804">
        <v>0</v>
      </c>
      <c r="AS120" s="804">
        <v>0</v>
      </c>
      <c r="AT120" s="804">
        <v>0</v>
      </c>
      <c r="AU120" s="804">
        <v>0</v>
      </c>
      <c r="AV120" s="804">
        <v>0</v>
      </c>
      <c r="AW120" s="804">
        <v>0</v>
      </c>
      <c r="AX120" s="804">
        <v>0</v>
      </c>
      <c r="AY120" s="804">
        <v>0</v>
      </c>
      <c r="AZ120" s="804">
        <v>0</v>
      </c>
      <c r="BA120" s="804">
        <v>0</v>
      </c>
      <c r="BB120" s="804">
        <v>0</v>
      </c>
      <c r="BC120" s="804">
        <v>0</v>
      </c>
      <c r="BD120" s="804">
        <v>0</v>
      </c>
      <c r="BE120" s="804">
        <v>0</v>
      </c>
      <c r="BF120" s="804">
        <v>0</v>
      </c>
      <c r="BG120" s="804">
        <v>0</v>
      </c>
      <c r="BH120" s="804">
        <v>0</v>
      </c>
      <c r="BI120" s="804">
        <v>0</v>
      </c>
      <c r="BJ120" s="804">
        <v>0</v>
      </c>
      <c r="BK120" s="804">
        <v>0.99</v>
      </c>
      <c r="BL120" s="804">
        <v>0</v>
      </c>
      <c r="BM120" s="804">
        <v>0.01</v>
      </c>
      <c r="BN120" s="804">
        <v>1</v>
      </c>
      <c r="BO120" s="804">
        <v>0</v>
      </c>
      <c r="BP120" s="804">
        <v>2331173</v>
      </c>
      <c r="BQ120" s="804">
        <v>0</v>
      </c>
      <c r="BR120" s="804">
        <v>23547</v>
      </c>
      <c r="BS120" s="804">
        <v>2354720</v>
      </c>
      <c r="BT120" s="804">
        <v>0</v>
      </c>
      <c r="BU120" s="804">
        <v>0.99</v>
      </c>
      <c r="BV120" s="804">
        <v>0</v>
      </c>
      <c r="BW120" s="804">
        <v>0.01</v>
      </c>
      <c r="BX120" s="804">
        <v>1</v>
      </c>
      <c r="BY120" s="804">
        <v>0</v>
      </c>
      <c r="BZ120" s="804">
        <v>410361</v>
      </c>
      <c r="CA120" s="804">
        <v>0</v>
      </c>
      <c r="CB120" s="804">
        <v>4145</v>
      </c>
      <c r="CC120" s="804">
        <v>414506</v>
      </c>
      <c r="CD120" s="804">
        <v>0</v>
      </c>
      <c r="CE120" s="804">
        <v>2741534</v>
      </c>
      <c r="CF120" s="804">
        <v>0</v>
      </c>
      <c r="CG120" s="804">
        <v>27692</v>
      </c>
      <c r="CH120" s="804">
        <v>2769226</v>
      </c>
      <c r="CI120" s="804">
        <v>0</v>
      </c>
      <c r="CJ120" s="804">
        <v>56992080</v>
      </c>
      <c r="CK120" s="804">
        <v>0</v>
      </c>
      <c r="CL120" s="804">
        <v>572454</v>
      </c>
      <c r="CM120" s="804">
        <v>57564534</v>
      </c>
      <c r="CN120" s="804">
        <v>2168073</v>
      </c>
      <c r="CO120" s="804">
        <v>0</v>
      </c>
      <c r="CP120" s="804">
        <v>21834</v>
      </c>
      <c r="CQ120" s="804">
        <v>2189907</v>
      </c>
      <c r="CR120" s="804">
        <v>2336774</v>
      </c>
      <c r="CS120" s="804">
        <v>0</v>
      </c>
      <c r="CT120" s="804">
        <v>23604</v>
      </c>
      <c r="CU120" s="804">
        <v>2360378</v>
      </c>
      <c r="CV120" s="804">
        <v>224322</v>
      </c>
      <c r="CW120" s="804">
        <v>0</v>
      </c>
      <c r="CX120" s="804">
        <v>2216</v>
      </c>
      <c r="CY120" s="804">
        <v>226538</v>
      </c>
      <c r="CZ120" s="804">
        <v>19322</v>
      </c>
      <c r="DA120" s="804">
        <v>0</v>
      </c>
      <c r="DB120" s="804">
        <v>195</v>
      </c>
      <c r="DC120" s="804">
        <v>19517</v>
      </c>
      <c r="DD120" s="804">
        <v>0</v>
      </c>
      <c r="DE120" s="804">
        <v>0</v>
      </c>
      <c r="DF120" s="804">
        <v>0</v>
      </c>
      <c r="DG120" s="804">
        <v>0</v>
      </c>
      <c r="DH120" s="804">
        <v>9948</v>
      </c>
      <c r="DI120" s="804">
        <v>0</v>
      </c>
      <c r="DJ120" s="804">
        <v>100</v>
      </c>
      <c r="DK120" s="804">
        <v>10048</v>
      </c>
      <c r="DL120" s="804">
        <v>4888</v>
      </c>
      <c r="DM120" s="804">
        <v>0</v>
      </c>
      <c r="DN120" s="804">
        <v>49</v>
      </c>
      <c r="DO120" s="804">
        <v>4937</v>
      </c>
      <c r="DP120" s="804">
        <v>225384.16</v>
      </c>
      <c r="DQ120" s="804">
        <v>0</v>
      </c>
      <c r="DR120" s="804">
        <v>368.84000000000003</v>
      </c>
      <c r="DS120" s="804">
        <v>225753</v>
      </c>
      <c r="DT120" s="804">
        <v>0</v>
      </c>
      <c r="DU120" s="804">
        <v>0</v>
      </c>
      <c r="DV120" s="804">
        <v>0</v>
      </c>
      <c r="DW120" s="804">
        <v>0</v>
      </c>
      <c r="DX120" s="804">
        <v>792798</v>
      </c>
      <c r="DY120" s="804">
        <v>0</v>
      </c>
      <c r="DZ120" s="804">
        <v>8008</v>
      </c>
      <c r="EA120" s="804">
        <v>800806</v>
      </c>
      <c r="EB120" s="804">
        <v>5781509.1600000001</v>
      </c>
      <c r="EC120" s="804">
        <v>0</v>
      </c>
      <c r="ED120" s="804">
        <v>56374.84</v>
      </c>
      <c r="EE120" s="804">
        <v>5837884</v>
      </c>
      <c r="EF120" s="604" t="s">
        <v>543</v>
      </c>
      <c r="EG120" s="497" t="s">
        <v>524</v>
      </c>
      <c r="EH120" s="630" t="s">
        <v>544</v>
      </c>
      <c r="EI120" s="118" t="s">
        <v>1771</v>
      </c>
    </row>
    <row r="121" spans="1:139" ht="12.75" x14ac:dyDescent="0.2">
      <c r="A121" s="805">
        <v>114</v>
      </c>
      <c r="B121" s="606" t="s">
        <v>112</v>
      </c>
      <c r="C121" s="607" t="s">
        <v>1185</v>
      </c>
      <c r="D121" s="608" t="s">
        <v>1193</v>
      </c>
      <c r="E121" s="609" t="s">
        <v>111</v>
      </c>
      <c r="F121" s="802">
        <v>28885955</v>
      </c>
      <c r="G121" s="804">
        <v>160454</v>
      </c>
      <c r="H121" s="804">
        <v>0</v>
      </c>
      <c r="I121" s="804">
        <v>155705</v>
      </c>
      <c r="J121" s="804">
        <v>0</v>
      </c>
      <c r="K121" s="804">
        <v>155705</v>
      </c>
      <c r="L121" s="804">
        <v>0</v>
      </c>
      <c r="M121" s="804">
        <v>0</v>
      </c>
      <c r="N121" s="804">
        <v>68133</v>
      </c>
      <c r="O121" s="804">
        <v>68133</v>
      </c>
      <c r="P121" s="804">
        <v>0</v>
      </c>
      <c r="Q121" s="804">
        <v>0</v>
      </c>
      <c r="R121" s="804">
        <v>28822571</v>
      </c>
      <c r="S121" s="804">
        <v>0.5</v>
      </c>
      <c r="T121" s="804">
        <v>0.4</v>
      </c>
      <c r="U121" s="804">
        <v>0.09</v>
      </c>
      <c r="V121" s="804">
        <v>0.01</v>
      </c>
      <c r="W121" s="804">
        <v>1</v>
      </c>
      <c r="X121" s="804">
        <v>14411286</v>
      </c>
      <c r="Y121" s="804">
        <v>11529028</v>
      </c>
      <c r="Z121" s="804">
        <v>2594031</v>
      </c>
      <c r="AA121" s="804">
        <v>288226</v>
      </c>
      <c r="AB121" s="804">
        <v>28822571</v>
      </c>
      <c r="AC121" s="804">
        <v>0</v>
      </c>
      <c r="AD121" s="804">
        <v>0</v>
      </c>
      <c r="AE121" s="804">
        <v>0</v>
      </c>
      <c r="AF121" s="804">
        <v>0</v>
      </c>
      <c r="AG121" s="804">
        <v>0</v>
      </c>
      <c r="AH121" s="804">
        <v>14411286</v>
      </c>
      <c r="AI121" s="804">
        <v>11529028</v>
      </c>
      <c r="AJ121" s="804">
        <v>2594031</v>
      </c>
      <c r="AK121" s="804">
        <v>288226</v>
      </c>
      <c r="AL121" s="804">
        <v>28822571</v>
      </c>
      <c r="AM121" s="804">
        <v>155705</v>
      </c>
      <c r="AN121" s="804">
        <v>155705</v>
      </c>
      <c r="AO121" s="804">
        <v>0</v>
      </c>
      <c r="AP121" s="804">
        <v>0</v>
      </c>
      <c r="AQ121" s="804">
        <v>68133</v>
      </c>
      <c r="AR121" s="804">
        <v>0</v>
      </c>
      <c r="AS121" s="804">
        <v>68133</v>
      </c>
      <c r="AT121" s="804">
        <v>0</v>
      </c>
      <c r="AU121" s="804">
        <v>0</v>
      </c>
      <c r="AV121" s="804">
        <v>0</v>
      </c>
      <c r="AW121" s="804">
        <v>0</v>
      </c>
      <c r="AX121" s="804">
        <v>0</v>
      </c>
      <c r="AY121" s="804">
        <v>0</v>
      </c>
      <c r="AZ121" s="804">
        <v>0</v>
      </c>
      <c r="BA121" s="804">
        <v>0</v>
      </c>
      <c r="BB121" s="804">
        <v>0</v>
      </c>
      <c r="BC121" s="804">
        <v>0</v>
      </c>
      <c r="BD121" s="804">
        <v>0</v>
      </c>
      <c r="BE121" s="804">
        <v>0</v>
      </c>
      <c r="BF121" s="804">
        <v>0</v>
      </c>
      <c r="BG121" s="804">
        <v>0</v>
      </c>
      <c r="BH121" s="804">
        <v>0</v>
      </c>
      <c r="BI121" s="804">
        <v>0</v>
      </c>
      <c r="BJ121" s="804">
        <v>0.25</v>
      </c>
      <c r="BK121" s="804">
        <v>0.52500000000000002</v>
      </c>
      <c r="BL121" s="804">
        <v>0.215</v>
      </c>
      <c r="BM121" s="804">
        <v>0.01</v>
      </c>
      <c r="BN121" s="804">
        <v>1</v>
      </c>
      <c r="BO121" s="804">
        <v>129865</v>
      </c>
      <c r="BP121" s="804">
        <v>272717</v>
      </c>
      <c r="BQ121" s="804">
        <v>111684</v>
      </c>
      <c r="BR121" s="804">
        <v>5195</v>
      </c>
      <c r="BS121" s="804">
        <v>519461</v>
      </c>
      <c r="BT121" s="804">
        <v>0.5</v>
      </c>
      <c r="BU121" s="804">
        <v>0.4</v>
      </c>
      <c r="BV121" s="804">
        <v>0.09</v>
      </c>
      <c r="BW121" s="804">
        <v>0.01</v>
      </c>
      <c r="BX121" s="804">
        <v>1</v>
      </c>
      <c r="BY121" s="804">
        <v>-335574</v>
      </c>
      <c r="BZ121" s="804">
        <v>-268458</v>
      </c>
      <c r="CA121" s="804">
        <v>-60403</v>
      </c>
      <c r="CB121" s="804">
        <v>-6711</v>
      </c>
      <c r="CC121" s="804">
        <v>-671146</v>
      </c>
      <c r="CD121" s="804">
        <v>-205709</v>
      </c>
      <c r="CE121" s="804">
        <v>4259</v>
      </c>
      <c r="CF121" s="804">
        <v>51281</v>
      </c>
      <c r="CG121" s="804">
        <v>-1516</v>
      </c>
      <c r="CH121" s="804">
        <v>-151685</v>
      </c>
      <c r="CI121" s="804">
        <v>14205577</v>
      </c>
      <c r="CJ121" s="804">
        <v>11757125</v>
      </c>
      <c r="CK121" s="804">
        <v>2645312</v>
      </c>
      <c r="CL121" s="804">
        <v>286710</v>
      </c>
      <c r="CM121" s="804">
        <v>28894724</v>
      </c>
      <c r="CN121" s="804">
        <v>464816</v>
      </c>
      <c r="CO121" s="804">
        <v>103969</v>
      </c>
      <c r="CP121" s="804">
        <v>11552</v>
      </c>
      <c r="CQ121" s="804">
        <v>580337</v>
      </c>
      <c r="CR121" s="804">
        <v>1436947</v>
      </c>
      <c r="CS121" s="804">
        <v>323313</v>
      </c>
      <c r="CT121" s="804">
        <v>35924</v>
      </c>
      <c r="CU121" s="804">
        <v>1796184</v>
      </c>
      <c r="CV121" s="804">
        <v>67417</v>
      </c>
      <c r="CW121" s="804">
        <v>15169</v>
      </c>
      <c r="CX121" s="804">
        <v>1685</v>
      </c>
      <c r="CY121" s="804">
        <v>84271</v>
      </c>
      <c r="CZ121" s="804">
        <v>12664</v>
      </c>
      <c r="DA121" s="804">
        <v>2849</v>
      </c>
      <c r="DB121" s="804">
        <v>317</v>
      </c>
      <c r="DC121" s="804">
        <v>15830</v>
      </c>
      <c r="DD121" s="804">
        <v>26118</v>
      </c>
      <c r="DE121" s="804">
        <v>5876</v>
      </c>
      <c r="DF121" s="804">
        <v>653</v>
      </c>
      <c r="DG121" s="804">
        <v>32647</v>
      </c>
      <c r="DH121" s="804">
        <v>16553</v>
      </c>
      <c r="DI121" s="804">
        <v>3725</v>
      </c>
      <c r="DJ121" s="804">
        <v>414</v>
      </c>
      <c r="DK121" s="804">
        <v>20692</v>
      </c>
      <c r="DL121" s="804">
        <v>1872</v>
      </c>
      <c r="DM121" s="804">
        <v>421</v>
      </c>
      <c r="DN121" s="804">
        <v>47</v>
      </c>
      <c r="DO121" s="804">
        <v>2340</v>
      </c>
      <c r="DP121" s="804">
        <v>0</v>
      </c>
      <c r="DQ121" s="804">
        <v>0</v>
      </c>
      <c r="DR121" s="804">
        <v>0</v>
      </c>
      <c r="DS121" s="804">
        <v>0</v>
      </c>
      <c r="DT121" s="804">
        <v>0</v>
      </c>
      <c r="DU121" s="804">
        <v>0</v>
      </c>
      <c r="DV121" s="804">
        <v>0</v>
      </c>
      <c r="DW121" s="804">
        <v>0</v>
      </c>
      <c r="DX121" s="804">
        <v>295135</v>
      </c>
      <c r="DY121" s="804">
        <v>66405</v>
      </c>
      <c r="DZ121" s="804">
        <v>7378</v>
      </c>
      <c r="EA121" s="804">
        <v>368918</v>
      </c>
      <c r="EB121" s="804">
        <v>2321522</v>
      </c>
      <c r="EC121" s="804">
        <v>521727</v>
      </c>
      <c r="ED121" s="804">
        <v>57970</v>
      </c>
      <c r="EE121" s="804">
        <v>2901219</v>
      </c>
      <c r="EF121" s="604" t="s">
        <v>111</v>
      </c>
      <c r="EG121" s="497" t="s">
        <v>599</v>
      </c>
      <c r="EH121" s="630" t="s">
        <v>598</v>
      </c>
      <c r="EI121" s="118" t="s">
        <v>1772</v>
      </c>
    </row>
    <row r="122" spans="1:139" ht="12.75" x14ac:dyDescent="0.2">
      <c r="A122" s="805">
        <v>115</v>
      </c>
      <c r="B122" s="606" t="s">
        <v>114</v>
      </c>
      <c r="C122" s="607" t="s">
        <v>1196</v>
      </c>
      <c r="D122" s="608" t="s">
        <v>1191</v>
      </c>
      <c r="E122" s="609" t="s">
        <v>113</v>
      </c>
      <c r="F122" s="802">
        <v>233455616</v>
      </c>
      <c r="G122" s="804">
        <v>1052726</v>
      </c>
      <c r="H122" s="804">
        <v>0</v>
      </c>
      <c r="I122" s="804">
        <v>585400</v>
      </c>
      <c r="J122" s="804">
        <v>0</v>
      </c>
      <c r="K122" s="804">
        <v>585400</v>
      </c>
      <c r="L122" s="804">
        <v>0</v>
      </c>
      <c r="M122" s="804">
        <v>0</v>
      </c>
      <c r="N122" s="804">
        <v>0</v>
      </c>
      <c r="O122" s="804">
        <v>0</v>
      </c>
      <c r="P122" s="804">
        <v>0</v>
      </c>
      <c r="Q122" s="804">
        <v>0</v>
      </c>
      <c r="R122" s="804">
        <v>233922942</v>
      </c>
      <c r="S122" s="804">
        <v>0.33</v>
      </c>
      <c r="T122" s="804">
        <v>0.3</v>
      </c>
      <c r="U122" s="804">
        <v>0.37</v>
      </c>
      <c r="V122" s="804">
        <v>0</v>
      </c>
      <c r="W122" s="804">
        <v>1</v>
      </c>
      <c r="X122" s="804">
        <v>77194570</v>
      </c>
      <c r="Y122" s="804">
        <v>70176883</v>
      </c>
      <c r="Z122" s="804">
        <v>86551489</v>
      </c>
      <c r="AA122" s="804">
        <v>0</v>
      </c>
      <c r="AB122" s="804">
        <v>233922942</v>
      </c>
      <c r="AC122" s="804">
        <v>0</v>
      </c>
      <c r="AD122" s="804">
        <v>0</v>
      </c>
      <c r="AE122" s="804">
        <v>0</v>
      </c>
      <c r="AF122" s="804">
        <v>0</v>
      </c>
      <c r="AG122" s="804">
        <v>0</v>
      </c>
      <c r="AH122" s="804">
        <v>77194570</v>
      </c>
      <c r="AI122" s="804">
        <v>70176883</v>
      </c>
      <c r="AJ122" s="804">
        <v>86551489</v>
      </c>
      <c r="AK122" s="804">
        <v>0</v>
      </c>
      <c r="AL122" s="804">
        <v>233922942</v>
      </c>
      <c r="AM122" s="804">
        <v>585400</v>
      </c>
      <c r="AN122" s="804">
        <v>585400</v>
      </c>
      <c r="AO122" s="804">
        <v>0</v>
      </c>
      <c r="AP122" s="804">
        <v>0</v>
      </c>
      <c r="AQ122" s="804">
        <v>0</v>
      </c>
      <c r="AR122" s="804">
        <v>0</v>
      </c>
      <c r="AS122" s="804">
        <v>0</v>
      </c>
      <c r="AT122" s="804">
        <v>0</v>
      </c>
      <c r="AU122" s="804">
        <v>0</v>
      </c>
      <c r="AV122" s="804">
        <v>0</v>
      </c>
      <c r="AW122" s="804">
        <v>0</v>
      </c>
      <c r="AX122" s="804">
        <v>0</v>
      </c>
      <c r="AY122" s="804">
        <v>0</v>
      </c>
      <c r="AZ122" s="804">
        <v>0</v>
      </c>
      <c r="BA122" s="804">
        <v>0</v>
      </c>
      <c r="BB122" s="804">
        <v>0</v>
      </c>
      <c r="BC122" s="804">
        <v>0</v>
      </c>
      <c r="BD122" s="804">
        <v>0</v>
      </c>
      <c r="BE122" s="804">
        <v>0</v>
      </c>
      <c r="BF122" s="804">
        <v>0</v>
      </c>
      <c r="BG122" s="804">
        <v>0</v>
      </c>
      <c r="BH122" s="804">
        <v>0</v>
      </c>
      <c r="BI122" s="804">
        <v>0</v>
      </c>
      <c r="BJ122" s="804">
        <v>0.25</v>
      </c>
      <c r="BK122" s="804">
        <v>0.48</v>
      </c>
      <c r="BL122" s="804">
        <v>0.27</v>
      </c>
      <c r="BM122" s="804">
        <v>0</v>
      </c>
      <c r="BN122" s="804">
        <v>1</v>
      </c>
      <c r="BO122" s="804">
        <v>139077</v>
      </c>
      <c r="BP122" s="804">
        <v>267028</v>
      </c>
      <c r="BQ122" s="804">
        <v>150203</v>
      </c>
      <c r="BR122" s="804">
        <v>0</v>
      </c>
      <c r="BS122" s="804">
        <v>556308</v>
      </c>
      <c r="BT122" s="804">
        <v>0</v>
      </c>
      <c r="BU122" s="804">
        <v>0.64</v>
      </c>
      <c r="BV122" s="804">
        <v>0.36</v>
      </c>
      <c r="BW122" s="804">
        <v>0</v>
      </c>
      <c r="BX122" s="804">
        <v>1</v>
      </c>
      <c r="BY122" s="804">
        <v>0</v>
      </c>
      <c r="BZ122" s="804">
        <v>4549855</v>
      </c>
      <c r="CA122" s="804">
        <v>2559294</v>
      </c>
      <c r="CB122" s="804">
        <v>0</v>
      </c>
      <c r="CC122" s="804">
        <v>7109149</v>
      </c>
      <c r="CD122" s="804">
        <v>139077</v>
      </c>
      <c r="CE122" s="804">
        <v>4816883</v>
      </c>
      <c r="CF122" s="804">
        <v>2709497</v>
      </c>
      <c r="CG122" s="804">
        <v>0</v>
      </c>
      <c r="CH122" s="804">
        <v>7665457</v>
      </c>
      <c r="CI122" s="804">
        <v>77333647</v>
      </c>
      <c r="CJ122" s="804">
        <v>75579166</v>
      </c>
      <c r="CK122" s="804">
        <v>89260986</v>
      </c>
      <c r="CL122" s="804">
        <v>0</v>
      </c>
      <c r="CM122" s="804">
        <v>242173799</v>
      </c>
      <c r="CN122" s="804">
        <v>2812701</v>
      </c>
      <c r="CO122" s="804">
        <v>3468998</v>
      </c>
      <c r="CP122" s="804">
        <v>0</v>
      </c>
      <c r="CQ122" s="804">
        <v>6281699</v>
      </c>
      <c r="CR122" s="804">
        <v>1278413</v>
      </c>
      <c r="CS122" s="804">
        <v>1576709</v>
      </c>
      <c r="CT122" s="804">
        <v>0</v>
      </c>
      <c r="CU122" s="804">
        <v>2855122</v>
      </c>
      <c r="CV122" s="804">
        <v>154301</v>
      </c>
      <c r="CW122" s="804">
        <v>190304</v>
      </c>
      <c r="CX122" s="804">
        <v>0</v>
      </c>
      <c r="CY122" s="804">
        <v>344605</v>
      </c>
      <c r="CZ122" s="804">
        <v>4163</v>
      </c>
      <c r="DA122" s="804">
        <v>5134</v>
      </c>
      <c r="DB122" s="804">
        <v>0</v>
      </c>
      <c r="DC122" s="804">
        <v>9297</v>
      </c>
      <c r="DD122" s="804">
        <v>0</v>
      </c>
      <c r="DE122" s="804">
        <v>0</v>
      </c>
      <c r="DF122" s="804">
        <v>0</v>
      </c>
      <c r="DG122" s="804">
        <v>0</v>
      </c>
      <c r="DH122" s="804">
        <v>11523</v>
      </c>
      <c r="DI122" s="804">
        <v>14211</v>
      </c>
      <c r="DJ122" s="804">
        <v>0</v>
      </c>
      <c r="DK122" s="804">
        <v>25734</v>
      </c>
      <c r="DL122" s="804">
        <v>0</v>
      </c>
      <c r="DM122" s="804">
        <v>0</v>
      </c>
      <c r="DN122" s="804">
        <v>0</v>
      </c>
      <c r="DO122" s="804">
        <v>0</v>
      </c>
      <c r="DP122" s="804">
        <v>0</v>
      </c>
      <c r="DQ122" s="804">
        <v>0</v>
      </c>
      <c r="DR122" s="804">
        <v>0</v>
      </c>
      <c r="DS122" s="804">
        <v>0</v>
      </c>
      <c r="DT122" s="804">
        <v>0</v>
      </c>
      <c r="DU122" s="804">
        <v>0</v>
      </c>
      <c r="DV122" s="804">
        <v>0</v>
      </c>
      <c r="DW122" s="804">
        <v>0</v>
      </c>
      <c r="DX122" s="804">
        <v>2708016</v>
      </c>
      <c r="DY122" s="804">
        <v>3339885</v>
      </c>
      <c r="DZ122" s="804">
        <v>0</v>
      </c>
      <c r="EA122" s="804">
        <v>6047901</v>
      </c>
      <c r="EB122" s="804">
        <v>6969117</v>
      </c>
      <c r="EC122" s="804">
        <v>8595241</v>
      </c>
      <c r="ED122" s="804">
        <v>0</v>
      </c>
      <c r="EE122" s="804">
        <v>15564358</v>
      </c>
      <c r="EF122" s="604" t="s">
        <v>113</v>
      </c>
      <c r="EG122" s="497" t="s">
        <v>623</v>
      </c>
      <c r="EH122" s="243" t="s">
        <v>523</v>
      </c>
      <c r="EI122" s="118" t="s">
        <v>1773</v>
      </c>
    </row>
    <row r="123" spans="1:139" ht="12.75" x14ac:dyDescent="0.2">
      <c r="A123" s="805">
        <v>116</v>
      </c>
      <c r="B123" s="606" t="s">
        <v>116</v>
      </c>
      <c r="C123" s="607" t="s">
        <v>1185</v>
      </c>
      <c r="D123" s="608" t="s">
        <v>1188</v>
      </c>
      <c r="E123" s="609" t="s">
        <v>115</v>
      </c>
      <c r="F123" s="802">
        <v>47428401</v>
      </c>
      <c r="G123" s="804">
        <v>429639</v>
      </c>
      <c r="H123" s="804">
        <v>0</v>
      </c>
      <c r="I123" s="804">
        <v>126910</v>
      </c>
      <c r="J123" s="804">
        <v>0</v>
      </c>
      <c r="K123" s="804">
        <v>126910</v>
      </c>
      <c r="L123" s="804">
        <v>0</v>
      </c>
      <c r="M123" s="804">
        <v>0</v>
      </c>
      <c r="N123" s="804">
        <v>27318</v>
      </c>
      <c r="O123" s="804">
        <v>27318</v>
      </c>
      <c r="P123" s="804">
        <v>0</v>
      </c>
      <c r="Q123" s="804">
        <v>0</v>
      </c>
      <c r="R123" s="804">
        <v>47703812</v>
      </c>
      <c r="S123" s="804">
        <v>0.5</v>
      </c>
      <c r="T123" s="804">
        <v>0.4</v>
      </c>
      <c r="U123" s="804">
        <v>0.09</v>
      </c>
      <c r="V123" s="804">
        <v>0.01</v>
      </c>
      <c r="W123" s="804">
        <v>1</v>
      </c>
      <c r="X123" s="804">
        <v>23851906</v>
      </c>
      <c r="Y123" s="804">
        <v>19081525</v>
      </c>
      <c r="Z123" s="804">
        <v>4293343</v>
      </c>
      <c r="AA123" s="804">
        <v>477038</v>
      </c>
      <c r="AB123" s="804">
        <v>47703812</v>
      </c>
      <c r="AC123" s="804">
        <v>0</v>
      </c>
      <c r="AD123" s="804">
        <v>0</v>
      </c>
      <c r="AE123" s="804">
        <v>0</v>
      </c>
      <c r="AF123" s="804">
        <v>0</v>
      </c>
      <c r="AG123" s="804">
        <v>0</v>
      </c>
      <c r="AH123" s="804">
        <v>23851906</v>
      </c>
      <c r="AI123" s="804">
        <v>19081525</v>
      </c>
      <c r="AJ123" s="804">
        <v>4293343</v>
      </c>
      <c r="AK123" s="804">
        <v>477038</v>
      </c>
      <c r="AL123" s="804">
        <v>47703812</v>
      </c>
      <c r="AM123" s="804">
        <v>126910</v>
      </c>
      <c r="AN123" s="804">
        <v>126910</v>
      </c>
      <c r="AO123" s="804">
        <v>0</v>
      </c>
      <c r="AP123" s="804">
        <v>0</v>
      </c>
      <c r="AQ123" s="804">
        <v>27318</v>
      </c>
      <c r="AR123" s="804">
        <v>0</v>
      </c>
      <c r="AS123" s="804">
        <v>27318</v>
      </c>
      <c r="AT123" s="804">
        <v>0</v>
      </c>
      <c r="AU123" s="804">
        <v>0</v>
      </c>
      <c r="AV123" s="804">
        <v>0</v>
      </c>
      <c r="AW123" s="804">
        <v>0</v>
      </c>
      <c r="AX123" s="804">
        <v>0</v>
      </c>
      <c r="AY123" s="804">
        <v>0</v>
      </c>
      <c r="AZ123" s="804">
        <v>0</v>
      </c>
      <c r="BA123" s="804">
        <v>0</v>
      </c>
      <c r="BB123" s="804">
        <v>0</v>
      </c>
      <c r="BC123" s="804">
        <v>0</v>
      </c>
      <c r="BD123" s="804">
        <v>0</v>
      </c>
      <c r="BE123" s="804">
        <v>0</v>
      </c>
      <c r="BF123" s="804">
        <v>0</v>
      </c>
      <c r="BG123" s="804">
        <v>0</v>
      </c>
      <c r="BH123" s="804">
        <v>0</v>
      </c>
      <c r="BI123" s="804">
        <v>0</v>
      </c>
      <c r="BJ123" s="804">
        <v>0.25</v>
      </c>
      <c r="BK123" s="804">
        <v>0.375</v>
      </c>
      <c r="BL123" s="804">
        <v>0.36499999999999999</v>
      </c>
      <c r="BM123" s="804">
        <v>0.01</v>
      </c>
      <c r="BN123" s="804">
        <v>1</v>
      </c>
      <c r="BO123" s="804">
        <v>-274134.99999999627</v>
      </c>
      <c r="BP123" s="804">
        <v>-411201</v>
      </c>
      <c r="BQ123" s="804">
        <v>-400236</v>
      </c>
      <c r="BR123" s="804">
        <v>-10965</v>
      </c>
      <c r="BS123" s="804">
        <v>-1096536.9999999963</v>
      </c>
      <c r="BT123" s="804">
        <v>0.5</v>
      </c>
      <c r="BU123" s="804">
        <v>0.4</v>
      </c>
      <c r="BV123" s="804">
        <v>0.09</v>
      </c>
      <c r="BW123" s="804">
        <v>0.01</v>
      </c>
      <c r="BX123" s="804">
        <v>1</v>
      </c>
      <c r="BY123" s="804">
        <v>-667302.83000000194</v>
      </c>
      <c r="BZ123" s="804">
        <v>-533843</v>
      </c>
      <c r="CA123" s="804">
        <v>-120115</v>
      </c>
      <c r="CB123" s="804">
        <v>-13346</v>
      </c>
      <c r="CC123" s="804">
        <v>-1334606.8300000019</v>
      </c>
      <c r="CD123" s="804">
        <v>-941438</v>
      </c>
      <c r="CE123" s="804">
        <v>-945044</v>
      </c>
      <c r="CF123" s="804">
        <v>-520351</v>
      </c>
      <c r="CG123" s="804">
        <v>-24311</v>
      </c>
      <c r="CH123" s="804">
        <v>-2431143.8299999982</v>
      </c>
      <c r="CI123" s="804">
        <v>22910468</v>
      </c>
      <c r="CJ123" s="804">
        <v>18290709</v>
      </c>
      <c r="CK123" s="804">
        <v>3772992</v>
      </c>
      <c r="CL123" s="804">
        <v>452727</v>
      </c>
      <c r="CM123" s="804">
        <v>45426896</v>
      </c>
      <c r="CN123" s="804">
        <v>765885</v>
      </c>
      <c r="CO123" s="804">
        <v>172078</v>
      </c>
      <c r="CP123" s="804">
        <v>19120</v>
      </c>
      <c r="CQ123" s="804">
        <v>957083</v>
      </c>
      <c r="CR123" s="804">
        <v>978992</v>
      </c>
      <c r="CS123" s="804">
        <v>220273</v>
      </c>
      <c r="CT123" s="804">
        <v>24475</v>
      </c>
      <c r="CU123" s="804">
        <v>1223740</v>
      </c>
      <c r="CV123" s="804">
        <v>76721</v>
      </c>
      <c r="CW123" s="804">
        <v>17262</v>
      </c>
      <c r="CX123" s="804">
        <v>1918</v>
      </c>
      <c r="CY123" s="804">
        <v>95901</v>
      </c>
      <c r="CZ123" s="804">
        <v>322</v>
      </c>
      <c r="DA123" s="804">
        <v>72</v>
      </c>
      <c r="DB123" s="804">
        <v>8</v>
      </c>
      <c r="DC123" s="804">
        <v>402</v>
      </c>
      <c r="DD123" s="804">
        <v>9686</v>
      </c>
      <c r="DE123" s="804">
        <v>2179</v>
      </c>
      <c r="DF123" s="804">
        <v>242</v>
      </c>
      <c r="DG123" s="804">
        <v>12107</v>
      </c>
      <c r="DH123" s="804">
        <v>19394</v>
      </c>
      <c r="DI123" s="804">
        <v>4364</v>
      </c>
      <c r="DJ123" s="804">
        <v>485</v>
      </c>
      <c r="DK123" s="804">
        <v>24243</v>
      </c>
      <c r="DL123" s="804">
        <v>4402</v>
      </c>
      <c r="DM123" s="804">
        <v>990</v>
      </c>
      <c r="DN123" s="804">
        <v>110</v>
      </c>
      <c r="DO123" s="804">
        <v>5502</v>
      </c>
      <c r="DP123" s="804">
        <v>0</v>
      </c>
      <c r="DQ123" s="804">
        <v>0</v>
      </c>
      <c r="DR123" s="804">
        <v>0</v>
      </c>
      <c r="DS123" s="804">
        <v>0</v>
      </c>
      <c r="DT123" s="804">
        <v>0</v>
      </c>
      <c r="DU123" s="804">
        <v>0</v>
      </c>
      <c r="DV123" s="804">
        <v>0</v>
      </c>
      <c r="DW123" s="804">
        <v>0</v>
      </c>
      <c r="DX123" s="804">
        <v>254302</v>
      </c>
      <c r="DY123" s="804">
        <v>57218</v>
      </c>
      <c r="DZ123" s="804">
        <v>6358</v>
      </c>
      <c r="EA123" s="804">
        <v>317878</v>
      </c>
      <c r="EB123" s="804">
        <v>2109704</v>
      </c>
      <c r="EC123" s="804">
        <v>474436</v>
      </c>
      <c r="ED123" s="804">
        <v>52716</v>
      </c>
      <c r="EE123" s="804">
        <v>2636856</v>
      </c>
      <c r="EF123" s="604" t="s">
        <v>115</v>
      </c>
      <c r="EG123" s="497" t="s">
        <v>594</v>
      </c>
      <c r="EH123" s="630" t="s">
        <v>592</v>
      </c>
      <c r="EI123" s="118" t="s">
        <v>1774</v>
      </c>
    </row>
    <row r="124" spans="1:139" ht="12.75" x14ac:dyDescent="0.2">
      <c r="A124" s="805">
        <v>117</v>
      </c>
      <c r="B124" s="606" t="s">
        <v>118</v>
      </c>
      <c r="C124" s="607" t="s">
        <v>1190</v>
      </c>
      <c r="D124" s="608" t="s">
        <v>1191</v>
      </c>
      <c r="E124" s="609" t="s">
        <v>117</v>
      </c>
      <c r="F124" s="802">
        <v>74793418</v>
      </c>
      <c r="G124" s="804">
        <v>498631</v>
      </c>
      <c r="H124" s="804">
        <v>0</v>
      </c>
      <c r="I124" s="804">
        <v>300915</v>
      </c>
      <c r="J124" s="804">
        <v>0</v>
      </c>
      <c r="K124" s="804">
        <v>300915</v>
      </c>
      <c r="L124" s="804">
        <v>0</v>
      </c>
      <c r="M124" s="804">
        <v>0</v>
      </c>
      <c r="N124" s="804">
        <v>0</v>
      </c>
      <c r="O124" s="804">
        <v>0</v>
      </c>
      <c r="P124" s="804">
        <v>0</v>
      </c>
      <c r="Q124" s="804">
        <v>0</v>
      </c>
      <c r="R124" s="804">
        <v>74991134</v>
      </c>
      <c r="S124" s="804">
        <v>0.33</v>
      </c>
      <c r="T124" s="804">
        <v>0.3</v>
      </c>
      <c r="U124" s="804">
        <v>0.37</v>
      </c>
      <c r="V124" s="804">
        <v>0</v>
      </c>
      <c r="W124" s="804">
        <v>1</v>
      </c>
      <c r="X124" s="804">
        <v>24747074</v>
      </c>
      <c r="Y124" s="804">
        <v>22497340</v>
      </c>
      <c r="Z124" s="804">
        <v>27746720</v>
      </c>
      <c r="AA124" s="804">
        <v>0</v>
      </c>
      <c r="AB124" s="804">
        <v>74991134</v>
      </c>
      <c r="AC124" s="804">
        <v>0</v>
      </c>
      <c r="AD124" s="804">
        <v>0</v>
      </c>
      <c r="AE124" s="804">
        <v>0</v>
      </c>
      <c r="AF124" s="804">
        <v>0</v>
      </c>
      <c r="AG124" s="804">
        <v>0</v>
      </c>
      <c r="AH124" s="804">
        <v>24747074</v>
      </c>
      <c r="AI124" s="804">
        <v>22497340</v>
      </c>
      <c r="AJ124" s="804">
        <v>27746720</v>
      </c>
      <c r="AK124" s="804">
        <v>0</v>
      </c>
      <c r="AL124" s="804">
        <v>74991134</v>
      </c>
      <c r="AM124" s="804">
        <v>300915</v>
      </c>
      <c r="AN124" s="804">
        <v>300915</v>
      </c>
      <c r="AO124" s="804">
        <v>0</v>
      </c>
      <c r="AP124" s="804">
        <v>0</v>
      </c>
      <c r="AQ124" s="804">
        <v>0</v>
      </c>
      <c r="AR124" s="804">
        <v>0</v>
      </c>
      <c r="AS124" s="804">
        <v>0</v>
      </c>
      <c r="AT124" s="804">
        <v>0</v>
      </c>
      <c r="AU124" s="804">
        <v>0</v>
      </c>
      <c r="AV124" s="804">
        <v>0</v>
      </c>
      <c r="AW124" s="804">
        <v>0</v>
      </c>
      <c r="AX124" s="804">
        <v>0</v>
      </c>
      <c r="AY124" s="804">
        <v>0</v>
      </c>
      <c r="AZ124" s="804">
        <v>0</v>
      </c>
      <c r="BA124" s="804">
        <v>0</v>
      </c>
      <c r="BB124" s="804">
        <v>0</v>
      </c>
      <c r="BC124" s="804">
        <v>0</v>
      </c>
      <c r="BD124" s="804">
        <v>0</v>
      </c>
      <c r="BE124" s="804">
        <v>0</v>
      </c>
      <c r="BF124" s="804">
        <v>0</v>
      </c>
      <c r="BG124" s="804">
        <v>0</v>
      </c>
      <c r="BH124" s="804">
        <v>0</v>
      </c>
      <c r="BI124" s="804">
        <v>0</v>
      </c>
      <c r="BJ124" s="804">
        <v>0.25</v>
      </c>
      <c r="BK124" s="804">
        <v>0.48</v>
      </c>
      <c r="BL124" s="804">
        <v>0.27</v>
      </c>
      <c r="BM124" s="804">
        <v>0</v>
      </c>
      <c r="BN124" s="804">
        <v>1</v>
      </c>
      <c r="BO124" s="804">
        <v>501081</v>
      </c>
      <c r="BP124" s="804">
        <v>962075</v>
      </c>
      <c r="BQ124" s="804">
        <v>541167</v>
      </c>
      <c r="BR124" s="804">
        <v>0</v>
      </c>
      <c r="BS124" s="804">
        <v>2004323</v>
      </c>
      <c r="BT124" s="804">
        <v>0</v>
      </c>
      <c r="BU124" s="804">
        <v>0.64</v>
      </c>
      <c r="BV124" s="804">
        <v>0.36</v>
      </c>
      <c r="BW124" s="804">
        <v>0</v>
      </c>
      <c r="BX124" s="804">
        <v>1</v>
      </c>
      <c r="BY124" s="804">
        <v>-0.5300000011920929</v>
      </c>
      <c r="BZ124" s="804">
        <v>3030298</v>
      </c>
      <c r="CA124" s="804">
        <v>1704543</v>
      </c>
      <c r="CB124" s="804">
        <v>0</v>
      </c>
      <c r="CC124" s="804">
        <v>4734840.4699999988</v>
      </c>
      <c r="CD124" s="804">
        <v>501080</v>
      </c>
      <c r="CE124" s="804">
        <v>3992373</v>
      </c>
      <c r="CF124" s="804">
        <v>2245710</v>
      </c>
      <c r="CG124" s="804">
        <v>0</v>
      </c>
      <c r="CH124" s="804">
        <v>6739163.4699999988</v>
      </c>
      <c r="CI124" s="804">
        <v>25248154</v>
      </c>
      <c r="CJ124" s="804">
        <v>26790628</v>
      </c>
      <c r="CK124" s="804">
        <v>29992430</v>
      </c>
      <c r="CL124" s="804">
        <v>0</v>
      </c>
      <c r="CM124" s="804">
        <v>82031212</v>
      </c>
      <c r="CN124" s="804">
        <v>901697</v>
      </c>
      <c r="CO124" s="804">
        <v>1112093</v>
      </c>
      <c r="CP124" s="804">
        <v>0</v>
      </c>
      <c r="CQ124" s="804">
        <v>2013790</v>
      </c>
      <c r="CR124" s="804">
        <v>2131683</v>
      </c>
      <c r="CS124" s="804">
        <v>2629076</v>
      </c>
      <c r="CT124" s="804">
        <v>0</v>
      </c>
      <c r="CU124" s="804">
        <v>4760759</v>
      </c>
      <c r="CV124" s="804">
        <v>117172</v>
      </c>
      <c r="CW124" s="804">
        <v>144513</v>
      </c>
      <c r="CX124" s="804">
        <v>0</v>
      </c>
      <c r="CY124" s="804">
        <v>261685</v>
      </c>
      <c r="CZ124" s="804">
        <v>4262</v>
      </c>
      <c r="DA124" s="804">
        <v>5257</v>
      </c>
      <c r="DB124" s="804">
        <v>0</v>
      </c>
      <c r="DC124" s="804">
        <v>9519</v>
      </c>
      <c r="DD124" s="804">
        <v>0</v>
      </c>
      <c r="DE124" s="804">
        <v>0</v>
      </c>
      <c r="DF124" s="804">
        <v>0</v>
      </c>
      <c r="DG124" s="804">
        <v>0</v>
      </c>
      <c r="DH124" s="804">
        <v>20209</v>
      </c>
      <c r="DI124" s="804">
        <v>24923</v>
      </c>
      <c r="DJ124" s="804">
        <v>0</v>
      </c>
      <c r="DK124" s="804">
        <v>45132</v>
      </c>
      <c r="DL124" s="804">
        <v>10815</v>
      </c>
      <c r="DM124" s="804">
        <v>13339</v>
      </c>
      <c r="DN124" s="804">
        <v>0</v>
      </c>
      <c r="DO124" s="804">
        <v>24154</v>
      </c>
      <c r="DP124" s="804">
        <v>0</v>
      </c>
      <c r="DQ124" s="804">
        <v>0</v>
      </c>
      <c r="DR124" s="804">
        <v>0</v>
      </c>
      <c r="DS124" s="804">
        <v>0</v>
      </c>
      <c r="DT124" s="804">
        <v>0</v>
      </c>
      <c r="DU124" s="804">
        <v>0</v>
      </c>
      <c r="DV124" s="804">
        <v>0</v>
      </c>
      <c r="DW124" s="804">
        <v>0</v>
      </c>
      <c r="DX124" s="804">
        <v>1225586</v>
      </c>
      <c r="DY124" s="804">
        <v>1511555</v>
      </c>
      <c r="DZ124" s="804">
        <v>0</v>
      </c>
      <c r="EA124" s="804">
        <v>2737141</v>
      </c>
      <c r="EB124" s="804">
        <v>4411424</v>
      </c>
      <c r="EC124" s="804">
        <v>5440756</v>
      </c>
      <c r="ED124" s="804">
        <v>0</v>
      </c>
      <c r="EE124" s="804">
        <v>9852180</v>
      </c>
      <c r="EF124" s="604" t="s">
        <v>117</v>
      </c>
      <c r="EG124" s="497" t="s">
        <v>623</v>
      </c>
      <c r="EH124" s="243" t="s">
        <v>523</v>
      </c>
      <c r="EI124" s="118" t="s">
        <v>1775</v>
      </c>
    </row>
    <row r="125" spans="1:139" ht="12.75" x14ac:dyDescent="0.2">
      <c r="A125" s="805">
        <v>118</v>
      </c>
      <c r="B125" s="606" t="s">
        <v>120</v>
      </c>
      <c r="C125" s="607" t="s">
        <v>1185</v>
      </c>
      <c r="D125" s="608" t="s">
        <v>1189</v>
      </c>
      <c r="E125" s="609" t="s">
        <v>119</v>
      </c>
      <c r="F125" s="802">
        <v>47473057</v>
      </c>
      <c r="G125" s="804">
        <v>0</v>
      </c>
      <c r="H125" s="804">
        <v>120711</v>
      </c>
      <c r="I125" s="804">
        <v>113749</v>
      </c>
      <c r="J125" s="804">
        <v>0</v>
      </c>
      <c r="K125" s="804">
        <v>113749</v>
      </c>
      <c r="L125" s="804">
        <v>0</v>
      </c>
      <c r="M125" s="804">
        <v>541905</v>
      </c>
      <c r="N125" s="804">
        <v>0</v>
      </c>
      <c r="O125" s="804">
        <v>0</v>
      </c>
      <c r="P125" s="804">
        <v>0</v>
      </c>
      <c r="Q125" s="804">
        <v>0</v>
      </c>
      <c r="R125" s="804">
        <v>46696692</v>
      </c>
      <c r="S125" s="804">
        <v>0.5</v>
      </c>
      <c r="T125" s="804">
        <v>0.4</v>
      </c>
      <c r="U125" s="804">
        <v>0.09</v>
      </c>
      <c r="V125" s="804">
        <v>0.01</v>
      </c>
      <c r="W125" s="804">
        <v>1</v>
      </c>
      <c r="X125" s="804">
        <v>23348346</v>
      </c>
      <c r="Y125" s="804">
        <v>18678677</v>
      </c>
      <c r="Z125" s="804">
        <v>4202702</v>
      </c>
      <c r="AA125" s="804">
        <v>466967</v>
      </c>
      <c r="AB125" s="804">
        <v>46696692</v>
      </c>
      <c r="AC125" s="804">
        <v>0</v>
      </c>
      <c r="AD125" s="804">
        <v>0</v>
      </c>
      <c r="AE125" s="804">
        <v>0</v>
      </c>
      <c r="AF125" s="804">
        <v>0</v>
      </c>
      <c r="AG125" s="804">
        <v>0</v>
      </c>
      <c r="AH125" s="804">
        <v>23348346</v>
      </c>
      <c r="AI125" s="804">
        <v>18678677</v>
      </c>
      <c r="AJ125" s="804">
        <v>4202702</v>
      </c>
      <c r="AK125" s="804">
        <v>466967</v>
      </c>
      <c r="AL125" s="804">
        <v>46696692</v>
      </c>
      <c r="AM125" s="804">
        <v>113749</v>
      </c>
      <c r="AN125" s="804">
        <v>113749</v>
      </c>
      <c r="AO125" s="804">
        <v>541905</v>
      </c>
      <c r="AP125" s="804">
        <v>541905</v>
      </c>
      <c r="AQ125" s="804">
        <v>0</v>
      </c>
      <c r="AR125" s="804">
        <v>0</v>
      </c>
      <c r="AS125" s="804">
        <v>0</v>
      </c>
      <c r="AT125" s="804">
        <v>0</v>
      </c>
      <c r="AU125" s="804">
        <v>0</v>
      </c>
      <c r="AV125" s="804">
        <v>0</v>
      </c>
      <c r="AW125" s="804">
        <v>0</v>
      </c>
      <c r="AX125" s="804">
        <v>0</v>
      </c>
      <c r="AY125" s="804">
        <v>0</v>
      </c>
      <c r="AZ125" s="804">
        <v>0</v>
      </c>
      <c r="BA125" s="804">
        <v>0</v>
      </c>
      <c r="BB125" s="804">
        <v>0</v>
      </c>
      <c r="BC125" s="804">
        <v>0</v>
      </c>
      <c r="BD125" s="804">
        <v>0</v>
      </c>
      <c r="BE125" s="804">
        <v>0</v>
      </c>
      <c r="BF125" s="804">
        <v>0</v>
      </c>
      <c r="BG125" s="804">
        <v>0</v>
      </c>
      <c r="BH125" s="804">
        <v>0</v>
      </c>
      <c r="BI125" s="804">
        <v>0</v>
      </c>
      <c r="BJ125" s="804">
        <v>0.5</v>
      </c>
      <c r="BK125" s="804">
        <v>0.4</v>
      </c>
      <c r="BL125" s="804">
        <v>0.09</v>
      </c>
      <c r="BM125" s="804">
        <v>0.01</v>
      </c>
      <c r="BN125" s="804">
        <v>1</v>
      </c>
      <c r="BO125" s="804">
        <v>425093</v>
      </c>
      <c r="BP125" s="804">
        <v>340074</v>
      </c>
      <c r="BQ125" s="804">
        <v>76517</v>
      </c>
      <c r="BR125" s="804">
        <v>8502</v>
      </c>
      <c r="BS125" s="804">
        <v>850186</v>
      </c>
      <c r="BT125" s="804">
        <v>0.5</v>
      </c>
      <c r="BU125" s="804">
        <v>0.4</v>
      </c>
      <c r="BV125" s="804">
        <v>0.09</v>
      </c>
      <c r="BW125" s="804">
        <v>0.01</v>
      </c>
      <c r="BX125" s="804">
        <v>1</v>
      </c>
      <c r="BY125" s="804">
        <v>-1909708</v>
      </c>
      <c r="BZ125" s="804">
        <v>-1527766</v>
      </c>
      <c r="CA125" s="804">
        <v>-343747</v>
      </c>
      <c r="CB125" s="804">
        <v>-38194</v>
      </c>
      <c r="CC125" s="804">
        <v>-3819415</v>
      </c>
      <c r="CD125" s="804">
        <v>-1484614</v>
      </c>
      <c r="CE125" s="804">
        <v>-1187692</v>
      </c>
      <c r="CF125" s="804">
        <v>-267231</v>
      </c>
      <c r="CG125" s="804">
        <v>-29692</v>
      </c>
      <c r="CH125" s="804">
        <v>-2969229</v>
      </c>
      <c r="CI125" s="804">
        <v>21863732</v>
      </c>
      <c r="CJ125" s="804">
        <v>18146639</v>
      </c>
      <c r="CK125" s="804">
        <v>3935471</v>
      </c>
      <c r="CL125" s="804">
        <v>437275</v>
      </c>
      <c r="CM125" s="804">
        <v>44383117</v>
      </c>
      <c r="CN125" s="804">
        <v>770364</v>
      </c>
      <c r="CO125" s="804">
        <v>168445</v>
      </c>
      <c r="CP125" s="804">
        <v>18716</v>
      </c>
      <c r="CQ125" s="804">
        <v>957525</v>
      </c>
      <c r="CR125" s="804">
        <v>651068</v>
      </c>
      <c r="CS125" s="804">
        <v>130247</v>
      </c>
      <c r="CT125" s="804">
        <v>14472</v>
      </c>
      <c r="CU125" s="804">
        <v>795787</v>
      </c>
      <c r="CV125" s="804">
        <v>87323</v>
      </c>
      <c r="CW125" s="804">
        <v>16369</v>
      </c>
      <c r="CX125" s="804">
        <v>1819</v>
      </c>
      <c r="CY125" s="804">
        <v>105511</v>
      </c>
      <c r="CZ125" s="804">
        <v>0</v>
      </c>
      <c r="DA125" s="804">
        <v>0</v>
      </c>
      <c r="DB125" s="804">
        <v>0</v>
      </c>
      <c r="DC125" s="804">
        <v>0</v>
      </c>
      <c r="DD125" s="804">
        <v>0</v>
      </c>
      <c r="DE125" s="804">
        <v>0</v>
      </c>
      <c r="DF125" s="804">
        <v>0</v>
      </c>
      <c r="DG125" s="804">
        <v>0</v>
      </c>
      <c r="DH125" s="804">
        <v>2491</v>
      </c>
      <c r="DI125" s="804">
        <v>486</v>
      </c>
      <c r="DJ125" s="804">
        <v>54</v>
      </c>
      <c r="DK125" s="804">
        <v>3031</v>
      </c>
      <c r="DL125" s="804">
        <v>1623</v>
      </c>
      <c r="DM125" s="804">
        <v>365</v>
      </c>
      <c r="DN125" s="804">
        <v>41</v>
      </c>
      <c r="DO125" s="804">
        <v>2029</v>
      </c>
      <c r="DP125" s="804">
        <v>0</v>
      </c>
      <c r="DQ125" s="804">
        <v>0</v>
      </c>
      <c r="DR125" s="804">
        <v>0</v>
      </c>
      <c r="DS125" s="804">
        <v>0</v>
      </c>
      <c r="DT125" s="804">
        <v>0</v>
      </c>
      <c r="DU125" s="804">
        <v>0</v>
      </c>
      <c r="DV125" s="804">
        <v>0</v>
      </c>
      <c r="DW125" s="804">
        <v>0</v>
      </c>
      <c r="DX125" s="804">
        <v>250397</v>
      </c>
      <c r="DY125" s="804">
        <v>55890</v>
      </c>
      <c r="DZ125" s="804">
        <v>6210</v>
      </c>
      <c r="EA125" s="804">
        <v>312497</v>
      </c>
      <c r="EB125" s="804">
        <v>1763266</v>
      </c>
      <c r="EC125" s="804">
        <v>371802</v>
      </c>
      <c r="ED125" s="804">
        <v>41312</v>
      </c>
      <c r="EE125" s="804">
        <v>2176380</v>
      </c>
      <c r="EF125" s="604" t="s">
        <v>119</v>
      </c>
      <c r="EG125" s="497" t="s">
        <v>570</v>
      </c>
      <c r="EH125" s="630" t="s">
        <v>568</v>
      </c>
      <c r="EI125" s="118" t="s">
        <v>1776</v>
      </c>
    </row>
    <row r="126" spans="1:139" ht="12.75" x14ac:dyDescent="0.2">
      <c r="A126" s="805">
        <v>119</v>
      </c>
      <c r="B126" s="606" t="s">
        <v>122</v>
      </c>
      <c r="C126" s="607" t="s">
        <v>1185</v>
      </c>
      <c r="D126" s="608" t="s">
        <v>1193</v>
      </c>
      <c r="E126" s="609" t="s">
        <v>121</v>
      </c>
      <c r="F126" s="802">
        <v>62911682</v>
      </c>
      <c r="G126" s="804">
        <v>158363</v>
      </c>
      <c r="H126" s="804">
        <v>0</v>
      </c>
      <c r="I126" s="804">
        <v>280168</v>
      </c>
      <c r="J126" s="804">
        <v>0</v>
      </c>
      <c r="K126" s="804">
        <v>280168</v>
      </c>
      <c r="L126" s="804">
        <v>0</v>
      </c>
      <c r="M126" s="804">
        <v>0</v>
      </c>
      <c r="N126" s="804">
        <v>227840</v>
      </c>
      <c r="O126" s="804">
        <v>0</v>
      </c>
      <c r="P126" s="804">
        <v>227840</v>
      </c>
      <c r="Q126" s="804">
        <v>0</v>
      </c>
      <c r="R126" s="804">
        <v>62562037</v>
      </c>
      <c r="S126" s="804">
        <v>0.5</v>
      </c>
      <c r="T126" s="804">
        <v>0.4</v>
      </c>
      <c r="U126" s="804">
        <v>0.09</v>
      </c>
      <c r="V126" s="804">
        <v>0.01</v>
      </c>
      <c r="W126" s="804">
        <v>1</v>
      </c>
      <c r="X126" s="804">
        <v>31281019</v>
      </c>
      <c r="Y126" s="804">
        <v>25024815</v>
      </c>
      <c r="Z126" s="804">
        <v>5630583</v>
      </c>
      <c r="AA126" s="804">
        <v>625620</v>
      </c>
      <c r="AB126" s="804">
        <v>62562037</v>
      </c>
      <c r="AC126" s="804">
        <v>0</v>
      </c>
      <c r="AD126" s="804">
        <v>0</v>
      </c>
      <c r="AE126" s="804">
        <v>0</v>
      </c>
      <c r="AF126" s="804">
        <v>0</v>
      </c>
      <c r="AG126" s="804">
        <v>0</v>
      </c>
      <c r="AH126" s="804">
        <v>31281019</v>
      </c>
      <c r="AI126" s="804">
        <v>25024815</v>
      </c>
      <c r="AJ126" s="804">
        <v>5630583</v>
      </c>
      <c r="AK126" s="804">
        <v>625620</v>
      </c>
      <c r="AL126" s="804">
        <v>62562037</v>
      </c>
      <c r="AM126" s="804">
        <v>280168</v>
      </c>
      <c r="AN126" s="804">
        <v>280168</v>
      </c>
      <c r="AO126" s="804">
        <v>0</v>
      </c>
      <c r="AP126" s="804">
        <v>0</v>
      </c>
      <c r="AQ126" s="804">
        <v>0</v>
      </c>
      <c r="AR126" s="804">
        <v>227840</v>
      </c>
      <c r="AS126" s="804">
        <v>227840</v>
      </c>
      <c r="AT126" s="804">
        <v>0</v>
      </c>
      <c r="AU126" s="804">
        <v>0</v>
      </c>
      <c r="AV126" s="804">
        <v>0</v>
      </c>
      <c r="AW126" s="804">
        <v>0</v>
      </c>
      <c r="AX126" s="804">
        <v>0</v>
      </c>
      <c r="AY126" s="804">
        <v>0</v>
      </c>
      <c r="AZ126" s="804">
        <v>0</v>
      </c>
      <c r="BA126" s="804">
        <v>0</v>
      </c>
      <c r="BB126" s="804">
        <v>0</v>
      </c>
      <c r="BC126" s="804">
        <v>0</v>
      </c>
      <c r="BD126" s="804">
        <v>0</v>
      </c>
      <c r="BE126" s="804">
        <v>0</v>
      </c>
      <c r="BF126" s="804">
        <v>0</v>
      </c>
      <c r="BG126" s="804">
        <v>0</v>
      </c>
      <c r="BH126" s="804">
        <v>0</v>
      </c>
      <c r="BI126" s="804">
        <v>0</v>
      </c>
      <c r="BJ126" s="804">
        <v>0.25</v>
      </c>
      <c r="BK126" s="804">
        <v>0.52500000000000002</v>
      </c>
      <c r="BL126" s="804">
        <v>0.215</v>
      </c>
      <c r="BM126" s="804">
        <v>0.01</v>
      </c>
      <c r="BN126" s="804">
        <v>1</v>
      </c>
      <c r="BO126" s="804">
        <v>-117887</v>
      </c>
      <c r="BP126" s="804">
        <v>-247565</v>
      </c>
      <c r="BQ126" s="804">
        <v>-101384</v>
      </c>
      <c r="BR126" s="804">
        <v>-4716</v>
      </c>
      <c r="BS126" s="804">
        <v>-471552</v>
      </c>
      <c r="BT126" s="804">
        <v>0</v>
      </c>
      <c r="BU126" s="804">
        <v>0.9</v>
      </c>
      <c r="BV126" s="804">
        <v>0.09</v>
      </c>
      <c r="BW126" s="804">
        <v>0.01</v>
      </c>
      <c r="BX126" s="804">
        <v>1</v>
      </c>
      <c r="BY126" s="804">
        <v>0</v>
      </c>
      <c r="BZ126" s="804">
        <v>-430508</v>
      </c>
      <c r="CA126" s="804">
        <v>-43051</v>
      </c>
      <c r="CB126" s="804">
        <v>-4783</v>
      </c>
      <c r="CC126" s="804">
        <v>-478342</v>
      </c>
      <c r="CD126" s="804">
        <v>-117887</v>
      </c>
      <c r="CE126" s="804">
        <v>-678073</v>
      </c>
      <c r="CF126" s="804">
        <v>-144435</v>
      </c>
      <c r="CG126" s="804">
        <v>-9499</v>
      </c>
      <c r="CH126" s="804">
        <v>-949894</v>
      </c>
      <c r="CI126" s="804">
        <v>31163132</v>
      </c>
      <c r="CJ126" s="804">
        <v>24626910</v>
      </c>
      <c r="CK126" s="804">
        <v>5713988</v>
      </c>
      <c r="CL126" s="804">
        <v>616121</v>
      </c>
      <c r="CM126" s="804">
        <v>62120151</v>
      </c>
      <c r="CN126" s="804">
        <v>1002999</v>
      </c>
      <c r="CO126" s="804">
        <v>234807</v>
      </c>
      <c r="CP126" s="804">
        <v>25075</v>
      </c>
      <c r="CQ126" s="804">
        <v>1262881</v>
      </c>
      <c r="CR126" s="804">
        <v>2397722</v>
      </c>
      <c r="CS126" s="804">
        <v>539488</v>
      </c>
      <c r="CT126" s="804">
        <v>59943</v>
      </c>
      <c r="CU126" s="804">
        <v>2997153</v>
      </c>
      <c r="CV126" s="804">
        <v>149613</v>
      </c>
      <c r="CW126" s="804">
        <v>33663</v>
      </c>
      <c r="CX126" s="804">
        <v>3740</v>
      </c>
      <c r="CY126" s="804">
        <v>187016</v>
      </c>
      <c r="CZ126" s="804">
        <v>28869</v>
      </c>
      <c r="DA126" s="804">
        <v>6495</v>
      </c>
      <c r="DB126" s="804">
        <v>722</v>
      </c>
      <c r="DC126" s="804">
        <v>36086</v>
      </c>
      <c r="DD126" s="804">
        <v>20567</v>
      </c>
      <c r="DE126" s="804">
        <v>4627</v>
      </c>
      <c r="DF126" s="804">
        <v>514</v>
      </c>
      <c r="DG126" s="804">
        <v>25708</v>
      </c>
      <c r="DH126" s="804">
        <v>13794</v>
      </c>
      <c r="DI126" s="804">
        <v>3104</v>
      </c>
      <c r="DJ126" s="804">
        <v>345</v>
      </c>
      <c r="DK126" s="804">
        <v>17243</v>
      </c>
      <c r="DL126" s="804">
        <v>4576</v>
      </c>
      <c r="DM126" s="804">
        <v>1030</v>
      </c>
      <c r="DN126" s="804">
        <v>114</v>
      </c>
      <c r="DO126" s="804">
        <v>5720</v>
      </c>
      <c r="DP126" s="804">
        <v>0</v>
      </c>
      <c r="DQ126" s="804">
        <v>0</v>
      </c>
      <c r="DR126" s="804">
        <v>0</v>
      </c>
      <c r="DS126" s="804">
        <v>0</v>
      </c>
      <c r="DT126" s="804">
        <v>0</v>
      </c>
      <c r="DU126" s="804">
        <v>0</v>
      </c>
      <c r="DV126" s="804">
        <v>0</v>
      </c>
      <c r="DW126" s="804">
        <v>0</v>
      </c>
      <c r="DX126" s="804">
        <v>857650</v>
      </c>
      <c r="DY126" s="804">
        <v>192971</v>
      </c>
      <c r="DZ126" s="804">
        <v>21441</v>
      </c>
      <c r="EA126" s="804">
        <v>1072062</v>
      </c>
      <c r="EB126" s="804">
        <v>4475790</v>
      </c>
      <c r="EC126" s="804">
        <v>1016185</v>
      </c>
      <c r="ED126" s="804">
        <v>111894</v>
      </c>
      <c r="EE126" s="804">
        <v>5603869</v>
      </c>
      <c r="EF126" s="604" t="s">
        <v>121</v>
      </c>
      <c r="EG126" s="497" t="s">
        <v>599</v>
      </c>
      <c r="EH126" s="630" t="s">
        <v>598</v>
      </c>
      <c r="EI126" s="118" t="s">
        <v>1777</v>
      </c>
    </row>
    <row r="127" spans="1:139" ht="12.75" x14ac:dyDescent="0.2">
      <c r="A127" s="805">
        <v>120</v>
      </c>
      <c r="B127" s="606" t="s">
        <v>124</v>
      </c>
      <c r="C127" s="607" t="s">
        <v>1190</v>
      </c>
      <c r="D127" s="608" t="s">
        <v>1191</v>
      </c>
      <c r="E127" s="609" t="s">
        <v>123</v>
      </c>
      <c r="F127" s="802">
        <v>49928866</v>
      </c>
      <c r="G127" s="804">
        <v>120000</v>
      </c>
      <c r="H127" s="804">
        <v>0</v>
      </c>
      <c r="I127" s="804">
        <v>241060</v>
      </c>
      <c r="J127" s="804">
        <v>0</v>
      </c>
      <c r="K127" s="804">
        <v>241060</v>
      </c>
      <c r="L127" s="804">
        <v>0</v>
      </c>
      <c r="M127" s="804">
        <v>0</v>
      </c>
      <c r="N127" s="804">
        <v>0</v>
      </c>
      <c r="O127" s="804">
        <v>0</v>
      </c>
      <c r="P127" s="804">
        <v>0</v>
      </c>
      <c r="Q127" s="804">
        <v>0</v>
      </c>
      <c r="R127" s="804">
        <v>49807806</v>
      </c>
      <c r="S127" s="804">
        <v>0.33</v>
      </c>
      <c r="T127" s="804">
        <v>0.3</v>
      </c>
      <c r="U127" s="804">
        <v>0.37</v>
      </c>
      <c r="V127" s="804">
        <v>0</v>
      </c>
      <c r="W127" s="804">
        <v>1</v>
      </c>
      <c r="X127" s="804">
        <v>16436576</v>
      </c>
      <c r="Y127" s="804">
        <v>14942342</v>
      </c>
      <c r="Z127" s="804">
        <v>18428888</v>
      </c>
      <c r="AA127" s="804">
        <v>0</v>
      </c>
      <c r="AB127" s="804">
        <v>49807806</v>
      </c>
      <c r="AC127" s="804">
        <v>0</v>
      </c>
      <c r="AD127" s="804">
        <v>0</v>
      </c>
      <c r="AE127" s="804">
        <v>0</v>
      </c>
      <c r="AF127" s="804">
        <v>0</v>
      </c>
      <c r="AG127" s="804">
        <v>0</v>
      </c>
      <c r="AH127" s="804">
        <v>16436576</v>
      </c>
      <c r="AI127" s="804">
        <v>14942342</v>
      </c>
      <c r="AJ127" s="804">
        <v>18428888</v>
      </c>
      <c r="AK127" s="804">
        <v>0</v>
      </c>
      <c r="AL127" s="804">
        <v>49807806</v>
      </c>
      <c r="AM127" s="804">
        <v>241060</v>
      </c>
      <c r="AN127" s="804">
        <v>241060</v>
      </c>
      <c r="AO127" s="804">
        <v>0</v>
      </c>
      <c r="AP127" s="804">
        <v>0</v>
      </c>
      <c r="AQ127" s="804">
        <v>0</v>
      </c>
      <c r="AR127" s="804">
        <v>0</v>
      </c>
      <c r="AS127" s="804">
        <v>0</v>
      </c>
      <c r="AT127" s="804">
        <v>0</v>
      </c>
      <c r="AU127" s="804">
        <v>0</v>
      </c>
      <c r="AV127" s="804">
        <v>0</v>
      </c>
      <c r="AW127" s="804">
        <v>0</v>
      </c>
      <c r="AX127" s="804">
        <v>0</v>
      </c>
      <c r="AY127" s="804">
        <v>0</v>
      </c>
      <c r="AZ127" s="804">
        <v>0</v>
      </c>
      <c r="BA127" s="804">
        <v>0</v>
      </c>
      <c r="BB127" s="804">
        <v>0</v>
      </c>
      <c r="BC127" s="804">
        <v>0</v>
      </c>
      <c r="BD127" s="804">
        <v>0</v>
      </c>
      <c r="BE127" s="804">
        <v>0</v>
      </c>
      <c r="BF127" s="804">
        <v>0</v>
      </c>
      <c r="BG127" s="804">
        <v>0</v>
      </c>
      <c r="BH127" s="804">
        <v>0</v>
      </c>
      <c r="BI127" s="804">
        <v>0</v>
      </c>
      <c r="BJ127" s="804">
        <v>0.25</v>
      </c>
      <c r="BK127" s="804">
        <v>0.48</v>
      </c>
      <c r="BL127" s="804">
        <v>0.27</v>
      </c>
      <c r="BM127" s="804">
        <v>0</v>
      </c>
      <c r="BN127" s="804">
        <v>1</v>
      </c>
      <c r="BO127" s="804">
        <v>45484</v>
      </c>
      <c r="BP127" s="804">
        <v>87329</v>
      </c>
      <c r="BQ127" s="804">
        <v>49122</v>
      </c>
      <c r="BR127" s="804">
        <v>0</v>
      </c>
      <c r="BS127" s="804">
        <v>181935</v>
      </c>
      <c r="BT127" s="804">
        <v>0</v>
      </c>
      <c r="BU127" s="804">
        <v>0.64</v>
      </c>
      <c r="BV127" s="804">
        <v>0.36</v>
      </c>
      <c r="BW127" s="804">
        <v>0</v>
      </c>
      <c r="BX127" s="804">
        <v>1</v>
      </c>
      <c r="BY127" s="804">
        <v>0</v>
      </c>
      <c r="BZ127" s="804">
        <v>-34292</v>
      </c>
      <c r="CA127" s="804">
        <v>-19290</v>
      </c>
      <c r="CB127" s="804">
        <v>0</v>
      </c>
      <c r="CC127" s="804">
        <v>-53582</v>
      </c>
      <c r="CD127" s="804">
        <v>45484</v>
      </c>
      <c r="CE127" s="804">
        <v>53037</v>
      </c>
      <c r="CF127" s="804">
        <v>29832</v>
      </c>
      <c r="CG127" s="804">
        <v>0</v>
      </c>
      <c r="CH127" s="804">
        <v>128353</v>
      </c>
      <c r="CI127" s="804">
        <v>16482060</v>
      </c>
      <c r="CJ127" s="804">
        <v>15236439</v>
      </c>
      <c r="CK127" s="804">
        <v>18458720</v>
      </c>
      <c r="CL127" s="804">
        <v>0</v>
      </c>
      <c r="CM127" s="804">
        <v>50177219</v>
      </c>
      <c r="CN127" s="804">
        <v>598891</v>
      </c>
      <c r="CO127" s="804">
        <v>738633</v>
      </c>
      <c r="CP127" s="804">
        <v>0</v>
      </c>
      <c r="CQ127" s="804">
        <v>1337524</v>
      </c>
      <c r="CR127" s="804">
        <v>1495004</v>
      </c>
      <c r="CS127" s="804">
        <v>1843839</v>
      </c>
      <c r="CT127" s="804">
        <v>0</v>
      </c>
      <c r="CU127" s="804">
        <v>3338843</v>
      </c>
      <c r="CV127" s="804">
        <v>80363</v>
      </c>
      <c r="CW127" s="804">
        <v>99114</v>
      </c>
      <c r="CX127" s="804">
        <v>0</v>
      </c>
      <c r="CY127" s="804">
        <v>179477</v>
      </c>
      <c r="CZ127" s="804">
        <v>0</v>
      </c>
      <c r="DA127" s="804">
        <v>0</v>
      </c>
      <c r="DB127" s="804">
        <v>0</v>
      </c>
      <c r="DC127" s="804">
        <v>0</v>
      </c>
      <c r="DD127" s="804">
        <v>0</v>
      </c>
      <c r="DE127" s="804">
        <v>0</v>
      </c>
      <c r="DF127" s="804">
        <v>0</v>
      </c>
      <c r="DG127" s="804">
        <v>0</v>
      </c>
      <c r="DH127" s="804">
        <v>28082</v>
      </c>
      <c r="DI127" s="804">
        <v>34635</v>
      </c>
      <c r="DJ127" s="804">
        <v>0</v>
      </c>
      <c r="DK127" s="804">
        <v>62717</v>
      </c>
      <c r="DL127" s="804">
        <v>2496</v>
      </c>
      <c r="DM127" s="804">
        <v>3079</v>
      </c>
      <c r="DN127" s="804">
        <v>0</v>
      </c>
      <c r="DO127" s="804">
        <v>5575</v>
      </c>
      <c r="DP127" s="804">
        <v>0</v>
      </c>
      <c r="DQ127" s="804">
        <v>0</v>
      </c>
      <c r="DR127" s="804">
        <v>0</v>
      </c>
      <c r="DS127" s="804">
        <v>0</v>
      </c>
      <c r="DT127" s="804">
        <v>0</v>
      </c>
      <c r="DU127" s="804">
        <v>0</v>
      </c>
      <c r="DV127" s="804">
        <v>0</v>
      </c>
      <c r="DW127" s="804">
        <v>0</v>
      </c>
      <c r="DX127" s="804">
        <v>1092084</v>
      </c>
      <c r="DY127" s="804">
        <v>1346904</v>
      </c>
      <c r="DZ127" s="804">
        <v>0</v>
      </c>
      <c r="EA127" s="804">
        <v>2438988</v>
      </c>
      <c r="EB127" s="804">
        <v>3296920</v>
      </c>
      <c r="EC127" s="804">
        <v>4066204</v>
      </c>
      <c r="ED127" s="804">
        <v>0</v>
      </c>
      <c r="EE127" s="804">
        <v>7363124</v>
      </c>
      <c r="EF127" s="604" t="s">
        <v>123</v>
      </c>
      <c r="EG127" s="497" t="s">
        <v>623</v>
      </c>
      <c r="EH127" s="243" t="s">
        <v>523</v>
      </c>
      <c r="EI127" s="118" t="s">
        <v>1778</v>
      </c>
    </row>
    <row r="128" spans="1:139" ht="12.75" x14ac:dyDescent="0.2">
      <c r="A128" s="805">
        <v>121</v>
      </c>
      <c r="B128" s="606" t="s">
        <v>126</v>
      </c>
      <c r="C128" s="607" t="s">
        <v>1185</v>
      </c>
      <c r="D128" s="608" t="s">
        <v>1186</v>
      </c>
      <c r="E128" s="609" t="s">
        <v>125</v>
      </c>
      <c r="F128" s="802">
        <v>30761499</v>
      </c>
      <c r="G128" s="804">
        <v>33728</v>
      </c>
      <c r="H128" s="804">
        <v>0</v>
      </c>
      <c r="I128" s="804">
        <v>97335</v>
      </c>
      <c r="J128" s="804">
        <v>0</v>
      </c>
      <c r="K128" s="804">
        <v>97335</v>
      </c>
      <c r="L128" s="804">
        <v>0</v>
      </c>
      <c r="M128" s="804">
        <v>0</v>
      </c>
      <c r="N128" s="804">
        <v>0</v>
      </c>
      <c r="O128" s="804">
        <v>0</v>
      </c>
      <c r="P128" s="804">
        <v>0</v>
      </c>
      <c r="Q128" s="804">
        <v>0</v>
      </c>
      <c r="R128" s="804">
        <v>30697892</v>
      </c>
      <c r="S128" s="804">
        <v>0.5</v>
      </c>
      <c r="T128" s="804">
        <v>0.4</v>
      </c>
      <c r="U128" s="804">
        <v>0.09</v>
      </c>
      <c r="V128" s="804">
        <v>0.01</v>
      </c>
      <c r="W128" s="804">
        <v>1</v>
      </c>
      <c r="X128" s="804">
        <v>15348946</v>
      </c>
      <c r="Y128" s="804">
        <v>12279157</v>
      </c>
      <c r="Z128" s="804">
        <v>2762810</v>
      </c>
      <c r="AA128" s="804">
        <v>306979</v>
      </c>
      <c r="AB128" s="804">
        <v>30697892</v>
      </c>
      <c r="AC128" s="804">
        <v>0</v>
      </c>
      <c r="AD128" s="804">
        <v>0</v>
      </c>
      <c r="AE128" s="804">
        <v>0</v>
      </c>
      <c r="AF128" s="804">
        <v>0</v>
      </c>
      <c r="AG128" s="804">
        <v>0</v>
      </c>
      <c r="AH128" s="804">
        <v>15348946</v>
      </c>
      <c r="AI128" s="804">
        <v>12279157</v>
      </c>
      <c r="AJ128" s="804">
        <v>2762810</v>
      </c>
      <c r="AK128" s="804">
        <v>306979</v>
      </c>
      <c r="AL128" s="804">
        <v>30697892</v>
      </c>
      <c r="AM128" s="804">
        <v>97335</v>
      </c>
      <c r="AN128" s="804">
        <v>97335</v>
      </c>
      <c r="AO128" s="804">
        <v>0</v>
      </c>
      <c r="AP128" s="804">
        <v>0</v>
      </c>
      <c r="AQ128" s="804">
        <v>0</v>
      </c>
      <c r="AR128" s="804">
        <v>0</v>
      </c>
      <c r="AS128" s="804">
        <v>0</v>
      </c>
      <c r="AT128" s="804">
        <v>0</v>
      </c>
      <c r="AU128" s="804">
        <v>0</v>
      </c>
      <c r="AV128" s="804">
        <v>0</v>
      </c>
      <c r="AW128" s="804">
        <v>0</v>
      </c>
      <c r="AX128" s="804">
        <v>0</v>
      </c>
      <c r="AY128" s="804">
        <v>0</v>
      </c>
      <c r="AZ128" s="804">
        <v>0</v>
      </c>
      <c r="BA128" s="804">
        <v>0</v>
      </c>
      <c r="BB128" s="804">
        <v>0</v>
      </c>
      <c r="BC128" s="804">
        <v>0</v>
      </c>
      <c r="BD128" s="804">
        <v>0</v>
      </c>
      <c r="BE128" s="804">
        <v>0</v>
      </c>
      <c r="BF128" s="804">
        <v>0</v>
      </c>
      <c r="BG128" s="804">
        <v>0</v>
      </c>
      <c r="BH128" s="804">
        <v>0</v>
      </c>
      <c r="BI128" s="804">
        <v>0</v>
      </c>
      <c r="BJ128" s="804">
        <v>0.5</v>
      </c>
      <c r="BK128" s="804">
        <v>0.4</v>
      </c>
      <c r="BL128" s="804">
        <v>0.09</v>
      </c>
      <c r="BM128" s="804">
        <v>0.01</v>
      </c>
      <c r="BN128" s="804">
        <v>1</v>
      </c>
      <c r="BO128" s="804">
        <v>82373</v>
      </c>
      <c r="BP128" s="804">
        <v>65898</v>
      </c>
      <c r="BQ128" s="804">
        <v>14827</v>
      </c>
      <c r="BR128" s="804">
        <v>1647</v>
      </c>
      <c r="BS128" s="804">
        <v>164745</v>
      </c>
      <c r="BT128" s="804">
        <v>0.5</v>
      </c>
      <c r="BU128" s="804">
        <v>0.4</v>
      </c>
      <c r="BV128" s="804">
        <v>0.09</v>
      </c>
      <c r="BW128" s="804">
        <v>0.01</v>
      </c>
      <c r="BX128" s="804">
        <v>1</v>
      </c>
      <c r="BY128" s="804">
        <v>-270823</v>
      </c>
      <c r="BZ128" s="804">
        <v>-216658</v>
      </c>
      <c r="CA128" s="804">
        <v>-48748</v>
      </c>
      <c r="CB128" s="804">
        <v>-5416</v>
      </c>
      <c r="CC128" s="804">
        <v>-541645</v>
      </c>
      <c r="CD128" s="804">
        <v>-188450</v>
      </c>
      <c r="CE128" s="804">
        <v>-150760</v>
      </c>
      <c r="CF128" s="804">
        <v>-33921</v>
      </c>
      <c r="CG128" s="804">
        <v>-3769</v>
      </c>
      <c r="CH128" s="804">
        <v>-376900</v>
      </c>
      <c r="CI128" s="804">
        <v>15160496</v>
      </c>
      <c r="CJ128" s="804">
        <v>12225732</v>
      </c>
      <c r="CK128" s="804">
        <v>2728889</v>
      </c>
      <c r="CL128" s="804">
        <v>303210</v>
      </c>
      <c r="CM128" s="804">
        <v>30418327</v>
      </c>
      <c r="CN128" s="804">
        <v>492151</v>
      </c>
      <c r="CO128" s="804">
        <v>110734</v>
      </c>
      <c r="CP128" s="804">
        <v>12304</v>
      </c>
      <c r="CQ128" s="804">
        <v>615189</v>
      </c>
      <c r="CR128" s="804">
        <v>749093</v>
      </c>
      <c r="CS128" s="804">
        <v>168546</v>
      </c>
      <c r="CT128" s="804">
        <v>18727</v>
      </c>
      <c r="CU128" s="804">
        <v>936366</v>
      </c>
      <c r="CV128" s="804">
        <v>59941</v>
      </c>
      <c r="CW128" s="804">
        <v>13487</v>
      </c>
      <c r="CX128" s="804">
        <v>1499</v>
      </c>
      <c r="CY128" s="804">
        <v>74927</v>
      </c>
      <c r="CZ128" s="804">
        <v>0</v>
      </c>
      <c r="DA128" s="804">
        <v>0</v>
      </c>
      <c r="DB128" s="804">
        <v>0</v>
      </c>
      <c r="DC128" s="804">
        <v>0</v>
      </c>
      <c r="DD128" s="804">
        <v>1033</v>
      </c>
      <c r="DE128" s="804">
        <v>232</v>
      </c>
      <c r="DF128" s="804">
        <v>26</v>
      </c>
      <c r="DG128" s="804">
        <v>1291</v>
      </c>
      <c r="DH128" s="804">
        <v>4829</v>
      </c>
      <c r="DI128" s="804">
        <v>1086</v>
      </c>
      <c r="DJ128" s="804">
        <v>121</v>
      </c>
      <c r="DK128" s="804">
        <v>6036</v>
      </c>
      <c r="DL128" s="804">
        <v>2398</v>
      </c>
      <c r="DM128" s="804">
        <v>540</v>
      </c>
      <c r="DN128" s="804">
        <v>60</v>
      </c>
      <c r="DO128" s="804">
        <v>2998</v>
      </c>
      <c r="DP128" s="804">
        <v>0</v>
      </c>
      <c r="DQ128" s="804">
        <v>0</v>
      </c>
      <c r="DR128" s="804">
        <v>0</v>
      </c>
      <c r="DS128" s="804">
        <v>0</v>
      </c>
      <c r="DT128" s="804">
        <v>0</v>
      </c>
      <c r="DU128" s="804">
        <v>0</v>
      </c>
      <c r="DV128" s="804">
        <v>0</v>
      </c>
      <c r="DW128" s="804">
        <v>0</v>
      </c>
      <c r="DX128" s="804">
        <v>254151</v>
      </c>
      <c r="DY128" s="804">
        <v>57184</v>
      </c>
      <c r="DZ128" s="804">
        <v>6354</v>
      </c>
      <c r="EA128" s="804">
        <v>317689</v>
      </c>
      <c r="EB128" s="804">
        <v>1563596</v>
      </c>
      <c r="EC128" s="804">
        <v>351809</v>
      </c>
      <c r="ED128" s="804">
        <v>39091</v>
      </c>
      <c r="EE128" s="804">
        <v>1954496</v>
      </c>
      <c r="EF128" s="604" t="s">
        <v>125</v>
      </c>
      <c r="EG128" s="497" t="s">
        <v>575</v>
      </c>
      <c r="EH128" s="630" t="s">
        <v>573</v>
      </c>
      <c r="EI128" s="118" t="s">
        <v>1779</v>
      </c>
    </row>
    <row r="129" spans="1:139" ht="12.75" x14ac:dyDescent="0.2">
      <c r="A129" s="805">
        <v>122</v>
      </c>
      <c r="B129" s="606" t="s">
        <v>128</v>
      </c>
      <c r="C129" s="607" t="s">
        <v>524</v>
      </c>
      <c r="D129" s="608" t="s">
        <v>1197</v>
      </c>
      <c r="E129" s="609" t="s">
        <v>547</v>
      </c>
      <c r="F129" s="802">
        <v>33227166.789999999</v>
      </c>
      <c r="G129" s="804">
        <v>0</v>
      </c>
      <c r="H129" s="804">
        <v>315658</v>
      </c>
      <c r="I129" s="804">
        <v>112202</v>
      </c>
      <c r="J129" s="804">
        <v>0</v>
      </c>
      <c r="K129" s="804">
        <v>112202</v>
      </c>
      <c r="L129" s="804">
        <v>0</v>
      </c>
      <c r="M129" s="804">
        <v>179586</v>
      </c>
      <c r="N129" s="804">
        <v>364626</v>
      </c>
      <c r="O129" s="804">
        <v>364626</v>
      </c>
      <c r="P129" s="804">
        <v>0</v>
      </c>
      <c r="Q129" s="804">
        <v>0</v>
      </c>
      <c r="R129" s="804">
        <v>32255095</v>
      </c>
      <c r="S129" s="804">
        <v>0.5</v>
      </c>
      <c r="T129" s="804">
        <v>0.49</v>
      </c>
      <c r="U129" s="804">
        <v>0</v>
      </c>
      <c r="V129" s="804">
        <v>0.01</v>
      </c>
      <c r="W129" s="804">
        <v>1</v>
      </c>
      <c r="X129" s="804">
        <v>16127547</v>
      </c>
      <c r="Y129" s="804">
        <v>15804997</v>
      </c>
      <c r="Z129" s="804">
        <v>0</v>
      </c>
      <c r="AA129" s="804">
        <v>322551</v>
      </c>
      <c r="AB129" s="804">
        <v>32255095</v>
      </c>
      <c r="AC129" s="804">
        <v>11165</v>
      </c>
      <c r="AD129" s="804">
        <v>0</v>
      </c>
      <c r="AE129" s="804">
        <v>0</v>
      </c>
      <c r="AF129" s="804">
        <v>0</v>
      </c>
      <c r="AG129" s="804">
        <v>11165</v>
      </c>
      <c r="AH129" s="804">
        <v>16116382</v>
      </c>
      <c r="AI129" s="804">
        <v>15804997</v>
      </c>
      <c r="AJ129" s="804">
        <v>0</v>
      </c>
      <c r="AK129" s="804">
        <v>322551</v>
      </c>
      <c r="AL129" s="804">
        <v>32243930</v>
      </c>
      <c r="AM129" s="804">
        <v>112202</v>
      </c>
      <c r="AN129" s="804">
        <v>112202</v>
      </c>
      <c r="AO129" s="804">
        <v>179586</v>
      </c>
      <c r="AP129" s="804">
        <v>179586</v>
      </c>
      <c r="AQ129" s="804">
        <v>364626</v>
      </c>
      <c r="AR129" s="804">
        <v>0</v>
      </c>
      <c r="AS129" s="804">
        <v>364626</v>
      </c>
      <c r="AT129" s="804">
        <v>0</v>
      </c>
      <c r="AU129" s="804">
        <v>0</v>
      </c>
      <c r="AV129" s="804">
        <v>0</v>
      </c>
      <c r="AW129" s="804">
        <v>0</v>
      </c>
      <c r="AX129" s="804">
        <v>11103</v>
      </c>
      <c r="AY129" s="804">
        <v>0</v>
      </c>
      <c r="AZ129" s="804">
        <v>62</v>
      </c>
      <c r="BA129" s="804">
        <v>11165</v>
      </c>
      <c r="BB129" s="804">
        <v>0</v>
      </c>
      <c r="BC129" s="804">
        <v>0</v>
      </c>
      <c r="BD129" s="804">
        <v>0</v>
      </c>
      <c r="BE129" s="804">
        <v>0</v>
      </c>
      <c r="BF129" s="804">
        <v>0</v>
      </c>
      <c r="BG129" s="804">
        <v>0</v>
      </c>
      <c r="BH129" s="804">
        <v>0</v>
      </c>
      <c r="BI129" s="804">
        <v>0</v>
      </c>
      <c r="BJ129" s="804">
        <v>0.5</v>
      </c>
      <c r="BK129" s="804">
        <v>0.49</v>
      </c>
      <c r="BL129" s="804">
        <v>0</v>
      </c>
      <c r="BM129" s="804">
        <v>0.01</v>
      </c>
      <c r="BN129" s="804">
        <v>1</v>
      </c>
      <c r="BO129" s="804">
        <v>1124315</v>
      </c>
      <c r="BP129" s="804">
        <v>1101828</v>
      </c>
      <c r="BQ129" s="804">
        <v>0</v>
      </c>
      <c r="BR129" s="804">
        <v>22486</v>
      </c>
      <c r="BS129" s="804">
        <v>2248629</v>
      </c>
      <c r="BT129" s="804">
        <v>0.5</v>
      </c>
      <c r="BU129" s="804">
        <v>0.49</v>
      </c>
      <c r="BV129" s="804">
        <v>0</v>
      </c>
      <c r="BW129" s="804">
        <v>0.01</v>
      </c>
      <c r="BX129" s="804">
        <v>1</v>
      </c>
      <c r="BY129" s="804">
        <v>-1092794</v>
      </c>
      <c r="BZ129" s="804">
        <v>-1070938</v>
      </c>
      <c r="CA129" s="804">
        <v>0</v>
      </c>
      <c r="CB129" s="804">
        <v>-21856</v>
      </c>
      <c r="CC129" s="804">
        <v>-2185588</v>
      </c>
      <c r="CD129" s="804">
        <v>31521</v>
      </c>
      <c r="CE129" s="804">
        <v>30890</v>
      </c>
      <c r="CF129" s="804">
        <v>0</v>
      </c>
      <c r="CG129" s="804">
        <v>630</v>
      </c>
      <c r="CH129" s="804">
        <v>63041</v>
      </c>
      <c r="CI129" s="804">
        <v>16147903</v>
      </c>
      <c r="CJ129" s="804">
        <v>16503404</v>
      </c>
      <c r="CK129" s="804">
        <v>0</v>
      </c>
      <c r="CL129" s="804">
        <v>323243</v>
      </c>
      <c r="CM129" s="804">
        <v>32974550</v>
      </c>
      <c r="CN129" s="804">
        <v>655724</v>
      </c>
      <c r="CO129" s="804">
        <v>0</v>
      </c>
      <c r="CP129" s="804">
        <v>12930</v>
      </c>
      <c r="CQ129" s="804">
        <v>668654</v>
      </c>
      <c r="CR129" s="804">
        <v>1123658</v>
      </c>
      <c r="CS129" s="804">
        <v>0</v>
      </c>
      <c r="CT129" s="804">
        <v>22451</v>
      </c>
      <c r="CU129" s="804">
        <v>1146109</v>
      </c>
      <c r="CV129" s="804">
        <v>51275</v>
      </c>
      <c r="CW129" s="804">
        <v>0</v>
      </c>
      <c r="CX129" s="804">
        <v>1039</v>
      </c>
      <c r="CY129" s="804">
        <v>52314</v>
      </c>
      <c r="CZ129" s="804">
        <v>0</v>
      </c>
      <c r="DA129" s="804">
        <v>0</v>
      </c>
      <c r="DB129" s="804">
        <v>0</v>
      </c>
      <c r="DC129" s="804">
        <v>0</v>
      </c>
      <c r="DD129" s="804">
        <v>0</v>
      </c>
      <c r="DE129" s="804">
        <v>0</v>
      </c>
      <c r="DF129" s="804">
        <v>0</v>
      </c>
      <c r="DG129" s="804">
        <v>0</v>
      </c>
      <c r="DH129" s="804">
        <v>15905</v>
      </c>
      <c r="DI129" s="804">
        <v>0</v>
      </c>
      <c r="DJ129" s="804">
        <v>325</v>
      </c>
      <c r="DK129" s="804">
        <v>16230</v>
      </c>
      <c r="DL129" s="804">
        <v>1842</v>
      </c>
      <c r="DM129" s="804">
        <v>0</v>
      </c>
      <c r="DN129" s="804">
        <v>38</v>
      </c>
      <c r="DO129" s="804">
        <v>1880</v>
      </c>
      <c r="DP129" s="804">
        <v>0</v>
      </c>
      <c r="DQ129" s="804">
        <v>0</v>
      </c>
      <c r="DR129" s="804">
        <v>0</v>
      </c>
      <c r="DS129" s="804">
        <v>0</v>
      </c>
      <c r="DT129" s="804">
        <v>0</v>
      </c>
      <c r="DU129" s="804">
        <v>0</v>
      </c>
      <c r="DV129" s="804">
        <v>0</v>
      </c>
      <c r="DW129" s="804">
        <v>0</v>
      </c>
      <c r="DX129" s="804">
        <v>307429</v>
      </c>
      <c r="DY129" s="804">
        <v>0</v>
      </c>
      <c r="DZ129" s="804">
        <v>6274</v>
      </c>
      <c r="EA129" s="804">
        <v>313703</v>
      </c>
      <c r="EB129" s="804">
        <v>2155833</v>
      </c>
      <c r="EC129" s="804">
        <v>0</v>
      </c>
      <c r="ED129" s="804">
        <v>43057</v>
      </c>
      <c r="EE129" s="804">
        <v>2198890</v>
      </c>
      <c r="EF129" s="604" t="s">
        <v>547</v>
      </c>
      <c r="EG129" s="497" t="s">
        <v>524</v>
      </c>
      <c r="EH129" s="630" t="s">
        <v>548</v>
      </c>
      <c r="EI129" s="118" t="s">
        <v>1780</v>
      </c>
    </row>
    <row r="130" spans="1:139" ht="12.75" x14ac:dyDescent="0.2">
      <c r="A130" s="805">
        <v>123</v>
      </c>
      <c r="B130" s="606" t="s">
        <v>130</v>
      </c>
      <c r="C130" s="607" t="s">
        <v>1185</v>
      </c>
      <c r="D130" s="608" t="s">
        <v>1186</v>
      </c>
      <c r="E130" s="609" t="s">
        <v>129</v>
      </c>
      <c r="F130" s="802">
        <v>21054013</v>
      </c>
      <c r="G130" s="804">
        <v>237145</v>
      </c>
      <c r="H130" s="804">
        <v>0</v>
      </c>
      <c r="I130" s="804">
        <v>130479</v>
      </c>
      <c r="J130" s="804">
        <v>0</v>
      </c>
      <c r="K130" s="804">
        <v>130479</v>
      </c>
      <c r="L130" s="804">
        <v>0</v>
      </c>
      <c r="M130" s="804">
        <v>0</v>
      </c>
      <c r="N130" s="804">
        <v>0</v>
      </c>
      <c r="O130" s="804">
        <v>0</v>
      </c>
      <c r="P130" s="804">
        <v>0</v>
      </c>
      <c r="Q130" s="804">
        <v>0</v>
      </c>
      <c r="R130" s="804">
        <v>21160679</v>
      </c>
      <c r="S130" s="804">
        <v>0.5</v>
      </c>
      <c r="T130" s="804">
        <v>0.4</v>
      </c>
      <c r="U130" s="804">
        <v>0.09</v>
      </c>
      <c r="V130" s="804">
        <v>0.01</v>
      </c>
      <c r="W130" s="804">
        <v>1</v>
      </c>
      <c r="X130" s="804">
        <v>10580339</v>
      </c>
      <c r="Y130" s="804">
        <v>8464272</v>
      </c>
      <c r="Z130" s="804">
        <v>1904461</v>
      </c>
      <c r="AA130" s="804">
        <v>211607</v>
      </c>
      <c r="AB130" s="804">
        <v>21160679</v>
      </c>
      <c r="AC130" s="804">
        <v>0</v>
      </c>
      <c r="AD130" s="804">
        <v>0</v>
      </c>
      <c r="AE130" s="804">
        <v>0</v>
      </c>
      <c r="AF130" s="804">
        <v>0</v>
      </c>
      <c r="AG130" s="804">
        <v>0</v>
      </c>
      <c r="AH130" s="804">
        <v>10580339</v>
      </c>
      <c r="AI130" s="804">
        <v>8464272</v>
      </c>
      <c r="AJ130" s="804">
        <v>1904461</v>
      </c>
      <c r="AK130" s="804">
        <v>211607</v>
      </c>
      <c r="AL130" s="804">
        <v>21160679</v>
      </c>
      <c r="AM130" s="804">
        <v>130479</v>
      </c>
      <c r="AN130" s="804">
        <v>130479</v>
      </c>
      <c r="AO130" s="804">
        <v>0</v>
      </c>
      <c r="AP130" s="804">
        <v>0</v>
      </c>
      <c r="AQ130" s="804">
        <v>0</v>
      </c>
      <c r="AR130" s="804">
        <v>0</v>
      </c>
      <c r="AS130" s="804">
        <v>0</v>
      </c>
      <c r="AT130" s="804">
        <v>0</v>
      </c>
      <c r="AU130" s="804">
        <v>0</v>
      </c>
      <c r="AV130" s="804">
        <v>0</v>
      </c>
      <c r="AW130" s="804">
        <v>0</v>
      </c>
      <c r="AX130" s="804">
        <v>0</v>
      </c>
      <c r="AY130" s="804">
        <v>0</v>
      </c>
      <c r="AZ130" s="804">
        <v>0</v>
      </c>
      <c r="BA130" s="804">
        <v>0</v>
      </c>
      <c r="BB130" s="804">
        <v>0</v>
      </c>
      <c r="BC130" s="804">
        <v>0</v>
      </c>
      <c r="BD130" s="804">
        <v>0</v>
      </c>
      <c r="BE130" s="804">
        <v>0</v>
      </c>
      <c r="BF130" s="804">
        <v>0</v>
      </c>
      <c r="BG130" s="804">
        <v>0</v>
      </c>
      <c r="BH130" s="804">
        <v>0</v>
      </c>
      <c r="BI130" s="804">
        <v>0</v>
      </c>
      <c r="BJ130" s="804">
        <v>0.24999999999999994</v>
      </c>
      <c r="BK130" s="804">
        <v>0.44</v>
      </c>
      <c r="BL130" s="804">
        <v>0.26</v>
      </c>
      <c r="BM130" s="804">
        <v>0.05</v>
      </c>
      <c r="BN130" s="804">
        <v>1</v>
      </c>
      <c r="BO130" s="804">
        <v>18397</v>
      </c>
      <c r="BP130" s="804">
        <v>32377</v>
      </c>
      <c r="BQ130" s="804">
        <v>19132</v>
      </c>
      <c r="BR130" s="804">
        <v>3679</v>
      </c>
      <c r="BS130" s="804">
        <v>73585</v>
      </c>
      <c r="BT130" s="804">
        <v>0.5</v>
      </c>
      <c r="BU130" s="804">
        <v>0.4</v>
      </c>
      <c r="BV130" s="804">
        <v>0.09</v>
      </c>
      <c r="BW130" s="804">
        <v>0.01</v>
      </c>
      <c r="BX130" s="804">
        <v>1</v>
      </c>
      <c r="BY130" s="804">
        <v>-234691</v>
      </c>
      <c r="BZ130" s="804">
        <v>-187752</v>
      </c>
      <c r="CA130" s="804">
        <v>-42244</v>
      </c>
      <c r="CB130" s="804">
        <v>-4694</v>
      </c>
      <c r="CC130" s="804">
        <v>-469381</v>
      </c>
      <c r="CD130" s="804">
        <v>-216294</v>
      </c>
      <c r="CE130" s="804">
        <v>-155375</v>
      </c>
      <c r="CF130" s="804">
        <v>-23112</v>
      </c>
      <c r="CG130" s="804">
        <v>-1015</v>
      </c>
      <c r="CH130" s="804">
        <v>-395796</v>
      </c>
      <c r="CI130" s="804">
        <v>10364045</v>
      </c>
      <c r="CJ130" s="804">
        <v>8439376</v>
      </c>
      <c r="CK130" s="804">
        <v>1881349</v>
      </c>
      <c r="CL130" s="804">
        <v>210592</v>
      </c>
      <c r="CM130" s="804">
        <v>20895362</v>
      </c>
      <c r="CN130" s="804">
        <v>339249</v>
      </c>
      <c r="CO130" s="804">
        <v>76331</v>
      </c>
      <c r="CP130" s="804">
        <v>8481</v>
      </c>
      <c r="CQ130" s="804">
        <v>424061</v>
      </c>
      <c r="CR130" s="804">
        <v>1012143</v>
      </c>
      <c r="CS130" s="804">
        <v>227732</v>
      </c>
      <c r="CT130" s="804">
        <v>25304</v>
      </c>
      <c r="CU130" s="804">
        <v>1265179</v>
      </c>
      <c r="CV130" s="804">
        <v>51951</v>
      </c>
      <c r="CW130" s="804">
        <v>11689</v>
      </c>
      <c r="CX130" s="804">
        <v>1299</v>
      </c>
      <c r="CY130" s="804">
        <v>64939</v>
      </c>
      <c r="CZ130" s="804">
        <v>0</v>
      </c>
      <c r="DA130" s="804">
        <v>0</v>
      </c>
      <c r="DB130" s="804">
        <v>0</v>
      </c>
      <c r="DC130" s="804">
        <v>0</v>
      </c>
      <c r="DD130" s="804">
        <v>0</v>
      </c>
      <c r="DE130" s="804">
        <v>0</v>
      </c>
      <c r="DF130" s="804">
        <v>0</v>
      </c>
      <c r="DG130" s="804">
        <v>0</v>
      </c>
      <c r="DH130" s="804">
        <v>11995</v>
      </c>
      <c r="DI130" s="804">
        <v>2699</v>
      </c>
      <c r="DJ130" s="804">
        <v>300</v>
      </c>
      <c r="DK130" s="804">
        <v>14994</v>
      </c>
      <c r="DL130" s="804">
        <v>2736</v>
      </c>
      <c r="DM130" s="804">
        <v>616</v>
      </c>
      <c r="DN130" s="804">
        <v>68</v>
      </c>
      <c r="DO130" s="804">
        <v>3420</v>
      </c>
      <c r="DP130" s="804">
        <v>0</v>
      </c>
      <c r="DQ130" s="804">
        <v>0</v>
      </c>
      <c r="DR130" s="804">
        <v>0</v>
      </c>
      <c r="DS130" s="804">
        <v>0</v>
      </c>
      <c r="DT130" s="804">
        <v>0</v>
      </c>
      <c r="DU130" s="804">
        <v>0</v>
      </c>
      <c r="DV130" s="804">
        <v>0</v>
      </c>
      <c r="DW130" s="804">
        <v>0</v>
      </c>
      <c r="DX130" s="804">
        <v>285454</v>
      </c>
      <c r="DY130" s="804">
        <v>64227</v>
      </c>
      <c r="DZ130" s="804">
        <v>7136</v>
      </c>
      <c r="EA130" s="804">
        <v>356817</v>
      </c>
      <c r="EB130" s="804">
        <v>1703528</v>
      </c>
      <c r="EC130" s="804">
        <v>383294</v>
      </c>
      <c r="ED130" s="804">
        <v>42588</v>
      </c>
      <c r="EE130" s="804">
        <v>2129410</v>
      </c>
      <c r="EF130" s="604" t="s">
        <v>129</v>
      </c>
      <c r="EG130" s="497" t="s">
        <v>566</v>
      </c>
      <c r="EH130" s="630" t="s">
        <v>565</v>
      </c>
      <c r="EI130" s="118" t="s">
        <v>1781</v>
      </c>
    </row>
    <row r="131" spans="1:139" ht="12.75" x14ac:dyDescent="0.2">
      <c r="A131" s="805">
        <v>124</v>
      </c>
      <c r="B131" s="606" t="s">
        <v>132</v>
      </c>
      <c r="C131" s="607" t="s">
        <v>1185</v>
      </c>
      <c r="D131" s="608" t="s">
        <v>1186</v>
      </c>
      <c r="E131" s="609" t="s">
        <v>131</v>
      </c>
      <c r="F131" s="802">
        <v>36036194</v>
      </c>
      <c r="G131" s="804">
        <v>0</v>
      </c>
      <c r="H131" s="804">
        <v>340580</v>
      </c>
      <c r="I131" s="804">
        <v>133279</v>
      </c>
      <c r="J131" s="804">
        <v>0</v>
      </c>
      <c r="K131" s="804">
        <v>133279</v>
      </c>
      <c r="L131" s="804">
        <v>0</v>
      </c>
      <c r="M131" s="804">
        <v>0</v>
      </c>
      <c r="N131" s="804">
        <v>0</v>
      </c>
      <c r="O131" s="804">
        <v>0</v>
      </c>
      <c r="P131" s="804">
        <v>0</v>
      </c>
      <c r="Q131" s="804">
        <v>0</v>
      </c>
      <c r="R131" s="804">
        <v>35562335</v>
      </c>
      <c r="S131" s="804">
        <v>0.5</v>
      </c>
      <c r="T131" s="804">
        <v>0.4</v>
      </c>
      <c r="U131" s="804">
        <v>0.09</v>
      </c>
      <c r="V131" s="804">
        <v>0.01</v>
      </c>
      <c r="W131" s="804">
        <v>1</v>
      </c>
      <c r="X131" s="804">
        <v>17781168</v>
      </c>
      <c r="Y131" s="804">
        <v>14224934</v>
      </c>
      <c r="Z131" s="804">
        <v>3200610</v>
      </c>
      <c r="AA131" s="804">
        <v>355623</v>
      </c>
      <c r="AB131" s="804">
        <v>35562335</v>
      </c>
      <c r="AC131" s="804">
        <v>0</v>
      </c>
      <c r="AD131" s="804">
        <v>0</v>
      </c>
      <c r="AE131" s="804">
        <v>0</v>
      </c>
      <c r="AF131" s="804">
        <v>0</v>
      </c>
      <c r="AG131" s="804">
        <v>0</v>
      </c>
      <c r="AH131" s="804">
        <v>17781168</v>
      </c>
      <c r="AI131" s="804">
        <v>14224934</v>
      </c>
      <c r="AJ131" s="804">
        <v>3200610</v>
      </c>
      <c r="AK131" s="804">
        <v>355623</v>
      </c>
      <c r="AL131" s="804">
        <v>35562335</v>
      </c>
      <c r="AM131" s="804">
        <v>133279</v>
      </c>
      <c r="AN131" s="804">
        <v>133279</v>
      </c>
      <c r="AO131" s="804">
        <v>0</v>
      </c>
      <c r="AP131" s="804">
        <v>0</v>
      </c>
      <c r="AQ131" s="804">
        <v>0</v>
      </c>
      <c r="AR131" s="804">
        <v>0</v>
      </c>
      <c r="AS131" s="804">
        <v>0</v>
      </c>
      <c r="AT131" s="804">
        <v>0</v>
      </c>
      <c r="AU131" s="804">
        <v>0</v>
      </c>
      <c r="AV131" s="804">
        <v>0</v>
      </c>
      <c r="AW131" s="804">
        <v>0</v>
      </c>
      <c r="AX131" s="804">
        <v>0</v>
      </c>
      <c r="AY131" s="804">
        <v>0</v>
      </c>
      <c r="AZ131" s="804">
        <v>0</v>
      </c>
      <c r="BA131" s="804">
        <v>0</v>
      </c>
      <c r="BB131" s="804">
        <v>0</v>
      </c>
      <c r="BC131" s="804">
        <v>0</v>
      </c>
      <c r="BD131" s="804">
        <v>0</v>
      </c>
      <c r="BE131" s="804">
        <v>0</v>
      </c>
      <c r="BF131" s="804">
        <v>0</v>
      </c>
      <c r="BG131" s="804">
        <v>0</v>
      </c>
      <c r="BH131" s="804">
        <v>0</v>
      </c>
      <c r="BI131" s="804">
        <v>0</v>
      </c>
      <c r="BJ131" s="804">
        <v>0.5</v>
      </c>
      <c r="BK131" s="804">
        <v>0.4</v>
      </c>
      <c r="BL131" s="804">
        <v>0.09</v>
      </c>
      <c r="BM131" s="804">
        <v>0.01</v>
      </c>
      <c r="BN131" s="804">
        <v>1</v>
      </c>
      <c r="BO131" s="804">
        <v>134921.00000000023</v>
      </c>
      <c r="BP131" s="804">
        <v>107936</v>
      </c>
      <c r="BQ131" s="804">
        <v>24286</v>
      </c>
      <c r="BR131" s="804">
        <v>2698</v>
      </c>
      <c r="BS131" s="804">
        <v>269841.00000000023</v>
      </c>
      <c r="BT131" s="804">
        <v>0.5</v>
      </c>
      <c r="BU131" s="804">
        <v>0.4</v>
      </c>
      <c r="BV131" s="804">
        <v>0.09</v>
      </c>
      <c r="BW131" s="804">
        <v>0.01</v>
      </c>
      <c r="BX131" s="804">
        <v>1</v>
      </c>
      <c r="BY131" s="804">
        <v>67146.999999999767</v>
      </c>
      <c r="BZ131" s="804">
        <v>53717</v>
      </c>
      <c r="CA131" s="804">
        <v>12086</v>
      </c>
      <c r="CB131" s="804">
        <v>1343</v>
      </c>
      <c r="CC131" s="804">
        <v>134292.99999999977</v>
      </c>
      <c r="CD131" s="804">
        <v>202067</v>
      </c>
      <c r="CE131" s="804">
        <v>161654</v>
      </c>
      <c r="CF131" s="804">
        <v>36372</v>
      </c>
      <c r="CG131" s="804">
        <v>4041</v>
      </c>
      <c r="CH131" s="804">
        <v>404134</v>
      </c>
      <c r="CI131" s="804">
        <v>17983235</v>
      </c>
      <c r="CJ131" s="804">
        <v>14519867</v>
      </c>
      <c r="CK131" s="804">
        <v>3236982</v>
      </c>
      <c r="CL131" s="804">
        <v>359664</v>
      </c>
      <c r="CM131" s="804">
        <v>36099748</v>
      </c>
      <c r="CN131" s="804">
        <v>570138</v>
      </c>
      <c r="CO131" s="804">
        <v>128281</v>
      </c>
      <c r="CP131" s="804">
        <v>14253</v>
      </c>
      <c r="CQ131" s="804">
        <v>712672</v>
      </c>
      <c r="CR131" s="804">
        <v>1026668</v>
      </c>
      <c r="CS131" s="804">
        <v>231000</v>
      </c>
      <c r="CT131" s="804">
        <v>25667</v>
      </c>
      <c r="CU131" s="804">
        <v>1283335</v>
      </c>
      <c r="CV131" s="804">
        <v>70393</v>
      </c>
      <c r="CW131" s="804">
        <v>15838</v>
      </c>
      <c r="CX131" s="804">
        <v>1760</v>
      </c>
      <c r="CY131" s="804">
        <v>87991</v>
      </c>
      <c r="CZ131" s="804">
        <v>0</v>
      </c>
      <c r="DA131" s="804">
        <v>0</v>
      </c>
      <c r="DB131" s="804">
        <v>0</v>
      </c>
      <c r="DC131" s="804">
        <v>0</v>
      </c>
      <c r="DD131" s="804">
        <v>1017</v>
      </c>
      <c r="DE131" s="804">
        <v>229</v>
      </c>
      <c r="DF131" s="804">
        <v>25</v>
      </c>
      <c r="DG131" s="804">
        <v>1271</v>
      </c>
      <c r="DH131" s="804">
        <v>1820</v>
      </c>
      <c r="DI131" s="804">
        <v>410</v>
      </c>
      <c r="DJ131" s="804">
        <v>46</v>
      </c>
      <c r="DK131" s="804">
        <v>2276</v>
      </c>
      <c r="DL131" s="804">
        <v>2078</v>
      </c>
      <c r="DM131" s="804">
        <v>467</v>
      </c>
      <c r="DN131" s="804">
        <v>52</v>
      </c>
      <c r="DO131" s="804">
        <v>2597</v>
      </c>
      <c r="DP131" s="804">
        <v>0</v>
      </c>
      <c r="DQ131" s="804">
        <v>0</v>
      </c>
      <c r="DR131" s="804">
        <v>0</v>
      </c>
      <c r="DS131" s="804">
        <v>0</v>
      </c>
      <c r="DT131" s="804">
        <v>0</v>
      </c>
      <c r="DU131" s="804">
        <v>0</v>
      </c>
      <c r="DV131" s="804">
        <v>0</v>
      </c>
      <c r="DW131" s="804">
        <v>0</v>
      </c>
      <c r="DX131" s="804">
        <v>242229</v>
      </c>
      <c r="DY131" s="804">
        <v>54501</v>
      </c>
      <c r="DZ131" s="804">
        <v>6056</v>
      </c>
      <c r="EA131" s="804">
        <v>302786</v>
      </c>
      <c r="EB131" s="804">
        <v>1914343</v>
      </c>
      <c r="EC131" s="804">
        <v>430726</v>
      </c>
      <c r="ED131" s="804">
        <v>47859</v>
      </c>
      <c r="EE131" s="804">
        <v>2392928</v>
      </c>
      <c r="EF131" s="604" t="s">
        <v>131</v>
      </c>
      <c r="EG131" s="497" t="s">
        <v>575</v>
      </c>
      <c r="EH131" s="630" t="s">
        <v>573</v>
      </c>
      <c r="EI131" s="118" t="s">
        <v>1782</v>
      </c>
    </row>
    <row r="132" spans="1:139" ht="12.75" x14ac:dyDescent="0.2">
      <c r="A132" s="805">
        <v>125</v>
      </c>
      <c r="B132" s="606" t="s">
        <v>134</v>
      </c>
      <c r="C132" s="607" t="s">
        <v>1190</v>
      </c>
      <c r="D132" s="608" t="s">
        <v>1191</v>
      </c>
      <c r="E132" s="609" t="s">
        <v>133</v>
      </c>
      <c r="F132" s="802">
        <v>79032338</v>
      </c>
      <c r="G132" s="804">
        <v>596349</v>
      </c>
      <c r="H132" s="804">
        <v>0</v>
      </c>
      <c r="I132" s="804">
        <v>266826</v>
      </c>
      <c r="J132" s="804">
        <v>0</v>
      </c>
      <c r="K132" s="804">
        <v>266826</v>
      </c>
      <c r="L132" s="804">
        <v>0</v>
      </c>
      <c r="M132" s="804">
        <v>0</v>
      </c>
      <c r="N132" s="804">
        <v>0</v>
      </c>
      <c r="O132" s="804">
        <v>0</v>
      </c>
      <c r="P132" s="804">
        <v>0</v>
      </c>
      <c r="Q132" s="804">
        <v>0</v>
      </c>
      <c r="R132" s="804">
        <v>79361861</v>
      </c>
      <c r="S132" s="804">
        <v>0.33</v>
      </c>
      <c r="T132" s="804">
        <v>0.3</v>
      </c>
      <c r="U132" s="804">
        <v>0.37</v>
      </c>
      <c r="V132" s="804">
        <v>0</v>
      </c>
      <c r="W132" s="804">
        <v>1</v>
      </c>
      <c r="X132" s="804">
        <v>26189414</v>
      </c>
      <c r="Y132" s="804">
        <v>23808558</v>
      </c>
      <c r="Z132" s="804">
        <v>29363889</v>
      </c>
      <c r="AA132" s="804">
        <v>0</v>
      </c>
      <c r="AB132" s="804">
        <v>79361861</v>
      </c>
      <c r="AC132" s="804">
        <v>0</v>
      </c>
      <c r="AD132" s="804">
        <v>0</v>
      </c>
      <c r="AE132" s="804">
        <v>0</v>
      </c>
      <c r="AF132" s="804">
        <v>0</v>
      </c>
      <c r="AG132" s="804">
        <v>0</v>
      </c>
      <c r="AH132" s="804">
        <v>26189414</v>
      </c>
      <c r="AI132" s="804">
        <v>23808558</v>
      </c>
      <c r="AJ132" s="804">
        <v>29363889</v>
      </c>
      <c r="AK132" s="804">
        <v>0</v>
      </c>
      <c r="AL132" s="804">
        <v>79361861</v>
      </c>
      <c r="AM132" s="804">
        <v>266826</v>
      </c>
      <c r="AN132" s="804">
        <v>266826</v>
      </c>
      <c r="AO132" s="804">
        <v>0</v>
      </c>
      <c r="AP132" s="804">
        <v>0</v>
      </c>
      <c r="AQ132" s="804">
        <v>0</v>
      </c>
      <c r="AR132" s="804">
        <v>0</v>
      </c>
      <c r="AS132" s="804">
        <v>0</v>
      </c>
      <c r="AT132" s="804">
        <v>0</v>
      </c>
      <c r="AU132" s="804">
        <v>0</v>
      </c>
      <c r="AV132" s="804">
        <v>0</v>
      </c>
      <c r="AW132" s="804">
        <v>0</v>
      </c>
      <c r="AX132" s="804">
        <v>0</v>
      </c>
      <c r="AY132" s="804">
        <v>0</v>
      </c>
      <c r="AZ132" s="804">
        <v>0</v>
      </c>
      <c r="BA132" s="804">
        <v>0</v>
      </c>
      <c r="BB132" s="804">
        <v>0</v>
      </c>
      <c r="BC132" s="804">
        <v>0</v>
      </c>
      <c r="BD132" s="804">
        <v>0</v>
      </c>
      <c r="BE132" s="804">
        <v>0</v>
      </c>
      <c r="BF132" s="804">
        <v>0</v>
      </c>
      <c r="BG132" s="804">
        <v>0</v>
      </c>
      <c r="BH132" s="804">
        <v>0</v>
      </c>
      <c r="BI132" s="804">
        <v>0</v>
      </c>
      <c r="BJ132" s="804">
        <v>0.25</v>
      </c>
      <c r="BK132" s="804">
        <v>0.48</v>
      </c>
      <c r="BL132" s="804">
        <v>0.27</v>
      </c>
      <c r="BM132" s="804">
        <v>0</v>
      </c>
      <c r="BN132" s="804">
        <v>1</v>
      </c>
      <c r="BO132" s="804">
        <v>-527743.00000000279</v>
      </c>
      <c r="BP132" s="804">
        <v>-1013268</v>
      </c>
      <c r="BQ132" s="804">
        <v>-569963</v>
      </c>
      <c r="BR132" s="804">
        <v>0</v>
      </c>
      <c r="BS132" s="804">
        <v>-2110974.0000000028</v>
      </c>
      <c r="BT132" s="804">
        <v>0</v>
      </c>
      <c r="BU132" s="804">
        <v>0.64</v>
      </c>
      <c r="BV132" s="804">
        <v>0.36</v>
      </c>
      <c r="BW132" s="804">
        <v>0</v>
      </c>
      <c r="BX132" s="804">
        <v>1</v>
      </c>
      <c r="BY132" s="804">
        <v>-5.9999999590218067E-2</v>
      </c>
      <c r="BZ132" s="804">
        <v>-318173</v>
      </c>
      <c r="CA132" s="804">
        <v>-178973</v>
      </c>
      <c r="CB132" s="804">
        <v>0</v>
      </c>
      <c r="CC132" s="804">
        <v>-497146.05999999959</v>
      </c>
      <c r="CD132" s="804">
        <v>-527743</v>
      </c>
      <c r="CE132" s="804">
        <v>-1331441</v>
      </c>
      <c r="CF132" s="804">
        <v>-748936</v>
      </c>
      <c r="CG132" s="804">
        <v>0</v>
      </c>
      <c r="CH132" s="804">
        <v>-2608120.0600000024</v>
      </c>
      <c r="CI132" s="804">
        <v>25661671</v>
      </c>
      <c r="CJ132" s="804">
        <v>22743943</v>
      </c>
      <c r="CK132" s="804">
        <v>28614953</v>
      </c>
      <c r="CL132" s="804">
        <v>0</v>
      </c>
      <c r="CM132" s="804">
        <v>77020567</v>
      </c>
      <c r="CN132" s="804">
        <v>954251</v>
      </c>
      <c r="CO132" s="804">
        <v>1176909</v>
      </c>
      <c r="CP132" s="804">
        <v>0</v>
      </c>
      <c r="CQ132" s="804">
        <v>2131160</v>
      </c>
      <c r="CR132" s="804">
        <v>1696699</v>
      </c>
      <c r="CS132" s="804">
        <v>2092596</v>
      </c>
      <c r="CT132" s="804">
        <v>0</v>
      </c>
      <c r="CU132" s="804">
        <v>3789295</v>
      </c>
      <c r="CV132" s="804">
        <v>88149</v>
      </c>
      <c r="CW132" s="804">
        <v>108717</v>
      </c>
      <c r="CX132" s="804">
        <v>0</v>
      </c>
      <c r="CY132" s="804">
        <v>196866</v>
      </c>
      <c r="CZ132" s="804">
        <v>0</v>
      </c>
      <c r="DA132" s="804">
        <v>0</v>
      </c>
      <c r="DB132" s="804">
        <v>0</v>
      </c>
      <c r="DC132" s="804">
        <v>0</v>
      </c>
      <c r="DD132" s="804">
        <v>0</v>
      </c>
      <c r="DE132" s="804">
        <v>0</v>
      </c>
      <c r="DF132" s="804">
        <v>0</v>
      </c>
      <c r="DG132" s="804">
        <v>0</v>
      </c>
      <c r="DH132" s="804">
        <v>28222</v>
      </c>
      <c r="DI132" s="804">
        <v>34808</v>
      </c>
      <c r="DJ132" s="804">
        <v>0</v>
      </c>
      <c r="DK132" s="804">
        <v>63030</v>
      </c>
      <c r="DL132" s="804">
        <v>8821</v>
      </c>
      <c r="DM132" s="804">
        <v>10878</v>
      </c>
      <c r="DN132" s="804">
        <v>0</v>
      </c>
      <c r="DO132" s="804">
        <v>19699</v>
      </c>
      <c r="DP132" s="804">
        <v>0</v>
      </c>
      <c r="DQ132" s="804">
        <v>0</v>
      </c>
      <c r="DR132" s="804">
        <v>0</v>
      </c>
      <c r="DS132" s="804">
        <v>0</v>
      </c>
      <c r="DT132" s="804">
        <v>0</v>
      </c>
      <c r="DU132" s="804">
        <v>0</v>
      </c>
      <c r="DV132" s="804">
        <v>0</v>
      </c>
      <c r="DW132" s="804">
        <v>0</v>
      </c>
      <c r="DX132" s="804">
        <v>810023</v>
      </c>
      <c r="DY132" s="804">
        <v>999029</v>
      </c>
      <c r="DZ132" s="804">
        <v>0</v>
      </c>
      <c r="EA132" s="804">
        <v>1809052</v>
      </c>
      <c r="EB132" s="804">
        <v>3586165</v>
      </c>
      <c r="EC132" s="804">
        <v>4422937</v>
      </c>
      <c r="ED132" s="804">
        <v>0</v>
      </c>
      <c r="EE132" s="804">
        <v>8009102</v>
      </c>
      <c r="EF132" s="604" t="s">
        <v>133</v>
      </c>
      <c r="EG132" s="497" t="s">
        <v>623</v>
      </c>
      <c r="EH132" s="243" t="s">
        <v>523</v>
      </c>
      <c r="EI132" s="118" t="s">
        <v>1783</v>
      </c>
    </row>
    <row r="133" spans="1:139" ht="12.75" x14ac:dyDescent="0.2">
      <c r="A133" s="805">
        <v>126</v>
      </c>
      <c r="B133" s="606" t="s">
        <v>136</v>
      </c>
      <c r="C133" s="607" t="s">
        <v>524</v>
      </c>
      <c r="D133" s="608" t="s">
        <v>1195</v>
      </c>
      <c r="E133" s="609" t="s">
        <v>576</v>
      </c>
      <c r="F133" s="802">
        <v>46756345</v>
      </c>
      <c r="G133" s="804">
        <v>650000</v>
      </c>
      <c r="H133" s="804">
        <v>0</v>
      </c>
      <c r="I133" s="804">
        <v>297013</v>
      </c>
      <c r="J133" s="804">
        <v>0</v>
      </c>
      <c r="K133" s="804">
        <v>297013</v>
      </c>
      <c r="L133" s="804">
        <v>0</v>
      </c>
      <c r="M133" s="804">
        <v>210700</v>
      </c>
      <c r="N133" s="804">
        <v>200000</v>
      </c>
      <c r="O133" s="804">
        <v>200000</v>
      </c>
      <c r="P133" s="804">
        <v>0</v>
      </c>
      <c r="Q133" s="804">
        <v>0</v>
      </c>
      <c r="R133" s="804">
        <v>46698632</v>
      </c>
      <c r="S133" s="804">
        <v>0.5</v>
      </c>
      <c r="T133" s="804">
        <v>0.49</v>
      </c>
      <c r="U133" s="804">
        <v>0</v>
      </c>
      <c r="V133" s="804">
        <v>0.01</v>
      </c>
      <c r="W133" s="804">
        <v>1</v>
      </c>
      <c r="X133" s="804">
        <v>23349316</v>
      </c>
      <c r="Y133" s="804">
        <v>22882330</v>
      </c>
      <c r="Z133" s="804">
        <v>0</v>
      </c>
      <c r="AA133" s="804">
        <v>466986</v>
      </c>
      <c r="AB133" s="804">
        <v>46698632</v>
      </c>
      <c r="AC133" s="804">
        <v>345000</v>
      </c>
      <c r="AD133" s="804">
        <v>0</v>
      </c>
      <c r="AE133" s="804">
        <v>0</v>
      </c>
      <c r="AF133" s="804">
        <v>0</v>
      </c>
      <c r="AG133" s="804">
        <v>345000</v>
      </c>
      <c r="AH133" s="804">
        <v>23004316</v>
      </c>
      <c r="AI133" s="804">
        <v>22882330</v>
      </c>
      <c r="AJ133" s="804">
        <v>0</v>
      </c>
      <c r="AK133" s="804">
        <v>466986</v>
      </c>
      <c r="AL133" s="804">
        <v>46353632</v>
      </c>
      <c r="AM133" s="804">
        <v>297013</v>
      </c>
      <c r="AN133" s="804">
        <v>297013</v>
      </c>
      <c r="AO133" s="804">
        <v>210700</v>
      </c>
      <c r="AP133" s="804">
        <v>210700</v>
      </c>
      <c r="AQ133" s="804">
        <v>200000</v>
      </c>
      <c r="AR133" s="804">
        <v>0</v>
      </c>
      <c r="AS133" s="804">
        <v>200000</v>
      </c>
      <c r="AT133" s="804">
        <v>0</v>
      </c>
      <c r="AU133" s="804">
        <v>0</v>
      </c>
      <c r="AV133" s="804">
        <v>0</v>
      </c>
      <c r="AW133" s="804">
        <v>0</v>
      </c>
      <c r="AX133" s="804">
        <v>345000</v>
      </c>
      <c r="AY133" s="804">
        <v>0</v>
      </c>
      <c r="AZ133" s="804">
        <v>0</v>
      </c>
      <c r="BA133" s="804">
        <v>345000</v>
      </c>
      <c r="BB133" s="804">
        <v>0</v>
      </c>
      <c r="BC133" s="804">
        <v>0</v>
      </c>
      <c r="BD133" s="804">
        <v>0</v>
      </c>
      <c r="BE133" s="804">
        <v>0</v>
      </c>
      <c r="BF133" s="804">
        <v>0</v>
      </c>
      <c r="BG133" s="804">
        <v>0</v>
      </c>
      <c r="BH133" s="804">
        <v>0</v>
      </c>
      <c r="BI133" s="804">
        <v>0</v>
      </c>
      <c r="BJ133" s="804">
        <v>0.5</v>
      </c>
      <c r="BK133" s="804">
        <v>0.49</v>
      </c>
      <c r="BL133" s="804">
        <v>0</v>
      </c>
      <c r="BM133" s="804">
        <v>0.01</v>
      </c>
      <c r="BN133" s="804">
        <v>1</v>
      </c>
      <c r="BO133" s="804">
        <v>-671080</v>
      </c>
      <c r="BP133" s="804">
        <v>-657658</v>
      </c>
      <c r="BQ133" s="804">
        <v>0</v>
      </c>
      <c r="BR133" s="804">
        <v>-13422</v>
      </c>
      <c r="BS133" s="804">
        <v>-1342160</v>
      </c>
      <c r="BT133" s="804">
        <v>0.5</v>
      </c>
      <c r="BU133" s="804">
        <v>0.49</v>
      </c>
      <c r="BV133" s="804">
        <v>0</v>
      </c>
      <c r="BW133" s="804">
        <v>0.01</v>
      </c>
      <c r="BX133" s="804">
        <v>1</v>
      </c>
      <c r="BY133" s="804">
        <v>1119454.299999997</v>
      </c>
      <c r="BZ133" s="804">
        <v>1097065</v>
      </c>
      <c r="CA133" s="804">
        <v>0</v>
      </c>
      <c r="CB133" s="804">
        <v>22389</v>
      </c>
      <c r="CC133" s="804">
        <v>2238908.299999997</v>
      </c>
      <c r="CD133" s="804">
        <v>448374</v>
      </c>
      <c r="CE133" s="804">
        <v>439407</v>
      </c>
      <c r="CF133" s="804">
        <v>0</v>
      </c>
      <c r="CG133" s="804">
        <v>8967</v>
      </c>
      <c r="CH133" s="804">
        <v>896748.29999999702</v>
      </c>
      <c r="CI133" s="804">
        <v>23452690</v>
      </c>
      <c r="CJ133" s="804">
        <v>24374450</v>
      </c>
      <c r="CK133" s="804">
        <v>0</v>
      </c>
      <c r="CL133" s="804">
        <v>475953</v>
      </c>
      <c r="CM133" s="804">
        <v>48303093</v>
      </c>
      <c r="CN133" s="804">
        <v>947416</v>
      </c>
      <c r="CO133" s="804">
        <v>0</v>
      </c>
      <c r="CP133" s="804">
        <v>18717</v>
      </c>
      <c r="CQ133" s="804">
        <v>966133</v>
      </c>
      <c r="CR133" s="804">
        <v>3132756</v>
      </c>
      <c r="CS133" s="804">
        <v>0</v>
      </c>
      <c r="CT133" s="804">
        <v>62677</v>
      </c>
      <c r="CU133" s="804">
        <v>3195433</v>
      </c>
      <c r="CV133" s="804">
        <v>161826</v>
      </c>
      <c r="CW133" s="804">
        <v>0</v>
      </c>
      <c r="CX133" s="804">
        <v>3198</v>
      </c>
      <c r="CY133" s="804">
        <v>165024</v>
      </c>
      <c r="CZ133" s="804">
        <v>0</v>
      </c>
      <c r="DA133" s="804">
        <v>0</v>
      </c>
      <c r="DB133" s="804">
        <v>0</v>
      </c>
      <c r="DC133" s="804">
        <v>0</v>
      </c>
      <c r="DD133" s="804">
        <v>43319</v>
      </c>
      <c r="DE133" s="804">
        <v>0</v>
      </c>
      <c r="DF133" s="804">
        <v>884</v>
      </c>
      <c r="DG133" s="804">
        <v>44203</v>
      </c>
      <c r="DH133" s="804">
        <v>38223</v>
      </c>
      <c r="DI133" s="804">
        <v>0</v>
      </c>
      <c r="DJ133" s="804">
        <v>780</v>
      </c>
      <c r="DK133" s="804">
        <v>39003</v>
      </c>
      <c r="DL133" s="804">
        <v>6115</v>
      </c>
      <c r="DM133" s="804">
        <v>0</v>
      </c>
      <c r="DN133" s="804">
        <v>125</v>
      </c>
      <c r="DO133" s="804">
        <v>6240</v>
      </c>
      <c r="DP133" s="804">
        <v>0</v>
      </c>
      <c r="DQ133" s="804">
        <v>0</v>
      </c>
      <c r="DR133" s="804">
        <v>0</v>
      </c>
      <c r="DS133" s="804">
        <v>0</v>
      </c>
      <c r="DT133" s="804">
        <v>0</v>
      </c>
      <c r="DU133" s="804">
        <v>0</v>
      </c>
      <c r="DV133" s="804">
        <v>0</v>
      </c>
      <c r="DW133" s="804">
        <v>0</v>
      </c>
      <c r="DX133" s="804">
        <v>784845</v>
      </c>
      <c r="DY133" s="804">
        <v>0</v>
      </c>
      <c r="DZ133" s="804">
        <v>16017</v>
      </c>
      <c r="EA133" s="804">
        <v>800862</v>
      </c>
      <c r="EB133" s="804">
        <v>5114500</v>
      </c>
      <c r="EC133" s="804">
        <v>0</v>
      </c>
      <c r="ED133" s="804">
        <v>102398</v>
      </c>
      <c r="EE133" s="804">
        <v>5216898</v>
      </c>
      <c r="EF133" s="604" t="s">
        <v>576</v>
      </c>
      <c r="EG133" s="497" t="s">
        <v>524</v>
      </c>
      <c r="EH133" s="630" t="s">
        <v>577</v>
      </c>
      <c r="EI133" s="118" t="s">
        <v>1784</v>
      </c>
    </row>
    <row r="134" spans="1:139" ht="12.75" x14ac:dyDescent="0.2">
      <c r="A134" s="805">
        <v>127</v>
      </c>
      <c r="B134" s="606" t="s">
        <v>138</v>
      </c>
      <c r="C134" s="607" t="s">
        <v>1185</v>
      </c>
      <c r="D134" s="608" t="s">
        <v>1189</v>
      </c>
      <c r="E134" s="609" t="s">
        <v>137</v>
      </c>
      <c r="F134" s="802">
        <v>46997972</v>
      </c>
      <c r="G134" s="804">
        <v>0</v>
      </c>
      <c r="H134" s="804">
        <v>100823</v>
      </c>
      <c r="I134" s="804">
        <v>145115</v>
      </c>
      <c r="J134" s="804">
        <v>0</v>
      </c>
      <c r="K134" s="804">
        <v>145115</v>
      </c>
      <c r="L134" s="804">
        <v>0</v>
      </c>
      <c r="M134" s="804">
        <v>0</v>
      </c>
      <c r="N134" s="804">
        <v>0</v>
      </c>
      <c r="O134" s="804">
        <v>0</v>
      </c>
      <c r="P134" s="804">
        <v>0</v>
      </c>
      <c r="Q134" s="804">
        <v>0</v>
      </c>
      <c r="R134" s="804">
        <v>46752034</v>
      </c>
      <c r="S134" s="804">
        <v>0.5</v>
      </c>
      <c r="T134" s="804">
        <v>0.4</v>
      </c>
      <c r="U134" s="804">
        <v>0.1</v>
      </c>
      <c r="V134" s="804">
        <v>0</v>
      </c>
      <c r="W134" s="804">
        <v>1</v>
      </c>
      <c r="X134" s="804">
        <v>23376017</v>
      </c>
      <c r="Y134" s="804">
        <v>18700814</v>
      </c>
      <c r="Z134" s="804">
        <v>4675203</v>
      </c>
      <c r="AA134" s="804">
        <v>0</v>
      </c>
      <c r="AB134" s="804">
        <v>46752034</v>
      </c>
      <c r="AC134" s="804">
        <v>0</v>
      </c>
      <c r="AD134" s="804">
        <v>0</v>
      </c>
      <c r="AE134" s="804">
        <v>0</v>
      </c>
      <c r="AF134" s="804">
        <v>0</v>
      </c>
      <c r="AG134" s="804">
        <v>0</v>
      </c>
      <c r="AH134" s="804">
        <v>23376017</v>
      </c>
      <c r="AI134" s="804">
        <v>18700814</v>
      </c>
      <c r="AJ134" s="804">
        <v>4675203</v>
      </c>
      <c r="AK134" s="804">
        <v>0</v>
      </c>
      <c r="AL134" s="804">
        <v>46752034</v>
      </c>
      <c r="AM134" s="804">
        <v>145115</v>
      </c>
      <c r="AN134" s="804">
        <v>145115</v>
      </c>
      <c r="AO134" s="804">
        <v>0</v>
      </c>
      <c r="AP134" s="804">
        <v>0</v>
      </c>
      <c r="AQ134" s="804">
        <v>0</v>
      </c>
      <c r="AR134" s="804">
        <v>0</v>
      </c>
      <c r="AS134" s="804">
        <v>0</v>
      </c>
      <c r="AT134" s="804">
        <v>0</v>
      </c>
      <c r="AU134" s="804">
        <v>0</v>
      </c>
      <c r="AV134" s="804">
        <v>0</v>
      </c>
      <c r="AW134" s="804">
        <v>0</v>
      </c>
      <c r="AX134" s="804">
        <v>0</v>
      </c>
      <c r="AY134" s="804">
        <v>0</v>
      </c>
      <c r="AZ134" s="804">
        <v>0</v>
      </c>
      <c r="BA134" s="804">
        <v>0</v>
      </c>
      <c r="BB134" s="804">
        <v>0</v>
      </c>
      <c r="BC134" s="804">
        <v>0</v>
      </c>
      <c r="BD134" s="804">
        <v>0</v>
      </c>
      <c r="BE134" s="804">
        <v>0</v>
      </c>
      <c r="BF134" s="804">
        <v>0</v>
      </c>
      <c r="BG134" s="804">
        <v>0</v>
      </c>
      <c r="BH134" s="804">
        <v>0</v>
      </c>
      <c r="BI134" s="804">
        <v>0</v>
      </c>
      <c r="BJ134" s="804">
        <v>0.25</v>
      </c>
      <c r="BK134" s="804">
        <v>0.35</v>
      </c>
      <c r="BL134" s="804">
        <v>0.4</v>
      </c>
      <c r="BM134" s="804">
        <v>0</v>
      </c>
      <c r="BN134" s="804">
        <v>1</v>
      </c>
      <c r="BO134" s="804">
        <v>714961.99999999814</v>
      </c>
      <c r="BP134" s="804">
        <v>1000946</v>
      </c>
      <c r="BQ134" s="804">
        <v>1143939</v>
      </c>
      <c r="BR134" s="804">
        <v>0</v>
      </c>
      <c r="BS134" s="804">
        <v>2859846.9999999981</v>
      </c>
      <c r="BT134" s="804">
        <v>0.5</v>
      </c>
      <c r="BU134" s="804">
        <v>0.4</v>
      </c>
      <c r="BV134" s="804">
        <v>0.1</v>
      </c>
      <c r="BW134" s="804">
        <v>0</v>
      </c>
      <c r="BX134" s="804">
        <v>1</v>
      </c>
      <c r="BY134" s="804">
        <v>-70105.999999998137</v>
      </c>
      <c r="BZ134" s="804">
        <v>-56085</v>
      </c>
      <c r="CA134" s="804">
        <v>-14021</v>
      </c>
      <c r="CB134" s="804">
        <v>0</v>
      </c>
      <c r="CC134" s="804">
        <v>-140211.99999999814</v>
      </c>
      <c r="CD134" s="804">
        <v>644856</v>
      </c>
      <c r="CE134" s="804">
        <v>944861</v>
      </c>
      <c r="CF134" s="804">
        <v>1129918</v>
      </c>
      <c r="CG134" s="804">
        <v>0</v>
      </c>
      <c r="CH134" s="804">
        <v>2719635</v>
      </c>
      <c r="CI134" s="804">
        <v>24020873</v>
      </c>
      <c r="CJ134" s="804">
        <v>19790790</v>
      </c>
      <c r="CK134" s="804">
        <v>5805121</v>
      </c>
      <c r="CL134" s="804">
        <v>0</v>
      </c>
      <c r="CM134" s="804">
        <v>49616784</v>
      </c>
      <c r="CN134" s="804">
        <v>749532</v>
      </c>
      <c r="CO134" s="804">
        <v>187383</v>
      </c>
      <c r="CP134" s="804">
        <v>0</v>
      </c>
      <c r="CQ134" s="804">
        <v>936915</v>
      </c>
      <c r="CR134" s="804">
        <v>986032</v>
      </c>
      <c r="CS134" s="804">
        <v>246508</v>
      </c>
      <c r="CT134" s="804">
        <v>0</v>
      </c>
      <c r="CU134" s="804">
        <v>1232540</v>
      </c>
      <c r="CV134" s="804">
        <v>101405</v>
      </c>
      <c r="CW134" s="804">
        <v>25351</v>
      </c>
      <c r="CX134" s="804">
        <v>0</v>
      </c>
      <c r="CY134" s="804">
        <v>126756</v>
      </c>
      <c r="CZ134" s="804">
        <v>0</v>
      </c>
      <c r="DA134" s="804">
        <v>0</v>
      </c>
      <c r="DB134" s="804">
        <v>0</v>
      </c>
      <c r="DC134" s="804">
        <v>0</v>
      </c>
      <c r="DD134" s="804">
        <v>0</v>
      </c>
      <c r="DE134" s="804">
        <v>0</v>
      </c>
      <c r="DF134" s="804">
        <v>0</v>
      </c>
      <c r="DG134" s="804">
        <v>0</v>
      </c>
      <c r="DH134" s="804">
        <v>2551</v>
      </c>
      <c r="DI134" s="804">
        <v>638</v>
      </c>
      <c r="DJ134" s="804">
        <v>0</v>
      </c>
      <c r="DK134" s="804">
        <v>3189</v>
      </c>
      <c r="DL134" s="804">
        <v>2496</v>
      </c>
      <c r="DM134" s="804">
        <v>624</v>
      </c>
      <c r="DN134" s="804">
        <v>0</v>
      </c>
      <c r="DO134" s="804">
        <v>3120</v>
      </c>
      <c r="DP134" s="804">
        <v>0</v>
      </c>
      <c r="DQ134" s="804">
        <v>0</v>
      </c>
      <c r="DR134" s="804">
        <v>0</v>
      </c>
      <c r="DS134" s="804">
        <v>0</v>
      </c>
      <c r="DT134" s="804">
        <v>0</v>
      </c>
      <c r="DU134" s="804">
        <v>0</v>
      </c>
      <c r="DV134" s="804">
        <v>0</v>
      </c>
      <c r="DW134" s="804">
        <v>0</v>
      </c>
      <c r="DX134" s="804">
        <v>421636</v>
      </c>
      <c r="DY134" s="804">
        <v>105409</v>
      </c>
      <c r="DZ134" s="804">
        <v>0</v>
      </c>
      <c r="EA134" s="804">
        <v>527045</v>
      </c>
      <c r="EB134" s="804">
        <v>2263652</v>
      </c>
      <c r="EC134" s="804">
        <v>565913</v>
      </c>
      <c r="ED134" s="804">
        <v>0</v>
      </c>
      <c r="EE134" s="804">
        <v>2829565</v>
      </c>
      <c r="EF134" s="604" t="s">
        <v>137</v>
      </c>
      <c r="EG134" s="497" t="s">
        <v>579</v>
      </c>
      <c r="EH134" s="630" t="s">
        <v>551</v>
      </c>
      <c r="EI134" s="118" t="s">
        <v>1785</v>
      </c>
    </row>
    <row r="135" spans="1:139" ht="12.75" x14ac:dyDescent="0.2">
      <c r="A135" s="805">
        <v>128</v>
      </c>
      <c r="B135" s="606" t="s">
        <v>140</v>
      </c>
      <c r="C135" s="607" t="s">
        <v>1185</v>
      </c>
      <c r="D135" s="608" t="s">
        <v>1188</v>
      </c>
      <c r="E135" s="609" t="s">
        <v>139</v>
      </c>
      <c r="F135" s="802">
        <v>26320846</v>
      </c>
      <c r="G135" s="804">
        <v>450674</v>
      </c>
      <c r="H135" s="804">
        <v>0</v>
      </c>
      <c r="I135" s="804">
        <v>132509</v>
      </c>
      <c r="J135" s="804">
        <v>0</v>
      </c>
      <c r="K135" s="804">
        <v>132509</v>
      </c>
      <c r="L135" s="804">
        <v>0</v>
      </c>
      <c r="M135" s="804">
        <v>0</v>
      </c>
      <c r="N135" s="804">
        <v>0</v>
      </c>
      <c r="O135" s="804">
        <v>0</v>
      </c>
      <c r="P135" s="804">
        <v>0</v>
      </c>
      <c r="Q135" s="804">
        <v>0</v>
      </c>
      <c r="R135" s="804">
        <v>26639011</v>
      </c>
      <c r="S135" s="804">
        <v>0.5</v>
      </c>
      <c r="T135" s="804">
        <v>0.4</v>
      </c>
      <c r="U135" s="804">
        <v>0.09</v>
      </c>
      <c r="V135" s="804">
        <v>0.01</v>
      </c>
      <c r="W135" s="804">
        <v>1</v>
      </c>
      <c r="X135" s="804">
        <v>13319506</v>
      </c>
      <c r="Y135" s="804">
        <v>10655604</v>
      </c>
      <c r="Z135" s="804">
        <v>2397511</v>
      </c>
      <c r="AA135" s="804">
        <v>266390</v>
      </c>
      <c r="AB135" s="804">
        <v>26639011</v>
      </c>
      <c r="AC135" s="804">
        <v>0</v>
      </c>
      <c r="AD135" s="804">
        <v>0</v>
      </c>
      <c r="AE135" s="804">
        <v>0</v>
      </c>
      <c r="AF135" s="804">
        <v>0</v>
      </c>
      <c r="AG135" s="804">
        <v>0</v>
      </c>
      <c r="AH135" s="804">
        <v>13319506</v>
      </c>
      <c r="AI135" s="804">
        <v>10655604</v>
      </c>
      <c r="AJ135" s="804">
        <v>2397511</v>
      </c>
      <c r="AK135" s="804">
        <v>266390</v>
      </c>
      <c r="AL135" s="804">
        <v>26639011</v>
      </c>
      <c r="AM135" s="804">
        <v>132509</v>
      </c>
      <c r="AN135" s="804">
        <v>132509</v>
      </c>
      <c r="AO135" s="804">
        <v>0</v>
      </c>
      <c r="AP135" s="804">
        <v>0</v>
      </c>
      <c r="AQ135" s="804">
        <v>0</v>
      </c>
      <c r="AR135" s="804">
        <v>0</v>
      </c>
      <c r="AS135" s="804">
        <v>0</v>
      </c>
      <c r="AT135" s="804">
        <v>0</v>
      </c>
      <c r="AU135" s="804">
        <v>0</v>
      </c>
      <c r="AV135" s="804">
        <v>0</v>
      </c>
      <c r="AW135" s="804">
        <v>0</v>
      </c>
      <c r="AX135" s="804">
        <v>0</v>
      </c>
      <c r="AY135" s="804">
        <v>0</v>
      </c>
      <c r="AZ135" s="804">
        <v>0</v>
      </c>
      <c r="BA135" s="804">
        <v>0</v>
      </c>
      <c r="BB135" s="804">
        <v>0</v>
      </c>
      <c r="BC135" s="804">
        <v>0</v>
      </c>
      <c r="BD135" s="804">
        <v>0</v>
      </c>
      <c r="BE135" s="804">
        <v>0</v>
      </c>
      <c r="BF135" s="804">
        <v>0</v>
      </c>
      <c r="BG135" s="804">
        <v>0</v>
      </c>
      <c r="BH135" s="804">
        <v>0</v>
      </c>
      <c r="BI135" s="804">
        <v>0</v>
      </c>
      <c r="BJ135" s="804">
        <v>0.5</v>
      </c>
      <c r="BK135" s="804">
        <v>0.4</v>
      </c>
      <c r="BL135" s="804">
        <v>0.09</v>
      </c>
      <c r="BM135" s="804">
        <v>0.01</v>
      </c>
      <c r="BN135" s="804">
        <v>1</v>
      </c>
      <c r="BO135" s="804">
        <v>527401</v>
      </c>
      <c r="BP135" s="804">
        <v>421921</v>
      </c>
      <c r="BQ135" s="804">
        <v>94932</v>
      </c>
      <c r="BR135" s="804">
        <v>10548</v>
      </c>
      <c r="BS135" s="804">
        <v>1054802</v>
      </c>
      <c r="BT135" s="804">
        <v>0</v>
      </c>
      <c r="BU135" s="804">
        <v>0.5</v>
      </c>
      <c r="BV135" s="804">
        <v>0.49</v>
      </c>
      <c r="BW135" s="804">
        <v>0.01</v>
      </c>
      <c r="BX135" s="804">
        <v>1</v>
      </c>
      <c r="BY135" s="804">
        <v>0</v>
      </c>
      <c r="BZ135" s="804">
        <v>-39815</v>
      </c>
      <c r="CA135" s="804">
        <v>-39019</v>
      </c>
      <c r="CB135" s="804">
        <v>-796</v>
      </c>
      <c r="CC135" s="804">
        <v>-79630</v>
      </c>
      <c r="CD135" s="804">
        <v>527401</v>
      </c>
      <c r="CE135" s="804">
        <v>382106</v>
      </c>
      <c r="CF135" s="804">
        <v>55913</v>
      </c>
      <c r="CG135" s="804">
        <v>9752</v>
      </c>
      <c r="CH135" s="804">
        <v>975172</v>
      </c>
      <c r="CI135" s="804">
        <v>13846907</v>
      </c>
      <c r="CJ135" s="804">
        <v>11170219</v>
      </c>
      <c r="CK135" s="804">
        <v>2453424</v>
      </c>
      <c r="CL135" s="804">
        <v>276142</v>
      </c>
      <c r="CM135" s="804">
        <v>27746692</v>
      </c>
      <c r="CN135" s="804">
        <v>427078</v>
      </c>
      <c r="CO135" s="804">
        <v>96093</v>
      </c>
      <c r="CP135" s="804">
        <v>10677</v>
      </c>
      <c r="CQ135" s="804">
        <v>533848</v>
      </c>
      <c r="CR135" s="804">
        <v>1281489</v>
      </c>
      <c r="CS135" s="804">
        <v>288335</v>
      </c>
      <c r="CT135" s="804">
        <v>32037</v>
      </c>
      <c r="CU135" s="804">
        <v>1601861</v>
      </c>
      <c r="CV135" s="804">
        <v>62964</v>
      </c>
      <c r="CW135" s="804">
        <v>14167</v>
      </c>
      <c r="CX135" s="804">
        <v>1574</v>
      </c>
      <c r="CY135" s="804">
        <v>78705</v>
      </c>
      <c r="CZ135" s="804">
        <v>0</v>
      </c>
      <c r="DA135" s="804">
        <v>0</v>
      </c>
      <c r="DB135" s="804">
        <v>0</v>
      </c>
      <c r="DC135" s="804">
        <v>0</v>
      </c>
      <c r="DD135" s="804">
        <v>5548</v>
      </c>
      <c r="DE135" s="804">
        <v>1248</v>
      </c>
      <c r="DF135" s="804">
        <v>139</v>
      </c>
      <c r="DG135" s="804">
        <v>6935</v>
      </c>
      <c r="DH135" s="804">
        <v>14641</v>
      </c>
      <c r="DI135" s="804">
        <v>3294</v>
      </c>
      <c r="DJ135" s="804">
        <v>366</v>
      </c>
      <c r="DK135" s="804">
        <v>18301</v>
      </c>
      <c r="DL135" s="804">
        <v>4265</v>
      </c>
      <c r="DM135" s="804">
        <v>960</v>
      </c>
      <c r="DN135" s="804">
        <v>107</v>
      </c>
      <c r="DO135" s="804">
        <v>5332</v>
      </c>
      <c r="DP135" s="804">
        <v>0</v>
      </c>
      <c r="DQ135" s="804">
        <v>0</v>
      </c>
      <c r="DR135" s="804">
        <v>0</v>
      </c>
      <c r="DS135" s="804">
        <v>0</v>
      </c>
      <c r="DT135" s="804">
        <v>0</v>
      </c>
      <c r="DU135" s="804">
        <v>0</v>
      </c>
      <c r="DV135" s="804">
        <v>0</v>
      </c>
      <c r="DW135" s="804">
        <v>0</v>
      </c>
      <c r="DX135" s="804">
        <v>242403</v>
      </c>
      <c r="DY135" s="804">
        <v>54541</v>
      </c>
      <c r="DZ135" s="804">
        <v>6060</v>
      </c>
      <c r="EA135" s="804">
        <v>303004</v>
      </c>
      <c r="EB135" s="804">
        <v>2038388</v>
      </c>
      <c r="EC135" s="804">
        <v>458638</v>
      </c>
      <c r="ED135" s="804">
        <v>50960</v>
      </c>
      <c r="EE135" s="804">
        <v>2547986</v>
      </c>
      <c r="EF135" s="604" t="s">
        <v>139</v>
      </c>
      <c r="EG135" s="497" t="s">
        <v>555</v>
      </c>
      <c r="EH135" s="630" t="s">
        <v>554</v>
      </c>
      <c r="EI135" s="118" t="s">
        <v>1786</v>
      </c>
    </row>
    <row r="136" spans="1:139" ht="12.75" x14ac:dyDescent="0.2">
      <c r="A136" s="805">
        <v>129</v>
      </c>
      <c r="B136" s="606" t="s">
        <v>142</v>
      </c>
      <c r="C136" s="607" t="s">
        <v>1190</v>
      </c>
      <c r="D136" s="608" t="s">
        <v>1191</v>
      </c>
      <c r="E136" s="609" t="s">
        <v>141</v>
      </c>
      <c r="F136" s="802">
        <v>383075099</v>
      </c>
      <c r="G136" s="804">
        <v>0</v>
      </c>
      <c r="H136" s="804">
        <v>8121847</v>
      </c>
      <c r="I136" s="804">
        <v>573175</v>
      </c>
      <c r="J136" s="804">
        <v>0</v>
      </c>
      <c r="K136" s="804">
        <v>573175</v>
      </c>
      <c r="L136" s="804">
        <v>0</v>
      </c>
      <c r="M136" s="804">
        <v>0</v>
      </c>
      <c r="N136" s="804">
        <v>0</v>
      </c>
      <c r="O136" s="804">
        <v>0</v>
      </c>
      <c r="P136" s="804">
        <v>0</v>
      </c>
      <c r="Q136" s="804">
        <v>0</v>
      </c>
      <c r="R136" s="804">
        <v>374380077</v>
      </c>
      <c r="S136" s="804">
        <v>0.33</v>
      </c>
      <c r="T136" s="804">
        <v>0.3</v>
      </c>
      <c r="U136" s="804">
        <v>0.37</v>
      </c>
      <c r="V136" s="804">
        <v>0</v>
      </c>
      <c r="W136" s="804">
        <v>1</v>
      </c>
      <c r="X136" s="804">
        <v>123545426</v>
      </c>
      <c r="Y136" s="804">
        <v>112314023</v>
      </c>
      <c r="Z136" s="804">
        <v>138520628</v>
      </c>
      <c r="AA136" s="804">
        <v>0</v>
      </c>
      <c r="AB136" s="804">
        <v>374380077</v>
      </c>
      <c r="AC136" s="804">
        <v>0</v>
      </c>
      <c r="AD136" s="804">
        <v>0</v>
      </c>
      <c r="AE136" s="804">
        <v>0</v>
      </c>
      <c r="AF136" s="804">
        <v>0</v>
      </c>
      <c r="AG136" s="804">
        <v>0</v>
      </c>
      <c r="AH136" s="804">
        <v>123545426</v>
      </c>
      <c r="AI136" s="804">
        <v>112314023</v>
      </c>
      <c r="AJ136" s="804">
        <v>138520628</v>
      </c>
      <c r="AK136" s="804">
        <v>0</v>
      </c>
      <c r="AL136" s="804">
        <v>374380077</v>
      </c>
      <c r="AM136" s="804">
        <v>573175</v>
      </c>
      <c r="AN136" s="804">
        <v>573175</v>
      </c>
      <c r="AO136" s="804">
        <v>0</v>
      </c>
      <c r="AP136" s="804">
        <v>0</v>
      </c>
      <c r="AQ136" s="804">
        <v>0</v>
      </c>
      <c r="AR136" s="804">
        <v>0</v>
      </c>
      <c r="AS136" s="804">
        <v>0</v>
      </c>
      <c r="AT136" s="804">
        <v>0</v>
      </c>
      <c r="AU136" s="804">
        <v>0</v>
      </c>
      <c r="AV136" s="804">
        <v>0</v>
      </c>
      <c r="AW136" s="804">
        <v>0</v>
      </c>
      <c r="AX136" s="804">
        <v>0</v>
      </c>
      <c r="AY136" s="804">
        <v>0</v>
      </c>
      <c r="AZ136" s="804">
        <v>0</v>
      </c>
      <c r="BA136" s="804">
        <v>0</v>
      </c>
      <c r="BB136" s="804">
        <v>0</v>
      </c>
      <c r="BC136" s="804">
        <v>0</v>
      </c>
      <c r="BD136" s="804">
        <v>0</v>
      </c>
      <c r="BE136" s="804">
        <v>0</v>
      </c>
      <c r="BF136" s="804">
        <v>0</v>
      </c>
      <c r="BG136" s="804">
        <v>0</v>
      </c>
      <c r="BH136" s="804">
        <v>0</v>
      </c>
      <c r="BI136" s="804">
        <v>0</v>
      </c>
      <c r="BJ136" s="804">
        <v>0.25</v>
      </c>
      <c r="BK136" s="804">
        <v>0.48</v>
      </c>
      <c r="BL136" s="804">
        <v>0.27</v>
      </c>
      <c r="BM136" s="804">
        <v>0</v>
      </c>
      <c r="BN136" s="804">
        <v>1</v>
      </c>
      <c r="BO136" s="804">
        <v>646667</v>
      </c>
      <c r="BP136" s="804">
        <v>1241601</v>
      </c>
      <c r="BQ136" s="804">
        <v>698400</v>
      </c>
      <c r="BR136" s="804">
        <v>0</v>
      </c>
      <c r="BS136" s="804">
        <v>2586668</v>
      </c>
      <c r="BT136" s="804">
        <v>0</v>
      </c>
      <c r="BU136" s="804">
        <v>0.64</v>
      </c>
      <c r="BV136" s="804">
        <v>0.36</v>
      </c>
      <c r="BW136" s="804">
        <v>0</v>
      </c>
      <c r="BX136" s="804">
        <v>1</v>
      </c>
      <c r="BY136" s="804">
        <v>0</v>
      </c>
      <c r="BZ136" s="804">
        <v>-1662488</v>
      </c>
      <c r="CA136" s="804">
        <v>-935149</v>
      </c>
      <c r="CB136" s="804">
        <v>0</v>
      </c>
      <c r="CC136" s="804">
        <v>-2597637</v>
      </c>
      <c r="CD136" s="804">
        <v>646667</v>
      </c>
      <c r="CE136" s="804">
        <v>-420887</v>
      </c>
      <c r="CF136" s="804">
        <v>-236749</v>
      </c>
      <c r="CG136" s="804">
        <v>0</v>
      </c>
      <c r="CH136" s="804">
        <v>-10969</v>
      </c>
      <c r="CI136" s="804">
        <v>124192093</v>
      </c>
      <c r="CJ136" s="804">
        <v>112466311</v>
      </c>
      <c r="CK136" s="804">
        <v>138283879</v>
      </c>
      <c r="CL136" s="804">
        <v>0</v>
      </c>
      <c r="CM136" s="804">
        <v>374942283</v>
      </c>
      <c r="CN136" s="804">
        <v>4501564</v>
      </c>
      <c r="CO136" s="804">
        <v>5551929</v>
      </c>
      <c r="CP136" s="804">
        <v>0</v>
      </c>
      <c r="CQ136" s="804">
        <v>10053493</v>
      </c>
      <c r="CR136" s="804">
        <v>1697309</v>
      </c>
      <c r="CS136" s="804">
        <v>2093347</v>
      </c>
      <c r="CT136" s="804">
        <v>0</v>
      </c>
      <c r="CU136" s="804">
        <v>3790656</v>
      </c>
      <c r="CV136" s="804">
        <v>96038</v>
      </c>
      <c r="CW136" s="804">
        <v>118447</v>
      </c>
      <c r="CX136" s="804">
        <v>0</v>
      </c>
      <c r="CY136" s="804">
        <v>214485</v>
      </c>
      <c r="CZ136" s="804">
        <v>0</v>
      </c>
      <c r="DA136" s="804">
        <v>0</v>
      </c>
      <c r="DB136" s="804">
        <v>0</v>
      </c>
      <c r="DC136" s="804">
        <v>0</v>
      </c>
      <c r="DD136" s="804">
        <v>0</v>
      </c>
      <c r="DE136" s="804">
        <v>0</v>
      </c>
      <c r="DF136" s="804">
        <v>0</v>
      </c>
      <c r="DG136" s="804">
        <v>0</v>
      </c>
      <c r="DH136" s="804">
        <v>10921</v>
      </c>
      <c r="DI136" s="804">
        <v>13469</v>
      </c>
      <c r="DJ136" s="804">
        <v>0</v>
      </c>
      <c r="DK136" s="804">
        <v>24390</v>
      </c>
      <c r="DL136" s="804">
        <v>7570</v>
      </c>
      <c r="DM136" s="804">
        <v>9336</v>
      </c>
      <c r="DN136" s="804">
        <v>0</v>
      </c>
      <c r="DO136" s="804">
        <v>16906</v>
      </c>
      <c r="DP136" s="804">
        <v>0</v>
      </c>
      <c r="DQ136" s="804">
        <v>0</v>
      </c>
      <c r="DR136" s="804">
        <v>0</v>
      </c>
      <c r="DS136" s="804">
        <v>0</v>
      </c>
      <c r="DT136" s="804">
        <v>0</v>
      </c>
      <c r="DU136" s="804">
        <v>0</v>
      </c>
      <c r="DV136" s="804">
        <v>0</v>
      </c>
      <c r="DW136" s="804">
        <v>0</v>
      </c>
      <c r="DX136" s="804">
        <v>480205</v>
      </c>
      <c r="DY136" s="804">
        <v>592253</v>
      </c>
      <c r="DZ136" s="804">
        <v>0</v>
      </c>
      <c r="EA136" s="804">
        <v>1072458</v>
      </c>
      <c r="EB136" s="804">
        <v>6793607</v>
      </c>
      <c r="EC136" s="804">
        <v>8378781</v>
      </c>
      <c r="ED136" s="804">
        <v>0</v>
      </c>
      <c r="EE136" s="804">
        <v>15172388</v>
      </c>
      <c r="EF136" s="604" t="s">
        <v>141</v>
      </c>
      <c r="EG136" s="497" t="s">
        <v>623</v>
      </c>
      <c r="EH136" s="243" t="s">
        <v>523</v>
      </c>
      <c r="EI136" s="118" t="s">
        <v>1787</v>
      </c>
    </row>
    <row r="137" spans="1:139" ht="12.75" x14ac:dyDescent="0.2">
      <c r="A137" s="805">
        <v>130</v>
      </c>
      <c r="B137" s="606" t="s">
        <v>144</v>
      </c>
      <c r="C137" s="607" t="s">
        <v>1185</v>
      </c>
      <c r="D137" s="608" t="s">
        <v>1188</v>
      </c>
      <c r="E137" s="609" t="s">
        <v>143</v>
      </c>
      <c r="F137" s="802">
        <v>33436442</v>
      </c>
      <c r="G137" s="804">
        <v>288082</v>
      </c>
      <c r="H137" s="804">
        <v>0</v>
      </c>
      <c r="I137" s="804">
        <v>123846</v>
      </c>
      <c r="J137" s="804">
        <v>0</v>
      </c>
      <c r="K137" s="804">
        <v>123846</v>
      </c>
      <c r="L137" s="804">
        <v>0</v>
      </c>
      <c r="M137" s="804">
        <v>199816</v>
      </c>
      <c r="N137" s="804">
        <v>92844</v>
      </c>
      <c r="O137" s="804">
        <v>92844</v>
      </c>
      <c r="P137" s="804">
        <v>0</v>
      </c>
      <c r="Q137" s="804">
        <v>0</v>
      </c>
      <c r="R137" s="804">
        <v>33308018</v>
      </c>
      <c r="S137" s="804">
        <v>0.5</v>
      </c>
      <c r="T137" s="804">
        <v>0.4</v>
      </c>
      <c r="U137" s="804">
        <v>0.09</v>
      </c>
      <c r="V137" s="804">
        <v>0.01</v>
      </c>
      <c r="W137" s="804">
        <v>1</v>
      </c>
      <c r="X137" s="804">
        <v>16654009</v>
      </c>
      <c r="Y137" s="804">
        <v>13323207</v>
      </c>
      <c r="Z137" s="804">
        <v>2997722</v>
      </c>
      <c r="AA137" s="804">
        <v>333080</v>
      </c>
      <c r="AB137" s="804">
        <v>33308018</v>
      </c>
      <c r="AC137" s="804">
        <v>113451</v>
      </c>
      <c r="AD137" s="804">
        <v>0</v>
      </c>
      <c r="AE137" s="804">
        <v>0</v>
      </c>
      <c r="AF137" s="804">
        <v>0</v>
      </c>
      <c r="AG137" s="804">
        <v>113451</v>
      </c>
      <c r="AH137" s="804">
        <v>16540558</v>
      </c>
      <c r="AI137" s="804">
        <v>13323207</v>
      </c>
      <c r="AJ137" s="804">
        <v>2997722</v>
      </c>
      <c r="AK137" s="804">
        <v>333080</v>
      </c>
      <c r="AL137" s="804">
        <v>33194567</v>
      </c>
      <c r="AM137" s="804">
        <v>123846</v>
      </c>
      <c r="AN137" s="804">
        <v>123846</v>
      </c>
      <c r="AO137" s="804">
        <v>199816</v>
      </c>
      <c r="AP137" s="804">
        <v>199816</v>
      </c>
      <c r="AQ137" s="804">
        <v>92844</v>
      </c>
      <c r="AR137" s="804">
        <v>0</v>
      </c>
      <c r="AS137" s="804">
        <v>92844</v>
      </c>
      <c r="AT137" s="804">
        <v>0</v>
      </c>
      <c r="AU137" s="804">
        <v>0</v>
      </c>
      <c r="AV137" s="804">
        <v>0</v>
      </c>
      <c r="AW137" s="804">
        <v>0</v>
      </c>
      <c r="AX137" s="804">
        <v>113451</v>
      </c>
      <c r="AY137" s="804">
        <v>0</v>
      </c>
      <c r="AZ137" s="804">
        <v>0</v>
      </c>
      <c r="BA137" s="804">
        <v>113451</v>
      </c>
      <c r="BB137" s="804">
        <v>0</v>
      </c>
      <c r="BC137" s="804">
        <v>0</v>
      </c>
      <c r="BD137" s="804">
        <v>0</v>
      </c>
      <c r="BE137" s="804">
        <v>0</v>
      </c>
      <c r="BF137" s="804">
        <v>0</v>
      </c>
      <c r="BG137" s="804">
        <v>0</v>
      </c>
      <c r="BH137" s="804">
        <v>0</v>
      </c>
      <c r="BI137" s="804">
        <v>0</v>
      </c>
      <c r="BJ137" s="804">
        <v>0.25</v>
      </c>
      <c r="BK137" s="804">
        <v>0.375</v>
      </c>
      <c r="BL137" s="804">
        <v>0.36499999999999999</v>
      </c>
      <c r="BM137" s="804">
        <v>0.01</v>
      </c>
      <c r="BN137" s="804">
        <v>1</v>
      </c>
      <c r="BO137" s="804">
        <v>-162772</v>
      </c>
      <c r="BP137" s="804">
        <v>-244160</v>
      </c>
      <c r="BQ137" s="804">
        <v>-237649</v>
      </c>
      <c r="BR137" s="804">
        <v>-6511</v>
      </c>
      <c r="BS137" s="804">
        <v>-651092</v>
      </c>
      <c r="BT137" s="804">
        <v>0.5</v>
      </c>
      <c r="BU137" s="804">
        <v>0.4</v>
      </c>
      <c r="BV137" s="804">
        <v>0.09</v>
      </c>
      <c r="BW137" s="804">
        <v>0.01</v>
      </c>
      <c r="BX137" s="804">
        <v>1</v>
      </c>
      <c r="BY137" s="804">
        <v>280289</v>
      </c>
      <c r="BZ137" s="804">
        <v>224232</v>
      </c>
      <c r="CA137" s="804">
        <v>50452</v>
      </c>
      <c r="CB137" s="804">
        <v>5606</v>
      </c>
      <c r="CC137" s="804">
        <v>560579</v>
      </c>
      <c r="CD137" s="804">
        <v>117517</v>
      </c>
      <c r="CE137" s="804">
        <v>-19928</v>
      </c>
      <c r="CF137" s="804">
        <v>-187197</v>
      </c>
      <c r="CG137" s="804">
        <v>-905</v>
      </c>
      <c r="CH137" s="804">
        <v>-90513</v>
      </c>
      <c r="CI137" s="804">
        <v>16658075</v>
      </c>
      <c r="CJ137" s="804">
        <v>13833236</v>
      </c>
      <c r="CK137" s="804">
        <v>2810525</v>
      </c>
      <c r="CL137" s="804">
        <v>332175</v>
      </c>
      <c r="CM137" s="804">
        <v>33634011</v>
      </c>
      <c r="CN137" s="804">
        <v>550273</v>
      </c>
      <c r="CO137" s="804">
        <v>120149</v>
      </c>
      <c r="CP137" s="804">
        <v>13350</v>
      </c>
      <c r="CQ137" s="804">
        <v>683772</v>
      </c>
      <c r="CR137" s="804">
        <v>1187310</v>
      </c>
      <c r="CS137" s="804">
        <v>267145</v>
      </c>
      <c r="CT137" s="804">
        <v>29683</v>
      </c>
      <c r="CU137" s="804">
        <v>1484138</v>
      </c>
      <c r="CV137" s="804">
        <v>66711</v>
      </c>
      <c r="CW137" s="804">
        <v>14618</v>
      </c>
      <c r="CX137" s="804">
        <v>1624</v>
      </c>
      <c r="CY137" s="804">
        <v>82953</v>
      </c>
      <c r="CZ137" s="804">
        <v>0</v>
      </c>
      <c r="DA137" s="804">
        <v>0</v>
      </c>
      <c r="DB137" s="804">
        <v>0</v>
      </c>
      <c r="DC137" s="804">
        <v>0</v>
      </c>
      <c r="DD137" s="804">
        <v>1589</v>
      </c>
      <c r="DE137" s="804">
        <v>358</v>
      </c>
      <c r="DF137" s="804">
        <v>40</v>
      </c>
      <c r="DG137" s="804">
        <v>1987</v>
      </c>
      <c r="DH137" s="804">
        <v>15316</v>
      </c>
      <c r="DI137" s="804">
        <v>3446</v>
      </c>
      <c r="DJ137" s="804">
        <v>383</v>
      </c>
      <c r="DK137" s="804">
        <v>19145</v>
      </c>
      <c r="DL137" s="804">
        <v>3317</v>
      </c>
      <c r="DM137" s="804">
        <v>746</v>
      </c>
      <c r="DN137" s="804">
        <v>83</v>
      </c>
      <c r="DO137" s="804">
        <v>4146</v>
      </c>
      <c r="DP137" s="804">
        <v>0</v>
      </c>
      <c r="DQ137" s="804">
        <v>0</v>
      </c>
      <c r="DR137" s="804">
        <v>0</v>
      </c>
      <c r="DS137" s="804">
        <v>0</v>
      </c>
      <c r="DT137" s="804">
        <v>0</v>
      </c>
      <c r="DU137" s="804">
        <v>0</v>
      </c>
      <c r="DV137" s="804">
        <v>0</v>
      </c>
      <c r="DW137" s="804">
        <v>0</v>
      </c>
      <c r="DX137" s="804">
        <v>165263</v>
      </c>
      <c r="DY137" s="804">
        <v>37184</v>
      </c>
      <c r="DZ137" s="804">
        <v>4132</v>
      </c>
      <c r="EA137" s="804">
        <v>206579</v>
      </c>
      <c r="EB137" s="804">
        <v>1989779</v>
      </c>
      <c r="EC137" s="804">
        <v>443646</v>
      </c>
      <c r="ED137" s="804">
        <v>49295</v>
      </c>
      <c r="EE137" s="804">
        <v>2482720</v>
      </c>
      <c r="EF137" s="604" t="s">
        <v>143</v>
      </c>
      <c r="EG137" s="497" t="s">
        <v>594</v>
      </c>
      <c r="EH137" s="630" t="s">
        <v>592</v>
      </c>
      <c r="EI137" s="118" t="s">
        <v>1788</v>
      </c>
    </row>
    <row r="138" spans="1:139" ht="12.75" x14ac:dyDescent="0.2">
      <c r="A138" s="805">
        <v>131</v>
      </c>
      <c r="B138" s="606" t="s">
        <v>146</v>
      </c>
      <c r="C138" s="607" t="s">
        <v>1185</v>
      </c>
      <c r="D138" s="608" t="s">
        <v>1186</v>
      </c>
      <c r="E138" s="609" t="s">
        <v>145</v>
      </c>
      <c r="F138" s="802">
        <v>43495786</v>
      </c>
      <c r="G138" s="804">
        <v>322380</v>
      </c>
      <c r="H138" s="804">
        <v>0</v>
      </c>
      <c r="I138" s="804">
        <v>181481</v>
      </c>
      <c r="J138" s="804">
        <v>0</v>
      </c>
      <c r="K138" s="804">
        <v>181481</v>
      </c>
      <c r="L138" s="804">
        <v>0</v>
      </c>
      <c r="M138" s="804">
        <v>0</v>
      </c>
      <c r="N138" s="804">
        <v>0</v>
      </c>
      <c r="O138" s="804">
        <v>0</v>
      </c>
      <c r="P138" s="804">
        <v>0</v>
      </c>
      <c r="Q138" s="804">
        <v>0</v>
      </c>
      <c r="R138" s="804">
        <v>43636685</v>
      </c>
      <c r="S138" s="804">
        <v>0.5</v>
      </c>
      <c r="T138" s="804">
        <v>0.4</v>
      </c>
      <c r="U138" s="804">
        <v>0.1</v>
      </c>
      <c r="V138" s="804">
        <v>0</v>
      </c>
      <c r="W138" s="804">
        <v>1</v>
      </c>
      <c r="X138" s="804">
        <v>21818342</v>
      </c>
      <c r="Y138" s="804">
        <v>17454674</v>
      </c>
      <c r="Z138" s="804">
        <v>4363669</v>
      </c>
      <c r="AA138" s="804">
        <v>0</v>
      </c>
      <c r="AB138" s="804">
        <v>43636685</v>
      </c>
      <c r="AC138" s="804">
        <v>0</v>
      </c>
      <c r="AD138" s="804">
        <v>0</v>
      </c>
      <c r="AE138" s="804">
        <v>0</v>
      </c>
      <c r="AF138" s="804">
        <v>0</v>
      </c>
      <c r="AG138" s="804">
        <v>0</v>
      </c>
      <c r="AH138" s="804">
        <v>21818342</v>
      </c>
      <c r="AI138" s="804">
        <v>17454674</v>
      </c>
      <c r="AJ138" s="804">
        <v>4363669</v>
      </c>
      <c r="AK138" s="804">
        <v>0</v>
      </c>
      <c r="AL138" s="804">
        <v>43636685</v>
      </c>
      <c r="AM138" s="804">
        <v>181481</v>
      </c>
      <c r="AN138" s="804">
        <v>181481</v>
      </c>
      <c r="AO138" s="804">
        <v>0</v>
      </c>
      <c r="AP138" s="804">
        <v>0</v>
      </c>
      <c r="AQ138" s="804">
        <v>0</v>
      </c>
      <c r="AR138" s="804">
        <v>0</v>
      </c>
      <c r="AS138" s="804">
        <v>0</v>
      </c>
      <c r="AT138" s="804">
        <v>0</v>
      </c>
      <c r="AU138" s="804">
        <v>0</v>
      </c>
      <c r="AV138" s="804">
        <v>0</v>
      </c>
      <c r="AW138" s="804">
        <v>0</v>
      </c>
      <c r="AX138" s="804">
        <v>0</v>
      </c>
      <c r="AY138" s="804">
        <v>0</v>
      </c>
      <c r="AZ138" s="804">
        <v>0</v>
      </c>
      <c r="BA138" s="804">
        <v>0</v>
      </c>
      <c r="BB138" s="804">
        <v>0</v>
      </c>
      <c r="BC138" s="804">
        <v>0</v>
      </c>
      <c r="BD138" s="804">
        <v>0</v>
      </c>
      <c r="BE138" s="804">
        <v>0</v>
      </c>
      <c r="BF138" s="804">
        <v>0</v>
      </c>
      <c r="BG138" s="804">
        <v>0</v>
      </c>
      <c r="BH138" s="804">
        <v>0</v>
      </c>
      <c r="BI138" s="804">
        <v>0</v>
      </c>
      <c r="BJ138" s="804">
        <v>0.24999999999999994</v>
      </c>
      <c r="BK138" s="804">
        <v>0.2</v>
      </c>
      <c r="BL138" s="804">
        <v>0.55000000000000004</v>
      </c>
      <c r="BM138" s="804">
        <v>0</v>
      </c>
      <c r="BN138" s="804">
        <v>1</v>
      </c>
      <c r="BO138" s="804">
        <v>525310.00000000279</v>
      </c>
      <c r="BP138" s="804">
        <v>420247</v>
      </c>
      <c r="BQ138" s="804">
        <v>1155680</v>
      </c>
      <c r="BR138" s="804">
        <v>0</v>
      </c>
      <c r="BS138" s="804">
        <v>2101237.0000000028</v>
      </c>
      <c r="BT138" s="804">
        <v>0.5</v>
      </c>
      <c r="BU138" s="804">
        <v>0.4</v>
      </c>
      <c r="BV138" s="804">
        <v>0.1</v>
      </c>
      <c r="BW138" s="804">
        <v>0</v>
      </c>
      <c r="BX138" s="804">
        <v>1</v>
      </c>
      <c r="BY138" s="804">
        <v>-1352475.4700000016</v>
      </c>
      <c r="BZ138" s="804">
        <v>-1081980</v>
      </c>
      <c r="CA138" s="804">
        <v>-270495</v>
      </c>
      <c r="CB138" s="804">
        <v>0</v>
      </c>
      <c r="CC138" s="804">
        <v>-2704950.4700000016</v>
      </c>
      <c r="CD138" s="804">
        <v>-827165</v>
      </c>
      <c r="CE138" s="804">
        <v>-661733</v>
      </c>
      <c r="CF138" s="804">
        <v>885185</v>
      </c>
      <c r="CG138" s="804">
        <v>0</v>
      </c>
      <c r="CH138" s="804">
        <v>-603713.46999999881</v>
      </c>
      <c r="CI138" s="804">
        <v>20991177</v>
      </c>
      <c r="CJ138" s="804">
        <v>16974422</v>
      </c>
      <c r="CK138" s="804">
        <v>5248854</v>
      </c>
      <c r="CL138" s="804">
        <v>0</v>
      </c>
      <c r="CM138" s="804">
        <v>43214453</v>
      </c>
      <c r="CN138" s="804">
        <v>699586</v>
      </c>
      <c r="CO138" s="804">
        <v>174897</v>
      </c>
      <c r="CP138" s="804">
        <v>0</v>
      </c>
      <c r="CQ138" s="804">
        <v>874483</v>
      </c>
      <c r="CR138" s="804">
        <v>1540719</v>
      </c>
      <c r="CS138" s="804">
        <v>385180</v>
      </c>
      <c r="CT138" s="804">
        <v>0</v>
      </c>
      <c r="CU138" s="804">
        <v>1925899</v>
      </c>
      <c r="CV138" s="804">
        <v>122596</v>
      </c>
      <c r="CW138" s="804">
        <v>30649</v>
      </c>
      <c r="CX138" s="804">
        <v>0</v>
      </c>
      <c r="CY138" s="804">
        <v>153245</v>
      </c>
      <c r="CZ138" s="804">
        <v>0</v>
      </c>
      <c r="DA138" s="804">
        <v>0</v>
      </c>
      <c r="DB138" s="804">
        <v>0</v>
      </c>
      <c r="DC138" s="804">
        <v>0</v>
      </c>
      <c r="DD138" s="804">
        <v>3437</v>
      </c>
      <c r="DE138" s="804">
        <v>859</v>
      </c>
      <c r="DF138" s="804">
        <v>0</v>
      </c>
      <c r="DG138" s="804">
        <v>4296</v>
      </c>
      <c r="DH138" s="804">
        <v>17211</v>
      </c>
      <c r="DI138" s="804">
        <v>4303</v>
      </c>
      <c r="DJ138" s="804">
        <v>0</v>
      </c>
      <c r="DK138" s="804">
        <v>21514</v>
      </c>
      <c r="DL138" s="804">
        <v>5409</v>
      </c>
      <c r="DM138" s="804">
        <v>1352</v>
      </c>
      <c r="DN138" s="804">
        <v>0</v>
      </c>
      <c r="DO138" s="804">
        <v>6761</v>
      </c>
      <c r="DP138" s="804">
        <v>0</v>
      </c>
      <c r="DQ138" s="804">
        <v>0</v>
      </c>
      <c r="DR138" s="804">
        <v>0</v>
      </c>
      <c r="DS138" s="804">
        <v>0</v>
      </c>
      <c r="DT138" s="804">
        <v>0</v>
      </c>
      <c r="DU138" s="804">
        <v>0</v>
      </c>
      <c r="DV138" s="804">
        <v>0</v>
      </c>
      <c r="DW138" s="804">
        <v>0</v>
      </c>
      <c r="DX138" s="804">
        <v>340867</v>
      </c>
      <c r="DY138" s="804">
        <v>85217</v>
      </c>
      <c r="DZ138" s="804">
        <v>0</v>
      </c>
      <c r="EA138" s="804">
        <v>426084</v>
      </c>
      <c r="EB138" s="804">
        <v>2729825</v>
      </c>
      <c r="EC138" s="804">
        <v>682457</v>
      </c>
      <c r="ED138" s="804">
        <v>0</v>
      </c>
      <c r="EE138" s="804">
        <v>3412282</v>
      </c>
      <c r="EF138" s="604" t="s">
        <v>145</v>
      </c>
      <c r="EG138" s="497" t="s">
        <v>613</v>
      </c>
      <c r="EH138" s="630" t="s">
        <v>551</v>
      </c>
      <c r="EI138" s="118" t="s">
        <v>1789</v>
      </c>
    </row>
    <row r="139" spans="1:139" ht="12.75" x14ac:dyDescent="0.2">
      <c r="A139" s="805">
        <v>132</v>
      </c>
      <c r="B139" s="606" t="s">
        <v>148</v>
      </c>
      <c r="C139" s="607" t="s">
        <v>1190</v>
      </c>
      <c r="D139" s="608" t="s">
        <v>1191</v>
      </c>
      <c r="E139" s="609" t="s">
        <v>147</v>
      </c>
      <c r="F139" s="802">
        <v>206365743</v>
      </c>
      <c r="G139" s="804">
        <v>682735</v>
      </c>
      <c r="H139" s="804">
        <v>0</v>
      </c>
      <c r="I139" s="804">
        <v>408310</v>
      </c>
      <c r="J139" s="804">
        <v>0</v>
      </c>
      <c r="K139" s="804">
        <v>408310</v>
      </c>
      <c r="L139" s="804">
        <v>0</v>
      </c>
      <c r="M139" s="804">
        <v>0</v>
      </c>
      <c r="N139" s="804">
        <v>0</v>
      </c>
      <c r="O139" s="804">
        <v>0</v>
      </c>
      <c r="P139" s="804">
        <v>0</v>
      </c>
      <c r="Q139" s="804">
        <v>0</v>
      </c>
      <c r="R139" s="804">
        <v>206640168</v>
      </c>
      <c r="S139" s="804">
        <v>0.33</v>
      </c>
      <c r="T139" s="804">
        <v>0.3</v>
      </c>
      <c r="U139" s="804">
        <v>0.37</v>
      </c>
      <c r="V139" s="804">
        <v>0</v>
      </c>
      <c r="W139" s="804">
        <v>1</v>
      </c>
      <c r="X139" s="804">
        <v>68191256</v>
      </c>
      <c r="Y139" s="804">
        <v>61992050</v>
      </c>
      <c r="Z139" s="804">
        <v>76456862</v>
      </c>
      <c r="AA139" s="804">
        <v>0</v>
      </c>
      <c r="AB139" s="804">
        <v>206640168</v>
      </c>
      <c r="AC139" s="804">
        <v>0</v>
      </c>
      <c r="AD139" s="804">
        <v>0</v>
      </c>
      <c r="AE139" s="804">
        <v>0</v>
      </c>
      <c r="AF139" s="804">
        <v>0</v>
      </c>
      <c r="AG139" s="804">
        <v>0</v>
      </c>
      <c r="AH139" s="804">
        <v>68191256</v>
      </c>
      <c r="AI139" s="804">
        <v>61992050</v>
      </c>
      <c r="AJ139" s="804">
        <v>76456862</v>
      </c>
      <c r="AK139" s="804">
        <v>0</v>
      </c>
      <c r="AL139" s="804">
        <v>206640168</v>
      </c>
      <c r="AM139" s="804">
        <v>408310</v>
      </c>
      <c r="AN139" s="804">
        <v>408310</v>
      </c>
      <c r="AO139" s="804">
        <v>0</v>
      </c>
      <c r="AP139" s="804">
        <v>0</v>
      </c>
      <c r="AQ139" s="804">
        <v>0</v>
      </c>
      <c r="AR139" s="804">
        <v>0</v>
      </c>
      <c r="AS139" s="804">
        <v>0</v>
      </c>
      <c r="AT139" s="804">
        <v>0</v>
      </c>
      <c r="AU139" s="804">
        <v>0</v>
      </c>
      <c r="AV139" s="804">
        <v>0</v>
      </c>
      <c r="AW139" s="804">
        <v>0</v>
      </c>
      <c r="AX139" s="804">
        <v>0</v>
      </c>
      <c r="AY139" s="804">
        <v>0</v>
      </c>
      <c r="AZ139" s="804">
        <v>0</v>
      </c>
      <c r="BA139" s="804">
        <v>0</v>
      </c>
      <c r="BB139" s="804">
        <v>0</v>
      </c>
      <c r="BC139" s="804">
        <v>0</v>
      </c>
      <c r="BD139" s="804">
        <v>0</v>
      </c>
      <c r="BE139" s="804">
        <v>0</v>
      </c>
      <c r="BF139" s="804">
        <v>0</v>
      </c>
      <c r="BG139" s="804">
        <v>0</v>
      </c>
      <c r="BH139" s="804">
        <v>0</v>
      </c>
      <c r="BI139" s="804">
        <v>0</v>
      </c>
      <c r="BJ139" s="804">
        <v>0.25</v>
      </c>
      <c r="BK139" s="804">
        <v>0.48</v>
      </c>
      <c r="BL139" s="804">
        <v>0.27</v>
      </c>
      <c r="BM139" s="804">
        <v>0</v>
      </c>
      <c r="BN139" s="804">
        <v>1</v>
      </c>
      <c r="BO139" s="804">
        <v>-704196.00000001118</v>
      </c>
      <c r="BP139" s="804">
        <v>-1352056</v>
      </c>
      <c r="BQ139" s="804">
        <v>-760532</v>
      </c>
      <c r="BR139" s="804">
        <v>0</v>
      </c>
      <c r="BS139" s="804">
        <v>-2816784.0000000112</v>
      </c>
      <c r="BT139" s="804">
        <v>0</v>
      </c>
      <c r="BU139" s="804">
        <v>0.64</v>
      </c>
      <c r="BV139" s="804">
        <v>0.36</v>
      </c>
      <c r="BW139" s="804">
        <v>0</v>
      </c>
      <c r="BX139" s="804">
        <v>1</v>
      </c>
      <c r="BY139" s="804">
        <v>0.69999999925494194</v>
      </c>
      <c r="BZ139" s="804">
        <v>-1637801</v>
      </c>
      <c r="CA139" s="804">
        <v>-921263</v>
      </c>
      <c r="CB139" s="804">
        <v>0</v>
      </c>
      <c r="CC139" s="804">
        <v>-2559063.3000000007</v>
      </c>
      <c r="CD139" s="804">
        <v>-704195</v>
      </c>
      <c r="CE139" s="804">
        <v>-2989857</v>
      </c>
      <c r="CF139" s="804">
        <v>-1681795</v>
      </c>
      <c r="CG139" s="804">
        <v>0</v>
      </c>
      <c r="CH139" s="804">
        <v>-5375847.3000000119</v>
      </c>
      <c r="CI139" s="804">
        <v>67487061</v>
      </c>
      <c r="CJ139" s="804">
        <v>59410503</v>
      </c>
      <c r="CK139" s="804">
        <v>74775067</v>
      </c>
      <c r="CL139" s="804">
        <v>0</v>
      </c>
      <c r="CM139" s="804">
        <v>201672631</v>
      </c>
      <c r="CN139" s="804">
        <v>2484651</v>
      </c>
      <c r="CO139" s="804">
        <v>3064403</v>
      </c>
      <c r="CP139" s="804">
        <v>0</v>
      </c>
      <c r="CQ139" s="804">
        <v>5549054</v>
      </c>
      <c r="CR139" s="804">
        <v>1380778</v>
      </c>
      <c r="CS139" s="804">
        <v>1702960</v>
      </c>
      <c r="CT139" s="804">
        <v>0</v>
      </c>
      <c r="CU139" s="804">
        <v>3083738</v>
      </c>
      <c r="CV139" s="804">
        <v>129913</v>
      </c>
      <c r="CW139" s="804">
        <v>160226</v>
      </c>
      <c r="CX139" s="804">
        <v>0</v>
      </c>
      <c r="CY139" s="804">
        <v>290139</v>
      </c>
      <c r="CZ139" s="804">
        <v>2832</v>
      </c>
      <c r="DA139" s="804">
        <v>3492</v>
      </c>
      <c r="DB139" s="804">
        <v>0</v>
      </c>
      <c r="DC139" s="804">
        <v>6324</v>
      </c>
      <c r="DD139" s="804">
        <v>0</v>
      </c>
      <c r="DE139" s="804">
        <v>0</v>
      </c>
      <c r="DF139" s="804">
        <v>0</v>
      </c>
      <c r="DG139" s="804">
        <v>0</v>
      </c>
      <c r="DH139" s="804">
        <v>2340</v>
      </c>
      <c r="DI139" s="804">
        <v>2886</v>
      </c>
      <c r="DJ139" s="804">
        <v>0</v>
      </c>
      <c r="DK139" s="804">
        <v>5226</v>
      </c>
      <c r="DL139" s="804">
        <v>12730</v>
      </c>
      <c r="DM139" s="804">
        <v>15700</v>
      </c>
      <c r="DN139" s="804">
        <v>0</v>
      </c>
      <c r="DO139" s="804">
        <v>28430</v>
      </c>
      <c r="DP139" s="804">
        <v>0</v>
      </c>
      <c r="DQ139" s="804">
        <v>0</v>
      </c>
      <c r="DR139" s="804">
        <v>0</v>
      </c>
      <c r="DS139" s="804">
        <v>0</v>
      </c>
      <c r="DT139" s="804">
        <v>0</v>
      </c>
      <c r="DU139" s="804">
        <v>0</v>
      </c>
      <c r="DV139" s="804">
        <v>0</v>
      </c>
      <c r="DW139" s="804">
        <v>0</v>
      </c>
      <c r="DX139" s="804">
        <v>833081</v>
      </c>
      <c r="DY139" s="804">
        <v>1027466</v>
      </c>
      <c r="DZ139" s="804">
        <v>0</v>
      </c>
      <c r="EA139" s="804">
        <v>1860547</v>
      </c>
      <c r="EB139" s="804">
        <v>4846325</v>
      </c>
      <c r="EC139" s="804">
        <v>5977133</v>
      </c>
      <c r="ED139" s="804">
        <v>0</v>
      </c>
      <c r="EE139" s="804">
        <v>10823458</v>
      </c>
      <c r="EF139" s="604" t="s">
        <v>147</v>
      </c>
      <c r="EG139" s="497" t="s">
        <v>623</v>
      </c>
      <c r="EH139" s="243" t="s">
        <v>523</v>
      </c>
      <c r="EI139" s="118" t="s">
        <v>1790</v>
      </c>
    </row>
    <row r="140" spans="1:139" ht="12.75" x14ac:dyDescent="0.2">
      <c r="A140" s="805">
        <v>133</v>
      </c>
      <c r="B140" s="606" t="s">
        <v>150</v>
      </c>
      <c r="C140" s="607" t="s">
        <v>1185</v>
      </c>
      <c r="D140" s="608" t="s">
        <v>1189</v>
      </c>
      <c r="E140" s="609" t="s">
        <v>149</v>
      </c>
      <c r="F140" s="802">
        <v>64335314</v>
      </c>
      <c r="G140" s="804">
        <v>0</v>
      </c>
      <c r="H140" s="804">
        <v>254247</v>
      </c>
      <c r="I140" s="804">
        <v>218087</v>
      </c>
      <c r="J140" s="804">
        <v>0</v>
      </c>
      <c r="K140" s="804">
        <v>218087</v>
      </c>
      <c r="L140" s="804">
        <v>0</v>
      </c>
      <c r="M140" s="804">
        <v>942475</v>
      </c>
      <c r="N140" s="804">
        <v>997019</v>
      </c>
      <c r="O140" s="804">
        <v>997019</v>
      </c>
      <c r="P140" s="804">
        <v>0</v>
      </c>
      <c r="Q140" s="804">
        <v>0</v>
      </c>
      <c r="R140" s="804">
        <v>61923486</v>
      </c>
      <c r="S140" s="804">
        <v>0.5</v>
      </c>
      <c r="T140" s="804">
        <v>0.4</v>
      </c>
      <c r="U140" s="804">
        <v>0.09</v>
      </c>
      <c r="V140" s="804">
        <v>0.01</v>
      </c>
      <c r="W140" s="804">
        <v>1</v>
      </c>
      <c r="X140" s="804">
        <v>30961743</v>
      </c>
      <c r="Y140" s="804">
        <v>24769394</v>
      </c>
      <c r="Z140" s="804">
        <v>5573114</v>
      </c>
      <c r="AA140" s="804">
        <v>619235</v>
      </c>
      <c r="AB140" s="804">
        <v>61923486</v>
      </c>
      <c r="AC140" s="804">
        <v>245189</v>
      </c>
      <c r="AD140" s="804">
        <v>0</v>
      </c>
      <c r="AE140" s="804">
        <v>0</v>
      </c>
      <c r="AF140" s="804">
        <v>0</v>
      </c>
      <c r="AG140" s="804">
        <v>245189</v>
      </c>
      <c r="AH140" s="804">
        <v>30716554</v>
      </c>
      <c r="AI140" s="804">
        <v>24769394</v>
      </c>
      <c r="AJ140" s="804">
        <v>5573114</v>
      </c>
      <c r="AK140" s="804">
        <v>619235</v>
      </c>
      <c r="AL140" s="804">
        <v>61678297</v>
      </c>
      <c r="AM140" s="804">
        <v>218087</v>
      </c>
      <c r="AN140" s="804">
        <v>218087</v>
      </c>
      <c r="AO140" s="804">
        <v>942475</v>
      </c>
      <c r="AP140" s="804">
        <v>942475</v>
      </c>
      <c r="AQ140" s="804">
        <v>997019</v>
      </c>
      <c r="AR140" s="804">
        <v>0</v>
      </c>
      <c r="AS140" s="804">
        <v>997019</v>
      </c>
      <c r="AT140" s="804">
        <v>0</v>
      </c>
      <c r="AU140" s="804">
        <v>0</v>
      </c>
      <c r="AV140" s="804">
        <v>0</v>
      </c>
      <c r="AW140" s="804">
        <v>0</v>
      </c>
      <c r="AX140" s="804">
        <v>245189</v>
      </c>
      <c r="AY140" s="804">
        <v>0</v>
      </c>
      <c r="AZ140" s="804">
        <v>0</v>
      </c>
      <c r="BA140" s="804">
        <v>245189</v>
      </c>
      <c r="BB140" s="804">
        <v>0</v>
      </c>
      <c r="BC140" s="804">
        <v>0</v>
      </c>
      <c r="BD140" s="804">
        <v>0</v>
      </c>
      <c r="BE140" s="804">
        <v>0</v>
      </c>
      <c r="BF140" s="804">
        <v>0</v>
      </c>
      <c r="BG140" s="804">
        <v>0</v>
      </c>
      <c r="BH140" s="804">
        <v>0</v>
      </c>
      <c r="BI140" s="804">
        <v>0</v>
      </c>
      <c r="BJ140" s="804">
        <v>0.5</v>
      </c>
      <c r="BK140" s="804">
        <v>0.4</v>
      </c>
      <c r="BL140" s="804">
        <v>0.09</v>
      </c>
      <c r="BM140" s="804">
        <v>0.01</v>
      </c>
      <c r="BN140" s="804">
        <v>1</v>
      </c>
      <c r="BO140" s="804">
        <v>793951</v>
      </c>
      <c r="BP140" s="804">
        <v>635161</v>
      </c>
      <c r="BQ140" s="804">
        <v>142911</v>
      </c>
      <c r="BR140" s="804">
        <v>15879</v>
      </c>
      <c r="BS140" s="804">
        <v>1587902</v>
      </c>
      <c r="BT140" s="804">
        <v>0.5</v>
      </c>
      <c r="BU140" s="804">
        <v>0.4</v>
      </c>
      <c r="BV140" s="804">
        <v>0.09</v>
      </c>
      <c r="BW140" s="804">
        <v>0.01</v>
      </c>
      <c r="BX140" s="804">
        <v>1</v>
      </c>
      <c r="BY140" s="804">
        <v>-281014</v>
      </c>
      <c r="BZ140" s="804">
        <v>-224811</v>
      </c>
      <c r="CA140" s="804">
        <v>-50582</v>
      </c>
      <c r="CB140" s="804">
        <v>-5620</v>
      </c>
      <c r="CC140" s="804">
        <v>-562027</v>
      </c>
      <c r="CD140" s="804">
        <v>512937</v>
      </c>
      <c r="CE140" s="804">
        <v>410350</v>
      </c>
      <c r="CF140" s="804">
        <v>92329</v>
      </c>
      <c r="CG140" s="804">
        <v>10259</v>
      </c>
      <c r="CH140" s="804">
        <v>1025875</v>
      </c>
      <c r="CI140" s="804">
        <v>31229491</v>
      </c>
      <c r="CJ140" s="804">
        <v>27582514</v>
      </c>
      <c r="CK140" s="804">
        <v>5665443</v>
      </c>
      <c r="CL140" s="804">
        <v>629494</v>
      </c>
      <c r="CM140" s="804">
        <v>65106942</v>
      </c>
      <c r="CN140" s="804">
        <v>1080324</v>
      </c>
      <c r="CO140" s="804">
        <v>223371</v>
      </c>
      <c r="CP140" s="804">
        <v>24819</v>
      </c>
      <c r="CQ140" s="804">
        <v>1328514</v>
      </c>
      <c r="CR140" s="804">
        <v>1671989</v>
      </c>
      <c r="CS140" s="804">
        <v>374468</v>
      </c>
      <c r="CT140" s="804">
        <v>41608</v>
      </c>
      <c r="CU140" s="804">
        <v>2088065</v>
      </c>
      <c r="CV140" s="804">
        <v>143452</v>
      </c>
      <c r="CW140" s="804">
        <v>31703</v>
      </c>
      <c r="CX140" s="804">
        <v>3523</v>
      </c>
      <c r="CY140" s="804">
        <v>178678</v>
      </c>
      <c r="CZ140" s="804">
        <v>8998</v>
      </c>
      <c r="DA140" s="804">
        <v>2024</v>
      </c>
      <c r="DB140" s="804">
        <v>225</v>
      </c>
      <c r="DC140" s="804">
        <v>11247</v>
      </c>
      <c r="DD140" s="804">
        <v>14926</v>
      </c>
      <c r="DE140" s="804">
        <v>3358</v>
      </c>
      <c r="DF140" s="804">
        <v>373</v>
      </c>
      <c r="DG140" s="804">
        <v>18657</v>
      </c>
      <c r="DH140" s="804">
        <v>13338</v>
      </c>
      <c r="DI140" s="804">
        <v>3001</v>
      </c>
      <c r="DJ140" s="804">
        <v>333</v>
      </c>
      <c r="DK140" s="804">
        <v>16672</v>
      </c>
      <c r="DL140" s="804">
        <v>4100</v>
      </c>
      <c r="DM140" s="804">
        <v>923</v>
      </c>
      <c r="DN140" s="804">
        <v>103</v>
      </c>
      <c r="DO140" s="804">
        <v>5126</v>
      </c>
      <c r="DP140" s="804">
        <v>0</v>
      </c>
      <c r="DQ140" s="804">
        <v>0</v>
      </c>
      <c r="DR140" s="804">
        <v>0</v>
      </c>
      <c r="DS140" s="804">
        <v>0</v>
      </c>
      <c r="DT140" s="804">
        <v>0</v>
      </c>
      <c r="DU140" s="804">
        <v>0</v>
      </c>
      <c r="DV140" s="804">
        <v>0</v>
      </c>
      <c r="DW140" s="804">
        <v>0</v>
      </c>
      <c r="DX140" s="804">
        <v>408864</v>
      </c>
      <c r="DY140" s="804">
        <v>91995</v>
      </c>
      <c r="DZ140" s="804">
        <v>10222</v>
      </c>
      <c r="EA140" s="804">
        <v>511081</v>
      </c>
      <c r="EB140" s="804">
        <v>3345991</v>
      </c>
      <c r="EC140" s="804">
        <v>730843</v>
      </c>
      <c r="ED140" s="804">
        <v>81206</v>
      </c>
      <c r="EE140" s="804">
        <v>4158040</v>
      </c>
      <c r="EF140" s="604" t="s">
        <v>149</v>
      </c>
      <c r="EG140" s="497" t="s">
        <v>542</v>
      </c>
      <c r="EH140" s="630" t="s">
        <v>541</v>
      </c>
      <c r="EI140" s="118" t="s">
        <v>1791</v>
      </c>
    </row>
    <row r="141" spans="1:139" ht="12.75" x14ac:dyDescent="0.2">
      <c r="A141" s="805">
        <v>134</v>
      </c>
      <c r="B141" s="606" t="s">
        <v>152</v>
      </c>
      <c r="C141" s="607" t="s">
        <v>1185</v>
      </c>
      <c r="D141" s="608" t="s">
        <v>1187</v>
      </c>
      <c r="E141" s="609" t="s">
        <v>151</v>
      </c>
      <c r="F141" s="802">
        <v>17150116</v>
      </c>
      <c r="G141" s="804">
        <v>0</v>
      </c>
      <c r="H141" s="804">
        <v>176279</v>
      </c>
      <c r="I141" s="804">
        <v>121029</v>
      </c>
      <c r="J141" s="804">
        <v>0</v>
      </c>
      <c r="K141" s="804">
        <v>121029</v>
      </c>
      <c r="L141" s="804">
        <v>0</v>
      </c>
      <c r="M141" s="804">
        <v>0</v>
      </c>
      <c r="N141" s="804">
        <v>0</v>
      </c>
      <c r="O141" s="804">
        <v>0</v>
      </c>
      <c r="P141" s="804">
        <v>0</v>
      </c>
      <c r="Q141" s="804">
        <v>0</v>
      </c>
      <c r="R141" s="804">
        <v>16852808</v>
      </c>
      <c r="S141" s="804">
        <v>0.5</v>
      </c>
      <c r="T141" s="804">
        <v>0.4</v>
      </c>
      <c r="U141" s="804">
        <v>0.09</v>
      </c>
      <c r="V141" s="804">
        <v>0.01</v>
      </c>
      <c r="W141" s="804">
        <v>1</v>
      </c>
      <c r="X141" s="804">
        <v>8426404</v>
      </c>
      <c r="Y141" s="804">
        <v>6741123</v>
      </c>
      <c r="Z141" s="804">
        <v>1516753</v>
      </c>
      <c r="AA141" s="804">
        <v>168528</v>
      </c>
      <c r="AB141" s="804">
        <v>16852808</v>
      </c>
      <c r="AC141" s="804">
        <v>0</v>
      </c>
      <c r="AD141" s="804">
        <v>0</v>
      </c>
      <c r="AE141" s="804">
        <v>0</v>
      </c>
      <c r="AF141" s="804">
        <v>0</v>
      </c>
      <c r="AG141" s="804">
        <v>0</v>
      </c>
      <c r="AH141" s="804">
        <v>8426404</v>
      </c>
      <c r="AI141" s="804">
        <v>6741123</v>
      </c>
      <c r="AJ141" s="804">
        <v>1516753</v>
      </c>
      <c r="AK141" s="804">
        <v>168528</v>
      </c>
      <c r="AL141" s="804">
        <v>16852808</v>
      </c>
      <c r="AM141" s="804">
        <v>121029</v>
      </c>
      <c r="AN141" s="804">
        <v>121029</v>
      </c>
      <c r="AO141" s="804">
        <v>0</v>
      </c>
      <c r="AP141" s="804">
        <v>0</v>
      </c>
      <c r="AQ141" s="804">
        <v>0</v>
      </c>
      <c r="AR141" s="804">
        <v>0</v>
      </c>
      <c r="AS141" s="804">
        <v>0</v>
      </c>
      <c r="AT141" s="804">
        <v>0</v>
      </c>
      <c r="AU141" s="804">
        <v>0</v>
      </c>
      <c r="AV141" s="804">
        <v>0</v>
      </c>
      <c r="AW141" s="804">
        <v>0</v>
      </c>
      <c r="AX141" s="804">
        <v>0</v>
      </c>
      <c r="AY141" s="804">
        <v>0</v>
      </c>
      <c r="AZ141" s="804">
        <v>0</v>
      </c>
      <c r="BA141" s="804">
        <v>0</v>
      </c>
      <c r="BB141" s="804">
        <v>0</v>
      </c>
      <c r="BC141" s="804">
        <v>0</v>
      </c>
      <c r="BD141" s="804">
        <v>0</v>
      </c>
      <c r="BE141" s="804">
        <v>0</v>
      </c>
      <c r="BF141" s="804">
        <v>0</v>
      </c>
      <c r="BG141" s="804">
        <v>0</v>
      </c>
      <c r="BH141" s="804">
        <v>0</v>
      </c>
      <c r="BI141" s="804">
        <v>0</v>
      </c>
      <c r="BJ141" s="804">
        <v>0.25</v>
      </c>
      <c r="BK141" s="804">
        <v>0.56000000000000005</v>
      </c>
      <c r="BL141" s="804">
        <v>0.17499999999999999</v>
      </c>
      <c r="BM141" s="804">
        <v>1.4999999999999999E-2</v>
      </c>
      <c r="BN141" s="804">
        <v>1</v>
      </c>
      <c r="BO141" s="804">
        <v>89799</v>
      </c>
      <c r="BP141" s="804">
        <v>201150</v>
      </c>
      <c r="BQ141" s="804">
        <v>62859</v>
      </c>
      <c r="BR141" s="804">
        <v>5388</v>
      </c>
      <c r="BS141" s="804">
        <v>359196</v>
      </c>
      <c r="BT141" s="804">
        <v>0.5</v>
      </c>
      <c r="BU141" s="804">
        <v>0.4</v>
      </c>
      <c r="BV141" s="804">
        <v>0.09</v>
      </c>
      <c r="BW141" s="804">
        <v>0.01</v>
      </c>
      <c r="BX141" s="804">
        <v>1</v>
      </c>
      <c r="BY141" s="804">
        <v>187740.80000000075</v>
      </c>
      <c r="BZ141" s="804">
        <v>150193</v>
      </c>
      <c r="CA141" s="804">
        <v>33793</v>
      </c>
      <c r="CB141" s="804">
        <v>3755</v>
      </c>
      <c r="CC141" s="804">
        <v>375481.80000000075</v>
      </c>
      <c r="CD141" s="804">
        <v>277540</v>
      </c>
      <c r="CE141" s="804">
        <v>351343</v>
      </c>
      <c r="CF141" s="804">
        <v>96652</v>
      </c>
      <c r="CG141" s="804">
        <v>9143</v>
      </c>
      <c r="CH141" s="804">
        <v>734677.80000000075</v>
      </c>
      <c r="CI141" s="804">
        <v>8703944</v>
      </c>
      <c r="CJ141" s="804">
        <v>7213495</v>
      </c>
      <c r="CK141" s="804">
        <v>1613405</v>
      </c>
      <c r="CL141" s="804">
        <v>177671</v>
      </c>
      <c r="CM141" s="804">
        <v>17708515</v>
      </c>
      <c r="CN141" s="804">
        <v>270185</v>
      </c>
      <c r="CO141" s="804">
        <v>60792</v>
      </c>
      <c r="CP141" s="804">
        <v>6755</v>
      </c>
      <c r="CQ141" s="804">
        <v>337732</v>
      </c>
      <c r="CR141" s="804">
        <v>1099408</v>
      </c>
      <c r="CS141" s="804">
        <v>247367</v>
      </c>
      <c r="CT141" s="804">
        <v>27485</v>
      </c>
      <c r="CU141" s="804">
        <v>1374260</v>
      </c>
      <c r="CV141" s="804">
        <v>39956</v>
      </c>
      <c r="CW141" s="804">
        <v>8990</v>
      </c>
      <c r="CX141" s="804">
        <v>999</v>
      </c>
      <c r="CY141" s="804">
        <v>49945</v>
      </c>
      <c r="CZ141" s="804">
        <v>3557</v>
      </c>
      <c r="DA141" s="804">
        <v>800</v>
      </c>
      <c r="DB141" s="804">
        <v>89</v>
      </c>
      <c r="DC141" s="804">
        <v>4446</v>
      </c>
      <c r="DD141" s="804">
        <v>0</v>
      </c>
      <c r="DE141" s="804">
        <v>0</v>
      </c>
      <c r="DF141" s="804">
        <v>0</v>
      </c>
      <c r="DG141" s="804">
        <v>0</v>
      </c>
      <c r="DH141" s="804">
        <v>0</v>
      </c>
      <c r="DI141" s="804">
        <v>0</v>
      </c>
      <c r="DJ141" s="804">
        <v>0</v>
      </c>
      <c r="DK141" s="804">
        <v>0</v>
      </c>
      <c r="DL141" s="804">
        <v>832</v>
      </c>
      <c r="DM141" s="804">
        <v>187</v>
      </c>
      <c r="DN141" s="804">
        <v>21</v>
      </c>
      <c r="DO141" s="804">
        <v>1040</v>
      </c>
      <c r="DP141" s="804">
        <v>0</v>
      </c>
      <c r="DQ141" s="804">
        <v>0</v>
      </c>
      <c r="DR141" s="804">
        <v>0</v>
      </c>
      <c r="DS141" s="804">
        <v>0</v>
      </c>
      <c r="DT141" s="804">
        <v>0</v>
      </c>
      <c r="DU141" s="804">
        <v>0</v>
      </c>
      <c r="DV141" s="804">
        <v>0</v>
      </c>
      <c r="DW141" s="804">
        <v>0</v>
      </c>
      <c r="DX141" s="804">
        <v>171242</v>
      </c>
      <c r="DY141" s="804">
        <v>38529</v>
      </c>
      <c r="DZ141" s="804">
        <v>4281</v>
      </c>
      <c r="EA141" s="804">
        <v>214052</v>
      </c>
      <c r="EB141" s="804">
        <v>1585180</v>
      </c>
      <c r="EC141" s="804">
        <v>356665</v>
      </c>
      <c r="ED141" s="804">
        <v>39630</v>
      </c>
      <c r="EE141" s="804">
        <v>1981475</v>
      </c>
      <c r="EF141" s="604" t="s">
        <v>151</v>
      </c>
      <c r="EG141" s="497" t="s">
        <v>590</v>
      </c>
      <c r="EH141" s="630" t="s">
        <v>588</v>
      </c>
      <c r="EI141" s="118" t="s">
        <v>1792</v>
      </c>
    </row>
    <row r="142" spans="1:139" ht="12.75" x14ac:dyDescent="0.2">
      <c r="A142" s="805">
        <v>135</v>
      </c>
      <c r="B142" s="606" t="s">
        <v>154</v>
      </c>
      <c r="C142" s="607" t="s">
        <v>1185</v>
      </c>
      <c r="D142" s="608" t="s">
        <v>1189</v>
      </c>
      <c r="E142" s="609" t="s">
        <v>153</v>
      </c>
      <c r="F142" s="802">
        <v>55940621</v>
      </c>
      <c r="G142" s="804">
        <v>0</v>
      </c>
      <c r="H142" s="804">
        <v>314704</v>
      </c>
      <c r="I142" s="804">
        <v>187142</v>
      </c>
      <c r="J142" s="804">
        <v>0</v>
      </c>
      <c r="K142" s="804">
        <v>187142</v>
      </c>
      <c r="L142" s="804">
        <v>0</v>
      </c>
      <c r="M142" s="804">
        <v>627167</v>
      </c>
      <c r="N142" s="804">
        <v>7694</v>
      </c>
      <c r="O142" s="804">
        <v>7582</v>
      </c>
      <c r="P142" s="804">
        <v>112</v>
      </c>
      <c r="Q142" s="804">
        <v>0</v>
      </c>
      <c r="R142" s="804">
        <v>54803914</v>
      </c>
      <c r="S142" s="804">
        <v>0.5</v>
      </c>
      <c r="T142" s="804">
        <v>0.4</v>
      </c>
      <c r="U142" s="804">
        <v>0.1</v>
      </c>
      <c r="V142" s="804">
        <v>0</v>
      </c>
      <c r="W142" s="804">
        <v>1</v>
      </c>
      <c r="X142" s="804">
        <v>27401957</v>
      </c>
      <c r="Y142" s="804">
        <v>21921566</v>
      </c>
      <c r="Z142" s="804">
        <v>5480391</v>
      </c>
      <c r="AA142" s="804">
        <v>0</v>
      </c>
      <c r="AB142" s="804">
        <v>54803914</v>
      </c>
      <c r="AC142" s="804">
        <v>177520</v>
      </c>
      <c r="AD142" s="804">
        <v>0</v>
      </c>
      <c r="AE142" s="804">
        <v>0</v>
      </c>
      <c r="AF142" s="804">
        <v>0</v>
      </c>
      <c r="AG142" s="804">
        <v>177520</v>
      </c>
      <c r="AH142" s="804">
        <v>27224437</v>
      </c>
      <c r="AI142" s="804">
        <v>21921566</v>
      </c>
      <c r="AJ142" s="804">
        <v>5480391</v>
      </c>
      <c r="AK142" s="804">
        <v>0</v>
      </c>
      <c r="AL142" s="804">
        <v>54626394</v>
      </c>
      <c r="AM142" s="804">
        <v>187142</v>
      </c>
      <c r="AN142" s="804">
        <v>187142</v>
      </c>
      <c r="AO142" s="804">
        <v>627167</v>
      </c>
      <c r="AP142" s="804">
        <v>627167</v>
      </c>
      <c r="AQ142" s="804">
        <v>7582</v>
      </c>
      <c r="AR142" s="804">
        <v>112</v>
      </c>
      <c r="AS142" s="804">
        <v>7694</v>
      </c>
      <c r="AT142" s="804">
        <v>0</v>
      </c>
      <c r="AU142" s="804">
        <v>0</v>
      </c>
      <c r="AV142" s="804">
        <v>0</v>
      </c>
      <c r="AW142" s="804">
        <v>0</v>
      </c>
      <c r="AX142" s="804">
        <v>177520</v>
      </c>
      <c r="AY142" s="804">
        <v>0</v>
      </c>
      <c r="AZ142" s="804">
        <v>0</v>
      </c>
      <c r="BA142" s="804">
        <v>177520</v>
      </c>
      <c r="BB142" s="804">
        <v>0</v>
      </c>
      <c r="BC142" s="804">
        <v>0</v>
      </c>
      <c r="BD142" s="804">
        <v>0</v>
      </c>
      <c r="BE142" s="804">
        <v>0</v>
      </c>
      <c r="BF142" s="804">
        <v>0</v>
      </c>
      <c r="BG142" s="804">
        <v>0</v>
      </c>
      <c r="BH142" s="804">
        <v>0</v>
      </c>
      <c r="BI142" s="804">
        <v>0</v>
      </c>
      <c r="BJ142" s="804">
        <v>0.5</v>
      </c>
      <c r="BK142" s="804">
        <v>0.4</v>
      </c>
      <c r="BL142" s="804">
        <v>0.1</v>
      </c>
      <c r="BM142" s="804">
        <v>0</v>
      </c>
      <c r="BN142" s="804">
        <v>1</v>
      </c>
      <c r="BO142" s="804">
        <v>-318096</v>
      </c>
      <c r="BP142" s="804">
        <v>-254476</v>
      </c>
      <c r="BQ142" s="804">
        <v>-63619</v>
      </c>
      <c r="BR142" s="804">
        <v>0</v>
      </c>
      <c r="BS142" s="804">
        <v>-636191</v>
      </c>
      <c r="BT142" s="804">
        <v>0</v>
      </c>
      <c r="BU142" s="804">
        <v>0.8</v>
      </c>
      <c r="BV142" s="804">
        <v>0.2</v>
      </c>
      <c r="BW142" s="804">
        <v>0</v>
      </c>
      <c r="BX142" s="804">
        <v>1</v>
      </c>
      <c r="BY142" s="804">
        <v>0</v>
      </c>
      <c r="BZ142" s="804">
        <v>-971278</v>
      </c>
      <c r="CA142" s="804">
        <v>-242819</v>
      </c>
      <c r="CB142" s="804">
        <v>0</v>
      </c>
      <c r="CC142" s="804">
        <v>-1214097</v>
      </c>
      <c r="CD142" s="804">
        <v>-318096</v>
      </c>
      <c r="CE142" s="804">
        <v>-1225754</v>
      </c>
      <c r="CF142" s="804">
        <v>-306438</v>
      </c>
      <c r="CG142" s="804">
        <v>0</v>
      </c>
      <c r="CH142" s="804">
        <v>-1850288</v>
      </c>
      <c r="CI142" s="804">
        <v>26906341</v>
      </c>
      <c r="CJ142" s="804">
        <v>21695223</v>
      </c>
      <c r="CK142" s="804">
        <v>5174065</v>
      </c>
      <c r="CL142" s="804">
        <v>0</v>
      </c>
      <c r="CM142" s="804">
        <v>53775629</v>
      </c>
      <c r="CN142" s="804">
        <v>911176</v>
      </c>
      <c r="CO142" s="804">
        <v>219659</v>
      </c>
      <c r="CP142" s="804">
        <v>0</v>
      </c>
      <c r="CQ142" s="804">
        <v>1130835</v>
      </c>
      <c r="CR142" s="804">
        <v>1274752</v>
      </c>
      <c r="CS142" s="804">
        <v>317866</v>
      </c>
      <c r="CT142" s="804">
        <v>0</v>
      </c>
      <c r="CU142" s="804">
        <v>1592618</v>
      </c>
      <c r="CV142" s="804">
        <v>99399</v>
      </c>
      <c r="CW142" s="804">
        <v>24352</v>
      </c>
      <c r="CX142" s="804">
        <v>0</v>
      </c>
      <c r="CY142" s="804">
        <v>123751</v>
      </c>
      <c r="CZ142" s="804">
        <v>11522</v>
      </c>
      <c r="DA142" s="804">
        <v>2881</v>
      </c>
      <c r="DB142" s="804">
        <v>0</v>
      </c>
      <c r="DC142" s="804">
        <v>14403</v>
      </c>
      <c r="DD142" s="804">
        <v>0</v>
      </c>
      <c r="DE142" s="804">
        <v>0</v>
      </c>
      <c r="DF142" s="804">
        <v>0</v>
      </c>
      <c r="DG142" s="804">
        <v>0</v>
      </c>
      <c r="DH142" s="804">
        <v>2558</v>
      </c>
      <c r="DI142" s="804">
        <v>640</v>
      </c>
      <c r="DJ142" s="804">
        <v>0</v>
      </c>
      <c r="DK142" s="804">
        <v>3198</v>
      </c>
      <c r="DL142" s="804">
        <v>2486</v>
      </c>
      <c r="DM142" s="804">
        <v>621</v>
      </c>
      <c r="DN142" s="804">
        <v>0</v>
      </c>
      <c r="DO142" s="804">
        <v>3107</v>
      </c>
      <c r="DP142" s="804">
        <v>0</v>
      </c>
      <c r="DQ142" s="804">
        <v>0</v>
      </c>
      <c r="DR142" s="804">
        <v>0</v>
      </c>
      <c r="DS142" s="804">
        <v>0</v>
      </c>
      <c r="DT142" s="804">
        <v>0</v>
      </c>
      <c r="DU142" s="804">
        <v>0</v>
      </c>
      <c r="DV142" s="804">
        <v>0</v>
      </c>
      <c r="DW142" s="804">
        <v>0</v>
      </c>
      <c r="DX142" s="804">
        <v>342199</v>
      </c>
      <c r="DY142" s="804">
        <v>85550</v>
      </c>
      <c r="DZ142" s="804">
        <v>0</v>
      </c>
      <c r="EA142" s="804">
        <v>427749</v>
      </c>
      <c r="EB142" s="804">
        <v>2644092</v>
      </c>
      <c r="EC142" s="804">
        <v>651569</v>
      </c>
      <c r="ED142" s="804">
        <v>0</v>
      </c>
      <c r="EE142" s="804">
        <v>3295661</v>
      </c>
      <c r="EF142" s="604" t="s">
        <v>153</v>
      </c>
      <c r="EG142" s="497" t="s">
        <v>610</v>
      </c>
      <c r="EH142" s="630" t="s">
        <v>551</v>
      </c>
      <c r="EI142" s="118" t="s">
        <v>1793</v>
      </c>
    </row>
    <row r="143" spans="1:139" ht="12.75" x14ac:dyDescent="0.2">
      <c r="A143" s="805">
        <v>136</v>
      </c>
      <c r="B143" s="606" t="s">
        <v>156</v>
      </c>
      <c r="C143" s="607" t="s">
        <v>524</v>
      </c>
      <c r="D143" s="608" t="s">
        <v>1186</v>
      </c>
      <c r="E143" s="609" t="s">
        <v>912</v>
      </c>
      <c r="F143" s="802">
        <v>39053203</v>
      </c>
      <c r="G143" s="804">
        <v>525730</v>
      </c>
      <c r="H143" s="804">
        <v>0</v>
      </c>
      <c r="I143" s="804">
        <v>266205</v>
      </c>
      <c r="J143" s="804">
        <v>0</v>
      </c>
      <c r="K143" s="804">
        <v>266205</v>
      </c>
      <c r="L143" s="804">
        <v>0</v>
      </c>
      <c r="M143" s="804">
        <v>0</v>
      </c>
      <c r="N143" s="804">
        <v>278294</v>
      </c>
      <c r="O143" s="804">
        <v>278294</v>
      </c>
      <c r="P143" s="804">
        <v>0</v>
      </c>
      <c r="Q143" s="804">
        <v>0</v>
      </c>
      <c r="R143" s="804">
        <v>39034434</v>
      </c>
      <c r="S143" s="804">
        <v>0.5</v>
      </c>
      <c r="T143" s="804">
        <v>0.5</v>
      </c>
      <c r="U143" s="804">
        <v>0</v>
      </c>
      <c r="V143" s="804">
        <v>0</v>
      </c>
      <c r="W143" s="804">
        <v>1</v>
      </c>
      <c r="X143" s="804">
        <v>19517217</v>
      </c>
      <c r="Y143" s="804">
        <v>19517217</v>
      </c>
      <c r="Z143" s="804">
        <v>0</v>
      </c>
      <c r="AA143" s="804">
        <v>0</v>
      </c>
      <c r="AB143" s="804">
        <v>39034434</v>
      </c>
      <c r="AC143" s="804">
        <v>0</v>
      </c>
      <c r="AD143" s="804">
        <v>0</v>
      </c>
      <c r="AE143" s="804">
        <v>0</v>
      </c>
      <c r="AF143" s="804">
        <v>0</v>
      </c>
      <c r="AG143" s="804">
        <v>0</v>
      </c>
      <c r="AH143" s="804">
        <v>19517217</v>
      </c>
      <c r="AI143" s="804">
        <v>19517217</v>
      </c>
      <c r="AJ143" s="804">
        <v>0</v>
      </c>
      <c r="AK143" s="804">
        <v>0</v>
      </c>
      <c r="AL143" s="804">
        <v>39034434</v>
      </c>
      <c r="AM143" s="804">
        <v>266205</v>
      </c>
      <c r="AN143" s="804">
        <v>266205</v>
      </c>
      <c r="AO143" s="804">
        <v>0</v>
      </c>
      <c r="AP143" s="804">
        <v>0</v>
      </c>
      <c r="AQ143" s="804">
        <v>278294</v>
      </c>
      <c r="AR143" s="804">
        <v>0</v>
      </c>
      <c r="AS143" s="804">
        <v>278294</v>
      </c>
      <c r="AT143" s="804">
        <v>0</v>
      </c>
      <c r="AU143" s="804">
        <v>0</v>
      </c>
      <c r="AV143" s="804">
        <v>0</v>
      </c>
      <c r="AW143" s="804">
        <v>0</v>
      </c>
      <c r="AX143" s="804">
        <v>0</v>
      </c>
      <c r="AY143" s="804">
        <v>0</v>
      </c>
      <c r="AZ143" s="804">
        <v>0</v>
      </c>
      <c r="BA143" s="804">
        <v>0</v>
      </c>
      <c r="BB143" s="804">
        <v>0</v>
      </c>
      <c r="BC143" s="804">
        <v>0</v>
      </c>
      <c r="BD143" s="804">
        <v>0</v>
      </c>
      <c r="BE143" s="804">
        <v>0</v>
      </c>
      <c r="BF143" s="804">
        <v>0</v>
      </c>
      <c r="BG143" s="804">
        <v>0</v>
      </c>
      <c r="BH143" s="804">
        <v>0</v>
      </c>
      <c r="BI143" s="804">
        <v>0</v>
      </c>
      <c r="BJ143" s="804">
        <v>0.25</v>
      </c>
      <c r="BK143" s="804">
        <v>0.75</v>
      </c>
      <c r="BL143" s="804">
        <v>0</v>
      </c>
      <c r="BM143" s="804">
        <v>0</v>
      </c>
      <c r="BN143" s="804">
        <v>1</v>
      </c>
      <c r="BO143" s="804">
        <v>29105</v>
      </c>
      <c r="BP143" s="804">
        <v>87317</v>
      </c>
      <c r="BQ143" s="804">
        <v>0</v>
      </c>
      <c r="BR143" s="804">
        <v>0</v>
      </c>
      <c r="BS143" s="804">
        <v>116422</v>
      </c>
      <c r="BT143" s="804">
        <v>0</v>
      </c>
      <c r="BU143" s="804">
        <v>1</v>
      </c>
      <c r="BV143" s="804">
        <v>0</v>
      </c>
      <c r="BW143" s="804">
        <v>0</v>
      </c>
      <c r="BX143" s="804">
        <v>1</v>
      </c>
      <c r="BY143" s="804">
        <v>-0.39999999850988388</v>
      </c>
      <c r="BZ143" s="804">
        <v>287683</v>
      </c>
      <c r="CA143" s="804">
        <v>0</v>
      </c>
      <c r="CB143" s="804">
        <v>0</v>
      </c>
      <c r="CC143" s="804">
        <v>287682.60000000149</v>
      </c>
      <c r="CD143" s="804">
        <v>29105</v>
      </c>
      <c r="CE143" s="804">
        <v>375000</v>
      </c>
      <c r="CF143" s="804">
        <v>0</v>
      </c>
      <c r="CG143" s="804">
        <v>0</v>
      </c>
      <c r="CH143" s="804">
        <v>404104.60000000149</v>
      </c>
      <c r="CI143" s="804">
        <v>19546322</v>
      </c>
      <c r="CJ143" s="804">
        <v>20436716</v>
      </c>
      <c r="CK143" s="804">
        <v>0</v>
      </c>
      <c r="CL143" s="804">
        <v>0</v>
      </c>
      <c r="CM143" s="804">
        <v>39983038</v>
      </c>
      <c r="CN143" s="804">
        <v>793407</v>
      </c>
      <c r="CO143" s="804">
        <v>0</v>
      </c>
      <c r="CP143" s="804">
        <v>0</v>
      </c>
      <c r="CQ143" s="804">
        <v>793407</v>
      </c>
      <c r="CR143" s="804">
        <v>2979663</v>
      </c>
      <c r="CS143" s="804">
        <v>0</v>
      </c>
      <c r="CT143" s="804">
        <v>0</v>
      </c>
      <c r="CU143" s="804">
        <v>2979663</v>
      </c>
      <c r="CV143" s="804">
        <v>111621</v>
      </c>
      <c r="CW143" s="804">
        <v>0</v>
      </c>
      <c r="CX143" s="804">
        <v>0</v>
      </c>
      <c r="CY143" s="804">
        <v>111621</v>
      </c>
      <c r="CZ143" s="804">
        <v>15952</v>
      </c>
      <c r="DA143" s="804">
        <v>0</v>
      </c>
      <c r="DB143" s="804">
        <v>0</v>
      </c>
      <c r="DC143" s="804">
        <v>15952</v>
      </c>
      <c r="DD143" s="804">
        <v>331</v>
      </c>
      <c r="DE143" s="804">
        <v>0</v>
      </c>
      <c r="DF143" s="804">
        <v>0</v>
      </c>
      <c r="DG143" s="804">
        <v>331</v>
      </c>
      <c r="DH143" s="804">
        <v>17741</v>
      </c>
      <c r="DI143" s="804">
        <v>0</v>
      </c>
      <c r="DJ143" s="804">
        <v>0</v>
      </c>
      <c r="DK143" s="804">
        <v>17741</v>
      </c>
      <c r="DL143" s="804">
        <v>7482</v>
      </c>
      <c r="DM143" s="804">
        <v>0</v>
      </c>
      <c r="DN143" s="804">
        <v>0</v>
      </c>
      <c r="DO143" s="804">
        <v>7482</v>
      </c>
      <c r="DP143" s="804">
        <v>0</v>
      </c>
      <c r="DQ143" s="804">
        <v>0</v>
      </c>
      <c r="DR143" s="804">
        <v>0</v>
      </c>
      <c r="DS143" s="804">
        <v>0</v>
      </c>
      <c r="DT143" s="804">
        <v>12021</v>
      </c>
      <c r="DU143" s="804">
        <v>0</v>
      </c>
      <c r="DV143" s="804">
        <v>0</v>
      </c>
      <c r="DW143" s="804">
        <v>12021</v>
      </c>
      <c r="DX143" s="804">
        <v>446880</v>
      </c>
      <c r="DY143" s="804">
        <v>0</v>
      </c>
      <c r="DZ143" s="804">
        <v>0</v>
      </c>
      <c r="EA143" s="804">
        <v>446880</v>
      </c>
      <c r="EB143" s="804">
        <v>4385098</v>
      </c>
      <c r="EC143" s="804">
        <v>0</v>
      </c>
      <c r="ED143" s="804">
        <v>0</v>
      </c>
      <c r="EE143" s="804">
        <v>4385098</v>
      </c>
      <c r="EF143" s="604" t="s">
        <v>912</v>
      </c>
      <c r="EG143" s="497" t="s">
        <v>524</v>
      </c>
      <c r="EH143" s="630" t="s">
        <v>551</v>
      </c>
      <c r="EI143" s="118" t="s">
        <v>1794</v>
      </c>
    </row>
    <row r="144" spans="1:139" ht="12.75" x14ac:dyDescent="0.2">
      <c r="A144" s="805">
        <v>137</v>
      </c>
      <c r="B144" s="606" t="s">
        <v>158</v>
      </c>
      <c r="C144" s="607" t="s">
        <v>524</v>
      </c>
      <c r="D144" s="608" t="s">
        <v>1194</v>
      </c>
      <c r="E144" s="609" t="s">
        <v>913</v>
      </c>
      <c r="F144" s="802">
        <v>1542652</v>
      </c>
      <c r="G144" s="804">
        <v>7829</v>
      </c>
      <c r="H144" s="804">
        <v>0</v>
      </c>
      <c r="I144" s="804">
        <v>24286</v>
      </c>
      <c r="J144" s="804">
        <v>0</v>
      </c>
      <c r="K144" s="804">
        <v>24286</v>
      </c>
      <c r="L144" s="804">
        <v>0</v>
      </c>
      <c r="M144" s="804">
        <v>0</v>
      </c>
      <c r="N144" s="804">
        <v>0</v>
      </c>
      <c r="O144" s="804">
        <v>0</v>
      </c>
      <c r="P144" s="804">
        <v>0</v>
      </c>
      <c r="Q144" s="804">
        <v>0</v>
      </c>
      <c r="R144" s="804">
        <v>1526195</v>
      </c>
      <c r="S144" s="804">
        <v>0.5</v>
      </c>
      <c r="T144" s="804">
        <v>0.5</v>
      </c>
      <c r="U144" s="804">
        <v>0</v>
      </c>
      <c r="V144" s="804">
        <v>0</v>
      </c>
      <c r="W144" s="804">
        <v>1</v>
      </c>
      <c r="X144" s="804">
        <v>763097</v>
      </c>
      <c r="Y144" s="804">
        <v>763098</v>
      </c>
      <c r="Z144" s="804">
        <v>0</v>
      </c>
      <c r="AA144" s="804">
        <v>0</v>
      </c>
      <c r="AB144" s="804">
        <v>1526195</v>
      </c>
      <c r="AC144" s="804">
        <v>0</v>
      </c>
      <c r="AD144" s="804">
        <v>0</v>
      </c>
      <c r="AE144" s="804">
        <v>0</v>
      </c>
      <c r="AF144" s="804">
        <v>0</v>
      </c>
      <c r="AG144" s="804">
        <v>0</v>
      </c>
      <c r="AH144" s="804">
        <v>763097</v>
      </c>
      <c r="AI144" s="804">
        <v>763098</v>
      </c>
      <c r="AJ144" s="804">
        <v>0</v>
      </c>
      <c r="AK144" s="804">
        <v>0</v>
      </c>
      <c r="AL144" s="804">
        <v>1526195</v>
      </c>
      <c r="AM144" s="804">
        <v>24286</v>
      </c>
      <c r="AN144" s="804">
        <v>24286</v>
      </c>
      <c r="AO144" s="804">
        <v>0</v>
      </c>
      <c r="AP144" s="804">
        <v>0</v>
      </c>
      <c r="AQ144" s="804">
        <v>0</v>
      </c>
      <c r="AR144" s="804">
        <v>0</v>
      </c>
      <c r="AS144" s="804">
        <v>0</v>
      </c>
      <c r="AT144" s="804">
        <v>0</v>
      </c>
      <c r="AU144" s="804">
        <v>0</v>
      </c>
      <c r="AV144" s="804">
        <v>0</v>
      </c>
      <c r="AW144" s="804">
        <v>0</v>
      </c>
      <c r="AX144" s="804">
        <v>0</v>
      </c>
      <c r="AY144" s="804">
        <v>0</v>
      </c>
      <c r="AZ144" s="804">
        <v>0</v>
      </c>
      <c r="BA144" s="804">
        <v>0</v>
      </c>
      <c r="BB144" s="804">
        <v>0</v>
      </c>
      <c r="BC144" s="804">
        <v>0</v>
      </c>
      <c r="BD144" s="804">
        <v>0</v>
      </c>
      <c r="BE144" s="804">
        <v>0</v>
      </c>
      <c r="BF144" s="804">
        <v>0</v>
      </c>
      <c r="BG144" s="804">
        <v>0</v>
      </c>
      <c r="BH144" s="804">
        <v>0</v>
      </c>
      <c r="BI144" s="804">
        <v>0</v>
      </c>
      <c r="BJ144" s="804">
        <v>0.5</v>
      </c>
      <c r="BK144" s="804">
        <v>0.5</v>
      </c>
      <c r="BL144" s="804">
        <v>0</v>
      </c>
      <c r="BM144" s="804">
        <v>0</v>
      </c>
      <c r="BN144" s="804">
        <v>1</v>
      </c>
      <c r="BO144" s="804">
        <v>24961</v>
      </c>
      <c r="BP144" s="804">
        <v>24962</v>
      </c>
      <c r="BQ144" s="804">
        <v>0</v>
      </c>
      <c r="BR144" s="804">
        <v>0</v>
      </c>
      <c r="BS144" s="804">
        <v>49923</v>
      </c>
      <c r="BT144" s="804">
        <v>0.5</v>
      </c>
      <c r="BU144" s="804">
        <v>0.5</v>
      </c>
      <c r="BV144" s="804">
        <v>0</v>
      </c>
      <c r="BW144" s="804">
        <v>0</v>
      </c>
      <c r="BX144" s="804">
        <v>1</v>
      </c>
      <c r="BY144" s="804">
        <v>5038</v>
      </c>
      <c r="BZ144" s="804">
        <v>5039</v>
      </c>
      <c r="CA144" s="804">
        <v>0</v>
      </c>
      <c r="CB144" s="804">
        <v>0</v>
      </c>
      <c r="CC144" s="804">
        <v>10077</v>
      </c>
      <c r="CD144" s="804">
        <v>29999</v>
      </c>
      <c r="CE144" s="804">
        <v>30001</v>
      </c>
      <c r="CF144" s="804">
        <v>0</v>
      </c>
      <c r="CG144" s="804">
        <v>0</v>
      </c>
      <c r="CH144" s="804">
        <v>60000</v>
      </c>
      <c r="CI144" s="804">
        <v>793096</v>
      </c>
      <c r="CJ144" s="804">
        <v>817385</v>
      </c>
      <c r="CK144" s="804">
        <v>0</v>
      </c>
      <c r="CL144" s="804">
        <v>0</v>
      </c>
      <c r="CM144" s="804">
        <v>1610481</v>
      </c>
      <c r="CN144" s="804">
        <v>30585</v>
      </c>
      <c r="CO144" s="804">
        <v>0</v>
      </c>
      <c r="CP144" s="804">
        <v>0</v>
      </c>
      <c r="CQ144" s="804">
        <v>30585</v>
      </c>
      <c r="CR144" s="804">
        <v>210612</v>
      </c>
      <c r="CS144" s="804">
        <v>0</v>
      </c>
      <c r="CT144" s="804">
        <v>0</v>
      </c>
      <c r="CU144" s="804">
        <v>210612</v>
      </c>
      <c r="CV144" s="804">
        <v>4751</v>
      </c>
      <c r="CW144" s="804">
        <v>0</v>
      </c>
      <c r="CX144" s="804">
        <v>0</v>
      </c>
      <c r="CY144" s="804">
        <v>4751</v>
      </c>
      <c r="CZ144" s="804">
        <v>0</v>
      </c>
      <c r="DA144" s="804">
        <v>0</v>
      </c>
      <c r="DB144" s="804">
        <v>0</v>
      </c>
      <c r="DC144" s="804">
        <v>0</v>
      </c>
      <c r="DD144" s="804">
        <v>1124</v>
      </c>
      <c r="DE144" s="804">
        <v>0</v>
      </c>
      <c r="DF144" s="804">
        <v>0</v>
      </c>
      <c r="DG144" s="804">
        <v>1124</v>
      </c>
      <c r="DH144" s="804">
        <v>0</v>
      </c>
      <c r="DI144" s="804">
        <v>0</v>
      </c>
      <c r="DJ144" s="804">
        <v>0</v>
      </c>
      <c r="DK144" s="804">
        <v>0</v>
      </c>
      <c r="DL144" s="804">
        <v>0</v>
      </c>
      <c r="DM144" s="804">
        <v>0</v>
      </c>
      <c r="DN144" s="804">
        <v>0</v>
      </c>
      <c r="DO144" s="804">
        <v>0</v>
      </c>
      <c r="DP144" s="804">
        <v>0</v>
      </c>
      <c r="DQ144" s="804">
        <v>0</v>
      </c>
      <c r="DR144" s="804">
        <v>0</v>
      </c>
      <c r="DS144" s="804">
        <v>0</v>
      </c>
      <c r="DT144" s="804">
        <v>0</v>
      </c>
      <c r="DU144" s="804">
        <v>0</v>
      </c>
      <c r="DV144" s="804">
        <v>0</v>
      </c>
      <c r="DW144" s="804">
        <v>0</v>
      </c>
      <c r="DX144" s="804">
        <v>31819</v>
      </c>
      <c r="DY144" s="804">
        <v>0</v>
      </c>
      <c r="DZ144" s="804">
        <v>0</v>
      </c>
      <c r="EA144" s="804">
        <v>31819</v>
      </c>
      <c r="EB144" s="804">
        <v>278891</v>
      </c>
      <c r="EC144" s="804">
        <v>0</v>
      </c>
      <c r="ED144" s="804">
        <v>0</v>
      </c>
      <c r="EE144" s="804">
        <v>278891</v>
      </c>
      <c r="EF144" s="604" t="s">
        <v>913</v>
      </c>
      <c r="EG144" s="497" t="s">
        <v>524</v>
      </c>
      <c r="EH144" s="630" t="s">
        <v>551</v>
      </c>
      <c r="EI144" s="118" t="s">
        <v>1795</v>
      </c>
    </row>
    <row r="145" spans="1:139" ht="12.75" x14ac:dyDescent="0.2">
      <c r="A145" s="805">
        <v>138</v>
      </c>
      <c r="B145" s="606" t="s">
        <v>160</v>
      </c>
      <c r="C145" s="607" t="s">
        <v>1196</v>
      </c>
      <c r="D145" s="608" t="s">
        <v>1191</v>
      </c>
      <c r="E145" s="609" t="s">
        <v>159</v>
      </c>
      <c r="F145" s="802">
        <v>288593053</v>
      </c>
      <c r="G145" s="804">
        <v>3560097</v>
      </c>
      <c r="H145" s="804">
        <v>0</v>
      </c>
      <c r="I145" s="804">
        <v>723769</v>
      </c>
      <c r="J145" s="804">
        <v>0</v>
      </c>
      <c r="K145" s="804">
        <v>723769</v>
      </c>
      <c r="L145" s="804">
        <v>0</v>
      </c>
      <c r="M145" s="804">
        <v>0</v>
      </c>
      <c r="N145" s="804">
        <v>79278</v>
      </c>
      <c r="O145" s="804">
        <v>79278</v>
      </c>
      <c r="P145" s="804">
        <v>0</v>
      </c>
      <c r="Q145" s="804">
        <v>0</v>
      </c>
      <c r="R145" s="804">
        <v>291350103</v>
      </c>
      <c r="S145" s="804">
        <v>0.33</v>
      </c>
      <c r="T145" s="804">
        <v>0.3</v>
      </c>
      <c r="U145" s="804">
        <v>0.37</v>
      </c>
      <c r="V145" s="804">
        <v>0</v>
      </c>
      <c r="W145" s="804">
        <v>1</v>
      </c>
      <c r="X145" s="804">
        <v>96145534</v>
      </c>
      <c r="Y145" s="804">
        <v>87405031</v>
      </c>
      <c r="Z145" s="804">
        <v>107799538</v>
      </c>
      <c r="AA145" s="804">
        <v>0</v>
      </c>
      <c r="AB145" s="804">
        <v>291350103</v>
      </c>
      <c r="AC145" s="804">
        <v>0</v>
      </c>
      <c r="AD145" s="804">
        <v>0</v>
      </c>
      <c r="AE145" s="804">
        <v>0</v>
      </c>
      <c r="AF145" s="804">
        <v>0</v>
      </c>
      <c r="AG145" s="804">
        <v>0</v>
      </c>
      <c r="AH145" s="804">
        <v>96145534</v>
      </c>
      <c r="AI145" s="804">
        <v>87405031</v>
      </c>
      <c r="AJ145" s="804">
        <v>107799538</v>
      </c>
      <c r="AK145" s="804">
        <v>0</v>
      </c>
      <c r="AL145" s="804">
        <v>291350103</v>
      </c>
      <c r="AM145" s="804">
        <v>723769</v>
      </c>
      <c r="AN145" s="804">
        <v>723769</v>
      </c>
      <c r="AO145" s="804">
        <v>0</v>
      </c>
      <c r="AP145" s="804">
        <v>0</v>
      </c>
      <c r="AQ145" s="804">
        <v>79278</v>
      </c>
      <c r="AR145" s="804">
        <v>0</v>
      </c>
      <c r="AS145" s="804">
        <v>79278</v>
      </c>
      <c r="AT145" s="804">
        <v>0</v>
      </c>
      <c r="AU145" s="804">
        <v>0</v>
      </c>
      <c r="AV145" s="804">
        <v>0</v>
      </c>
      <c r="AW145" s="804">
        <v>0</v>
      </c>
      <c r="AX145" s="804">
        <v>0</v>
      </c>
      <c r="AY145" s="804">
        <v>0</v>
      </c>
      <c r="AZ145" s="804">
        <v>0</v>
      </c>
      <c r="BA145" s="804">
        <v>0</v>
      </c>
      <c r="BB145" s="804">
        <v>0</v>
      </c>
      <c r="BC145" s="804">
        <v>0</v>
      </c>
      <c r="BD145" s="804">
        <v>0</v>
      </c>
      <c r="BE145" s="804">
        <v>0</v>
      </c>
      <c r="BF145" s="804">
        <v>0</v>
      </c>
      <c r="BG145" s="804">
        <v>0</v>
      </c>
      <c r="BH145" s="804">
        <v>0</v>
      </c>
      <c r="BI145" s="804">
        <v>0</v>
      </c>
      <c r="BJ145" s="804">
        <v>0.25</v>
      </c>
      <c r="BK145" s="804">
        <v>0.48</v>
      </c>
      <c r="BL145" s="804">
        <v>0.27</v>
      </c>
      <c r="BM145" s="804">
        <v>0</v>
      </c>
      <c r="BN145" s="804">
        <v>1</v>
      </c>
      <c r="BO145" s="804">
        <v>951298</v>
      </c>
      <c r="BP145" s="804">
        <v>1826491</v>
      </c>
      <c r="BQ145" s="804">
        <v>1027401</v>
      </c>
      <c r="BR145" s="804">
        <v>0</v>
      </c>
      <c r="BS145" s="804">
        <v>3805190</v>
      </c>
      <c r="BT145" s="804">
        <v>0</v>
      </c>
      <c r="BU145" s="804">
        <v>0.64</v>
      </c>
      <c r="BV145" s="804">
        <v>0.36</v>
      </c>
      <c r="BW145" s="804">
        <v>0</v>
      </c>
      <c r="BX145" s="804">
        <v>1</v>
      </c>
      <c r="BY145" s="804">
        <v>0</v>
      </c>
      <c r="BZ145" s="804">
        <v>4779484</v>
      </c>
      <c r="CA145" s="804">
        <v>2688460</v>
      </c>
      <c r="CB145" s="804">
        <v>0</v>
      </c>
      <c r="CC145" s="804">
        <v>7467944</v>
      </c>
      <c r="CD145" s="804">
        <v>951298</v>
      </c>
      <c r="CE145" s="804">
        <v>6605975</v>
      </c>
      <c r="CF145" s="804">
        <v>3715861</v>
      </c>
      <c r="CG145" s="804">
        <v>0</v>
      </c>
      <c r="CH145" s="804">
        <v>11273134</v>
      </c>
      <c r="CI145" s="804">
        <v>97096832</v>
      </c>
      <c r="CJ145" s="804">
        <v>94814053</v>
      </c>
      <c r="CK145" s="804">
        <v>111515399</v>
      </c>
      <c r="CL145" s="804">
        <v>0</v>
      </c>
      <c r="CM145" s="804">
        <v>303426284</v>
      </c>
      <c r="CN145" s="804">
        <v>3506385</v>
      </c>
      <c r="CO145" s="804">
        <v>4320623</v>
      </c>
      <c r="CP145" s="804">
        <v>0</v>
      </c>
      <c r="CQ145" s="804">
        <v>7827008</v>
      </c>
      <c r="CR145" s="804">
        <v>1708895</v>
      </c>
      <c r="CS145" s="804">
        <v>2107636</v>
      </c>
      <c r="CT145" s="804">
        <v>0</v>
      </c>
      <c r="CU145" s="804">
        <v>3816531</v>
      </c>
      <c r="CV145" s="804">
        <v>150156</v>
      </c>
      <c r="CW145" s="804">
        <v>185192</v>
      </c>
      <c r="CX145" s="804">
        <v>0</v>
      </c>
      <c r="CY145" s="804">
        <v>335348</v>
      </c>
      <c r="CZ145" s="804">
        <v>0</v>
      </c>
      <c r="DA145" s="804">
        <v>0</v>
      </c>
      <c r="DB145" s="804">
        <v>0</v>
      </c>
      <c r="DC145" s="804">
        <v>0</v>
      </c>
      <c r="DD145" s="804">
        <v>0</v>
      </c>
      <c r="DE145" s="804">
        <v>0</v>
      </c>
      <c r="DF145" s="804">
        <v>0</v>
      </c>
      <c r="DG145" s="804">
        <v>0</v>
      </c>
      <c r="DH145" s="804">
        <v>99030</v>
      </c>
      <c r="DI145" s="804">
        <v>122137</v>
      </c>
      <c r="DJ145" s="804">
        <v>0</v>
      </c>
      <c r="DK145" s="804">
        <v>221167</v>
      </c>
      <c r="DL145" s="804">
        <v>44619</v>
      </c>
      <c r="DM145" s="804">
        <v>55031</v>
      </c>
      <c r="DN145" s="804">
        <v>0</v>
      </c>
      <c r="DO145" s="804">
        <v>99650</v>
      </c>
      <c r="DP145" s="804">
        <v>0</v>
      </c>
      <c r="DQ145" s="804">
        <v>0</v>
      </c>
      <c r="DR145" s="804">
        <v>0</v>
      </c>
      <c r="DS145" s="804">
        <v>0</v>
      </c>
      <c r="DT145" s="804">
        <v>0</v>
      </c>
      <c r="DU145" s="804">
        <v>0</v>
      </c>
      <c r="DV145" s="804">
        <v>0</v>
      </c>
      <c r="DW145" s="804">
        <v>0</v>
      </c>
      <c r="DX145" s="804">
        <v>2211452</v>
      </c>
      <c r="DY145" s="804">
        <v>2727458</v>
      </c>
      <c r="DZ145" s="804">
        <v>0</v>
      </c>
      <c r="EA145" s="804">
        <v>4938910</v>
      </c>
      <c r="EB145" s="804">
        <v>7720537</v>
      </c>
      <c r="EC145" s="804">
        <v>9518077</v>
      </c>
      <c r="ED145" s="804">
        <v>0</v>
      </c>
      <c r="EE145" s="804">
        <v>17238614</v>
      </c>
      <c r="EF145" s="604" t="s">
        <v>159</v>
      </c>
      <c r="EG145" s="497" t="s">
        <v>623</v>
      </c>
      <c r="EH145" s="243" t="s">
        <v>523</v>
      </c>
      <c r="EI145" s="118" t="s">
        <v>1796</v>
      </c>
    </row>
    <row r="146" spans="1:139" ht="12.75" x14ac:dyDescent="0.2">
      <c r="A146" s="805">
        <v>139</v>
      </c>
      <c r="B146" s="606" t="s">
        <v>162</v>
      </c>
      <c r="C146" s="607" t="s">
        <v>1196</v>
      </c>
      <c r="D146" s="608" t="s">
        <v>1191</v>
      </c>
      <c r="E146" s="609" t="s">
        <v>161</v>
      </c>
      <c r="F146" s="802">
        <v>344397044</v>
      </c>
      <c r="G146" s="804">
        <v>845233</v>
      </c>
      <c r="H146" s="804">
        <v>0</v>
      </c>
      <c r="I146" s="804">
        <v>633545</v>
      </c>
      <c r="J146" s="804">
        <v>0</v>
      </c>
      <c r="K146" s="804">
        <v>633545</v>
      </c>
      <c r="L146" s="804">
        <v>0</v>
      </c>
      <c r="M146" s="804">
        <v>0</v>
      </c>
      <c r="N146" s="804">
        <v>0</v>
      </c>
      <c r="O146" s="804">
        <v>0</v>
      </c>
      <c r="P146" s="804">
        <v>0</v>
      </c>
      <c r="Q146" s="804">
        <v>0</v>
      </c>
      <c r="R146" s="804">
        <v>344608732</v>
      </c>
      <c r="S146" s="804">
        <v>0.33</v>
      </c>
      <c r="T146" s="804">
        <v>0.3</v>
      </c>
      <c r="U146" s="804">
        <v>0.37</v>
      </c>
      <c r="V146" s="804">
        <v>0</v>
      </c>
      <c r="W146" s="804">
        <v>1</v>
      </c>
      <c r="X146" s="804">
        <v>113720881</v>
      </c>
      <c r="Y146" s="804">
        <v>103382620</v>
      </c>
      <c r="Z146" s="804">
        <v>127505231</v>
      </c>
      <c r="AA146" s="804">
        <v>0</v>
      </c>
      <c r="AB146" s="804">
        <v>344608732</v>
      </c>
      <c r="AC146" s="804">
        <v>0</v>
      </c>
      <c r="AD146" s="804">
        <v>0</v>
      </c>
      <c r="AE146" s="804">
        <v>0</v>
      </c>
      <c r="AF146" s="804">
        <v>0</v>
      </c>
      <c r="AG146" s="804">
        <v>0</v>
      </c>
      <c r="AH146" s="804">
        <v>113720881</v>
      </c>
      <c r="AI146" s="804">
        <v>103382620</v>
      </c>
      <c r="AJ146" s="804">
        <v>127505231</v>
      </c>
      <c r="AK146" s="804">
        <v>0</v>
      </c>
      <c r="AL146" s="804">
        <v>344608732</v>
      </c>
      <c r="AM146" s="804">
        <v>633545</v>
      </c>
      <c r="AN146" s="804">
        <v>633545</v>
      </c>
      <c r="AO146" s="804">
        <v>0</v>
      </c>
      <c r="AP146" s="804">
        <v>0</v>
      </c>
      <c r="AQ146" s="804">
        <v>0</v>
      </c>
      <c r="AR146" s="804">
        <v>0</v>
      </c>
      <c r="AS146" s="804">
        <v>0</v>
      </c>
      <c r="AT146" s="804">
        <v>0</v>
      </c>
      <c r="AU146" s="804">
        <v>0</v>
      </c>
      <c r="AV146" s="804">
        <v>0</v>
      </c>
      <c r="AW146" s="804">
        <v>0</v>
      </c>
      <c r="AX146" s="804">
        <v>0</v>
      </c>
      <c r="AY146" s="804">
        <v>0</v>
      </c>
      <c r="AZ146" s="804">
        <v>0</v>
      </c>
      <c r="BA146" s="804">
        <v>0</v>
      </c>
      <c r="BB146" s="804">
        <v>0</v>
      </c>
      <c r="BC146" s="804">
        <v>0</v>
      </c>
      <c r="BD146" s="804">
        <v>0</v>
      </c>
      <c r="BE146" s="804">
        <v>0</v>
      </c>
      <c r="BF146" s="804">
        <v>0</v>
      </c>
      <c r="BG146" s="804">
        <v>0</v>
      </c>
      <c r="BH146" s="804">
        <v>0</v>
      </c>
      <c r="BI146" s="804">
        <v>0</v>
      </c>
      <c r="BJ146" s="804">
        <v>0.25</v>
      </c>
      <c r="BK146" s="804">
        <v>0.48</v>
      </c>
      <c r="BL146" s="804">
        <v>0.27</v>
      </c>
      <c r="BM146" s="804">
        <v>0</v>
      </c>
      <c r="BN146" s="804">
        <v>1</v>
      </c>
      <c r="BO146" s="804">
        <v>2696191</v>
      </c>
      <c r="BP146" s="804">
        <v>5176687</v>
      </c>
      <c r="BQ146" s="804">
        <v>2911886</v>
      </c>
      <c r="BR146" s="804">
        <v>0</v>
      </c>
      <c r="BS146" s="804">
        <v>10784764</v>
      </c>
      <c r="BT146" s="804">
        <v>0</v>
      </c>
      <c r="BU146" s="804">
        <v>0.64</v>
      </c>
      <c r="BV146" s="804">
        <v>0.36</v>
      </c>
      <c r="BW146" s="804">
        <v>0</v>
      </c>
      <c r="BX146" s="804">
        <v>1</v>
      </c>
      <c r="BY146" s="804">
        <v>0</v>
      </c>
      <c r="BZ146" s="804">
        <v>-1773069</v>
      </c>
      <c r="CA146" s="804">
        <v>-997351</v>
      </c>
      <c r="CB146" s="804">
        <v>0</v>
      </c>
      <c r="CC146" s="804">
        <v>-2770420</v>
      </c>
      <c r="CD146" s="804">
        <v>2696191</v>
      </c>
      <c r="CE146" s="804">
        <v>3403618</v>
      </c>
      <c r="CF146" s="804">
        <v>1914535</v>
      </c>
      <c r="CG146" s="804">
        <v>0</v>
      </c>
      <c r="CH146" s="804">
        <v>8014344</v>
      </c>
      <c r="CI146" s="804">
        <v>116417072</v>
      </c>
      <c r="CJ146" s="804">
        <v>107419783</v>
      </c>
      <c r="CK146" s="804">
        <v>129419766</v>
      </c>
      <c r="CL146" s="804">
        <v>0</v>
      </c>
      <c r="CM146" s="804">
        <v>353256621</v>
      </c>
      <c r="CN146" s="804">
        <v>4143592</v>
      </c>
      <c r="CO146" s="804">
        <v>5110430</v>
      </c>
      <c r="CP146" s="804">
        <v>0</v>
      </c>
      <c r="CQ146" s="804">
        <v>9254022</v>
      </c>
      <c r="CR146" s="804">
        <v>993276</v>
      </c>
      <c r="CS146" s="804">
        <v>1225041</v>
      </c>
      <c r="CT146" s="804">
        <v>0</v>
      </c>
      <c r="CU146" s="804">
        <v>2218317</v>
      </c>
      <c r="CV146" s="804">
        <v>0</v>
      </c>
      <c r="CW146" s="804">
        <v>0</v>
      </c>
      <c r="CX146" s="804">
        <v>0</v>
      </c>
      <c r="CY146" s="804">
        <v>0</v>
      </c>
      <c r="CZ146" s="804">
        <v>0</v>
      </c>
      <c r="DA146" s="804">
        <v>0</v>
      </c>
      <c r="DB146" s="804">
        <v>0</v>
      </c>
      <c r="DC146" s="804">
        <v>0</v>
      </c>
      <c r="DD146" s="804">
        <v>0</v>
      </c>
      <c r="DE146" s="804">
        <v>0</v>
      </c>
      <c r="DF146" s="804">
        <v>0</v>
      </c>
      <c r="DG146" s="804">
        <v>0</v>
      </c>
      <c r="DH146" s="804">
        <v>17164</v>
      </c>
      <c r="DI146" s="804">
        <v>21169</v>
      </c>
      <c r="DJ146" s="804">
        <v>0</v>
      </c>
      <c r="DK146" s="804">
        <v>38333</v>
      </c>
      <c r="DL146" s="804">
        <v>0</v>
      </c>
      <c r="DM146" s="804">
        <v>0</v>
      </c>
      <c r="DN146" s="804">
        <v>0</v>
      </c>
      <c r="DO146" s="804">
        <v>0</v>
      </c>
      <c r="DP146" s="804">
        <v>0</v>
      </c>
      <c r="DQ146" s="804">
        <v>0</v>
      </c>
      <c r="DR146" s="804">
        <v>0</v>
      </c>
      <c r="DS146" s="804">
        <v>0</v>
      </c>
      <c r="DT146" s="804">
        <v>0</v>
      </c>
      <c r="DU146" s="804">
        <v>0</v>
      </c>
      <c r="DV146" s="804">
        <v>0</v>
      </c>
      <c r="DW146" s="804">
        <v>0</v>
      </c>
      <c r="DX146" s="804">
        <v>1846689</v>
      </c>
      <c r="DY146" s="804">
        <v>2277582</v>
      </c>
      <c r="DZ146" s="804">
        <v>0</v>
      </c>
      <c r="EA146" s="804">
        <v>4124271</v>
      </c>
      <c r="EB146" s="804">
        <v>7000721</v>
      </c>
      <c r="EC146" s="804">
        <v>8634222</v>
      </c>
      <c r="ED146" s="804">
        <v>0</v>
      </c>
      <c r="EE146" s="804">
        <v>15634943</v>
      </c>
      <c r="EF146" s="604" t="s">
        <v>161</v>
      </c>
      <c r="EG146" s="497" t="s">
        <v>623</v>
      </c>
      <c r="EH146" s="243" t="s">
        <v>523</v>
      </c>
      <c r="EI146" s="118" t="s">
        <v>1797</v>
      </c>
    </row>
    <row r="147" spans="1:139" ht="12.75" x14ac:dyDescent="0.2">
      <c r="A147" s="805">
        <v>140</v>
      </c>
      <c r="B147" s="606" t="s">
        <v>164</v>
      </c>
      <c r="C147" s="607" t="s">
        <v>1185</v>
      </c>
      <c r="D147" s="608" t="s">
        <v>1188</v>
      </c>
      <c r="E147" s="609" t="s">
        <v>163</v>
      </c>
      <c r="F147" s="802">
        <v>32978113</v>
      </c>
      <c r="G147" s="804">
        <v>0</v>
      </c>
      <c r="H147" s="804">
        <v>24621</v>
      </c>
      <c r="I147" s="804">
        <v>111367</v>
      </c>
      <c r="J147" s="804">
        <v>0</v>
      </c>
      <c r="K147" s="804">
        <v>111367</v>
      </c>
      <c r="L147" s="804">
        <v>0</v>
      </c>
      <c r="M147" s="804">
        <v>0</v>
      </c>
      <c r="N147" s="804">
        <v>348685</v>
      </c>
      <c r="O147" s="804">
        <v>348685</v>
      </c>
      <c r="P147" s="804">
        <v>0</v>
      </c>
      <c r="Q147" s="804">
        <v>0</v>
      </c>
      <c r="R147" s="804">
        <v>32493440</v>
      </c>
      <c r="S147" s="804">
        <v>0.5</v>
      </c>
      <c r="T147" s="804">
        <v>0.4</v>
      </c>
      <c r="U147" s="804">
        <v>0.09</v>
      </c>
      <c r="V147" s="804">
        <v>0.01</v>
      </c>
      <c r="W147" s="804">
        <v>1</v>
      </c>
      <c r="X147" s="804">
        <v>16246720</v>
      </c>
      <c r="Y147" s="804">
        <v>12997376</v>
      </c>
      <c r="Z147" s="804">
        <v>2924410</v>
      </c>
      <c r="AA147" s="804">
        <v>324934</v>
      </c>
      <c r="AB147" s="804">
        <v>32493440</v>
      </c>
      <c r="AC147" s="804">
        <v>0</v>
      </c>
      <c r="AD147" s="804">
        <v>0</v>
      </c>
      <c r="AE147" s="804">
        <v>0</v>
      </c>
      <c r="AF147" s="804">
        <v>0</v>
      </c>
      <c r="AG147" s="804">
        <v>0</v>
      </c>
      <c r="AH147" s="804">
        <v>16246720</v>
      </c>
      <c r="AI147" s="804">
        <v>12997376</v>
      </c>
      <c r="AJ147" s="804">
        <v>2924410</v>
      </c>
      <c r="AK147" s="804">
        <v>324934</v>
      </c>
      <c r="AL147" s="804">
        <v>32493440</v>
      </c>
      <c r="AM147" s="804">
        <v>111367</v>
      </c>
      <c r="AN147" s="804">
        <v>111367</v>
      </c>
      <c r="AO147" s="804">
        <v>0</v>
      </c>
      <c r="AP147" s="804">
        <v>0</v>
      </c>
      <c r="AQ147" s="804">
        <v>348685</v>
      </c>
      <c r="AR147" s="804">
        <v>0</v>
      </c>
      <c r="AS147" s="804">
        <v>348685</v>
      </c>
      <c r="AT147" s="804">
        <v>0</v>
      </c>
      <c r="AU147" s="804">
        <v>0</v>
      </c>
      <c r="AV147" s="804">
        <v>0</v>
      </c>
      <c r="AW147" s="804">
        <v>0</v>
      </c>
      <c r="AX147" s="804">
        <v>0</v>
      </c>
      <c r="AY147" s="804">
        <v>0</v>
      </c>
      <c r="AZ147" s="804">
        <v>0</v>
      </c>
      <c r="BA147" s="804">
        <v>0</v>
      </c>
      <c r="BB147" s="804">
        <v>0</v>
      </c>
      <c r="BC147" s="804">
        <v>0</v>
      </c>
      <c r="BD147" s="804">
        <v>0</v>
      </c>
      <c r="BE147" s="804">
        <v>0</v>
      </c>
      <c r="BF147" s="804">
        <v>0</v>
      </c>
      <c r="BG147" s="804">
        <v>0</v>
      </c>
      <c r="BH147" s="804">
        <v>0</v>
      </c>
      <c r="BI147" s="804">
        <v>0</v>
      </c>
      <c r="BJ147" s="804">
        <v>0.25</v>
      </c>
      <c r="BK147" s="804">
        <v>0.4</v>
      </c>
      <c r="BL147" s="804">
        <v>0.33999999999999997</v>
      </c>
      <c r="BM147" s="804">
        <v>0.01</v>
      </c>
      <c r="BN147" s="804">
        <v>1</v>
      </c>
      <c r="BO147" s="804">
        <v>396907</v>
      </c>
      <c r="BP147" s="804">
        <v>635050</v>
      </c>
      <c r="BQ147" s="804">
        <v>539793</v>
      </c>
      <c r="BR147" s="804">
        <v>15876</v>
      </c>
      <c r="BS147" s="804">
        <v>1587626</v>
      </c>
      <c r="BT147" s="804">
        <v>0.5</v>
      </c>
      <c r="BU147" s="804">
        <v>0.4</v>
      </c>
      <c r="BV147" s="804">
        <v>0.1</v>
      </c>
      <c r="BW147" s="804">
        <v>0</v>
      </c>
      <c r="BX147" s="804">
        <v>1</v>
      </c>
      <c r="BY147" s="804">
        <v>-378807</v>
      </c>
      <c r="BZ147" s="804">
        <v>-303046</v>
      </c>
      <c r="CA147" s="804">
        <v>-75762</v>
      </c>
      <c r="CB147" s="804">
        <v>0</v>
      </c>
      <c r="CC147" s="804">
        <v>-757615</v>
      </c>
      <c r="CD147" s="804">
        <v>18100</v>
      </c>
      <c r="CE147" s="804">
        <v>332004</v>
      </c>
      <c r="CF147" s="804">
        <v>464031</v>
      </c>
      <c r="CG147" s="804">
        <v>15876</v>
      </c>
      <c r="CH147" s="804">
        <v>830011</v>
      </c>
      <c r="CI147" s="804">
        <v>16264820</v>
      </c>
      <c r="CJ147" s="804">
        <v>13789432</v>
      </c>
      <c r="CK147" s="804">
        <v>3388441</v>
      </c>
      <c r="CL147" s="804">
        <v>340810</v>
      </c>
      <c r="CM147" s="804">
        <v>33783503</v>
      </c>
      <c r="CN147" s="804">
        <v>534912</v>
      </c>
      <c r="CO147" s="804">
        <v>117211</v>
      </c>
      <c r="CP147" s="804">
        <v>13023</v>
      </c>
      <c r="CQ147" s="804">
        <v>665146</v>
      </c>
      <c r="CR147" s="804">
        <v>889565</v>
      </c>
      <c r="CS147" s="804">
        <v>200152</v>
      </c>
      <c r="CT147" s="804">
        <v>22239</v>
      </c>
      <c r="CU147" s="804">
        <v>1111956</v>
      </c>
      <c r="CV147" s="804">
        <v>57066</v>
      </c>
      <c r="CW147" s="804">
        <v>12840</v>
      </c>
      <c r="CX147" s="804">
        <v>1427</v>
      </c>
      <c r="CY147" s="804">
        <v>71333</v>
      </c>
      <c r="CZ147" s="804">
        <v>2080</v>
      </c>
      <c r="DA147" s="804">
        <v>468</v>
      </c>
      <c r="DB147" s="804">
        <v>52</v>
      </c>
      <c r="DC147" s="804">
        <v>2600</v>
      </c>
      <c r="DD147" s="804">
        <v>2989</v>
      </c>
      <c r="DE147" s="804">
        <v>672</v>
      </c>
      <c r="DF147" s="804">
        <v>75</v>
      </c>
      <c r="DG147" s="804">
        <v>3736</v>
      </c>
      <c r="DH147" s="804">
        <v>416</v>
      </c>
      <c r="DI147" s="804">
        <v>94</v>
      </c>
      <c r="DJ147" s="804">
        <v>10</v>
      </c>
      <c r="DK147" s="804">
        <v>520</v>
      </c>
      <c r="DL147" s="804">
        <v>999</v>
      </c>
      <c r="DM147" s="804">
        <v>225</v>
      </c>
      <c r="DN147" s="804">
        <v>25</v>
      </c>
      <c r="DO147" s="804">
        <v>1249</v>
      </c>
      <c r="DP147" s="804">
        <v>0</v>
      </c>
      <c r="DQ147" s="804">
        <v>0</v>
      </c>
      <c r="DR147" s="804">
        <v>0</v>
      </c>
      <c r="DS147" s="804">
        <v>0</v>
      </c>
      <c r="DT147" s="804">
        <v>0</v>
      </c>
      <c r="DU147" s="804">
        <v>0</v>
      </c>
      <c r="DV147" s="804">
        <v>0</v>
      </c>
      <c r="DW147" s="804">
        <v>0</v>
      </c>
      <c r="DX147" s="804">
        <v>166502</v>
      </c>
      <c r="DY147" s="804">
        <v>37463</v>
      </c>
      <c r="DZ147" s="804">
        <v>4163</v>
      </c>
      <c r="EA147" s="804">
        <v>208128</v>
      </c>
      <c r="EB147" s="804">
        <v>1654529</v>
      </c>
      <c r="EC147" s="804">
        <v>369125</v>
      </c>
      <c r="ED147" s="804">
        <v>41014</v>
      </c>
      <c r="EE147" s="804">
        <v>2064668</v>
      </c>
      <c r="EF147" s="604" t="s">
        <v>163</v>
      </c>
      <c r="EG147" s="497" t="s">
        <v>600</v>
      </c>
      <c r="EH147" s="630" t="s">
        <v>551</v>
      </c>
      <c r="EI147" s="118" t="s">
        <v>1798</v>
      </c>
    </row>
    <row r="148" spans="1:139" ht="12.75" x14ac:dyDescent="0.2">
      <c r="A148" s="805">
        <v>141</v>
      </c>
      <c r="B148" s="606" t="s">
        <v>166</v>
      </c>
      <c r="C148" s="607" t="s">
        <v>1185</v>
      </c>
      <c r="D148" s="608" t="s">
        <v>1189</v>
      </c>
      <c r="E148" s="609" t="s">
        <v>915</v>
      </c>
      <c r="F148" s="802">
        <v>46649583</v>
      </c>
      <c r="G148" s="804">
        <v>224563</v>
      </c>
      <c r="H148" s="804">
        <v>0</v>
      </c>
      <c r="I148" s="804">
        <v>223431</v>
      </c>
      <c r="J148" s="804">
        <v>0</v>
      </c>
      <c r="K148" s="804">
        <v>223431</v>
      </c>
      <c r="L148" s="804">
        <v>0</v>
      </c>
      <c r="M148" s="804">
        <v>14034</v>
      </c>
      <c r="N148" s="804">
        <v>2640263</v>
      </c>
      <c r="O148" s="804">
        <v>2640263</v>
      </c>
      <c r="P148" s="804">
        <v>0</v>
      </c>
      <c r="Q148" s="804">
        <v>0</v>
      </c>
      <c r="R148" s="804">
        <v>43996418</v>
      </c>
      <c r="S148" s="804">
        <v>0.5</v>
      </c>
      <c r="T148" s="804">
        <v>0.4</v>
      </c>
      <c r="U148" s="804">
        <v>0.1</v>
      </c>
      <c r="V148" s="804">
        <v>0</v>
      </c>
      <c r="W148" s="804">
        <v>1</v>
      </c>
      <c r="X148" s="804">
        <v>21998209</v>
      </c>
      <c r="Y148" s="804">
        <v>17598567</v>
      </c>
      <c r="Z148" s="804">
        <v>4399642</v>
      </c>
      <c r="AA148" s="804">
        <v>0</v>
      </c>
      <c r="AB148" s="804">
        <v>43996418</v>
      </c>
      <c r="AC148" s="804">
        <v>57183</v>
      </c>
      <c r="AD148" s="804">
        <v>0</v>
      </c>
      <c r="AE148" s="804">
        <v>0</v>
      </c>
      <c r="AF148" s="804">
        <v>0</v>
      </c>
      <c r="AG148" s="804">
        <v>57183</v>
      </c>
      <c r="AH148" s="804">
        <v>21941026</v>
      </c>
      <c r="AI148" s="804">
        <v>17598567</v>
      </c>
      <c r="AJ148" s="804">
        <v>4399642</v>
      </c>
      <c r="AK148" s="804">
        <v>0</v>
      </c>
      <c r="AL148" s="804">
        <v>43939235</v>
      </c>
      <c r="AM148" s="804">
        <v>223431</v>
      </c>
      <c r="AN148" s="804">
        <v>223431</v>
      </c>
      <c r="AO148" s="804">
        <v>14034</v>
      </c>
      <c r="AP148" s="804">
        <v>14034</v>
      </c>
      <c r="AQ148" s="804">
        <v>2640263</v>
      </c>
      <c r="AR148" s="804">
        <v>0</v>
      </c>
      <c r="AS148" s="804">
        <v>2640263</v>
      </c>
      <c r="AT148" s="804">
        <v>0</v>
      </c>
      <c r="AU148" s="804">
        <v>0</v>
      </c>
      <c r="AV148" s="804">
        <v>0</v>
      </c>
      <c r="AW148" s="804">
        <v>0</v>
      </c>
      <c r="AX148" s="804">
        <v>57183</v>
      </c>
      <c r="AY148" s="804">
        <v>0</v>
      </c>
      <c r="AZ148" s="804">
        <v>0</v>
      </c>
      <c r="BA148" s="804">
        <v>57183</v>
      </c>
      <c r="BB148" s="804">
        <v>0</v>
      </c>
      <c r="BC148" s="804">
        <v>0</v>
      </c>
      <c r="BD148" s="804">
        <v>0</v>
      </c>
      <c r="BE148" s="804">
        <v>0</v>
      </c>
      <c r="BF148" s="804">
        <v>0</v>
      </c>
      <c r="BG148" s="804">
        <v>0</v>
      </c>
      <c r="BH148" s="804">
        <v>0</v>
      </c>
      <c r="BI148" s="804">
        <v>0</v>
      </c>
      <c r="BJ148" s="804">
        <v>0.25000000000000006</v>
      </c>
      <c r="BK148" s="804">
        <v>0.42499999999999999</v>
      </c>
      <c r="BL148" s="804">
        <v>0.32500000000000001</v>
      </c>
      <c r="BM148" s="804">
        <v>0</v>
      </c>
      <c r="BN148" s="804">
        <v>1</v>
      </c>
      <c r="BO148" s="804">
        <v>438937</v>
      </c>
      <c r="BP148" s="804">
        <v>746193</v>
      </c>
      <c r="BQ148" s="804">
        <v>570618</v>
      </c>
      <c r="BR148" s="804">
        <v>0</v>
      </c>
      <c r="BS148" s="804">
        <v>1755748</v>
      </c>
      <c r="BT148" s="804">
        <v>0.5</v>
      </c>
      <c r="BU148" s="804">
        <v>0.4</v>
      </c>
      <c r="BV148" s="804">
        <v>0.1</v>
      </c>
      <c r="BW148" s="804">
        <v>0</v>
      </c>
      <c r="BX148" s="804">
        <v>1</v>
      </c>
      <c r="BY148" s="804">
        <v>-105683</v>
      </c>
      <c r="BZ148" s="804">
        <v>-84547</v>
      </c>
      <c r="CA148" s="804">
        <v>-21137</v>
      </c>
      <c r="CB148" s="804">
        <v>0</v>
      </c>
      <c r="CC148" s="804">
        <v>-211367</v>
      </c>
      <c r="CD148" s="804">
        <v>333254</v>
      </c>
      <c r="CE148" s="804">
        <v>661646</v>
      </c>
      <c r="CF148" s="804">
        <v>549481</v>
      </c>
      <c r="CG148" s="804">
        <v>0</v>
      </c>
      <c r="CH148" s="804">
        <v>1544381</v>
      </c>
      <c r="CI148" s="804">
        <v>22274280</v>
      </c>
      <c r="CJ148" s="804">
        <v>21195124</v>
      </c>
      <c r="CK148" s="804">
        <v>4949123</v>
      </c>
      <c r="CL148" s="804">
        <v>0</v>
      </c>
      <c r="CM148" s="804">
        <v>48418527</v>
      </c>
      <c r="CN148" s="804">
        <v>814030</v>
      </c>
      <c r="CO148" s="804">
        <v>176338</v>
      </c>
      <c r="CP148" s="804">
        <v>0</v>
      </c>
      <c r="CQ148" s="804">
        <v>990368</v>
      </c>
      <c r="CR148" s="804">
        <v>1830294</v>
      </c>
      <c r="CS148" s="804">
        <v>455584</v>
      </c>
      <c r="CT148" s="804">
        <v>0</v>
      </c>
      <c r="CU148" s="804">
        <v>2285878</v>
      </c>
      <c r="CV148" s="804">
        <v>98188</v>
      </c>
      <c r="CW148" s="804">
        <v>24547</v>
      </c>
      <c r="CX148" s="804">
        <v>0</v>
      </c>
      <c r="CY148" s="804">
        <v>122735</v>
      </c>
      <c r="CZ148" s="804">
        <v>1114</v>
      </c>
      <c r="DA148" s="804">
        <v>278</v>
      </c>
      <c r="DB148" s="804">
        <v>0</v>
      </c>
      <c r="DC148" s="804">
        <v>1392</v>
      </c>
      <c r="DD148" s="804">
        <v>28114</v>
      </c>
      <c r="DE148" s="804">
        <v>7028</v>
      </c>
      <c r="DF148" s="804">
        <v>0</v>
      </c>
      <c r="DG148" s="804">
        <v>35142</v>
      </c>
      <c r="DH148" s="804">
        <v>29230</v>
      </c>
      <c r="DI148" s="804">
        <v>7308</v>
      </c>
      <c r="DJ148" s="804">
        <v>0</v>
      </c>
      <c r="DK148" s="804">
        <v>36538</v>
      </c>
      <c r="DL148" s="804">
        <v>4908</v>
      </c>
      <c r="DM148" s="804">
        <v>1227</v>
      </c>
      <c r="DN148" s="804">
        <v>0</v>
      </c>
      <c r="DO148" s="804">
        <v>6135</v>
      </c>
      <c r="DP148" s="804">
        <v>0</v>
      </c>
      <c r="DQ148" s="804">
        <v>0</v>
      </c>
      <c r="DR148" s="804">
        <v>0</v>
      </c>
      <c r="DS148" s="804">
        <v>0</v>
      </c>
      <c r="DT148" s="804">
        <v>0</v>
      </c>
      <c r="DU148" s="804">
        <v>0</v>
      </c>
      <c r="DV148" s="804">
        <v>0</v>
      </c>
      <c r="DW148" s="804">
        <v>0</v>
      </c>
      <c r="DX148" s="804">
        <v>416032</v>
      </c>
      <c r="DY148" s="804">
        <v>104008</v>
      </c>
      <c r="DZ148" s="804">
        <v>0</v>
      </c>
      <c r="EA148" s="804">
        <v>520040</v>
      </c>
      <c r="EB148" s="804">
        <v>3221910</v>
      </c>
      <c r="EC148" s="804">
        <v>776318</v>
      </c>
      <c r="ED148" s="804">
        <v>0</v>
      </c>
      <c r="EE148" s="804">
        <v>3998228</v>
      </c>
      <c r="EF148" s="604" t="s">
        <v>915</v>
      </c>
      <c r="EG148" s="497" t="s">
        <v>596</v>
      </c>
      <c r="EH148" s="630" t="s">
        <v>551</v>
      </c>
      <c r="EI148" s="118" t="s">
        <v>1799</v>
      </c>
    </row>
    <row r="149" spans="1:139" ht="12.75" x14ac:dyDescent="0.2">
      <c r="A149" s="805">
        <v>142</v>
      </c>
      <c r="B149" s="606" t="s">
        <v>168</v>
      </c>
      <c r="C149" s="607" t="s">
        <v>524</v>
      </c>
      <c r="D149" s="608" t="s">
        <v>1193</v>
      </c>
      <c r="E149" s="609" t="s">
        <v>911</v>
      </c>
      <c r="F149" s="802">
        <v>89256738</v>
      </c>
      <c r="G149" s="804">
        <v>0</v>
      </c>
      <c r="H149" s="804">
        <v>1150327</v>
      </c>
      <c r="I149" s="804">
        <v>355193</v>
      </c>
      <c r="J149" s="804">
        <v>0</v>
      </c>
      <c r="K149" s="804">
        <v>355193</v>
      </c>
      <c r="L149" s="804">
        <v>0</v>
      </c>
      <c r="M149" s="804">
        <v>3315054</v>
      </c>
      <c r="N149" s="804">
        <v>1435091</v>
      </c>
      <c r="O149" s="804">
        <v>1435091</v>
      </c>
      <c r="P149" s="804">
        <v>0</v>
      </c>
      <c r="Q149" s="804">
        <v>0</v>
      </c>
      <c r="R149" s="804">
        <v>83001073</v>
      </c>
      <c r="S149" s="804">
        <v>0.5</v>
      </c>
      <c r="T149" s="804">
        <v>0.49</v>
      </c>
      <c r="U149" s="804">
        <v>0</v>
      </c>
      <c r="V149" s="804">
        <v>0.01</v>
      </c>
      <c r="W149" s="804">
        <v>1</v>
      </c>
      <c r="X149" s="804">
        <v>41500536</v>
      </c>
      <c r="Y149" s="804">
        <v>40670526</v>
      </c>
      <c r="Z149" s="804">
        <v>0</v>
      </c>
      <c r="AA149" s="804">
        <v>830011</v>
      </c>
      <c r="AB149" s="804">
        <v>83001073</v>
      </c>
      <c r="AC149" s="804">
        <v>83928</v>
      </c>
      <c r="AD149" s="804">
        <v>0</v>
      </c>
      <c r="AE149" s="804">
        <v>0</v>
      </c>
      <c r="AF149" s="804">
        <v>0</v>
      </c>
      <c r="AG149" s="804">
        <v>83928</v>
      </c>
      <c r="AH149" s="804">
        <v>41416608</v>
      </c>
      <c r="AI149" s="804">
        <v>40670526</v>
      </c>
      <c r="AJ149" s="804">
        <v>0</v>
      </c>
      <c r="AK149" s="804">
        <v>830011</v>
      </c>
      <c r="AL149" s="804">
        <v>82917145</v>
      </c>
      <c r="AM149" s="804">
        <v>355193</v>
      </c>
      <c r="AN149" s="804">
        <v>355193</v>
      </c>
      <c r="AO149" s="804">
        <v>3315054</v>
      </c>
      <c r="AP149" s="804">
        <v>3315054</v>
      </c>
      <c r="AQ149" s="804">
        <v>1435091</v>
      </c>
      <c r="AR149" s="804">
        <v>0</v>
      </c>
      <c r="AS149" s="804">
        <v>1435091</v>
      </c>
      <c r="AT149" s="804">
        <v>0</v>
      </c>
      <c r="AU149" s="804">
        <v>0</v>
      </c>
      <c r="AV149" s="804">
        <v>0</v>
      </c>
      <c r="AW149" s="804">
        <v>0</v>
      </c>
      <c r="AX149" s="804">
        <v>83928</v>
      </c>
      <c r="AY149" s="804">
        <v>0</v>
      </c>
      <c r="AZ149" s="804">
        <v>0</v>
      </c>
      <c r="BA149" s="804">
        <v>83928</v>
      </c>
      <c r="BB149" s="804">
        <v>0</v>
      </c>
      <c r="BC149" s="804">
        <v>0</v>
      </c>
      <c r="BD149" s="804">
        <v>0</v>
      </c>
      <c r="BE149" s="804">
        <v>0</v>
      </c>
      <c r="BF149" s="804">
        <v>0</v>
      </c>
      <c r="BG149" s="804">
        <v>0</v>
      </c>
      <c r="BH149" s="804">
        <v>0</v>
      </c>
      <c r="BI149" s="804">
        <v>0</v>
      </c>
      <c r="BJ149" s="804">
        <v>0.5</v>
      </c>
      <c r="BK149" s="804">
        <v>0.49</v>
      </c>
      <c r="BL149" s="804">
        <v>0</v>
      </c>
      <c r="BM149" s="804">
        <v>0.01</v>
      </c>
      <c r="BN149" s="804">
        <v>1</v>
      </c>
      <c r="BO149" s="804">
        <v>-239503</v>
      </c>
      <c r="BP149" s="804">
        <v>-234713</v>
      </c>
      <c r="BQ149" s="804">
        <v>0</v>
      </c>
      <c r="BR149" s="804">
        <v>-4790</v>
      </c>
      <c r="BS149" s="804">
        <v>-479006</v>
      </c>
      <c r="BT149" s="804">
        <v>0.5</v>
      </c>
      <c r="BU149" s="804">
        <v>0.49</v>
      </c>
      <c r="BV149" s="804">
        <v>0</v>
      </c>
      <c r="BW149" s="804">
        <v>0.01</v>
      </c>
      <c r="BX149" s="804">
        <v>1</v>
      </c>
      <c r="BY149" s="804">
        <v>-5484084</v>
      </c>
      <c r="BZ149" s="804">
        <v>-5374403</v>
      </c>
      <c r="CA149" s="804">
        <v>0</v>
      </c>
      <c r="CB149" s="804">
        <v>-109682</v>
      </c>
      <c r="CC149" s="804">
        <v>-10968169</v>
      </c>
      <c r="CD149" s="804">
        <v>-5723587</v>
      </c>
      <c r="CE149" s="804">
        <v>-5609116</v>
      </c>
      <c r="CF149" s="804">
        <v>0</v>
      </c>
      <c r="CG149" s="804">
        <v>-114472</v>
      </c>
      <c r="CH149" s="804">
        <v>-11447175</v>
      </c>
      <c r="CI149" s="804">
        <v>35693021</v>
      </c>
      <c r="CJ149" s="804">
        <v>40250676</v>
      </c>
      <c r="CK149" s="804">
        <v>0</v>
      </c>
      <c r="CL149" s="804">
        <v>715539</v>
      </c>
      <c r="CM149" s="804">
        <v>76659236</v>
      </c>
      <c r="CN149" s="804">
        <v>1823832</v>
      </c>
      <c r="CO149" s="804">
        <v>0</v>
      </c>
      <c r="CP149" s="804">
        <v>33267</v>
      </c>
      <c r="CQ149" s="804">
        <v>1857099</v>
      </c>
      <c r="CR149" s="804">
        <v>3319419</v>
      </c>
      <c r="CS149" s="804">
        <v>0</v>
      </c>
      <c r="CT149" s="804">
        <v>67743</v>
      </c>
      <c r="CU149" s="804">
        <v>3387162</v>
      </c>
      <c r="CV149" s="804">
        <v>213599</v>
      </c>
      <c r="CW149" s="804">
        <v>0</v>
      </c>
      <c r="CX149" s="804">
        <v>4295</v>
      </c>
      <c r="CY149" s="804">
        <v>217894</v>
      </c>
      <c r="CZ149" s="804">
        <v>0</v>
      </c>
      <c r="DA149" s="804">
        <v>0</v>
      </c>
      <c r="DB149" s="804">
        <v>0</v>
      </c>
      <c r="DC149" s="804">
        <v>0</v>
      </c>
      <c r="DD149" s="804">
        <v>0</v>
      </c>
      <c r="DE149" s="804">
        <v>0</v>
      </c>
      <c r="DF149" s="804">
        <v>0</v>
      </c>
      <c r="DG149" s="804">
        <v>0</v>
      </c>
      <c r="DH149" s="804">
        <v>10104</v>
      </c>
      <c r="DI149" s="804">
        <v>0</v>
      </c>
      <c r="DJ149" s="804">
        <v>206</v>
      </c>
      <c r="DK149" s="804">
        <v>10310</v>
      </c>
      <c r="DL149" s="804">
        <v>4481</v>
      </c>
      <c r="DM149" s="804">
        <v>0</v>
      </c>
      <c r="DN149" s="804">
        <v>91</v>
      </c>
      <c r="DO149" s="804">
        <v>4572</v>
      </c>
      <c r="DP149" s="804">
        <v>0</v>
      </c>
      <c r="DQ149" s="804">
        <v>0</v>
      </c>
      <c r="DR149" s="804">
        <v>0</v>
      </c>
      <c r="DS149" s="804">
        <v>0</v>
      </c>
      <c r="DT149" s="804">
        <v>0</v>
      </c>
      <c r="DU149" s="804">
        <v>0</v>
      </c>
      <c r="DV149" s="804">
        <v>0</v>
      </c>
      <c r="DW149" s="804">
        <v>0</v>
      </c>
      <c r="DX149" s="804">
        <v>917351</v>
      </c>
      <c r="DY149" s="804">
        <v>0</v>
      </c>
      <c r="DZ149" s="804">
        <v>18721</v>
      </c>
      <c r="EA149" s="804">
        <v>936072</v>
      </c>
      <c r="EB149" s="804">
        <v>6288786</v>
      </c>
      <c r="EC149" s="804">
        <v>0</v>
      </c>
      <c r="ED149" s="804">
        <v>124323</v>
      </c>
      <c r="EE149" s="804">
        <v>6413109</v>
      </c>
      <c r="EF149" s="604" t="s">
        <v>911</v>
      </c>
      <c r="EG149" s="497" t="s">
        <v>524</v>
      </c>
      <c r="EH149" s="630" t="s">
        <v>581</v>
      </c>
      <c r="EI149" s="118" t="s">
        <v>1800</v>
      </c>
    </row>
    <row r="150" spans="1:139" ht="12.75" x14ac:dyDescent="0.2">
      <c r="A150" s="805">
        <v>143</v>
      </c>
      <c r="B150" s="606" t="s">
        <v>170</v>
      </c>
      <c r="C150" s="607" t="s">
        <v>1190</v>
      </c>
      <c r="D150" s="608" t="s">
        <v>1191</v>
      </c>
      <c r="E150" s="609" t="s">
        <v>169</v>
      </c>
      <c r="F150" s="802">
        <v>86305000</v>
      </c>
      <c r="G150" s="804">
        <v>103000</v>
      </c>
      <c r="H150" s="804">
        <v>0</v>
      </c>
      <c r="I150" s="804">
        <v>234417</v>
      </c>
      <c r="J150" s="804">
        <v>0</v>
      </c>
      <c r="K150" s="804">
        <v>234417</v>
      </c>
      <c r="L150" s="804">
        <v>0</v>
      </c>
      <c r="M150" s="804">
        <v>0</v>
      </c>
      <c r="N150" s="804">
        <v>0</v>
      </c>
      <c r="O150" s="804">
        <v>0</v>
      </c>
      <c r="P150" s="804">
        <v>0</v>
      </c>
      <c r="Q150" s="804">
        <v>0</v>
      </c>
      <c r="R150" s="804">
        <v>86173583</v>
      </c>
      <c r="S150" s="804">
        <v>0.33</v>
      </c>
      <c r="T150" s="804">
        <v>0.3</v>
      </c>
      <c r="U150" s="804">
        <v>0.37</v>
      </c>
      <c r="V150" s="804">
        <v>0</v>
      </c>
      <c r="W150" s="804">
        <v>1</v>
      </c>
      <c r="X150" s="804">
        <v>28437282</v>
      </c>
      <c r="Y150" s="804">
        <v>25852075</v>
      </c>
      <c r="Z150" s="804">
        <v>31884226</v>
      </c>
      <c r="AA150" s="804">
        <v>0</v>
      </c>
      <c r="AB150" s="804">
        <v>86173583</v>
      </c>
      <c r="AC150" s="804">
        <v>0</v>
      </c>
      <c r="AD150" s="804">
        <v>0</v>
      </c>
      <c r="AE150" s="804">
        <v>0</v>
      </c>
      <c r="AF150" s="804">
        <v>0</v>
      </c>
      <c r="AG150" s="804">
        <v>0</v>
      </c>
      <c r="AH150" s="804">
        <v>28437282</v>
      </c>
      <c r="AI150" s="804">
        <v>25852075</v>
      </c>
      <c r="AJ150" s="804">
        <v>31884226</v>
      </c>
      <c r="AK150" s="804">
        <v>0</v>
      </c>
      <c r="AL150" s="804">
        <v>86173583</v>
      </c>
      <c r="AM150" s="804">
        <v>234417</v>
      </c>
      <c r="AN150" s="804">
        <v>234417</v>
      </c>
      <c r="AO150" s="804">
        <v>0</v>
      </c>
      <c r="AP150" s="804">
        <v>0</v>
      </c>
      <c r="AQ150" s="804">
        <v>0</v>
      </c>
      <c r="AR150" s="804">
        <v>0</v>
      </c>
      <c r="AS150" s="804">
        <v>0</v>
      </c>
      <c r="AT150" s="804">
        <v>0</v>
      </c>
      <c r="AU150" s="804">
        <v>0</v>
      </c>
      <c r="AV150" s="804">
        <v>0</v>
      </c>
      <c r="AW150" s="804">
        <v>0</v>
      </c>
      <c r="AX150" s="804">
        <v>0</v>
      </c>
      <c r="AY150" s="804">
        <v>0</v>
      </c>
      <c r="AZ150" s="804">
        <v>0</v>
      </c>
      <c r="BA150" s="804">
        <v>0</v>
      </c>
      <c r="BB150" s="804">
        <v>0</v>
      </c>
      <c r="BC150" s="804">
        <v>0</v>
      </c>
      <c r="BD150" s="804">
        <v>0</v>
      </c>
      <c r="BE150" s="804">
        <v>0</v>
      </c>
      <c r="BF150" s="804">
        <v>0</v>
      </c>
      <c r="BG150" s="804">
        <v>0</v>
      </c>
      <c r="BH150" s="804">
        <v>0</v>
      </c>
      <c r="BI150" s="804">
        <v>0</v>
      </c>
      <c r="BJ150" s="804">
        <v>0.25</v>
      </c>
      <c r="BK150" s="804">
        <v>0.48</v>
      </c>
      <c r="BL150" s="804">
        <v>0.27</v>
      </c>
      <c r="BM150" s="804">
        <v>0</v>
      </c>
      <c r="BN150" s="804">
        <v>1</v>
      </c>
      <c r="BO150" s="804">
        <v>-566925.00000000559</v>
      </c>
      <c r="BP150" s="804">
        <v>-1088495</v>
      </c>
      <c r="BQ150" s="804">
        <v>-612278</v>
      </c>
      <c r="BR150" s="804">
        <v>0</v>
      </c>
      <c r="BS150" s="804">
        <v>-2267698.0000000056</v>
      </c>
      <c r="BT150" s="804">
        <v>0</v>
      </c>
      <c r="BU150" s="804">
        <v>0.64</v>
      </c>
      <c r="BV150" s="804">
        <v>0.36</v>
      </c>
      <c r="BW150" s="804">
        <v>0</v>
      </c>
      <c r="BX150" s="804">
        <v>1</v>
      </c>
      <c r="BY150" s="804">
        <v>9.999999962747097E-2</v>
      </c>
      <c r="BZ150" s="804">
        <v>-515919</v>
      </c>
      <c r="CA150" s="804">
        <v>-290204</v>
      </c>
      <c r="CB150" s="804">
        <v>0</v>
      </c>
      <c r="CC150" s="804">
        <v>-806122.90000000037</v>
      </c>
      <c r="CD150" s="804">
        <v>-566925</v>
      </c>
      <c r="CE150" s="804">
        <v>-1604414</v>
      </c>
      <c r="CF150" s="804">
        <v>-902482</v>
      </c>
      <c r="CG150" s="804">
        <v>0</v>
      </c>
      <c r="CH150" s="804">
        <v>-3073820.900000006</v>
      </c>
      <c r="CI150" s="804">
        <v>27870357</v>
      </c>
      <c r="CJ150" s="804">
        <v>24482078</v>
      </c>
      <c r="CK150" s="804">
        <v>30981744</v>
      </c>
      <c r="CL150" s="804">
        <v>0</v>
      </c>
      <c r="CM150" s="804">
        <v>83334179</v>
      </c>
      <c r="CN150" s="804">
        <v>1036155</v>
      </c>
      <c r="CO150" s="804">
        <v>1277925</v>
      </c>
      <c r="CP150" s="804">
        <v>0</v>
      </c>
      <c r="CQ150" s="804">
        <v>2314080</v>
      </c>
      <c r="CR150" s="804">
        <v>997670</v>
      </c>
      <c r="CS150" s="804">
        <v>1230460</v>
      </c>
      <c r="CT150" s="804">
        <v>0</v>
      </c>
      <c r="CU150" s="804">
        <v>2228130</v>
      </c>
      <c r="CV150" s="804">
        <v>73440</v>
      </c>
      <c r="CW150" s="804">
        <v>90575</v>
      </c>
      <c r="CX150" s="804">
        <v>0</v>
      </c>
      <c r="CY150" s="804">
        <v>164015</v>
      </c>
      <c r="CZ150" s="804">
        <v>3432</v>
      </c>
      <c r="DA150" s="804">
        <v>4233</v>
      </c>
      <c r="DB150" s="804">
        <v>0</v>
      </c>
      <c r="DC150" s="804">
        <v>7665</v>
      </c>
      <c r="DD150" s="804">
        <v>0</v>
      </c>
      <c r="DE150" s="804">
        <v>0</v>
      </c>
      <c r="DF150" s="804">
        <v>0</v>
      </c>
      <c r="DG150" s="804">
        <v>0</v>
      </c>
      <c r="DH150" s="804">
        <v>6865</v>
      </c>
      <c r="DI150" s="804">
        <v>8466</v>
      </c>
      <c r="DJ150" s="804">
        <v>0</v>
      </c>
      <c r="DK150" s="804">
        <v>15331</v>
      </c>
      <c r="DL150" s="804">
        <v>3744</v>
      </c>
      <c r="DM150" s="804">
        <v>4618</v>
      </c>
      <c r="DN150" s="804">
        <v>0</v>
      </c>
      <c r="DO150" s="804">
        <v>8362</v>
      </c>
      <c r="DP150" s="804">
        <v>0</v>
      </c>
      <c r="DQ150" s="804">
        <v>0</v>
      </c>
      <c r="DR150" s="804">
        <v>0</v>
      </c>
      <c r="DS150" s="804">
        <v>0</v>
      </c>
      <c r="DT150" s="804">
        <v>0</v>
      </c>
      <c r="DU150" s="804">
        <v>0</v>
      </c>
      <c r="DV150" s="804">
        <v>0</v>
      </c>
      <c r="DW150" s="804">
        <v>0</v>
      </c>
      <c r="DX150" s="804">
        <v>644642</v>
      </c>
      <c r="DY150" s="804">
        <v>795058</v>
      </c>
      <c r="DZ150" s="804">
        <v>0</v>
      </c>
      <c r="EA150" s="804">
        <v>1439700</v>
      </c>
      <c r="EB150" s="804">
        <v>2765948</v>
      </c>
      <c r="EC150" s="804">
        <v>3411335</v>
      </c>
      <c r="ED150" s="804">
        <v>0</v>
      </c>
      <c r="EE150" s="804">
        <v>6177283</v>
      </c>
      <c r="EF150" s="604" t="s">
        <v>169</v>
      </c>
      <c r="EG150" s="497" t="s">
        <v>623</v>
      </c>
      <c r="EH150" s="243" t="s">
        <v>523</v>
      </c>
      <c r="EI150" s="118" t="s">
        <v>1801</v>
      </c>
    </row>
    <row r="151" spans="1:139" ht="14.25" x14ac:dyDescent="0.2">
      <c r="A151" s="805">
        <v>144</v>
      </c>
      <c r="B151" s="606" t="s">
        <v>172</v>
      </c>
      <c r="C151" s="607" t="s">
        <v>1192</v>
      </c>
      <c r="D151" s="608" t="s">
        <v>1193</v>
      </c>
      <c r="E151" s="609" t="s">
        <v>1980</v>
      </c>
      <c r="F151" s="802">
        <v>106323441</v>
      </c>
      <c r="G151" s="804">
        <v>0</v>
      </c>
      <c r="H151" s="804">
        <v>235858</v>
      </c>
      <c r="I151" s="804">
        <v>585676</v>
      </c>
      <c r="J151" s="804">
        <v>0</v>
      </c>
      <c r="K151" s="804">
        <v>585676</v>
      </c>
      <c r="L151" s="804">
        <v>0</v>
      </c>
      <c r="M151" s="804">
        <v>304170</v>
      </c>
      <c r="N151" s="804">
        <v>0</v>
      </c>
      <c r="O151" s="804">
        <v>0</v>
      </c>
      <c r="P151" s="804">
        <v>0</v>
      </c>
      <c r="Q151" s="804">
        <v>0</v>
      </c>
      <c r="R151" s="804">
        <v>105197737</v>
      </c>
      <c r="S151" s="804">
        <v>0.5</v>
      </c>
      <c r="T151" s="804">
        <v>0.49</v>
      </c>
      <c r="U151" s="804">
        <v>0</v>
      </c>
      <c r="V151" s="804">
        <v>0.01</v>
      </c>
      <c r="W151" s="804">
        <v>1</v>
      </c>
      <c r="X151" s="804">
        <v>52598869</v>
      </c>
      <c r="Y151" s="804">
        <v>51546891</v>
      </c>
      <c r="Z151" s="804">
        <v>0</v>
      </c>
      <c r="AA151" s="804">
        <v>1051977</v>
      </c>
      <c r="AB151" s="804">
        <v>105197737</v>
      </c>
      <c r="AC151" s="804">
        <v>157655</v>
      </c>
      <c r="AD151" s="804">
        <v>0</v>
      </c>
      <c r="AE151" s="804">
        <v>0</v>
      </c>
      <c r="AF151" s="804">
        <v>0</v>
      </c>
      <c r="AG151" s="804">
        <v>157655</v>
      </c>
      <c r="AH151" s="804">
        <v>52441214</v>
      </c>
      <c r="AI151" s="804">
        <v>51546891</v>
      </c>
      <c r="AJ151" s="804">
        <v>0</v>
      </c>
      <c r="AK151" s="804">
        <v>1051977</v>
      </c>
      <c r="AL151" s="804">
        <v>105040082</v>
      </c>
      <c r="AM151" s="804">
        <v>585676</v>
      </c>
      <c r="AN151" s="804">
        <v>585676</v>
      </c>
      <c r="AO151" s="804">
        <v>304170</v>
      </c>
      <c r="AP151" s="804">
        <v>304170</v>
      </c>
      <c r="AQ151" s="804">
        <v>0</v>
      </c>
      <c r="AR151" s="804">
        <v>0</v>
      </c>
      <c r="AS151" s="804">
        <v>0</v>
      </c>
      <c r="AT151" s="804">
        <v>0</v>
      </c>
      <c r="AU151" s="804">
        <v>0</v>
      </c>
      <c r="AV151" s="804">
        <v>0</v>
      </c>
      <c r="AW151" s="804">
        <v>0</v>
      </c>
      <c r="AX151" s="804">
        <v>157655</v>
      </c>
      <c r="AY151" s="804">
        <v>0</v>
      </c>
      <c r="AZ151" s="804">
        <v>0</v>
      </c>
      <c r="BA151" s="804">
        <v>157655</v>
      </c>
      <c r="BB151" s="804">
        <v>0</v>
      </c>
      <c r="BC151" s="804">
        <v>0</v>
      </c>
      <c r="BD151" s="804">
        <v>0</v>
      </c>
      <c r="BE151" s="804">
        <v>0</v>
      </c>
      <c r="BF151" s="804">
        <v>0</v>
      </c>
      <c r="BG151" s="804">
        <v>0</v>
      </c>
      <c r="BH151" s="804">
        <v>0</v>
      </c>
      <c r="BI151" s="804">
        <v>0</v>
      </c>
      <c r="BJ151" s="804">
        <v>0.25</v>
      </c>
      <c r="BK151" s="804">
        <v>0.74</v>
      </c>
      <c r="BL151" s="804">
        <v>0</v>
      </c>
      <c r="BM151" s="804">
        <v>0.01</v>
      </c>
      <c r="BN151" s="804">
        <v>1</v>
      </c>
      <c r="BO151" s="804">
        <v>540646</v>
      </c>
      <c r="BP151" s="804">
        <v>1600314</v>
      </c>
      <c r="BQ151" s="804">
        <v>0</v>
      </c>
      <c r="BR151" s="804">
        <v>21626</v>
      </c>
      <c r="BS151" s="804">
        <v>2162586</v>
      </c>
      <c r="BT151" s="804">
        <v>0</v>
      </c>
      <c r="BU151" s="804">
        <v>0.99</v>
      </c>
      <c r="BV151" s="804">
        <v>0</v>
      </c>
      <c r="BW151" s="804">
        <v>0.01</v>
      </c>
      <c r="BX151" s="804">
        <v>1</v>
      </c>
      <c r="BY151" s="804">
        <v>-0.12188899517059326</v>
      </c>
      <c r="BZ151" s="804">
        <v>1777014</v>
      </c>
      <c r="CA151" s="804">
        <v>0</v>
      </c>
      <c r="CB151" s="804">
        <v>17950</v>
      </c>
      <c r="CC151" s="804">
        <v>1794963.8781110048</v>
      </c>
      <c r="CD151" s="804">
        <v>540646</v>
      </c>
      <c r="CE151" s="804">
        <v>3377328</v>
      </c>
      <c r="CF151" s="804">
        <v>0</v>
      </c>
      <c r="CG151" s="804">
        <v>39576</v>
      </c>
      <c r="CH151" s="804">
        <v>3957549.8781110048</v>
      </c>
      <c r="CI151" s="804">
        <v>52981860</v>
      </c>
      <c r="CJ151" s="804">
        <v>55971720</v>
      </c>
      <c r="CK151" s="804">
        <v>0</v>
      </c>
      <c r="CL151" s="804">
        <v>1091553</v>
      </c>
      <c r="CM151" s="804">
        <v>110045133</v>
      </c>
      <c r="CN151" s="804">
        <v>2084518</v>
      </c>
      <c r="CO151" s="804">
        <v>0</v>
      </c>
      <c r="CP151" s="804">
        <v>42163</v>
      </c>
      <c r="CQ151" s="804">
        <v>2126681</v>
      </c>
      <c r="CR151" s="804">
        <v>6921229</v>
      </c>
      <c r="CS151" s="804">
        <v>0</v>
      </c>
      <c r="CT151" s="804">
        <v>141250</v>
      </c>
      <c r="CU151" s="804">
        <v>7062479</v>
      </c>
      <c r="CV151" s="804">
        <v>257496</v>
      </c>
      <c r="CW151" s="804">
        <v>0</v>
      </c>
      <c r="CX151" s="804">
        <v>5255</v>
      </c>
      <c r="CY151" s="804">
        <v>262751</v>
      </c>
      <c r="CZ151" s="804">
        <v>31221</v>
      </c>
      <c r="DA151" s="804">
        <v>0</v>
      </c>
      <c r="DB151" s="804">
        <v>637</v>
      </c>
      <c r="DC151" s="804">
        <v>31858</v>
      </c>
      <c r="DD151" s="804">
        <v>0</v>
      </c>
      <c r="DE151" s="804">
        <v>0</v>
      </c>
      <c r="DF151" s="804">
        <v>0</v>
      </c>
      <c r="DG151" s="804">
        <v>0</v>
      </c>
      <c r="DH151" s="804">
        <v>33443</v>
      </c>
      <c r="DI151" s="804">
        <v>0</v>
      </c>
      <c r="DJ151" s="804">
        <v>682</v>
      </c>
      <c r="DK151" s="804">
        <v>34125</v>
      </c>
      <c r="DL151" s="804">
        <v>8155</v>
      </c>
      <c r="DM151" s="804">
        <v>0</v>
      </c>
      <c r="DN151" s="804">
        <v>166</v>
      </c>
      <c r="DO151" s="804">
        <v>8321</v>
      </c>
      <c r="DP151" s="804">
        <v>0</v>
      </c>
      <c r="DQ151" s="804">
        <v>0</v>
      </c>
      <c r="DR151" s="804">
        <v>0</v>
      </c>
      <c r="DS151" s="804">
        <v>0</v>
      </c>
      <c r="DT151" s="804">
        <v>0</v>
      </c>
      <c r="DU151" s="804">
        <v>0</v>
      </c>
      <c r="DV151" s="804">
        <v>0</v>
      </c>
      <c r="DW151" s="804">
        <v>0</v>
      </c>
      <c r="DX151" s="804">
        <v>1219018</v>
      </c>
      <c r="DY151" s="804">
        <v>0</v>
      </c>
      <c r="DZ151" s="804">
        <v>24878</v>
      </c>
      <c r="EA151" s="804">
        <v>1243896</v>
      </c>
      <c r="EB151" s="804">
        <v>10555080</v>
      </c>
      <c r="EC151" s="804">
        <v>0</v>
      </c>
      <c r="ED151" s="804">
        <v>215031</v>
      </c>
      <c r="EE151" s="804">
        <v>10770111</v>
      </c>
      <c r="EF151" s="604" t="s">
        <v>171</v>
      </c>
      <c r="EG151" s="497" t="s">
        <v>616</v>
      </c>
      <c r="EH151" s="630" t="s">
        <v>622</v>
      </c>
      <c r="EI151" s="118" t="s">
        <v>1802</v>
      </c>
    </row>
    <row r="152" spans="1:139" ht="12.75" x14ac:dyDescent="0.2">
      <c r="A152" s="805">
        <v>145</v>
      </c>
      <c r="B152" s="606" t="s">
        <v>174</v>
      </c>
      <c r="C152" s="607" t="s">
        <v>1192</v>
      </c>
      <c r="D152" s="608" t="s">
        <v>1187</v>
      </c>
      <c r="E152" s="609" t="s">
        <v>173</v>
      </c>
      <c r="F152" s="802">
        <v>47175163</v>
      </c>
      <c r="G152" s="804">
        <v>0</v>
      </c>
      <c r="H152" s="804">
        <v>94598</v>
      </c>
      <c r="I152" s="804">
        <v>134565</v>
      </c>
      <c r="J152" s="804">
        <v>0</v>
      </c>
      <c r="K152" s="804">
        <v>134565</v>
      </c>
      <c r="L152" s="804">
        <v>0</v>
      </c>
      <c r="M152" s="804">
        <v>0</v>
      </c>
      <c r="N152" s="804">
        <v>0</v>
      </c>
      <c r="O152" s="804">
        <v>0</v>
      </c>
      <c r="P152" s="804">
        <v>0</v>
      </c>
      <c r="Q152" s="804">
        <v>0</v>
      </c>
      <c r="R152" s="804">
        <v>46946000</v>
      </c>
      <c r="S152" s="804">
        <v>0</v>
      </c>
      <c r="T152" s="804">
        <v>0.99</v>
      </c>
      <c r="U152" s="804">
        <v>0</v>
      </c>
      <c r="V152" s="804">
        <v>0.01</v>
      </c>
      <c r="W152" s="804">
        <v>1</v>
      </c>
      <c r="X152" s="804">
        <v>0</v>
      </c>
      <c r="Y152" s="804">
        <v>46476540</v>
      </c>
      <c r="Z152" s="804">
        <v>0</v>
      </c>
      <c r="AA152" s="804">
        <v>469460</v>
      </c>
      <c r="AB152" s="804">
        <v>46946000</v>
      </c>
      <c r="AC152" s="804">
        <v>0</v>
      </c>
      <c r="AD152" s="804">
        <v>0</v>
      </c>
      <c r="AE152" s="804">
        <v>0</v>
      </c>
      <c r="AF152" s="804">
        <v>0</v>
      </c>
      <c r="AG152" s="804">
        <v>0</v>
      </c>
      <c r="AH152" s="804">
        <v>0</v>
      </c>
      <c r="AI152" s="804">
        <v>46476540</v>
      </c>
      <c r="AJ152" s="804">
        <v>0</v>
      </c>
      <c r="AK152" s="804">
        <v>469460</v>
      </c>
      <c r="AL152" s="804">
        <v>46946000</v>
      </c>
      <c r="AM152" s="804">
        <v>134565</v>
      </c>
      <c r="AN152" s="804">
        <v>134565</v>
      </c>
      <c r="AO152" s="804">
        <v>0</v>
      </c>
      <c r="AP152" s="804">
        <v>0</v>
      </c>
      <c r="AQ152" s="804">
        <v>0</v>
      </c>
      <c r="AR152" s="804">
        <v>0</v>
      </c>
      <c r="AS152" s="804">
        <v>0</v>
      </c>
      <c r="AT152" s="804">
        <v>0</v>
      </c>
      <c r="AU152" s="804">
        <v>0</v>
      </c>
      <c r="AV152" s="804">
        <v>0</v>
      </c>
      <c r="AW152" s="804">
        <v>0</v>
      </c>
      <c r="AX152" s="804">
        <v>0</v>
      </c>
      <c r="AY152" s="804">
        <v>0</v>
      </c>
      <c r="AZ152" s="804">
        <v>0</v>
      </c>
      <c r="BA152" s="804">
        <v>0</v>
      </c>
      <c r="BB152" s="804">
        <v>0</v>
      </c>
      <c r="BC152" s="804">
        <v>0</v>
      </c>
      <c r="BD152" s="804">
        <v>0</v>
      </c>
      <c r="BE152" s="804">
        <v>0</v>
      </c>
      <c r="BF152" s="804">
        <v>0</v>
      </c>
      <c r="BG152" s="804">
        <v>0</v>
      </c>
      <c r="BH152" s="804">
        <v>0</v>
      </c>
      <c r="BI152" s="804">
        <v>0</v>
      </c>
      <c r="BJ152" s="804">
        <v>0</v>
      </c>
      <c r="BK152" s="804">
        <v>0.99</v>
      </c>
      <c r="BL152" s="804">
        <v>0</v>
      </c>
      <c r="BM152" s="804">
        <v>0.01</v>
      </c>
      <c r="BN152" s="804">
        <v>1</v>
      </c>
      <c r="BO152" s="804">
        <v>0</v>
      </c>
      <c r="BP152" s="804">
        <v>4381058</v>
      </c>
      <c r="BQ152" s="804">
        <v>0</v>
      </c>
      <c r="BR152" s="804">
        <v>44253</v>
      </c>
      <c r="BS152" s="804">
        <v>4425311</v>
      </c>
      <c r="BT152" s="804">
        <v>0</v>
      </c>
      <c r="BU152" s="804">
        <v>0.99</v>
      </c>
      <c r="BV152" s="804">
        <v>0</v>
      </c>
      <c r="BW152" s="804">
        <v>0.01</v>
      </c>
      <c r="BX152" s="804">
        <v>1</v>
      </c>
      <c r="BY152" s="804">
        <v>0</v>
      </c>
      <c r="BZ152" s="804">
        <v>-2618</v>
      </c>
      <c r="CA152" s="804">
        <v>0</v>
      </c>
      <c r="CB152" s="804">
        <v>-26</v>
      </c>
      <c r="CC152" s="804">
        <v>-2644</v>
      </c>
      <c r="CD152" s="804">
        <v>0</v>
      </c>
      <c r="CE152" s="804">
        <v>4378440</v>
      </c>
      <c r="CF152" s="804">
        <v>0</v>
      </c>
      <c r="CG152" s="804">
        <v>44227</v>
      </c>
      <c r="CH152" s="804">
        <v>4422667</v>
      </c>
      <c r="CI152" s="804">
        <v>0</v>
      </c>
      <c r="CJ152" s="804">
        <v>50989545</v>
      </c>
      <c r="CK152" s="804">
        <v>0</v>
      </c>
      <c r="CL152" s="804">
        <v>513687</v>
      </c>
      <c r="CM152" s="804">
        <v>51503232</v>
      </c>
      <c r="CN152" s="804">
        <v>1862787</v>
      </c>
      <c r="CO152" s="804">
        <v>0</v>
      </c>
      <c r="CP152" s="804">
        <v>18816</v>
      </c>
      <c r="CQ152" s="804">
        <v>1881603</v>
      </c>
      <c r="CR152" s="804">
        <v>2448618</v>
      </c>
      <c r="CS152" s="804">
        <v>0</v>
      </c>
      <c r="CT152" s="804">
        <v>24734</v>
      </c>
      <c r="CU152" s="804">
        <v>2473352</v>
      </c>
      <c r="CV152" s="804">
        <v>172436</v>
      </c>
      <c r="CW152" s="804">
        <v>0</v>
      </c>
      <c r="CX152" s="804">
        <v>1742</v>
      </c>
      <c r="CY152" s="804">
        <v>174178</v>
      </c>
      <c r="CZ152" s="804">
        <v>8529</v>
      </c>
      <c r="DA152" s="804">
        <v>0</v>
      </c>
      <c r="DB152" s="804">
        <v>86</v>
      </c>
      <c r="DC152" s="804">
        <v>8615</v>
      </c>
      <c r="DD152" s="804">
        <v>0</v>
      </c>
      <c r="DE152" s="804">
        <v>0</v>
      </c>
      <c r="DF152" s="804">
        <v>0</v>
      </c>
      <c r="DG152" s="804">
        <v>0</v>
      </c>
      <c r="DH152" s="804">
        <v>8785</v>
      </c>
      <c r="DI152" s="804">
        <v>0</v>
      </c>
      <c r="DJ152" s="804">
        <v>89</v>
      </c>
      <c r="DK152" s="804">
        <v>8874</v>
      </c>
      <c r="DL152" s="804">
        <v>5824</v>
      </c>
      <c r="DM152" s="804">
        <v>0</v>
      </c>
      <c r="DN152" s="804">
        <v>59</v>
      </c>
      <c r="DO152" s="804">
        <v>5883</v>
      </c>
      <c r="DP152" s="804">
        <v>0</v>
      </c>
      <c r="DQ152" s="804">
        <v>0</v>
      </c>
      <c r="DR152" s="804">
        <v>0</v>
      </c>
      <c r="DS152" s="804">
        <v>0</v>
      </c>
      <c r="DT152" s="804">
        <v>0</v>
      </c>
      <c r="DU152" s="804">
        <v>0</v>
      </c>
      <c r="DV152" s="804">
        <v>0</v>
      </c>
      <c r="DW152" s="804">
        <v>0</v>
      </c>
      <c r="DX152" s="804">
        <v>480780</v>
      </c>
      <c r="DY152" s="804">
        <v>0</v>
      </c>
      <c r="DZ152" s="804">
        <v>4856</v>
      </c>
      <c r="EA152" s="804">
        <v>485636</v>
      </c>
      <c r="EB152" s="804">
        <v>4987759</v>
      </c>
      <c r="EC152" s="804">
        <v>0</v>
      </c>
      <c r="ED152" s="804">
        <v>50382</v>
      </c>
      <c r="EE152" s="804">
        <v>5038141</v>
      </c>
      <c r="EF152" s="604" t="s">
        <v>173</v>
      </c>
      <c r="EG152" s="497" t="s">
        <v>616</v>
      </c>
      <c r="EH152" s="630" t="s">
        <v>618</v>
      </c>
      <c r="EI152" s="118" t="s">
        <v>1803</v>
      </c>
    </row>
    <row r="153" spans="1:139" ht="12.75" x14ac:dyDescent="0.2">
      <c r="A153" s="805">
        <v>146</v>
      </c>
      <c r="B153" s="606" t="s">
        <v>176</v>
      </c>
      <c r="C153" s="607" t="s">
        <v>1196</v>
      </c>
      <c r="D153" s="608" t="s">
        <v>1191</v>
      </c>
      <c r="E153" s="609" t="s">
        <v>175</v>
      </c>
      <c r="F153" s="802">
        <v>171387191</v>
      </c>
      <c r="G153" s="804">
        <v>3619745</v>
      </c>
      <c r="H153" s="804">
        <v>0</v>
      </c>
      <c r="I153" s="804">
        <v>498755</v>
      </c>
      <c r="J153" s="804">
        <v>0</v>
      </c>
      <c r="K153" s="804">
        <v>498755</v>
      </c>
      <c r="L153" s="804">
        <v>0</v>
      </c>
      <c r="M153" s="804">
        <v>98920</v>
      </c>
      <c r="N153" s="804">
        <v>0</v>
      </c>
      <c r="O153" s="804">
        <v>0</v>
      </c>
      <c r="P153" s="804">
        <v>0</v>
      </c>
      <c r="Q153" s="804">
        <v>0</v>
      </c>
      <c r="R153" s="804">
        <v>174409261</v>
      </c>
      <c r="S153" s="804">
        <v>0.33</v>
      </c>
      <c r="T153" s="804">
        <v>0.3</v>
      </c>
      <c r="U153" s="804">
        <v>0.37</v>
      </c>
      <c r="V153" s="804">
        <v>0</v>
      </c>
      <c r="W153" s="804">
        <v>1</v>
      </c>
      <c r="X153" s="804">
        <v>57555056</v>
      </c>
      <c r="Y153" s="804">
        <v>52322778</v>
      </c>
      <c r="Z153" s="804">
        <v>64531427</v>
      </c>
      <c r="AA153" s="804">
        <v>0</v>
      </c>
      <c r="AB153" s="804">
        <v>174409261</v>
      </c>
      <c r="AC153" s="804">
        <v>0</v>
      </c>
      <c r="AD153" s="804">
        <v>0</v>
      </c>
      <c r="AE153" s="804">
        <v>0</v>
      </c>
      <c r="AF153" s="804">
        <v>0</v>
      </c>
      <c r="AG153" s="804">
        <v>0</v>
      </c>
      <c r="AH153" s="804">
        <v>57555056</v>
      </c>
      <c r="AI153" s="804">
        <v>52322778</v>
      </c>
      <c r="AJ153" s="804">
        <v>64531427</v>
      </c>
      <c r="AK153" s="804">
        <v>0</v>
      </c>
      <c r="AL153" s="804">
        <v>174409261</v>
      </c>
      <c r="AM153" s="804">
        <v>498755</v>
      </c>
      <c r="AN153" s="804">
        <v>498755</v>
      </c>
      <c r="AO153" s="804">
        <v>98920</v>
      </c>
      <c r="AP153" s="804">
        <v>98920</v>
      </c>
      <c r="AQ153" s="804">
        <v>0</v>
      </c>
      <c r="AR153" s="804">
        <v>0</v>
      </c>
      <c r="AS153" s="804">
        <v>0</v>
      </c>
      <c r="AT153" s="804">
        <v>0</v>
      </c>
      <c r="AU153" s="804">
        <v>0</v>
      </c>
      <c r="AV153" s="804">
        <v>0</v>
      </c>
      <c r="AW153" s="804">
        <v>0</v>
      </c>
      <c r="AX153" s="804">
        <v>0</v>
      </c>
      <c r="AY153" s="804">
        <v>0</v>
      </c>
      <c r="AZ153" s="804">
        <v>0</v>
      </c>
      <c r="BA153" s="804">
        <v>0</v>
      </c>
      <c r="BB153" s="804">
        <v>0</v>
      </c>
      <c r="BC153" s="804">
        <v>0</v>
      </c>
      <c r="BD153" s="804">
        <v>0</v>
      </c>
      <c r="BE153" s="804">
        <v>0</v>
      </c>
      <c r="BF153" s="804">
        <v>0</v>
      </c>
      <c r="BG153" s="804">
        <v>0</v>
      </c>
      <c r="BH153" s="804">
        <v>0</v>
      </c>
      <c r="BI153" s="804">
        <v>0</v>
      </c>
      <c r="BJ153" s="804">
        <v>0.25</v>
      </c>
      <c r="BK153" s="804">
        <v>0.48</v>
      </c>
      <c r="BL153" s="804">
        <v>0.27</v>
      </c>
      <c r="BM153" s="804">
        <v>0</v>
      </c>
      <c r="BN153" s="804">
        <v>1</v>
      </c>
      <c r="BO153" s="804">
        <v>2372011</v>
      </c>
      <c r="BP153" s="804">
        <v>4554262</v>
      </c>
      <c r="BQ153" s="804">
        <v>2561772</v>
      </c>
      <c r="BR153" s="804">
        <v>0</v>
      </c>
      <c r="BS153" s="804">
        <v>9488045</v>
      </c>
      <c r="BT153" s="804">
        <v>0</v>
      </c>
      <c r="BU153" s="804">
        <v>0.64</v>
      </c>
      <c r="BV153" s="804">
        <v>0.36</v>
      </c>
      <c r="BW153" s="804">
        <v>0</v>
      </c>
      <c r="BX153" s="804">
        <v>1</v>
      </c>
      <c r="BY153" s="804">
        <v>0</v>
      </c>
      <c r="BZ153" s="804">
        <v>1045712</v>
      </c>
      <c r="CA153" s="804">
        <v>588213</v>
      </c>
      <c r="CB153" s="804">
        <v>0</v>
      </c>
      <c r="CC153" s="804">
        <v>1633925</v>
      </c>
      <c r="CD153" s="804">
        <v>2372011</v>
      </c>
      <c r="CE153" s="804">
        <v>5599974</v>
      </c>
      <c r="CF153" s="804">
        <v>3149985</v>
      </c>
      <c r="CG153" s="804">
        <v>0</v>
      </c>
      <c r="CH153" s="804">
        <v>11121970</v>
      </c>
      <c r="CI153" s="804">
        <v>59927067</v>
      </c>
      <c r="CJ153" s="804">
        <v>58520427</v>
      </c>
      <c r="CK153" s="804">
        <v>67681412</v>
      </c>
      <c r="CL153" s="804">
        <v>0</v>
      </c>
      <c r="CM153" s="804">
        <v>186128906</v>
      </c>
      <c r="CN153" s="804">
        <v>2101070</v>
      </c>
      <c r="CO153" s="804">
        <v>2586430</v>
      </c>
      <c r="CP153" s="804">
        <v>0</v>
      </c>
      <c r="CQ153" s="804">
        <v>4687500</v>
      </c>
      <c r="CR153" s="804">
        <v>2204442</v>
      </c>
      <c r="CS153" s="804">
        <v>2718813</v>
      </c>
      <c r="CT153" s="804">
        <v>0</v>
      </c>
      <c r="CU153" s="804">
        <v>4923255</v>
      </c>
      <c r="CV153" s="804">
        <v>138460</v>
      </c>
      <c r="CW153" s="804">
        <v>170767</v>
      </c>
      <c r="CX153" s="804">
        <v>0</v>
      </c>
      <c r="CY153" s="804">
        <v>309227</v>
      </c>
      <c r="CZ153" s="804">
        <v>0</v>
      </c>
      <c r="DA153" s="804">
        <v>0</v>
      </c>
      <c r="DB153" s="804">
        <v>0</v>
      </c>
      <c r="DC153" s="804">
        <v>0</v>
      </c>
      <c r="DD153" s="804">
        <v>0</v>
      </c>
      <c r="DE153" s="804">
        <v>0</v>
      </c>
      <c r="DF153" s="804">
        <v>0</v>
      </c>
      <c r="DG153" s="804">
        <v>0</v>
      </c>
      <c r="DH153" s="804">
        <v>93744</v>
      </c>
      <c r="DI153" s="804">
        <v>115617</v>
      </c>
      <c r="DJ153" s="804">
        <v>0</v>
      </c>
      <c r="DK153" s="804">
        <v>209361</v>
      </c>
      <c r="DL153" s="804">
        <v>26099</v>
      </c>
      <c r="DM153" s="804">
        <v>32189</v>
      </c>
      <c r="DN153" s="804">
        <v>0</v>
      </c>
      <c r="DO153" s="804">
        <v>58288</v>
      </c>
      <c r="DP153" s="804">
        <v>0</v>
      </c>
      <c r="DQ153" s="804">
        <v>0</v>
      </c>
      <c r="DR153" s="804">
        <v>0</v>
      </c>
      <c r="DS153" s="804">
        <v>0</v>
      </c>
      <c r="DT153" s="804">
        <v>0</v>
      </c>
      <c r="DU153" s="804">
        <v>0</v>
      </c>
      <c r="DV153" s="804">
        <v>0</v>
      </c>
      <c r="DW153" s="804">
        <v>0</v>
      </c>
      <c r="DX153" s="804">
        <v>1120380</v>
      </c>
      <c r="DY153" s="804">
        <v>1367517</v>
      </c>
      <c r="DZ153" s="804">
        <v>0</v>
      </c>
      <c r="EA153" s="804">
        <v>2487897</v>
      </c>
      <c r="EB153" s="804">
        <v>5684195</v>
      </c>
      <c r="EC153" s="804">
        <v>6991333</v>
      </c>
      <c r="ED153" s="804">
        <v>0</v>
      </c>
      <c r="EE153" s="804">
        <v>12675528</v>
      </c>
      <c r="EF153" s="604" t="s">
        <v>175</v>
      </c>
      <c r="EG153" s="497" t="s">
        <v>623</v>
      </c>
      <c r="EH153" s="243" t="s">
        <v>523</v>
      </c>
      <c r="EI153" s="118" t="s">
        <v>1804</v>
      </c>
    </row>
    <row r="154" spans="1:139" ht="12.75" x14ac:dyDescent="0.2">
      <c r="A154" s="805">
        <v>147</v>
      </c>
      <c r="B154" s="606" t="s">
        <v>178</v>
      </c>
      <c r="C154" s="607" t="s">
        <v>1185</v>
      </c>
      <c r="D154" s="608" t="s">
        <v>1187</v>
      </c>
      <c r="E154" s="609" t="s">
        <v>177</v>
      </c>
      <c r="F154" s="802">
        <v>65551637</v>
      </c>
      <c r="G154" s="804">
        <v>4528</v>
      </c>
      <c r="H154" s="804">
        <v>0</v>
      </c>
      <c r="I154" s="804">
        <v>210405</v>
      </c>
      <c r="J154" s="804">
        <v>0</v>
      </c>
      <c r="K154" s="804">
        <v>210405</v>
      </c>
      <c r="L154" s="804">
        <v>0</v>
      </c>
      <c r="M154" s="804">
        <v>0</v>
      </c>
      <c r="N154" s="804">
        <v>922516</v>
      </c>
      <c r="O154" s="804">
        <v>907157</v>
      </c>
      <c r="P154" s="804">
        <v>15359</v>
      </c>
      <c r="Q154" s="804">
        <v>0</v>
      </c>
      <c r="R154" s="804">
        <v>64423244</v>
      </c>
      <c r="S154" s="804">
        <v>0.5</v>
      </c>
      <c r="T154" s="804">
        <v>0.4</v>
      </c>
      <c r="U154" s="804">
        <v>0.09</v>
      </c>
      <c r="V154" s="804">
        <v>0.01</v>
      </c>
      <c r="W154" s="804">
        <v>1</v>
      </c>
      <c r="X154" s="804">
        <v>32211622</v>
      </c>
      <c r="Y154" s="804">
        <v>25769298</v>
      </c>
      <c r="Z154" s="804">
        <v>5798092</v>
      </c>
      <c r="AA154" s="804">
        <v>644232</v>
      </c>
      <c r="AB154" s="804">
        <v>64423244</v>
      </c>
      <c r="AC154" s="804">
        <v>0</v>
      </c>
      <c r="AD154" s="804">
        <v>0</v>
      </c>
      <c r="AE154" s="804">
        <v>0</v>
      </c>
      <c r="AF154" s="804">
        <v>0</v>
      </c>
      <c r="AG154" s="804">
        <v>0</v>
      </c>
      <c r="AH154" s="804">
        <v>32211622</v>
      </c>
      <c r="AI154" s="804">
        <v>25769298</v>
      </c>
      <c r="AJ154" s="804">
        <v>5798092</v>
      </c>
      <c r="AK154" s="804">
        <v>644232</v>
      </c>
      <c r="AL154" s="804">
        <v>64423244</v>
      </c>
      <c r="AM154" s="804">
        <v>210405</v>
      </c>
      <c r="AN154" s="804">
        <v>210405</v>
      </c>
      <c r="AO154" s="804">
        <v>0</v>
      </c>
      <c r="AP154" s="804">
        <v>0</v>
      </c>
      <c r="AQ154" s="804">
        <v>907157</v>
      </c>
      <c r="AR154" s="804">
        <v>15359</v>
      </c>
      <c r="AS154" s="804">
        <v>922516</v>
      </c>
      <c r="AT154" s="804">
        <v>0</v>
      </c>
      <c r="AU154" s="804">
        <v>0</v>
      </c>
      <c r="AV154" s="804">
        <v>0</v>
      </c>
      <c r="AW154" s="804">
        <v>0</v>
      </c>
      <c r="AX154" s="804">
        <v>0</v>
      </c>
      <c r="AY154" s="804">
        <v>0</v>
      </c>
      <c r="AZ154" s="804">
        <v>0</v>
      </c>
      <c r="BA154" s="804">
        <v>0</v>
      </c>
      <c r="BB154" s="804">
        <v>0</v>
      </c>
      <c r="BC154" s="804">
        <v>0</v>
      </c>
      <c r="BD154" s="804">
        <v>0</v>
      </c>
      <c r="BE154" s="804">
        <v>0</v>
      </c>
      <c r="BF154" s="804">
        <v>0</v>
      </c>
      <c r="BG154" s="804">
        <v>0</v>
      </c>
      <c r="BH154" s="804">
        <v>0</v>
      </c>
      <c r="BI154" s="804">
        <v>0</v>
      </c>
      <c r="BJ154" s="804">
        <v>0.5</v>
      </c>
      <c r="BK154" s="804">
        <v>0.4</v>
      </c>
      <c r="BL154" s="804">
        <v>0.09</v>
      </c>
      <c r="BM154" s="804">
        <v>0.01</v>
      </c>
      <c r="BN154" s="804">
        <v>1</v>
      </c>
      <c r="BO154" s="804">
        <v>1100312</v>
      </c>
      <c r="BP154" s="804">
        <v>880250</v>
      </c>
      <c r="BQ154" s="804">
        <v>198056</v>
      </c>
      <c r="BR154" s="804">
        <v>22006</v>
      </c>
      <c r="BS154" s="804">
        <v>2200624</v>
      </c>
      <c r="BT154" s="804">
        <v>0.5</v>
      </c>
      <c r="BU154" s="804">
        <v>0.4</v>
      </c>
      <c r="BV154" s="804">
        <v>0.09</v>
      </c>
      <c r="BW154" s="804">
        <v>0.01</v>
      </c>
      <c r="BX154" s="804">
        <v>1</v>
      </c>
      <c r="BY154" s="804">
        <v>378886</v>
      </c>
      <c r="BZ154" s="804">
        <v>303109</v>
      </c>
      <c r="CA154" s="804">
        <v>68200</v>
      </c>
      <c r="CB154" s="804">
        <v>7578</v>
      </c>
      <c r="CC154" s="804">
        <v>757773</v>
      </c>
      <c r="CD154" s="804">
        <v>1479198</v>
      </c>
      <c r="CE154" s="804">
        <v>1183359</v>
      </c>
      <c r="CF154" s="804">
        <v>266256</v>
      </c>
      <c r="CG154" s="804">
        <v>29584</v>
      </c>
      <c r="CH154" s="804">
        <v>2958397</v>
      </c>
      <c r="CI154" s="804">
        <v>33690820</v>
      </c>
      <c r="CJ154" s="804">
        <v>28070219</v>
      </c>
      <c r="CK154" s="804">
        <v>6079707</v>
      </c>
      <c r="CL154" s="804">
        <v>673816</v>
      </c>
      <c r="CM154" s="804">
        <v>68514562</v>
      </c>
      <c r="CN154" s="804">
        <v>1069197</v>
      </c>
      <c r="CO154" s="804">
        <v>233004</v>
      </c>
      <c r="CP154" s="804">
        <v>25821</v>
      </c>
      <c r="CQ154" s="804">
        <v>1328022</v>
      </c>
      <c r="CR154" s="804">
        <v>1422025</v>
      </c>
      <c r="CS154" s="804">
        <v>319956</v>
      </c>
      <c r="CT154" s="804">
        <v>35551</v>
      </c>
      <c r="CU154" s="804">
        <v>1777532</v>
      </c>
      <c r="CV154" s="804">
        <v>84752</v>
      </c>
      <c r="CW154" s="804">
        <v>19069</v>
      </c>
      <c r="CX154" s="804">
        <v>2119</v>
      </c>
      <c r="CY154" s="804">
        <v>105940</v>
      </c>
      <c r="CZ154" s="804">
        <v>9612</v>
      </c>
      <c r="DA154" s="804">
        <v>2163</v>
      </c>
      <c r="DB154" s="804">
        <v>240</v>
      </c>
      <c r="DC154" s="804">
        <v>12015</v>
      </c>
      <c r="DD154" s="804">
        <v>10325</v>
      </c>
      <c r="DE154" s="804">
        <v>2323</v>
      </c>
      <c r="DF154" s="804">
        <v>258</v>
      </c>
      <c r="DG154" s="804">
        <v>12906</v>
      </c>
      <c r="DH154" s="804">
        <v>12874</v>
      </c>
      <c r="DI154" s="804">
        <v>2897</v>
      </c>
      <c r="DJ154" s="804">
        <v>322</v>
      </c>
      <c r="DK154" s="804">
        <v>16093</v>
      </c>
      <c r="DL154" s="804">
        <v>2912</v>
      </c>
      <c r="DM154" s="804">
        <v>655</v>
      </c>
      <c r="DN154" s="804">
        <v>73</v>
      </c>
      <c r="DO154" s="804">
        <v>3640</v>
      </c>
      <c r="DP154" s="804">
        <v>0</v>
      </c>
      <c r="DQ154" s="804">
        <v>0</v>
      </c>
      <c r="DR154" s="804">
        <v>0</v>
      </c>
      <c r="DS154" s="804">
        <v>0</v>
      </c>
      <c r="DT154" s="804">
        <v>0</v>
      </c>
      <c r="DU154" s="804">
        <v>0</v>
      </c>
      <c r="DV154" s="804">
        <v>0</v>
      </c>
      <c r="DW154" s="804">
        <v>0</v>
      </c>
      <c r="DX154" s="804">
        <v>719955</v>
      </c>
      <c r="DY154" s="804">
        <v>161990</v>
      </c>
      <c r="DZ154" s="804">
        <v>17999</v>
      </c>
      <c r="EA154" s="804">
        <v>899944</v>
      </c>
      <c r="EB154" s="804">
        <v>3331652</v>
      </c>
      <c r="EC154" s="804">
        <v>742057</v>
      </c>
      <c r="ED154" s="804">
        <v>82383</v>
      </c>
      <c r="EE154" s="804">
        <v>4156092</v>
      </c>
      <c r="EF154" s="604" t="s">
        <v>177</v>
      </c>
      <c r="EG154" s="497" t="s">
        <v>590</v>
      </c>
      <c r="EH154" s="630" t="s">
        <v>588</v>
      </c>
      <c r="EI154" s="118" t="s">
        <v>1805</v>
      </c>
    </row>
    <row r="155" spans="1:139" ht="12.75" x14ac:dyDescent="0.2">
      <c r="A155" s="805">
        <v>148</v>
      </c>
      <c r="B155" s="606" t="s">
        <v>180</v>
      </c>
      <c r="C155" s="607" t="s">
        <v>1192</v>
      </c>
      <c r="D155" s="608" t="s">
        <v>1193</v>
      </c>
      <c r="E155" s="609" t="s">
        <v>179</v>
      </c>
      <c r="F155" s="802">
        <v>381512362</v>
      </c>
      <c r="G155" s="804">
        <v>0</v>
      </c>
      <c r="H155" s="804">
        <v>3048556</v>
      </c>
      <c r="I155" s="804">
        <v>1263664</v>
      </c>
      <c r="J155" s="804">
        <v>0</v>
      </c>
      <c r="K155" s="804">
        <v>1263664</v>
      </c>
      <c r="L155" s="804">
        <v>0</v>
      </c>
      <c r="M155" s="804">
        <v>2166352</v>
      </c>
      <c r="N155" s="804">
        <v>210364</v>
      </c>
      <c r="O155" s="804">
        <v>210364</v>
      </c>
      <c r="P155" s="804">
        <v>0</v>
      </c>
      <c r="Q155" s="804">
        <v>0</v>
      </c>
      <c r="R155" s="804">
        <v>374823426</v>
      </c>
      <c r="S155" s="804">
        <v>0.5</v>
      </c>
      <c r="T155" s="804">
        <v>0.49</v>
      </c>
      <c r="U155" s="804">
        <v>0</v>
      </c>
      <c r="V155" s="804">
        <v>0.01</v>
      </c>
      <c r="W155" s="804">
        <v>1</v>
      </c>
      <c r="X155" s="804">
        <v>187411713</v>
      </c>
      <c r="Y155" s="804">
        <v>183663479</v>
      </c>
      <c r="Z155" s="804">
        <v>0</v>
      </c>
      <c r="AA155" s="804">
        <v>3748234</v>
      </c>
      <c r="AB155" s="804">
        <v>374823426</v>
      </c>
      <c r="AC155" s="804">
        <v>223432</v>
      </c>
      <c r="AD155" s="804">
        <v>0</v>
      </c>
      <c r="AE155" s="804">
        <v>0</v>
      </c>
      <c r="AF155" s="804">
        <v>0</v>
      </c>
      <c r="AG155" s="804">
        <v>223432</v>
      </c>
      <c r="AH155" s="804">
        <v>187188281</v>
      </c>
      <c r="AI155" s="804">
        <v>183663479</v>
      </c>
      <c r="AJ155" s="804">
        <v>0</v>
      </c>
      <c r="AK155" s="804">
        <v>3748234</v>
      </c>
      <c r="AL155" s="804">
        <v>374599994</v>
      </c>
      <c r="AM155" s="804">
        <v>1263664</v>
      </c>
      <c r="AN155" s="804">
        <v>1263664</v>
      </c>
      <c r="AO155" s="804">
        <v>2166352</v>
      </c>
      <c r="AP155" s="804">
        <v>2166352</v>
      </c>
      <c r="AQ155" s="804">
        <v>210364</v>
      </c>
      <c r="AR155" s="804">
        <v>0</v>
      </c>
      <c r="AS155" s="804">
        <v>210364</v>
      </c>
      <c r="AT155" s="804">
        <v>0</v>
      </c>
      <c r="AU155" s="804">
        <v>0</v>
      </c>
      <c r="AV155" s="804">
        <v>0</v>
      </c>
      <c r="AW155" s="804">
        <v>0</v>
      </c>
      <c r="AX155" s="804">
        <v>223432</v>
      </c>
      <c r="AY155" s="804">
        <v>0</v>
      </c>
      <c r="AZ155" s="804">
        <v>0</v>
      </c>
      <c r="BA155" s="804">
        <v>223432</v>
      </c>
      <c r="BB155" s="804">
        <v>0</v>
      </c>
      <c r="BC155" s="804">
        <v>0</v>
      </c>
      <c r="BD155" s="804">
        <v>0</v>
      </c>
      <c r="BE155" s="804">
        <v>0</v>
      </c>
      <c r="BF155" s="804">
        <v>0</v>
      </c>
      <c r="BG155" s="804">
        <v>0</v>
      </c>
      <c r="BH155" s="804">
        <v>0</v>
      </c>
      <c r="BI155" s="804">
        <v>0</v>
      </c>
      <c r="BJ155" s="804">
        <v>0.25</v>
      </c>
      <c r="BK155" s="804">
        <v>0.74</v>
      </c>
      <c r="BL155" s="804">
        <v>0</v>
      </c>
      <c r="BM155" s="804">
        <v>0.01</v>
      </c>
      <c r="BN155" s="804">
        <v>1</v>
      </c>
      <c r="BO155" s="804">
        <v>80266</v>
      </c>
      <c r="BP155" s="804">
        <v>237588</v>
      </c>
      <c r="BQ155" s="804">
        <v>0</v>
      </c>
      <c r="BR155" s="804">
        <v>3211</v>
      </c>
      <c r="BS155" s="804">
        <v>321065</v>
      </c>
      <c r="BT155" s="804">
        <v>0</v>
      </c>
      <c r="BU155" s="804">
        <v>0.99</v>
      </c>
      <c r="BV155" s="804">
        <v>0</v>
      </c>
      <c r="BW155" s="804">
        <v>0.01</v>
      </c>
      <c r="BX155" s="804">
        <v>1</v>
      </c>
      <c r="BY155" s="804">
        <v>0</v>
      </c>
      <c r="BZ155" s="804">
        <v>-5764290</v>
      </c>
      <c r="CA155" s="804">
        <v>0</v>
      </c>
      <c r="CB155" s="804">
        <v>-58225</v>
      </c>
      <c r="CC155" s="804">
        <v>-5822515</v>
      </c>
      <c r="CD155" s="804">
        <v>80266</v>
      </c>
      <c r="CE155" s="804">
        <v>-5526702</v>
      </c>
      <c r="CF155" s="804">
        <v>0</v>
      </c>
      <c r="CG155" s="804">
        <v>-55014</v>
      </c>
      <c r="CH155" s="804">
        <v>-5501450</v>
      </c>
      <c r="CI155" s="804">
        <v>187268547</v>
      </c>
      <c r="CJ155" s="804">
        <v>182000589</v>
      </c>
      <c r="CK155" s="804">
        <v>0</v>
      </c>
      <c r="CL155" s="804">
        <v>3693220</v>
      </c>
      <c r="CM155" s="804">
        <v>372962356</v>
      </c>
      <c r="CN155" s="804">
        <v>7465476</v>
      </c>
      <c r="CO155" s="804">
        <v>0</v>
      </c>
      <c r="CP155" s="804">
        <v>150230</v>
      </c>
      <c r="CQ155" s="804">
        <v>7615706</v>
      </c>
      <c r="CR155" s="804">
        <v>10548788</v>
      </c>
      <c r="CS155" s="804">
        <v>0</v>
      </c>
      <c r="CT155" s="804">
        <v>215281</v>
      </c>
      <c r="CU155" s="804">
        <v>10764069</v>
      </c>
      <c r="CV155" s="804">
        <v>769141</v>
      </c>
      <c r="CW155" s="804">
        <v>0</v>
      </c>
      <c r="CX155" s="804">
        <v>15686</v>
      </c>
      <c r="CY155" s="804">
        <v>784827</v>
      </c>
      <c r="CZ155" s="804">
        <v>10193</v>
      </c>
      <c r="DA155" s="804">
        <v>0</v>
      </c>
      <c r="DB155" s="804">
        <v>208</v>
      </c>
      <c r="DC155" s="804">
        <v>10401</v>
      </c>
      <c r="DD155" s="804">
        <v>3746</v>
      </c>
      <c r="DE155" s="804">
        <v>0</v>
      </c>
      <c r="DF155" s="804">
        <v>76</v>
      </c>
      <c r="DG155" s="804">
        <v>3822</v>
      </c>
      <c r="DH155" s="804">
        <v>50964</v>
      </c>
      <c r="DI155" s="804">
        <v>0</v>
      </c>
      <c r="DJ155" s="804">
        <v>1040</v>
      </c>
      <c r="DK155" s="804">
        <v>52004</v>
      </c>
      <c r="DL155" s="804">
        <v>24463</v>
      </c>
      <c r="DM155" s="804">
        <v>0</v>
      </c>
      <c r="DN155" s="804">
        <v>499</v>
      </c>
      <c r="DO155" s="804">
        <v>24962</v>
      </c>
      <c r="DP155" s="804">
        <v>0</v>
      </c>
      <c r="DQ155" s="804">
        <v>0</v>
      </c>
      <c r="DR155" s="804">
        <v>0</v>
      </c>
      <c r="DS155" s="804">
        <v>0</v>
      </c>
      <c r="DT155" s="804">
        <v>0</v>
      </c>
      <c r="DU155" s="804">
        <v>0</v>
      </c>
      <c r="DV155" s="804">
        <v>0</v>
      </c>
      <c r="DW155" s="804">
        <v>0</v>
      </c>
      <c r="DX155" s="804">
        <v>4308811</v>
      </c>
      <c r="DY155" s="804">
        <v>0</v>
      </c>
      <c r="DZ155" s="804">
        <v>87935</v>
      </c>
      <c r="EA155" s="804">
        <v>4396746</v>
      </c>
      <c r="EB155" s="804">
        <v>23181582</v>
      </c>
      <c r="EC155" s="804">
        <v>0</v>
      </c>
      <c r="ED155" s="804">
        <v>470955</v>
      </c>
      <c r="EE155" s="804">
        <v>23652537</v>
      </c>
      <c r="EF155" s="604" t="s">
        <v>179</v>
      </c>
      <c r="EG155" s="497" t="s">
        <v>616</v>
      </c>
      <c r="EH155" s="630" t="s">
        <v>622</v>
      </c>
      <c r="EI155" s="118" t="s">
        <v>1806</v>
      </c>
    </row>
    <row r="156" spans="1:139" ht="12.75" x14ac:dyDescent="0.2">
      <c r="A156" s="805">
        <v>149</v>
      </c>
      <c r="B156" s="606" t="s">
        <v>182</v>
      </c>
      <c r="C156" s="607" t="s">
        <v>524</v>
      </c>
      <c r="D156" s="608" t="s">
        <v>1188</v>
      </c>
      <c r="E156" s="609" t="s">
        <v>591</v>
      </c>
      <c r="F156" s="802">
        <v>112492753</v>
      </c>
      <c r="G156" s="804">
        <v>1903848</v>
      </c>
      <c r="H156" s="804">
        <v>0</v>
      </c>
      <c r="I156" s="804">
        <v>482698</v>
      </c>
      <c r="J156" s="804">
        <v>0</v>
      </c>
      <c r="K156" s="804">
        <v>482698</v>
      </c>
      <c r="L156" s="804">
        <v>0</v>
      </c>
      <c r="M156" s="804">
        <v>0</v>
      </c>
      <c r="N156" s="804">
        <v>0</v>
      </c>
      <c r="O156" s="804">
        <v>0</v>
      </c>
      <c r="P156" s="804">
        <v>0</v>
      </c>
      <c r="Q156" s="804">
        <v>0</v>
      </c>
      <c r="R156" s="804">
        <v>113913903</v>
      </c>
      <c r="S156" s="804">
        <v>0.5</v>
      </c>
      <c r="T156" s="804">
        <v>0.49</v>
      </c>
      <c r="U156" s="804">
        <v>0</v>
      </c>
      <c r="V156" s="804">
        <v>0.01</v>
      </c>
      <c r="W156" s="804">
        <v>1</v>
      </c>
      <c r="X156" s="804">
        <v>56956952</v>
      </c>
      <c r="Y156" s="804">
        <v>55817812</v>
      </c>
      <c r="Z156" s="804">
        <v>0</v>
      </c>
      <c r="AA156" s="804">
        <v>1139139</v>
      </c>
      <c r="AB156" s="804">
        <v>113913903</v>
      </c>
      <c r="AC156" s="804">
        <v>0</v>
      </c>
      <c r="AD156" s="804">
        <v>0</v>
      </c>
      <c r="AE156" s="804">
        <v>0</v>
      </c>
      <c r="AF156" s="804">
        <v>0</v>
      </c>
      <c r="AG156" s="804">
        <v>0</v>
      </c>
      <c r="AH156" s="804">
        <v>56956952</v>
      </c>
      <c r="AI156" s="804">
        <v>55817812</v>
      </c>
      <c r="AJ156" s="804">
        <v>0</v>
      </c>
      <c r="AK156" s="804">
        <v>1139139</v>
      </c>
      <c r="AL156" s="804">
        <v>113913903</v>
      </c>
      <c r="AM156" s="804">
        <v>482698</v>
      </c>
      <c r="AN156" s="804">
        <v>482698</v>
      </c>
      <c r="AO156" s="804">
        <v>0</v>
      </c>
      <c r="AP156" s="804">
        <v>0</v>
      </c>
      <c r="AQ156" s="804">
        <v>0</v>
      </c>
      <c r="AR156" s="804">
        <v>0</v>
      </c>
      <c r="AS156" s="804">
        <v>0</v>
      </c>
      <c r="AT156" s="804">
        <v>0</v>
      </c>
      <c r="AU156" s="804">
        <v>0</v>
      </c>
      <c r="AV156" s="804">
        <v>0</v>
      </c>
      <c r="AW156" s="804">
        <v>0</v>
      </c>
      <c r="AX156" s="804">
        <v>0</v>
      </c>
      <c r="AY156" s="804">
        <v>0</v>
      </c>
      <c r="AZ156" s="804">
        <v>0</v>
      </c>
      <c r="BA156" s="804">
        <v>0</v>
      </c>
      <c r="BB156" s="804">
        <v>0</v>
      </c>
      <c r="BC156" s="804">
        <v>0</v>
      </c>
      <c r="BD156" s="804">
        <v>0</v>
      </c>
      <c r="BE156" s="804">
        <v>0</v>
      </c>
      <c r="BF156" s="804">
        <v>0</v>
      </c>
      <c r="BG156" s="804">
        <v>0</v>
      </c>
      <c r="BH156" s="804">
        <v>0</v>
      </c>
      <c r="BI156" s="804">
        <v>0</v>
      </c>
      <c r="BJ156" s="804">
        <v>0.25</v>
      </c>
      <c r="BK156" s="804">
        <v>0.74</v>
      </c>
      <c r="BL156" s="804">
        <v>0</v>
      </c>
      <c r="BM156" s="804">
        <v>0.01</v>
      </c>
      <c r="BN156" s="804">
        <v>1</v>
      </c>
      <c r="BO156" s="804">
        <v>696620</v>
      </c>
      <c r="BP156" s="804">
        <v>2061995</v>
      </c>
      <c r="BQ156" s="804">
        <v>0</v>
      </c>
      <c r="BR156" s="804">
        <v>27865</v>
      </c>
      <c r="BS156" s="804">
        <v>2786480</v>
      </c>
      <c r="BT156" s="804">
        <v>0.5</v>
      </c>
      <c r="BU156" s="804">
        <v>0.49</v>
      </c>
      <c r="BV156" s="804">
        <v>0</v>
      </c>
      <c r="BW156" s="804">
        <v>0.01</v>
      </c>
      <c r="BX156" s="804">
        <v>1</v>
      </c>
      <c r="BY156" s="804">
        <v>-390057.5</v>
      </c>
      <c r="BZ156" s="804">
        <v>-382256</v>
      </c>
      <c r="CA156" s="804">
        <v>0</v>
      </c>
      <c r="CB156" s="804">
        <v>-7801</v>
      </c>
      <c r="CC156" s="804">
        <v>-780114.5</v>
      </c>
      <c r="CD156" s="804">
        <v>306563</v>
      </c>
      <c r="CE156" s="804">
        <v>1679739</v>
      </c>
      <c r="CF156" s="804">
        <v>0</v>
      </c>
      <c r="CG156" s="804">
        <v>20064</v>
      </c>
      <c r="CH156" s="804">
        <v>2006365.5</v>
      </c>
      <c r="CI156" s="804">
        <v>57263515</v>
      </c>
      <c r="CJ156" s="804">
        <v>57980249</v>
      </c>
      <c r="CK156" s="804">
        <v>0</v>
      </c>
      <c r="CL156" s="804">
        <v>1159203</v>
      </c>
      <c r="CM156" s="804">
        <v>116402967</v>
      </c>
      <c r="CN156" s="804">
        <v>2237187</v>
      </c>
      <c r="CO156" s="804">
        <v>0</v>
      </c>
      <c r="CP156" s="804">
        <v>45657</v>
      </c>
      <c r="CQ156" s="804">
        <v>2282844</v>
      </c>
      <c r="CR156" s="804">
        <v>5586121</v>
      </c>
      <c r="CS156" s="804">
        <v>0</v>
      </c>
      <c r="CT156" s="804">
        <v>106201</v>
      </c>
      <c r="CU156" s="804">
        <v>5692322</v>
      </c>
      <c r="CV156" s="804">
        <v>267631</v>
      </c>
      <c r="CW156" s="804">
        <v>0</v>
      </c>
      <c r="CX156" s="804">
        <v>5097</v>
      </c>
      <c r="CY156" s="804">
        <v>272728</v>
      </c>
      <c r="CZ156" s="804">
        <v>15289</v>
      </c>
      <c r="DA156" s="804">
        <v>0</v>
      </c>
      <c r="DB156" s="804">
        <v>312</v>
      </c>
      <c r="DC156" s="804">
        <v>15601</v>
      </c>
      <c r="DD156" s="804">
        <v>0</v>
      </c>
      <c r="DE156" s="804">
        <v>0</v>
      </c>
      <c r="DF156" s="804">
        <v>0</v>
      </c>
      <c r="DG156" s="804">
        <v>0</v>
      </c>
      <c r="DH156" s="804">
        <v>64967</v>
      </c>
      <c r="DI156" s="804">
        <v>0</v>
      </c>
      <c r="DJ156" s="804">
        <v>1308</v>
      </c>
      <c r="DK156" s="804">
        <v>66275</v>
      </c>
      <c r="DL156" s="804">
        <v>18856</v>
      </c>
      <c r="DM156" s="804">
        <v>0</v>
      </c>
      <c r="DN156" s="804">
        <v>385</v>
      </c>
      <c r="DO156" s="804">
        <v>19241</v>
      </c>
      <c r="DP156" s="804">
        <v>0</v>
      </c>
      <c r="DQ156" s="804">
        <v>0</v>
      </c>
      <c r="DR156" s="804">
        <v>0</v>
      </c>
      <c r="DS156" s="804">
        <v>0</v>
      </c>
      <c r="DT156" s="804">
        <v>0</v>
      </c>
      <c r="DU156" s="804">
        <v>0</v>
      </c>
      <c r="DV156" s="804">
        <v>0</v>
      </c>
      <c r="DW156" s="804">
        <v>0</v>
      </c>
      <c r="DX156" s="804">
        <v>1210985</v>
      </c>
      <c r="DY156" s="804">
        <v>0</v>
      </c>
      <c r="DZ156" s="804">
        <v>24326</v>
      </c>
      <c r="EA156" s="804">
        <v>1235311</v>
      </c>
      <c r="EB156" s="804">
        <v>9401036</v>
      </c>
      <c r="EC156" s="804">
        <v>0</v>
      </c>
      <c r="ED156" s="804">
        <v>183286</v>
      </c>
      <c r="EE156" s="804">
        <v>9584322</v>
      </c>
      <c r="EF156" s="604" t="s">
        <v>591</v>
      </c>
      <c r="EG156" s="497" t="s">
        <v>524</v>
      </c>
      <c r="EH156" s="630" t="s">
        <v>592</v>
      </c>
      <c r="EI156" s="118" t="s">
        <v>1807</v>
      </c>
    </row>
    <row r="157" spans="1:139" ht="12.75" x14ac:dyDescent="0.2">
      <c r="A157" s="805">
        <v>150</v>
      </c>
      <c r="B157" s="606" t="s">
        <v>184</v>
      </c>
      <c r="C157" s="607" t="s">
        <v>1185</v>
      </c>
      <c r="D157" s="608" t="s">
        <v>1186</v>
      </c>
      <c r="E157" s="609" t="s">
        <v>183</v>
      </c>
      <c r="F157" s="802">
        <v>25221392</v>
      </c>
      <c r="G157" s="804">
        <v>210392</v>
      </c>
      <c r="H157" s="804">
        <v>0</v>
      </c>
      <c r="I157" s="804">
        <v>135758</v>
      </c>
      <c r="J157" s="804">
        <v>0</v>
      </c>
      <c r="K157" s="804">
        <v>135758</v>
      </c>
      <c r="L157" s="804">
        <v>0</v>
      </c>
      <c r="M157" s="804">
        <v>304005</v>
      </c>
      <c r="N157" s="804">
        <v>0</v>
      </c>
      <c r="O157" s="804">
        <v>0</v>
      </c>
      <c r="P157" s="804">
        <v>0</v>
      </c>
      <c r="Q157" s="804">
        <v>0</v>
      </c>
      <c r="R157" s="804">
        <v>24992021</v>
      </c>
      <c r="S157" s="804">
        <v>0.5</v>
      </c>
      <c r="T157" s="804">
        <v>0.4</v>
      </c>
      <c r="U157" s="804">
        <v>0.09</v>
      </c>
      <c r="V157" s="804">
        <v>0.01</v>
      </c>
      <c r="W157" s="804">
        <v>1</v>
      </c>
      <c r="X157" s="804">
        <v>12496011</v>
      </c>
      <c r="Y157" s="804">
        <v>9996808</v>
      </c>
      <c r="Z157" s="804">
        <v>2249282</v>
      </c>
      <c r="AA157" s="804">
        <v>249920</v>
      </c>
      <c r="AB157" s="804">
        <v>24992021</v>
      </c>
      <c r="AC157" s="804">
        <v>416906</v>
      </c>
      <c r="AD157" s="804">
        <v>0</v>
      </c>
      <c r="AE157" s="804">
        <v>0</v>
      </c>
      <c r="AF157" s="804">
        <v>0</v>
      </c>
      <c r="AG157" s="804">
        <v>416906</v>
      </c>
      <c r="AH157" s="804">
        <v>12079105</v>
      </c>
      <c r="AI157" s="804">
        <v>9996808</v>
      </c>
      <c r="AJ157" s="804">
        <v>2249282</v>
      </c>
      <c r="AK157" s="804">
        <v>249920</v>
      </c>
      <c r="AL157" s="804">
        <v>24575115</v>
      </c>
      <c r="AM157" s="804">
        <v>135758</v>
      </c>
      <c r="AN157" s="804">
        <v>135758</v>
      </c>
      <c r="AO157" s="804">
        <v>304005</v>
      </c>
      <c r="AP157" s="804">
        <v>304005</v>
      </c>
      <c r="AQ157" s="804">
        <v>0</v>
      </c>
      <c r="AR157" s="804">
        <v>0</v>
      </c>
      <c r="AS157" s="804">
        <v>0</v>
      </c>
      <c r="AT157" s="804">
        <v>0</v>
      </c>
      <c r="AU157" s="804">
        <v>0</v>
      </c>
      <c r="AV157" s="804">
        <v>0</v>
      </c>
      <c r="AW157" s="804">
        <v>0</v>
      </c>
      <c r="AX157" s="804">
        <v>416906</v>
      </c>
      <c r="AY157" s="804">
        <v>0</v>
      </c>
      <c r="AZ157" s="804">
        <v>0</v>
      </c>
      <c r="BA157" s="804">
        <v>416906</v>
      </c>
      <c r="BB157" s="804">
        <v>0</v>
      </c>
      <c r="BC157" s="804">
        <v>0</v>
      </c>
      <c r="BD157" s="804">
        <v>0</v>
      </c>
      <c r="BE157" s="804">
        <v>0</v>
      </c>
      <c r="BF157" s="804">
        <v>0</v>
      </c>
      <c r="BG157" s="804">
        <v>0</v>
      </c>
      <c r="BH157" s="804">
        <v>0</v>
      </c>
      <c r="BI157" s="804">
        <v>0</v>
      </c>
      <c r="BJ157" s="804">
        <v>0.24999999999999994</v>
      </c>
      <c r="BK157" s="804">
        <v>0.44</v>
      </c>
      <c r="BL157" s="804">
        <v>0.26</v>
      </c>
      <c r="BM157" s="804">
        <v>0.05</v>
      </c>
      <c r="BN157" s="804">
        <v>1</v>
      </c>
      <c r="BO157" s="804">
        <v>68373</v>
      </c>
      <c r="BP157" s="804">
        <v>120336</v>
      </c>
      <c r="BQ157" s="804">
        <v>71108</v>
      </c>
      <c r="BR157" s="804">
        <v>13675</v>
      </c>
      <c r="BS157" s="804">
        <v>273492</v>
      </c>
      <c r="BT157" s="804">
        <v>0.5</v>
      </c>
      <c r="BU157" s="804">
        <v>0.4</v>
      </c>
      <c r="BV157" s="804">
        <v>0.09</v>
      </c>
      <c r="BW157" s="804">
        <v>0.01</v>
      </c>
      <c r="BX157" s="804">
        <v>1</v>
      </c>
      <c r="BY157" s="804">
        <v>-59760</v>
      </c>
      <c r="BZ157" s="804">
        <v>-47808</v>
      </c>
      <c r="CA157" s="804">
        <v>-10757</v>
      </c>
      <c r="CB157" s="804">
        <v>-1195</v>
      </c>
      <c r="CC157" s="804">
        <v>-119520</v>
      </c>
      <c r="CD157" s="804">
        <v>8613</v>
      </c>
      <c r="CE157" s="804">
        <v>72528</v>
      </c>
      <c r="CF157" s="804">
        <v>60351</v>
      </c>
      <c r="CG157" s="804">
        <v>12480</v>
      </c>
      <c r="CH157" s="804">
        <v>153972</v>
      </c>
      <c r="CI157" s="804">
        <v>12087718</v>
      </c>
      <c r="CJ157" s="804">
        <v>10926005</v>
      </c>
      <c r="CK157" s="804">
        <v>2309633</v>
      </c>
      <c r="CL157" s="804">
        <v>262400</v>
      </c>
      <c r="CM157" s="804">
        <v>25585756</v>
      </c>
      <c r="CN157" s="804">
        <v>429568</v>
      </c>
      <c r="CO157" s="804">
        <v>90152</v>
      </c>
      <c r="CP157" s="804">
        <v>10017</v>
      </c>
      <c r="CQ157" s="804">
        <v>529737</v>
      </c>
      <c r="CR157" s="804">
        <v>1404820</v>
      </c>
      <c r="CS157" s="804">
        <v>249131</v>
      </c>
      <c r="CT157" s="804">
        <v>27681</v>
      </c>
      <c r="CU157" s="804">
        <v>1681632</v>
      </c>
      <c r="CV157" s="804">
        <v>84102</v>
      </c>
      <c r="CW157" s="804">
        <v>14755</v>
      </c>
      <c r="CX157" s="804">
        <v>1639</v>
      </c>
      <c r="CY157" s="804">
        <v>100496</v>
      </c>
      <c r="CZ157" s="804">
        <v>0</v>
      </c>
      <c r="DA157" s="804">
        <v>0</v>
      </c>
      <c r="DB157" s="804">
        <v>0</v>
      </c>
      <c r="DC157" s="804">
        <v>0</v>
      </c>
      <c r="DD157" s="804">
        <v>2369</v>
      </c>
      <c r="DE157" s="804">
        <v>533</v>
      </c>
      <c r="DF157" s="804">
        <v>59</v>
      </c>
      <c r="DG157" s="804">
        <v>2961</v>
      </c>
      <c r="DH157" s="804">
        <v>7499</v>
      </c>
      <c r="DI157" s="804">
        <v>1688</v>
      </c>
      <c r="DJ157" s="804">
        <v>188</v>
      </c>
      <c r="DK157" s="804">
        <v>9375</v>
      </c>
      <c r="DL157" s="804">
        <v>3</v>
      </c>
      <c r="DM157" s="804">
        <v>1</v>
      </c>
      <c r="DN157" s="804">
        <v>0</v>
      </c>
      <c r="DO157" s="804">
        <v>4</v>
      </c>
      <c r="DP157" s="804">
        <v>0</v>
      </c>
      <c r="DQ157" s="804">
        <v>0</v>
      </c>
      <c r="DR157" s="804">
        <v>0</v>
      </c>
      <c r="DS157" s="804">
        <v>0</v>
      </c>
      <c r="DT157" s="804">
        <v>0</v>
      </c>
      <c r="DU157" s="804">
        <v>0</v>
      </c>
      <c r="DV157" s="804">
        <v>0</v>
      </c>
      <c r="DW157" s="804">
        <v>0</v>
      </c>
      <c r="DX157" s="804">
        <v>600370</v>
      </c>
      <c r="DY157" s="804">
        <v>124143</v>
      </c>
      <c r="DZ157" s="804">
        <v>13794</v>
      </c>
      <c r="EA157" s="804">
        <v>738307</v>
      </c>
      <c r="EB157" s="804">
        <v>2528731</v>
      </c>
      <c r="EC157" s="804">
        <v>480403</v>
      </c>
      <c r="ED157" s="804">
        <v>53378</v>
      </c>
      <c r="EE157" s="804">
        <v>3062512</v>
      </c>
      <c r="EF157" s="604" t="s">
        <v>183</v>
      </c>
      <c r="EG157" s="497" t="s">
        <v>566</v>
      </c>
      <c r="EH157" s="630" t="s">
        <v>565</v>
      </c>
      <c r="EI157" s="118" t="s">
        <v>1808</v>
      </c>
    </row>
    <row r="158" spans="1:139" ht="12.75" x14ac:dyDescent="0.2">
      <c r="A158" s="805">
        <v>151</v>
      </c>
      <c r="B158" s="606" t="s">
        <v>186</v>
      </c>
      <c r="C158" s="607" t="s">
        <v>1196</v>
      </c>
      <c r="D158" s="608" t="s">
        <v>1191</v>
      </c>
      <c r="E158" s="609" t="s">
        <v>185</v>
      </c>
      <c r="F158" s="802">
        <v>63868731</v>
      </c>
      <c r="G158" s="804">
        <v>914690</v>
      </c>
      <c r="H158" s="804">
        <v>0</v>
      </c>
      <c r="I158" s="804">
        <v>303389</v>
      </c>
      <c r="J158" s="804">
        <v>0</v>
      </c>
      <c r="K158" s="804">
        <v>303389</v>
      </c>
      <c r="L158" s="804">
        <v>0</v>
      </c>
      <c r="M158" s="804">
        <v>0</v>
      </c>
      <c r="N158" s="804">
        <v>0</v>
      </c>
      <c r="O158" s="804">
        <v>0</v>
      </c>
      <c r="P158" s="804">
        <v>0</v>
      </c>
      <c r="Q158" s="804">
        <v>0</v>
      </c>
      <c r="R158" s="804">
        <v>64480032</v>
      </c>
      <c r="S158" s="804">
        <v>0.33</v>
      </c>
      <c r="T158" s="804">
        <v>0.3</v>
      </c>
      <c r="U158" s="804">
        <v>0.37</v>
      </c>
      <c r="V158" s="804">
        <v>0</v>
      </c>
      <c r="W158" s="804">
        <v>1</v>
      </c>
      <c r="X158" s="804">
        <v>21278410</v>
      </c>
      <c r="Y158" s="804">
        <v>19344010</v>
      </c>
      <c r="Z158" s="804">
        <v>23857612</v>
      </c>
      <c r="AA158" s="804">
        <v>0</v>
      </c>
      <c r="AB158" s="804">
        <v>64480032</v>
      </c>
      <c r="AC158" s="804">
        <v>0</v>
      </c>
      <c r="AD158" s="804">
        <v>0</v>
      </c>
      <c r="AE158" s="804">
        <v>0</v>
      </c>
      <c r="AF158" s="804">
        <v>0</v>
      </c>
      <c r="AG158" s="804">
        <v>0</v>
      </c>
      <c r="AH158" s="804">
        <v>21278410</v>
      </c>
      <c r="AI158" s="804">
        <v>19344010</v>
      </c>
      <c r="AJ158" s="804">
        <v>23857612</v>
      </c>
      <c r="AK158" s="804">
        <v>0</v>
      </c>
      <c r="AL158" s="804">
        <v>64480032</v>
      </c>
      <c r="AM158" s="804">
        <v>303389</v>
      </c>
      <c r="AN158" s="804">
        <v>303389</v>
      </c>
      <c r="AO158" s="804">
        <v>0</v>
      </c>
      <c r="AP158" s="804">
        <v>0</v>
      </c>
      <c r="AQ158" s="804">
        <v>0</v>
      </c>
      <c r="AR158" s="804">
        <v>0</v>
      </c>
      <c r="AS158" s="804">
        <v>0</v>
      </c>
      <c r="AT158" s="804">
        <v>0</v>
      </c>
      <c r="AU158" s="804">
        <v>0</v>
      </c>
      <c r="AV158" s="804">
        <v>0</v>
      </c>
      <c r="AW158" s="804">
        <v>0</v>
      </c>
      <c r="AX158" s="804">
        <v>0</v>
      </c>
      <c r="AY158" s="804">
        <v>0</v>
      </c>
      <c r="AZ158" s="804">
        <v>0</v>
      </c>
      <c r="BA158" s="804">
        <v>0</v>
      </c>
      <c r="BB158" s="804">
        <v>0</v>
      </c>
      <c r="BC158" s="804">
        <v>0</v>
      </c>
      <c r="BD158" s="804">
        <v>0</v>
      </c>
      <c r="BE158" s="804">
        <v>0</v>
      </c>
      <c r="BF158" s="804">
        <v>0</v>
      </c>
      <c r="BG158" s="804">
        <v>0</v>
      </c>
      <c r="BH158" s="804">
        <v>0</v>
      </c>
      <c r="BI158" s="804">
        <v>0</v>
      </c>
      <c r="BJ158" s="804">
        <v>0.25</v>
      </c>
      <c r="BK158" s="804">
        <v>0.48</v>
      </c>
      <c r="BL158" s="804">
        <v>0.27</v>
      </c>
      <c r="BM158" s="804">
        <v>0</v>
      </c>
      <c r="BN158" s="804">
        <v>1</v>
      </c>
      <c r="BO158" s="804">
        <v>-179081.00000000279</v>
      </c>
      <c r="BP158" s="804">
        <v>-343835</v>
      </c>
      <c r="BQ158" s="804">
        <v>-193407</v>
      </c>
      <c r="BR158" s="804">
        <v>0</v>
      </c>
      <c r="BS158" s="804">
        <v>-716323.00000000279</v>
      </c>
      <c r="BT158" s="804">
        <v>0</v>
      </c>
      <c r="BU158" s="804">
        <v>0.64</v>
      </c>
      <c r="BV158" s="804">
        <v>0.36</v>
      </c>
      <c r="BW158" s="804">
        <v>0</v>
      </c>
      <c r="BX158" s="804">
        <v>1</v>
      </c>
      <c r="BY158" s="804">
        <v>0.19999999832361937</v>
      </c>
      <c r="BZ158" s="804">
        <v>-1011404</v>
      </c>
      <c r="CA158" s="804">
        <v>-568915</v>
      </c>
      <c r="CB158" s="804">
        <v>0</v>
      </c>
      <c r="CC158" s="804">
        <v>-1580318.8000000017</v>
      </c>
      <c r="CD158" s="804">
        <v>-179081</v>
      </c>
      <c r="CE158" s="804">
        <v>-1355239</v>
      </c>
      <c r="CF158" s="804">
        <v>-762322</v>
      </c>
      <c r="CG158" s="804">
        <v>0</v>
      </c>
      <c r="CH158" s="804">
        <v>-2296641.8000000045</v>
      </c>
      <c r="CI158" s="804">
        <v>21099329</v>
      </c>
      <c r="CJ158" s="804">
        <v>18292160</v>
      </c>
      <c r="CK158" s="804">
        <v>23095290</v>
      </c>
      <c r="CL158" s="804">
        <v>0</v>
      </c>
      <c r="CM158" s="804">
        <v>62486779</v>
      </c>
      <c r="CN158" s="804">
        <v>775311</v>
      </c>
      <c r="CO158" s="804">
        <v>956217</v>
      </c>
      <c r="CP158" s="804">
        <v>0</v>
      </c>
      <c r="CQ158" s="804">
        <v>1731528</v>
      </c>
      <c r="CR158" s="804">
        <v>1975278</v>
      </c>
      <c r="CS158" s="804">
        <v>2436175</v>
      </c>
      <c r="CT158" s="804">
        <v>0</v>
      </c>
      <c r="CU158" s="804">
        <v>4411453</v>
      </c>
      <c r="CV158" s="804">
        <v>73641</v>
      </c>
      <c r="CW158" s="804">
        <v>90824</v>
      </c>
      <c r="CX158" s="804">
        <v>0</v>
      </c>
      <c r="CY158" s="804">
        <v>164465</v>
      </c>
      <c r="CZ158" s="804">
        <v>0</v>
      </c>
      <c r="DA158" s="804">
        <v>0</v>
      </c>
      <c r="DB158" s="804">
        <v>0</v>
      </c>
      <c r="DC158" s="804">
        <v>0</v>
      </c>
      <c r="DD158" s="804">
        <v>0</v>
      </c>
      <c r="DE158" s="804">
        <v>0</v>
      </c>
      <c r="DF158" s="804">
        <v>0</v>
      </c>
      <c r="DG158" s="804">
        <v>0</v>
      </c>
      <c r="DH158" s="804">
        <v>40874</v>
      </c>
      <c r="DI158" s="804">
        <v>50412</v>
      </c>
      <c r="DJ158" s="804">
        <v>0</v>
      </c>
      <c r="DK158" s="804">
        <v>91286</v>
      </c>
      <c r="DL158" s="804">
        <v>10175</v>
      </c>
      <c r="DM158" s="804">
        <v>12549</v>
      </c>
      <c r="DN158" s="804">
        <v>0</v>
      </c>
      <c r="DO158" s="804">
        <v>22724</v>
      </c>
      <c r="DP158" s="804">
        <v>0</v>
      </c>
      <c r="DQ158" s="804">
        <v>0</v>
      </c>
      <c r="DR158" s="804">
        <v>0</v>
      </c>
      <c r="DS158" s="804">
        <v>0</v>
      </c>
      <c r="DT158" s="804">
        <v>0</v>
      </c>
      <c r="DU158" s="804">
        <v>0</v>
      </c>
      <c r="DV158" s="804">
        <v>0</v>
      </c>
      <c r="DW158" s="804">
        <v>0</v>
      </c>
      <c r="DX158" s="804">
        <v>643676</v>
      </c>
      <c r="DY158" s="804">
        <v>793866</v>
      </c>
      <c r="DZ158" s="804">
        <v>0</v>
      </c>
      <c r="EA158" s="804">
        <v>1437542</v>
      </c>
      <c r="EB158" s="804">
        <v>3518955</v>
      </c>
      <c r="EC158" s="804">
        <v>4340043</v>
      </c>
      <c r="ED158" s="804">
        <v>0</v>
      </c>
      <c r="EE158" s="804">
        <v>7858998</v>
      </c>
      <c r="EF158" s="604" t="s">
        <v>185</v>
      </c>
      <c r="EG158" s="497" t="s">
        <v>623</v>
      </c>
      <c r="EH158" s="243" t="s">
        <v>523</v>
      </c>
      <c r="EI158" s="118" t="s">
        <v>1809</v>
      </c>
    </row>
    <row r="159" spans="1:139" ht="12.75" x14ac:dyDescent="0.2">
      <c r="A159" s="805">
        <v>152</v>
      </c>
      <c r="B159" s="606" t="s">
        <v>188</v>
      </c>
      <c r="C159" s="607" t="s">
        <v>1185</v>
      </c>
      <c r="D159" s="608" t="s">
        <v>1195</v>
      </c>
      <c r="E159" s="609" t="s">
        <v>187</v>
      </c>
      <c r="F159" s="802">
        <v>34486825</v>
      </c>
      <c r="G159" s="804">
        <v>162881</v>
      </c>
      <c r="H159" s="804">
        <v>0</v>
      </c>
      <c r="I159" s="804">
        <v>121325</v>
      </c>
      <c r="J159" s="804">
        <v>675</v>
      </c>
      <c r="K159" s="804">
        <v>122000</v>
      </c>
      <c r="L159" s="804">
        <v>0</v>
      </c>
      <c r="M159" s="804">
        <v>0</v>
      </c>
      <c r="N159" s="804">
        <v>0</v>
      </c>
      <c r="O159" s="804">
        <v>0</v>
      </c>
      <c r="P159" s="804">
        <v>0</v>
      </c>
      <c r="Q159" s="804">
        <v>0</v>
      </c>
      <c r="R159" s="804">
        <v>34527706</v>
      </c>
      <c r="S159" s="804">
        <v>0.5</v>
      </c>
      <c r="T159" s="804">
        <v>0.4</v>
      </c>
      <c r="U159" s="804">
        <v>0.09</v>
      </c>
      <c r="V159" s="804">
        <v>0.01</v>
      </c>
      <c r="W159" s="804">
        <v>1</v>
      </c>
      <c r="X159" s="804">
        <v>17263853</v>
      </c>
      <c r="Y159" s="804">
        <v>13811082</v>
      </c>
      <c r="Z159" s="804">
        <v>3107494</v>
      </c>
      <c r="AA159" s="804">
        <v>345277</v>
      </c>
      <c r="AB159" s="804">
        <v>34527706</v>
      </c>
      <c r="AC159" s="804">
        <v>0</v>
      </c>
      <c r="AD159" s="804">
        <v>0</v>
      </c>
      <c r="AE159" s="804">
        <v>0</v>
      </c>
      <c r="AF159" s="804">
        <v>0</v>
      </c>
      <c r="AG159" s="804">
        <v>0</v>
      </c>
      <c r="AH159" s="804">
        <v>17263853</v>
      </c>
      <c r="AI159" s="804">
        <v>13811082</v>
      </c>
      <c r="AJ159" s="804">
        <v>3107494</v>
      </c>
      <c r="AK159" s="804">
        <v>345277</v>
      </c>
      <c r="AL159" s="804">
        <v>34527706</v>
      </c>
      <c r="AM159" s="804">
        <v>122000</v>
      </c>
      <c r="AN159" s="804">
        <v>122000</v>
      </c>
      <c r="AO159" s="804">
        <v>0</v>
      </c>
      <c r="AP159" s="804">
        <v>0</v>
      </c>
      <c r="AQ159" s="804">
        <v>0</v>
      </c>
      <c r="AR159" s="804">
        <v>0</v>
      </c>
      <c r="AS159" s="804">
        <v>0</v>
      </c>
      <c r="AT159" s="804">
        <v>0</v>
      </c>
      <c r="AU159" s="804">
        <v>0</v>
      </c>
      <c r="AV159" s="804">
        <v>0</v>
      </c>
      <c r="AW159" s="804">
        <v>0</v>
      </c>
      <c r="AX159" s="804">
        <v>0</v>
      </c>
      <c r="AY159" s="804">
        <v>0</v>
      </c>
      <c r="AZ159" s="804">
        <v>0</v>
      </c>
      <c r="BA159" s="804">
        <v>0</v>
      </c>
      <c r="BB159" s="804">
        <v>0</v>
      </c>
      <c r="BC159" s="804">
        <v>0</v>
      </c>
      <c r="BD159" s="804">
        <v>0</v>
      </c>
      <c r="BE159" s="804">
        <v>0</v>
      </c>
      <c r="BF159" s="804">
        <v>0</v>
      </c>
      <c r="BG159" s="804">
        <v>0</v>
      </c>
      <c r="BH159" s="804">
        <v>0</v>
      </c>
      <c r="BI159" s="804">
        <v>0</v>
      </c>
      <c r="BJ159" s="804">
        <v>0.25</v>
      </c>
      <c r="BK159" s="804">
        <v>0.4</v>
      </c>
      <c r="BL159" s="804">
        <v>0.33999999999999997</v>
      </c>
      <c r="BM159" s="804">
        <v>0.01</v>
      </c>
      <c r="BN159" s="804">
        <v>1</v>
      </c>
      <c r="BO159" s="804">
        <v>59548</v>
      </c>
      <c r="BP159" s="804">
        <v>95278</v>
      </c>
      <c r="BQ159" s="804">
        <v>80986</v>
      </c>
      <c r="BR159" s="804">
        <v>2382</v>
      </c>
      <c r="BS159" s="804">
        <v>238194</v>
      </c>
      <c r="BT159" s="804">
        <v>0.5</v>
      </c>
      <c r="BU159" s="804">
        <v>0.4</v>
      </c>
      <c r="BV159" s="804">
        <v>0.09</v>
      </c>
      <c r="BW159" s="804">
        <v>0.01</v>
      </c>
      <c r="BX159" s="804">
        <v>1</v>
      </c>
      <c r="BY159" s="804">
        <v>33403</v>
      </c>
      <c r="BZ159" s="804">
        <v>26722</v>
      </c>
      <c r="CA159" s="804">
        <v>6013</v>
      </c>
      <c r="CB159" s="804">
        <v>668</v>
      </c>
      <c r="CC159" s="804">
        <v>66806</v>
      </c>
      <c r="CD159" s="804">
        <v>92951</v>
      </c>
      <c r="CE159" s="804">
        <v>122000</v>
      </c>
      <c r="CF159" s="804">
        <v>86999</v>
      </c>
      <c r="CG159" s="804">
        <v>3050</v>
      </c>
      <c r="CH159" s="804">
        <v>305000</v>
      </c>
      <c r="CI159" s="804">
        <v>17356804</v>
      </c>
      <c r="CJ159" s="804">
        <v>14055082</v>
      </c>
      <c r="CK159" s="804">
        <v>3194493</v>
      </c>
      <c r="CL159" s="804">
        <v>348327</v>
      </c>
      <c r="CM159" s="804">
        <v>34954706</v>
      </c>
      <c r="CN159" s="804">
        <v>553550</v>
      </c>
      <c r="CO159" s="804">
        <v>124549</v>
      </c>
      <c r="CP159" s="804">
        <v>13839</v>
      </c>
      <c r="CQ159" s="804">
        <v>691938</v>
      </c>
      <c r="CR159" s="804">
        <v>1036709</v>
      </c>
      <c r="CS159" s="804">
        <v>233259</v>
      </c>
      <c r="CT159" s="804">
        <v>25918</v>
      </c>
      <c r="CU159" s="804">
        <v>1295886</v>
      </c>
      <c r="CV159" s="804">
        <v>70336</v>
      </c>
      <c r="CW159" s="804">
        <v>15826</v>
      </c>
      <c r="CX159" s="804">
        <v>1758</v>
      </c>
      <c r="CY159" s="804">
        <v>87920</v>
      </c>
      <c r="CZ159" s="804">
        <v>3093</v>
      </c>
      <c r="DA159" s="804">
        <v>696</v>
      </c>
      <c r="DB159" s="804">
        <v>77</v>
      </c>
      <c r="DC159" s="804">
        <v>3866</v>
      </c>
      <c r="DD159" s="804">
        <v>778</v>
      </c>
      <c r="DE159" s="804">
        <v>175</v>
      </c>
      <c r="DF159" s="804">
        <v>19</v>
      </c>
      <c r="DG159" s="804">
        <v>972</v>
      </c>
      <c r="DH159" s="804">
        <v>18073</v>
      </c>
      <c r="DI159" s="804">
        <v>4067</v>
      </c>
      <c r="DJ159" s="804">
        <v>452</v>
      </c>
      <c r="DK159" s="804">
        <v>22592</v>
      </c>
      <c r="DL159" s="804">
        <v>3091</v>
      </c>
      <c r="DM159" s="804">
        <v>696</v>
      </c>
      <c r="DN159" s="804">
        <v>77</v>
      </c>
      <c r="DO159" s="804">
        <v>3864</v>
      </c>
      <c r="DP159" s="804">
        <v>0</v>
      </c>
      <c r="DQ159" s="804">
        <v>0</v>
      </c>
      <c r="DR159" s="804">
        <v>0</v>
      </c>
      <c r="DS159" s="804">
        <v>0</v>
      </c>
      <c r="DT159" s="804">
        <v>0</v>
      </c>
      <c r="DU159" s="804">
        <v>0</v>
      </c>
      <c r="DV159" s="804">
        <v>0</v>
      </c>
      <c r="DW159" s="804">
        <v>0</v>
      </c>
      <c r="DX159" s="804">
        <v>231186</v>
      </c>
      <c r="DY159" s="804">
        <v>52017</v>
      </c>
      <c r="DZ159" s="804">
        <v>5780</v>
      </c>
      <c r="EA159" s="804">
        <v>288983</v>
      </c>
      <c r="EB159" s="804">
        <v>1916816</v>
      </c>
      <c r="EC159" s="804">
        <v>431285</v>
      </c>
      <c r="ED159" s="804">
        <v>47920</v>
      </c>
      <c r="EE159" s="804">
        <v>2396021</v>
      </c>
      <c r="EF159" s="604" t="s">
        <v>187</v>
      </c>
      <c r="EG159" s="497" t="s">
        <v>609</v>
      </c>
      <c r="EH159" s="630" t="s">
        <v>608</v>
      </c>
      <c r="EI159" s="118" t="s">
        <v>1810</v>
      </c>
    </row>
    <row r="160" spans="1:139" ht="12.75" x14ac:dyDescent="0.2">
      <c r="A160" s="805">
        <v>153</v>
      </c>
      <c r="B160" s="606" t="s">
        <v>190</v>
      </c>
      <c r="C160" s="607" t="s">
        <v>1185</v>
      </c>
      <c r="D160" s="608" t="s">
        <v>1188</v>
      </c>
      <c r="E160" s="609" t="s">
        <v>189</v>
      </c>
      <c r="F160" s="802">
        <v>44419003</v>
      </c>
      <c r="G160" s="804">
        <v>0</v>
      </c>
      <c r="H160" s="804">
        <v>15101</v>
      </c>
      <c r="I160" s="804">
        <v>143084</v>
      </c>
      <c r="J160" s="804">
        <v>0</v>
      </c>
      <c r="K160" s="804">
        <v>143084</v>
      </c>
      <c r="L160" s="804">
        <v>0</v>
      </c>
      <c r="M160" s="804">
        <v>0</v>
      </c>
      <c r="N160" s="804">
        <v>0</v>
      </c>
      <c r="O160" s="804">
        <v>0</v>
      </c>
      <c r="P160" s="804">
        <v>0</v>
      </c>
      <c r="Q160" s="804">
        <v>0</v>
      </c>
      <c r="R160" s="804">
        <v>44260818</v>
      </c>
      <c r="S160" s="804">
        <v>0.5</v>
      </c>
      <c r="T160" s="804">
        <v>0.4</v>
      </c>
      <c r="U160" s="804">
        <v>0.1</v>
      </c>
      <c r="V160" s="804">
        <v>0</v>
      </c>
      <c r="W160" s="804">
        <v>1</v>
      </c>
      <c r="X160" s="804">
        <v>22130409</v>
      </c>
      <c r="Y160" s="804">
        <v>17704327</v>
      </c>
      <c r="Z160" s="804">
        <v>4426082</v>
      </c>
      <c r="AA160" s="804">
        <v>0</v>
      </c>
      <c r="AB160" s="804">
        <v>44260818</v>
      </c>
      <c r="AC160" s="804">
        <v>0</v>
      </c>
      <c r="AD160" s="804">
        <v>0</v>
      </c>
      <c r="AE160" s="804">
        <v>0</v>
      </c>
      <c r="AF160" s="804">
        <v>0</v>
      </c>
      <c r="AG160" s="804">
        <v>0</v>
      </c>
      <c r="AH160" s="804">
        <v>22130409</v>
      </c>
      <c r="AI160" s="804">
        <v>17704327</v>
      </c>
      <c r="AJ160" s="804">
        <v>4426082</v>
      </c>
      <c r="AK160" s="804">
        <v>0</v>
      </c>
      <c r="AL160" s="804">
        <v>44260818</v>
      </c>
      <c r="AM160" s="804">
        <v>143084</v>
      </c>
      <c r="AN160" s="804">
        <v>143084</v>
      </c>
      <c r="AO160" s="804">
        <v>0</v>
      </c>
      <c r="AP160" s="804">
        <v>0</v>
      </c>
      <c r="AQ160" s="804">
        <v>0</v>
      </c>
      <c r="AR160" s="804">
        <v>0</v>
      </c>
      <c r="AS160" s="804">
        <v>0</v>
      </c>
      <c r="AT160" s="804">
        <v>0</v>
      </c>
      <c r="AU160" s="804">
        <v>0</v>
      </c>
      <c r="AV160" s="804">
        <v>0</v>
      </c>
      <c r="AW160" s="804">
        <v>0</v>
      </c>
      <c r="AX160" s="804">
        <v>0</v>
      </c>
      <c r="AY160" s="804">
        <v>0</v>
      </c>
      <c r="AZ160" s="804">
        <v>0</v>
      </c>
      <c r="BA160" s="804">
        <v>0</v>
      </c>
      <c r="BB160" s="804">
        <v>0</v>
      </c>
      <c r="BC160" s="804">
        <v>0</v>
      </c>
      <c r="BD160" s="804">
        <v>0</v>
      </c>
      <c r="BE160" s="804">
        <v>0</v>
      </c>
      <c r="BF160" s="804">
        <v>0</v>
      </c>
      <c r="BG160" s="804">
        <v>0</v>
      </c>
      <c r="BH160" s="804">
        <v>0</v>
      </c>
      <c r="BI160" s="804">
        <v>0</v>
      </c>
      <c r="BJ160" s="804">
        <v>0.5</v>
      </c>
      <c r="BK160" s="804">
        <v>0.4</v>
      </c>
      <c r="BL160" s="804">
        <v>0.1</v>
      </c>
      <c r="BM160" s="804">
        <v>0</v>
      </c>
      <c r="BN160" s="804">
        <v>1</v>
      </c>
      <c r="BO160" s="804">
        <v>842614</v>
      </c>
      <c r="BP160" s="804">
        <v>674091</v>
      </c>
      <c r="BQ160" s="804">
        <v>168523</v>
      </c>
      <c r="BR160" s="804">
        <v>0</v>
      </c>
      <c r="BS160" s="804">
        <v>1685228</v>
      </c>
      <c r="BT160" s="804">
        <v>0</v>
      </c>
      <c r="BU160" s="804">
        <v>0.6</v>
      </c>
      <c r="BV160" s="804">
        <v>0.4</v>
      </c>
      <c r="BW160" s="804">
        <v>0</v>
      </c>
      <c r="BX160" s="804">
        <v>1</v>
      </c>
      <c r="BY160" s="804">
        <v>-0.24000000208616257</v>
      </c>
      <c r="BZ160" s="804">
        <v>-529923</v>
      </c>
      <c r="CA160" s="804">
        <v>-353282</v>
      </c>
      <c r="CB160" s="804">
        <v>0</v>
      </c>
      <c r="CC160" s="804">
        <v>-883205.24000000209</v>
      </c>
      <c r="CD160" s="804">
        <v>842614</v>
      </c>
      <c r="CE160" s="804">
        <v>144168</v>
      </c>
      <c r="CF160" s="804">
        <v>-184759</v>
      </c>
      <c r="CG160" s="804">
        <v>0</v>
      </c>
      <c r="CH160" s="804">
        <v>802022.75999999791</v>
      </c>
      <c r="CI160" s="804">
        <v>22973023</v>
      </c>
      <c r="CJ160" s="804">
        <v>17991579</v>
      </c>
      <c r="CK160" s="804">
        <v>4241323</v>
      </c>
      <c r="CL160" s="804">
        <v>0</v>
      </c>
      <c r="CM160" s="804">
        <v>45205925</v>
      </c>
      <c r="CN160" s="804">
        <v>709592</v>
      </c>
      <c r="CO160" s="804">
        <v>177398</v>
      </c>
      <c r="CP160" s="804">
        <v>0</v>
      </c>
      <c r="CQ160" s="804">
        <v>886990</v>
      </c>
      <c r="CR160" s="804">
        <v>1021371</v>
      </c>
      <c r="CS160" s="804">
        <v>255343</v>
      </c>
      <c r="CT160" s="804">
        <v>0</v>
      </c>
      <c r="CU160" s="804">
        <v>1276714</v>
      </c>
      <c r="CV160" s="804">
        <v>75404</v>
      </c>
      <c r="CW160" s="804">
        <v>18851</v>
      </c>
      <c r="CX160" s="804">
        <v>0</v>
      </c>
      <c r="CY160" s="804">
        <v>94255</v>
      </c>
      <c r="CZ160" s="804">
        <v>1837</v>
      </c>
      <c r="DA160" s="804">
        <v>459</v>
      </c>
      <c r="DB160" s="804">
        <v>0</v>
      </c>
      <c r="DC160" s="804">
        <v>2296</v>
      </c>
      <c r="DD160" s="804">
        <v>0</v>
      </c>
      <c r="DE160" s="804">
        <v>0</v>
      </c>
      <c r="DF160" s="804">
        <v>0</v>
      </c>
      <c r="DG160" s="804">
        <v>0</v>
      </c>
      <c r="DH160" s="804">
        <v>3391</v>
      </c>
      <c r="DI160" s="804">
        <v>848</v>
      </c>
      <c r="DJ160" s="804">
        <v>0</v>
      </c>
      <c r="DK160" s="804">
        <v>4239</v>
      </c>
      <c r="DL160" s="804">
        <v>2354</v>
      </c>
      <c r="DM160" s="804">
        <v>589</v>
      </c>
      <c r="DN160" s="804">
        <v>0</v>
      </c>
      <c r="DO160" s="804">
        <v>2943</v>
      </c>
      <c r="DP160" s="804">
        <v>0</v>
      </c>
      <c r="DQ160" s="804">
        <v>0</v>
      </c>
      <c r="DR160" s="804">
        <v>0</v>
      </c>
      <c r="DS160" s="804">
        <v>0</v>
      </c>
      <c r="DT160" s="804">
        <v>0</v>
      </c>
      <c r="DU160" s="804">
        <v>0</v>
      </c>
      <c r="DV160" s="804">
        <v>0</v>
      </c>
      <c r="DW160" s="804">
        <v>0</v>
      </c>
      <c r="DX160" s="804">
        <v>380035</v>
      </c>
      <c r="DY160" s="804">
        <v>95009</v>
      </c>
      <c r="DZ160" s="804">
        <v>0</v>
      </c>
      <c r="EA160" s="804">
        <v>475044</v>
      </c>
      <c r="EB160" s="804">
        <v>2193984</v>
      </c>
      <c r="EC160" s="804">
        <v>548497</v>
      </c>
      <c r="ED160" s="804">
        <v>0</v>
      </c>
      <c r="EE160" s="804">
        <v>2742481</v>
      </c>
      <c r="EF160" s="604" t="s">
        <v>189</v>
      </c>
      <c r="EG160" s="497" t="s">
        <v>595</v>
      </c>
      <c r="EH160" s="630" t="s">
        <v>551</v>
      </c>
      <c r="EI160" s="118" t="s">
        <v>1811</v>
      </c>
    </row>
    <row r="161" spans="1:139" ht="12.75" x14ac:dyDescent="0.2">
      <c r="A161" s="805">
        <v>154</v>
      </c>
      <c r="B161" s="606" t="s">
        <v>192</v>
      </c>
      <c r="C161" s="607" t="s">
        <v>1192</v>
      </c>
      <c r="D161" s="608" t="s">
        <v>1187</v>
      </c>
      <c r="E161" s="609" t="s">
        <v>191</v>
      </c>
      <c r="F161" s="802">
        <v>205153704</v>
      </c>
      <c r="G161" s="804">
        <v>0</v>
      </c>
      <c r="H161" s="804">
        <v>275876</v>
      </c>
      <c r="I161" s="804">
        <v>779985</v>
      </c>
      <c r="J161" s="804">
        <v>0</v>
      </c>
      <c r="K161" s="804">
        <v>779985</v>
      </c>
      <c r="L161" s="804">
        <v>0</v>
      </c>
      <c r="M161" s="804">
        <v>0</v>
      </c>
      <c r="N161" s="804">
        <v>0</v>
      </c>
      <c r="O161" s="804">
        <v>0</v>
      </c>
      <c r="P161" s="804">
        <v>0</v>
      </c>
      <c r="Q161" s="804">
        <v>0</v>
      </c>
      <c r="R161" s="804">
        <v>204097843</v>
      </c>
      <c r="S161" s="804">
        <v>0</v>
      </c>
      <c r="T161" s="804">
        <v>0.99</v>
      </c>
      <c r="U161" s="804">
        <v>0</v>
      </c>
      <c r="V161" s="804">
        <v>0.01</v>
      </c>
      <c r="W161" s="804">
        <v>1</v>
      </c>
      <c r="X161" s="804">
        <v>0</v>
      </c>
      <c r="Y161" s="804">
        <v>202056865</v>
      </c>
      <c r="Z161" s="804">
        <v>0</v>
      </c>
      <c r="AA161" s="804">
        <v>2040978</v>
      </c>
      <c r="AB161" s="804">
        <v>204097843</v>
      </c>
      <c r="AC161" s="804">
        <v>0</v>
      </c>
      <c r="AD161" s="804">
        <v>0</v>
      </c>
      <c r="AE161" s="804">
        <v>0</v>
      </c>
      <c r="AF161" s="804">
        <v>0</v>
      </c>
      <c r="AG161" s="804">
        <v>0</v>
      </c>
      <c r="AH161" s="804">
        <v>0</v>
      </c>
      <c r="AI161" s="804">
        <v>202056865</v>
      </c>
      <c r="AJ161" s="804">
        <v>0</v>
      </c>
      <c r="AK161" s="804">
        <v>2040978</v>
      </c>
      <c r="AL161" s="804">
        <v>204097843</v>
      </c>
      <c r="AM161" s="804">
        <v>779985</v>
      </c>
      <c r="AN161" s="804">
        <v>779985</v>
      </c>
      <c r="AO161" s="804">
        <v>0</v>
      </c>
      <c r="AP161" s="804">
        <v>0</v>
      </c>
      <c r="AQ161" s="804">
        <v>0</v>
      </c>
      <c r="AR161" s="804">
        <v>0</v>
      </c>
      <c r="AS161" s="804">
        <v>0</v>
      </c>
      <c r="AT161" s="804">
        <v>0</v>
      </c>
      <c r="AU161" s="804">
        <v>0</v>
      </c>
      <c r="AV161" s="804">
        <v>0</v>
      </c>
      <c r="AW161" s="804">
        <v>0</v>
      </c>
      <c r="AX161" s="804">
        <v>0</v>
      </c>
      <c r="AY161" s="804">
        <v>0</v>
      </c>
      <c r="AZ161" s="804">
        <v>0</v>
      </c>
      <c r="BA161" s="804">
        <v>0</v>
      </c>
      <c r="BB161" s="804">
        <v>0</v>
      </c>
      <c r="BC161" s="804">
        <v>0</v>
      </c>
      <c r="BD161" s="804">
        <v>0</v>
      </c>
      <c r="BE161" s="804">
        <v>0</v>
      </c>
      <c r="BF161" s="804">
        <v>0</v>
      </c>
      <c r="BG161" s="804">
        <v>0</v>
      </c>
      <c r="BH161" s="804">
        <v>0</v>
      </c>
      <c r="BI161" s="804">
        <v>0</v>
      </c>
      <c r="BJ161" s="804">
        <v>0</v>
      </c>
      <c r="BK161" s="804">
        <v>0.99</v>
      </c>
      <c r="BL161" s="804">
        <v>0</v>
      </c>
      <c r="BM161" s="804">
        <v>0.01</v>
      </c>
      <c r="BN161" s="804">
        <v>1</v>
      </c>
      <c r="BO161" s="804">
        <v>0</v>
      </c>
      <c r="BP161" s="804">
        <v>4059430</v>
      </c>
      <c r="BQ161" s="804">
        <v>0</v>
      </c>
      <c r="BR161" s="804">
        <v>41004</v>
      </c>
      <c r="BS161" s="804">
        <v>4100434</v>
      </c>
      <c r="BT161" s="804">
        <v>0</v>
      </c>
      <c r="BU161" s="804">
        <v>0.99</v>
      </c>
      <c r="BV161" s="804">
        <v>0</v>
      </c>
      <c r="BW161" s="804">
        <v>0.01</v>
      </c>
      <c r="BX161" s="804">
        <v>1</v>
      </c>
      <c r="BY161" s="804">
        <v>0</v>
      </c>
      <c r="BZ161" s="804">
        <v>61343</v>
      </c>
      <c r="CA161" s="804">
        <v>0</v>
      </c>
      <c r="CB161" s="804">
        <v>620</v>
      </c>
      <c r="CC161" s="804">
        <v>61963</v>
      </c>
      <c r="CD161" s="804">
        <v>0</v>
      </c>
      <c r="CE161" s="804">
        <v>4120773</v>
      </c>
      <c r="CF161" s="804">
        <v>0</v>
      </c>
      <c r="CG161" s="804">
        <v>41624</v>
      </c>
      <c r="CH161" s="804">
        <v>4162397</v>
      </c>
      <c r="CI161" s="804">
        <v>0</v>
      </c>
      <c r="CJ161" s="804">
        <v>206957623</v>
      </c>
      <c r="CK161" s="804">
        <v>0</v>
      </c>
      <c r="CL161" s="804">
        <v>2082602</v>
      </c>
      <c r="CM161" s="804">
        <v>209040225</v>
      </c>
      <c r="CN161" s="804">
        <v>8098472</v>
      </c>
      <c r="CO161" s="804">
        <v>0</v>
      </c>
      <c r="CP161" s="804">
        <v>81803</v>
      </c>
      <c r="CQ161" s="804">
        <v>8180275</v>
      </c>
      <c r="CR161" s="804">
        <v>11310302</v>
      </c>
      <c r="CS161" s="804">
        <v>0</v>
      </c>
      <c r="CT161" s="804">
        <v>106275</v>
      </c>
      <c r="CU161" s="804">
        <v>11416577</v>
      </c>
      <c r="CV161" s="804">
        <v>769887</v>
      </c>
      <c r="CW161" s="804">
        <v>0</v>
      </c>
      <c r="CX161" s="804">
        <v>6661</v>
      </c>
      <c r="CY161" s="804">
        <v>776548</v>
      </c>
      <c r="CZ161" s="804">
        <v>77347</v>
      </c>
      <c r="DA161" s="804">
        <v>0</v>
      </c>
      <c r="DB161" s="804">
        <v>659</v>
      </c>
      <c r="DC161" s="804">
        <v>78006</v>
      </c>
      <c r="DD161" s="804">
        <v>0</v>
      </c>
      <c r="DE161" s="804">
        <v>0</v>
      </c>
      <c r="DF161" s="804">
        <v>0</v>
      </c>
      <c r="DG161" s="804">
        <v>0</v>
      </c>
      <c r="DH161" s="804">
        <v>127111</v>
      </c>
      <c r="DI161" s="804">
        <v>0</v>
      </c>
      <c r="DJ161" s="804">
        <v>1163</v>
      </c>
      <c r="DK161" s="804">
        <v>128274</v>
      </c>
      <c r="DL161" s="804">
        <v>33657</v>
      </c>
      <c r="DM161" s="804">
        <v>0</v>
      </c>
      <c r="DN161" s="804">
        <v>298</v>
      </c>
      <c r="DO161" s="804">
        <v>33955</v>
      </c>
      <c r="DP161" s="804">
        <v>84425</v>
      </c>
      <c r="DQ161" s="804">
        <v>0</v>
      </c>
      <c r="DR161" s="804">
        <v>0</v>
      </c>
      <c r="DS161" s="804">
        <v>84425</v>
      </c>
      <c r="DT161" s="804">
        <v>0</v>
      </c>
      <c r="DU161" s="804">
        <v>0</v>
      </c>
      <c r="DV161" s="804">
        <v>0</v>
      </c>
      <c r="DW161" s="804">
        <v>0</v>
      </c>
      <c r="DX161" s="804">
        <v>4457674</v>
      </c>
      <c r="DY161" s="804">
        <v>0</v>
      </c>
      <c r="DZ161" s="804">
        <v>41080</v>
      </c>
      <c r="EA161" s="804">
        <v>4498754</v>
      </c>
      <c r="EB161" s="804">
        <v>24958875</v>
      </c>
      <c r="EC161" s="804">
        <v>0</v>
      </c>
      <c r="ED161" s="804">
        <v>237939</v>
      </c>
      <c r="EE161" s="804">
        <v>25196814</v>
      </c>
      <c r="EF161" s="604" t="s">
        <v>191</v>
      </c>
      <c r="EG161" s="497" t="s">
        <v>616</v>
      </c>
      <c r="EH161" s="630" t="s">
        <v>618</v>
      </c>
      <c r="EI161" s="118" t="s">
        <v>1812</v>
      </c>
    </row>
    <row r="162" spans="1:139" ht="12.75" x14ac:dyDescent="0.2">
      <c r="A162" s="805">
        <v>155</v>
      </c>
      <c r="B162" s="606" t="s">
        <v>194</v>
      </c>
      <c r="C162" s="607" t="s">
        <v>524</v>
      </c>
      <c r="D162" s="608" t="s">
        <v>1189</v>
      </c>
      <c r="E162" s="609" t="s">
        <v>529</v>
      </c>
      <c r="F162" s="802">
        <v>67628091</v>
      </c>
      <c r="G162" s="804">
        <v>0</v>
      </c>
      <c r="H162" s="804">
        <v>137824</v>
      </c>
      <c r="I162" s="804">
        <v>238245</v>
      </c>
      <c r="J162" s="804">
        <v>0</v>
      </c>
      <c r="K162" s="804">
        <v>238245</v>
      </c>
      <c r="L162" s="804">
        <v>0</v>
      </c>
      <c r="M162" s="804">
        <v>0</v>
      </c>
      <c r="N162" s="804">
        <v>0</v>
      </c>
      <c r="O162" s="804">
        <v>0</v>
      </c>
      <c r="P162" s="804">
        <v>0</v>
      </c>
      <c r="Q162" s="804">
        <v>0</v>
      </c>
      <c r="R162" s="804">
        <v>67252022</v>
      </c>
      <c r="S162" s="804">
        <v>0.5</v>
      </c>
      <c r="T162" s="804">
        <v>0.49</v>
      </c>
      <c r="U162" s="804">
        <v>0</v>
      </c>
      <c r="V162" s="804">
        <v>0.01</v>
      </c>
      <c r="W162" s="804">
        <v>1</v>
      </c>
      <c r="X162" s="804">
        <v>33626011</v>
      </c>
      <c r="Y162" s="804">
        <v>32953491</v>
      </c>
      <c r="Z162" s="804">
        <v>0</v>
      </c>
      <c r="AA162" s="804">
        <v>672520</v>
      </c>
      <c r="AB162" s="804">
        <v>67252022</v>
      </c>
      <c r="AC162" s="804">
        <v>0</v>
      </c>
      <c r="AD162" s="804">
        <v>0</v>
      </c>
      <c r="AE162" s="804">
        <v>0</v>
      </c>
      <c r="AF162" s="804">
        <v>0</v>
      </c>
      <c r="AG162" s="804">
        <v>0</v>
      </c>
      <c r="AH162" s="804">
        <v>33626011</v>
      </c>
      <c r="AI162" s="804">
        <v>32953491</v>
      </c>
      <c r="AJ162" s="804">
        <v>0</v>
      </c>
      <c r="AK162" s="804">
        <v>672520</v>
      </c>
      <c r="AL162" s="804">
        <v>67252022</v>
      </c>
      <c r="AM162" s="804">
        <v>238245</v>
      </c>
      <c r="AN162" s="804">
        <v>238245</v>
      </c>
      <c r="AO162" s="804">
        <v>0</v>
      </c>
      <c r="AP162" s="804">
        <v>0</v>
      </c>
      <c r="AQ162" s="804">
        <v>0</v>
      </c>
      <c r="AR162" s="804">
        <v>0</v>
      </c>
      <c r="AS162" s="804">
        <v>0</v>
      </c>
      <c r="AT162" s="804">
        <v>0</v>
      </c>
      <c r="AU162" s="804">
        <v>0</v>
      </c>
      <c r="AV162" s="804">
        <v>0</v>
      </c>
      <c r="AW162" s="804">
        <v>0</v>
      </c>
      <c r="AX162" s="804">
        <v>0</v>
      </c>
      <c r="AY162" s="804">
        <v>0</v>
      </c>
      <c r="AZ162" s="804">
        <v>0</v>
      </c>
      <c r="BA162" s="804">
        <v>0</v>
      </c>
      <c r="BB162" s="804">
        <v>0</v>
      </c>
      <c r="BC162" s="804">
        <v>0</v>
      </c>
      <c r="BD162" s="804">
        <v>0</v>
      </c>
      <c r="BE162" s="804">
        <v>0</v>
      </c>
      <c r="BF162" s="804">
        <v>0</v>
      </c>
      <c r="BG162" s="804">
        <v>0</v>
      </c>
      <c r="BH162" s="804">
        <v>0</v>
      </c>
      <c r="BI162" s="804">
        <v>0</v>
      </c>
      <c r="BJ162" s="804">
        <v>0.5</v>
      </c>
      <c r="BK162" s="804">
        <v>0.49</v>
      </c>
      <c r="BL162" s="804">
        <v>0</v>
      </c>
      <c r="BM162" s="804">
        <v>0.01</v>
      </c>
      <c r="BN162" s="804">
        <v>1</v>
      </c>
      <c r="BO162" s="804">
        <v>1427484</v>
      </c>
      <c r="BP162" s="804">
        <v>1398935</v>
      </c>
      <c r="BQ162" s="804">
        <v>0</v>
      </c>
      <c r="BR162" s="804">
        <v>28550</v>
      </c>
      <c r="BS162" s="804">
        <v>2854969</v>
      </c>
      <c r="BT162" s="804">
        <v>0.5</v>
      </c>
      <c r="BU162" s="804">
        <v>0.49</v>
      </c>
      <c r="BV162" s="804">
        <v>0</v>
      </c>
      <c r="BW162" s="804">
        <v>0.01</v>
      </c>
      <c r="BX162" s="804">
        <v>1</v>
      </c>
      <c r="BY162" s="804">
        <v>1199411</v>
      </c>
      <c r="BZ162" s="804">
        <v>1175423</v>
      </c>
      <c r="CA162" s="804">
        <v>0</v>
      </c>
      <c r="CB162" s="804">
        <v>23988</v>
      </c>
      <c r="CC162" s="804">
        <v>2398822</v>
      </c>
      <c r="CD162" s="804">
        <v>2626895</v>
      </c>
      <c r="CE162" s="804">
        <v>2574358</v>
      </c>
      <c r="CF162" s="804">
        <v>0</v>
      </c>
      <c r="CG162" s="804">
        <v>52538</v>
      </c>
      <c r="CH162" s="804">
        <v>5253791</v>
      </c>
      <c r="CI162" s="804">
        <v>36252906</v>
      </c>
      <c r="CJ162" s="804">
        <v>35766094</v>
      </c>
      <c r="CK162" s="804">
        <v>0</v>
      </c>
      <c r="CL162" s="804">
        <v>725058</v>
      </c>
      <c r="CM162" s="804">
        <v>72744058</v>
      </c>
      <c r="CN162" s="804">
        <v>1320781</v>
      </c>
      <c r="CO162" s="804">
        <v>0</v>
      </c>
      <c r="CP162" s="804">
        <v>26955</v>
      </c>
      <c r="CQ162" s="804">
        <v>1347736</v>
      </c>
      <c r="CR162" s="804">
        <v>2134878</v>
      </c>
      <c r="CS162" s="804">
        <v>0</v>
      </c>
      <c r="CT162" s="804">
        <v>43240</v>
      </c>
      <c r="CU162" s="804">
        <v>2178118</v>
      </c>
      <c r="CV162" s="804">
        <v>155979</v>
      </c>
      <c r="CW162" s="804">
        <v>0</v>
      </c>
      <c r="CX162" s="804">
        <v>2934</v>
      </c>
      <c r="CY162" s="804">
        <v>158913</v>
      </c>
      <c r="CZ162" s="804">
        <v>3028</v>
      </c>
      <c r="DA162" s="804">
        <v>0</v>
      </c>
      <c r="DB162" s="804">
        <v>62</v>
      </c>
      <c r="DC162" s="804">
        <v>3090</v>
      </c>
      <c r="DD162" s="804">
        <v>0</v>
      </c>
      <c r="DE162" s="804">
        <v>0</v>
      </c>
      <c r="DF162" s="804">
        <v>0</v>
      </c>
      <c r="DG162" s="804">
        <v>0</v>
      </c>
      <c r="DH162" s="804">
        <v>14947</v>
      </c>
      <c r="DI162" s="804">
        <v>0</v>
      </c>
      <c r="DJ162" s="804">
        <v>305</v>
      </c>
      <c r="DK162" s="804">
        <v>15252</v>
      </c>
      <c r="DL162" s="804">
        <v>4077</v>
      </c>
      <c r="DM162" s="804">
        <v>0</v>
      </c>
      <c r="DN162" s="804">
        <v>83</v>
      </c>
      <c r="DO162" s="804">
        <v>4160</v>
      </c>
      <c r="DP162" s="804">
        <v>0</v>
      </c>
      <c r="DQ162" s="804">
        <v>0</v>
      </c>
      <c r="DR162" s="804">
        <v>0</v>
      </c>
      <c r="DS162" s="804">
        <v>0</v>
      </c>
      <c r="DT162" s="804">
        <v>0</v>
      </c>
      <c r="DU162" s="804">
        <v>0</v>
      </c>
      <c r="DV162" s="804">
        <v>0</v>
      </c>
      <c r="DW162" s="804">
        <v>0</v>
      </c>
      <c r="DX162" s="804">
        <v>555839</v>
      </c>
      <c r="DY162" s="804">
        <v>0</v>
      </c>
      <c r="DZ162" s="804">
        <v>11329</v>
      </c>
      <c r="EA162" s="804">
        <v>567168</v>
      </c>
      <c r="EB162" s="804">
        <v>4189529</v>
      </c>
      <c r="EC162" s="804">
        <v>0</v>
      </c>
      <c r="ED162" s="804">
        <v>84908</v>
      </c>
      <c r="EE162" s="804">
        <v>4274437</v>
      </c>
      <c r="EF162" s="604" t="s">
        <v>529</v>
      </c>
      <c r="EG162" s="497" t="s">
        <v>524</v>
      </c>
      <c r="EH162" s="630" t="s">
        <v>530</v>
      </c>
      <c r="EI162" s="118" t="s">
        <v>1813</v>
      </c>
    </row>
    <row r="163" spans="1:139" ht="12.75" x14ac:dyDescent="0.2">
      <c r="A163" s="805">
        <v>156</v>
      </c>
      <c r="B163" s="606" t="s">
        <v>196</v>
      </c>
      <c r="C163" s="607" t="s">
        <v>1185</v>
      </c>
      <c r="D163" s="608" t="s">
        <v>1186</v>
      </c>
      <c r="E163" s="609" t="s">
        <v>195</v>
      </c>
      <c r="F163" s="802">
        <v>58402999</v>
      </c>
      <c r="G163" s="804">
        <v>0</v>
      </c>
      <c r="H163" s="804">
        <v>681636</v>
      </c>
      <c r="I163" s="804">
        <v>205242</v>
      </c>
      <c r="J163" s="804">
        <v>0</v>
      </c>
      <c r="K163" s="804">
        <v>205242</v>
      </c>
      <c r="L163" s="804">
        <v>0</v>
      </c>
      <c r="M163" s="804">
        <v>106103</v>
      </c>
      <c r="N163" s="804">
        <v>38465</v>
      </c>
      <c r="O163" s="804">
        <v>38465</v>
      </c>
      <c r="P163" s="804">
        <v>0</v>
      </c>
      <c r="Q163" s="804">
        <v>0</v>
      </c>
      <c r="R163" s="804">
        <v>57371553</v>
      </c>
      <c r="S163" s="804">
        <v>0.5</v>
      </c>
      <c r="T163" s="804">
        <v>0.4</v>
      </c>
      <c r="U163" s="804">
        <v>0.09</v>
      </c>
      <c r="V163" s="804">
        <v>0.01</v>
      </c>
      <c r="W163" s="804">
        <v>1</v>
      </c>
      <c r="X163" s="804">
        <v>28685776</v>
      </c>
      <c r="Y163" s="804">
        <v>22948621</v>
      </c>
      <c r="Z163" s="804">
        <v>5163440</v>
      </c>
      <c r="AA163" s="804">
        <v>573716</v>
      </c>
      <c r="AB163" s="804">
        <v>57371553</v>
      </c>
      <c r="AC163" s="804">
        <v>55000</v>
      </c>
      <c r="AD163" s="804">
        <v>0</v>
      </c>
      <c r="AE163" s="804">
        <v>0</v>
      </c>
      <c r="AF163" s="804">
        <v>0</v>
      </c>
      <c r="AG163" s="804">
        <v>55000</v>
      </c>
      <c r="AH163" s="804">
        <v>28630776</v>
      </c>
      <c r="AI163" s="804">
        <v>22948621</v>
      </c>
      <c r="AJ163" s="804">
        <v>5163440</v>
      </c>
      <c r="AK163" s="804">
        <v>573716</v>
      </c>
      <c r="AL163" s="804">
        <v>57316553</v>
      </c>
      <c r="AM163" s="804">
        <v>205242</v>
      </c>
      <c r="AN163" s="804">
        <v>205242</v>
      </c>
      <c r="AO163" s="804">
        <v>106103</v>
      </c>
      <c r="AP163" s="804">
        <v>106103</v>
      </c>
      <c r="AQ163" s="804">
        <v>38465</v>
      </c>
      <c r="AR163" s="804">
        <v>0</v>
      </c>
      <c r="AS163" s="804">
        <v>38465</v>
      </c>
      <c r="AT163" s="804">
        <v>0</v>
      </c>
      <c r="AU163" s="804">
        <v>0</v>
      </c>
      <c r="AV163" s="804">
        <v>0</v>
      </c>
      <c r="AW163" s="804">
        <v>0</v>
      </c>
      <c r="AX163" s="804">
        <v>55000</v>
      </c>
      <c r="AY163" s="804">
        <v>0</v>
      </c>
      <c r="AZ163" s="804">
        <v>0</v>
      </c>
      <c r="BA163" s="804">
        <v>55000</v>
      </c>
      <c r="BB163" s="804">
        <v>0</v>
      </c>
      <c r="BC163" s="804">
        <v>0</v>
      </c>
      <c r="BD163" s="804">
        <v>0</v>
      </c>
      <c r="BE163" s="804">
        <v>0</v>
      </c>
      <c r="BF163" s="804">
        <v>0</v>
      </c>
      <c r="BG163" s="804">
        <v>0</v>
      </c>
      <c r="BH163" s="804">
        <v>0</v>
      </c>
      <c r="BI163" s="804">
        <v>0</v>
      </c>
      <c r="BJ163" s="804">
        <v>0.5</v>
      </c>
      <c r="BK163" s="804">
        <v>0.4</v>
      </c>
      <c r="BL163" s="804">
        <v>0.09</v>
      </c>
      <c r="BM163" s="804">
        <v>0.01</v>
      </c>
      <c r="BN163" s="804">
        <v>1</v>
      </c>
      <c r="BO163" s="804">
        <v>2595516</v>
      </c>
      <c r="BP163" s="804">
        <v>2076413</v>
      </c>
      <c r="BQ163" s="804">
        <v>467193</v>
      </c>
      <c r="BR163" s="804">
        <v>51910</v>
      </c>
      <c r="BS163" s="804">
        <v>5191032</v>
      </c>
      <c r="BT163" s="804">
        <v>0</v>
      </c>
      <c r="BU163" s="804">
        <v>0.4</v>
      </c>
      <c r="BV163" s="804">
        <v>0.59</v>
      </c>
      <c r="BW163" s="804">
        <v>0.01</v>
      </c>
      <c r="BX163" s="804">
        <v>1</v>
      </c>
      <c r="BY163" s="804">
        <v>0</v>
      </c>
      <c r="BZ163" s="804">
        <v>-896553</v>
      </c>
      <c r="CA163" s="804">
        <v>-1322415</v>
      </c>
      <c r="CB163" s="804">
        <v>-22414</v>
      </c>
      <c r="CC163" s="804">
        <v>-2241382</v>
      </c>
      <c r="CD163" s="804">
        <v>2595516</v>
      </c>
      <c r="CE163" s="804">
        <v>1179860</v>
      </c>
      <c r="CF163" s="804">
        <v>-855222</v>
      </c>
      <c r="CG163" s="804">
        <v>29496</v>
      </c>
      <c r="CH163" s="804">
        <v>2949650</v>
      </c>
      <c r="CI163" s="804">
        <v>31226292</v>
      </c>
      <c r="CJ163" s="804">
        <v>24533291</v>
      </c>
      <c r="CK163" s="804">
        <v>4308218</v>
      </c>
      <c r="CL163" s="804">
        <v>603212</v>
      </c>
      <c r="CM163" s="804">
        <v>60671013</v>
      </c>
      <c r="CN163" s="804">
        <v>927783</v>
      </c>
      <c r="CO163" s="804">
        <v>206952</v>
      </c>
      <c r="CP163" s="804">
        <v>22995</v>
      </c>
      <c r="CQ163" s="804">
        <v>1157730</v>
      </c>
      <c r="CR163" s="804">
        <v>1403621</v>
      </c>
      <c r="CS163" s="804">
        <v>315815</v>
      </c>
      <c r="CT163" s="804">
        <v>35091</v>
      </c>
      <c r="CU163" s="804">
        <v>1754527</v>
      </c>
      <c r="CV163" s="804">
        <v>128521</v>
      </c>
      <c r="CW163" s="804">
        <v>28917</v>
      </c>
      <c r="CX163" s="804">
        <v>3213</v>
      </c>
      <c r="CY163" s="804">
        <v>160651</v>
      </c>
      <c r="CZ163" s="804">
        <v>1910</v>
      </c>
      <c r="DA163" s="804">
        <v>430</v>
      </c>
      <c r="DB163" s="804">
        <v>48</v>
      </c>
      <c r="DC163" s="804">
        <v>2388</v>
      </c>
      <c r="DD163" s="804">
        <v>0</v>
      </c>
      <c r="DE163" s="804">
        <v>0</v>
      </c>
      <c r="DF163" s="804">
        <v>0</v>
      </c>
      <c r="DG163" s="804">
        <v>0</v>
      </c>
      <c r="DH163" s="804">
        <v>7336</v>
      </c>
      <c r="DI163" s="804">
        <v>1651</v>
      </c>
      <c r="DJ163" s="804">
        <v>183</v>
      </c>
      <c r="DK163" s="804">
        <v>9170</v>
      </c>
      <c r="DL163" s="804">
        <v>3417</v>
      </c>
      <c r="DM163" s="804">
        <v>769</v>
      </c>
      <c r="DN163" s="804">
        <v>85</v>
      </c>
      <c r="DO163" s="804">
        <v>4271</v>
      </c>
      <c r="DP163" s="804">
        <v>0</v>
      </c>
      <c r="DQ163" s="804">
        <v>0</v>
      </c>
      <c r="DR163" s="804">
        <v>0</v>
      </c>
      <c r="DS163" s="804">
        <v>0</v>
      </c>
      <c r="DT163" s="804">
        <v>0</v>
      </c>
      <c r="DU163" s="804">
        <v>0</v>
      </c>
      <c r="DV163" s="804">
        <v>0</v>
      </c>
      <c r="DW163" s="804">
        <v>0</v>
      </c>
      <c r="DX163" s="804">
        <v>602874</v>
      </c>
      <c r="DY163" s="804">
        <v>135647</v>
      </c>
      <c r="DZ163" s="804">
        <v>15072</v>
      </c>
      <c r="EA163" s="804">
        <v>753593</v>
      </c>
      <c r="EB163" s="804">
        <v>3075462</v>
      </c>
      <c r="EC163" s="804">
        <v>690181</v>
      </c>
      <c r="ED163" s="804">
        <v>76687</v>
      </c>
      <c r="EE163" s="804">
        <v>3842330</v>
      </c>
      <c r="EF163" s="604" t="s">
        <v>195</v>
      </c>
      <c r="EG163" s="497" t="s">
        <v>586</v>
      </c>
      <c r="EH163" s="630" t="s">
        <v>585</v>
      </c>
      <c r="EI163" s="118" t="s">
        <v>1814</v>
      </c>
    </row>
    <row r="164" spans="1:139" ht="12.75" x14ac:dyDescent="0.2">
      <c r="A164" s="805">
        <v>157</v>
      </c>
      <c r="B164" s="606" t="s">
        <v>198</v>
      </c>
      <c r="C164" s="607" t="s">
        <v>1185</v>
      </c>
      <c r="D164" s="608" t="s">
        <v>1189</v>
      </c>
      <c r="E164" s="609" t="s">
        <v>197</v>
      </c>
      <c r="F164" s="802">
        <v>14717357</v>
      </c>
      <c r="G164" s="804">
        <v>126295</v>
      </c>
      <c r="H164" s="804">
        <v>0</v>
      </c>
      <c r="I164" s="804">
        <v>89580</v>
      </c>
      <c r="J164" s="804">
        <v>0</v>
      </c>
      <c r="K164" s="804">
        <v>89580</v>
      </c>
      <c r="L164" s="804">
        <v>0</v>
      </c>
      <c r="M164" s="804">
        <v>0</v>
      </c>
      <c r="N164" s="804">
        <v>746164</v>
      </c>
      <c r="O164" s="804">
        <v>746164</v>
      </c>
      <c r="P164" s="804">
        <v>0</v>
      </c>
      <c r="Q164" s="804">
        <v>0</v>
      </c>
      <c r="R164" s="804">
        <v>14007908</v>
      </c>
      <c r="S164" s="804">
        <v>0.5</v>
      </c>
      <c r="T164" s="804">
        <v>0.4</v>
      </c>
      <c r="U164" s="804">
        <v>0.09</v>
      </c>
      <c r="V164" s="804">
        <v>0.01</v>
      </c>
      <c r="W164" s="804">
        <v>1</v>
      </c>
      <c r="X164" s="804">
        <v>7003954</v>
      </c>
      <c r="Y164" s="804">
        <v>5603163</v>
      </c>
      <c r="Z164" s="804">
        <v>1260712</v>
      </c>
      <c r="AA164" s="804">
        <v>140079</v>
      </c>
      <c r="AB164" s="804">
        <v>14007908</v>
      </c>
      <c r="AC164" s="804">
        <v>0</v>
      </c>
      <c r="AD164" s="804">
        <v>0</v>
      </c>
      <c r="AE164" s="804">
        <v>0</v>
      </c>
      <c r="AF164" s="804">
        <v>0</v>
      </c>
      <c r="AG164" s="804">
        <v>0</v>
      </c>
      <c r="AH164" s="804">
        <v>7003954</v>
      </c>
      <c r="AI164" s="804">
        <v>5603163</v>
      </c>
      <c r="AJ164" s="804">
        <v>1260712</v>
      </c>
      <c r="AK164" s="804">
        <v>140079</v>
      </c>
      <c r="AL164" s="804">
        <v>14007908</v>
      </c>
      <c r="AM164" s="804">
        <v>89580</v>
      </c>
      <c r="AN164" s="804">
        <v>89580</v>
      </c>
      <c r="AO164" s="804">
        <v>0</v>
      </c>
      <c r="AP164" s="804">
        <v>0</v>
      </c>
      <c r="AQ164" s="804">
        <v>746164</v>
      </c>
      <c r="AR164" s="804">
        <v>0</v>
      </c>
      <c r="AS164" s="804">
        <v>746164</v>
      </c>
      <c r="AT164" s="804">
        <v>0</v>
      </c>
      <c r="AU164" s="804">
        <v>0</v>
      </c>
      <c r="AV164" s="804">
        <v>0</v>
      </c>
      <c r="AW164" s="804">
        <v>0</v>
      </c>
      <c r="AX164" s="804">
        <v>0</v>
      </c>
      <c r="AY164" s="804">
        <v>0</v>
      </c>
      <c r="AZ164" s="804">
        <v>0</v>
      </c>
      <c r="BA164" s="804">
        <v>0</v>
      </c>
      <c r="BB164" s="804">
        <v>0</v>
      </c>
      <c r="BC164" s="804">
        <v>0</v>
      </c>
      <c r="BD164" s="804">
        <v>0</v>
      </c>
      <c r="BE164" s="804">
        <v>0</v>
      </c>
      <c r="BF164" s="804">
        <v>0</v>
      </c>
      <c r="BG164" s="804">
        <v>0</v>
      </c>
      <c r="BH164" s="804">
        <v>0</v>
      </c>
      <c r="BI164" s="804">
        <v>0</v>
      </c>
      <c r="BJ164" s="804">
        <v>0.5</v>
      </c>
      <c r="BK164" s="804">
        <v>0.4</v>
      </c>
      <c r="BL164" s="804">
        <v>0.09</v>
      </c>
      <c r="BM164" s="804">
        <v>0.01</v>
      </c>
      <c r="BN164" s="804">
        <v>1</v>
      </c>
      <c r="BO164" s="804">
        <v>531164</v>
      </c>
      <c r="BP164" s="804">
        <v>424931</v>
      </c>
      <c r="BQ164" s="804">
        <v>95610</v>
      </c>
      <c r="BR164" s="804">
        <v>10623</v>
      </c>
      <c r="BS164" s="804">
        <v>1062328</v>
      </c>
      <c r="BT164" s="804">
        <v>0.5</v>
      </c>
      <c r="BU164" s="804">
        <v>0.4</v>
      </c>
      <c r="BV164" s="804">
        <v>0.09</v>
      </c>
      <c r="BW164" s="804">
        <v>0.01</v>
      </c>
      <c r="BX164" s="804">
        <v>1</v>
      </c>
      <c r="BY164" s="804">
        <v>-704812</v>
      </c>
      <c r="BZ164" s="804">
        <v>-563849</v>
      </c>
      <c r="CA164" s="804">
        <v>-126866</v>
      </c>
      <c r="CB164" s="804">
        <v>-14096</v>
      </c>
      <c r="CC164" s="804">
        <v>-1409623</v>
      </c>
      <c r="CD164" s="804">
        <v>-173647</v>
      </c>
      <c r="CE164" s="804">
        <v>-138918</v>
      </c>
      <c r="CF164" s="804">
        <v>-31257</v>
      </c>
      <c r="CG164" s="804">
        <v>-3473</v>
      </c>
      <c r="CH164" s="804">
        <v>-347295</v>
      </c>
      <c r="CI164" s="804">
        <v>6830307</v>
      </c>
      <c r="CJ164" s="804">
        <v>6299989</v>
      </c>
      <c r="CK164" s="804">
        <v>1229455</v>
      </c>
      <c r="CL164" s="804">
        <v>136606</v>
      </c>
      <c r="CM164" s="804">
        <v>14496357</v>
      </c>
      <c r="CN164" s="804">
        <v>254482</v>
      </c>
      <c r="CO164" s="804">
        <v>50530</v>
      </c>
      <c r="CP164" s="804">
        <v>5614</v>
      </c>
      <c r="CQ164" s="804">
        <v>310626</v>
      </c>
      <c r="CR164" s="804">
        <v>887993</v>
      </c>
      <c r="CS164" s="804">
        <v>199799</v>
      </c>
      <c r="CT164" s="804">
        <v>22200</v>
      </c>
      <c r="CU164" s="804">
        <v>1109992</v>
      </c>
      <c r="CV164" s="804">
        <v>40375</v>
      </c>
      <c r="CW164" s="804">
        <v>9084</v>
      </c>
      <c r="CX164" s="804">
        <v>1009</v>
      </c>
      <c r="CY164" s="804">
        <v>50468</v>
      </c>
      <c r="CZ164" s="804">
        <v>23348</v>
      </c>
      <c r="DA164" s="804">
        <v>5253</v>
      </c>
      <c r="DB164" s="804">
        <v>584</v>
      </c>
      <c r="DC164" s="804">
        <v>29185</v>
      </c>
      <c r="DD164" s="804">
        <v>3386</v>
      </c>
      <c r="DE164" s="804">
        <v>762</v>
      </c>
      <c r="DF164" s="804">
        <v>85</v>
      </c>
      <c r="DG164" s="804">
        <v>4233</v>
      </c>
      <c r="DH164" s="804">
        <v>6145</v>
      </c>
      <c r="DI164" s="804">
        <v>1383</v>
      </c>
      <c r="DJ164" s="804">
        <v>154</v>
      </c>
      <c r="DK164" s="804">
        <v>7682</v>
      </c>
      <c r="DL164" s="804">
        <v>1118</v>
      </c>
      <c r="DM164" s="804">
        <v>252</v>
      </c>
      <c r="DN164" s="804">
        <v>28</v>
      </c>
      <c r="DO164" s="804">
        <v>1398</v>
      </c>
      <c r="DP164" s="804">
        <v>0</v>
      </c>
      <c r="DQ164" s="804">
        <v>0</v>
      </c>
      <c r="DR164" s="804">
        <v>0</v>
      </c>
      <c r="DS164" s="804">
        <v>0</v>
      </c>
      <c r="DT164" s="804">
        <v>0</v>
      </c>
      <c r="DU164" s="804">
        <v>0</v>
      </c>
      <c r="DV164" s="804">
        <v>0</v>
      </c>
      <c r="DW164" s="804">
        <v>0</v>
      </c>
      <c r="DX164" s="804">
        <v>207515</v>
      </c>
      <c r="DY164" s="804">
        <v>46691</v>
      </c>
      <c r="DZ164" s="804">
        <v>5188</v>
      </c>
      <c r="EA164" s="804">
        <v>259394</v>
      </c>
      <c r="EB164" s="804">
        <v>1424362</v>
      </c>
      <c r="EC164" s="804">
        <v>313754</v>
      </c>
      <c r="ED164" s="804">
        <v>34862</v>
      </c>
      <c r="EE164" s="804">
        <v>1772978</v>
      </c>
      <c r="EF164" s="604" t="s">
        <v>197</v>
      </c>
      <c r="EG164" s="497" t="s">
        <v>570</v>
      </c>
      <c r="EH164" s="630" t="s">
        <v>568</v>
      </c>
      <c r="EI164" s="118" t="s">
        <v>1815</v>
      </c>
    </row>
    <row r="165" spans="1:139" ht="12.75" x14ac:dyDescent="0.2">
      <c r="A165" s="805">
        <v>158</v>
      </c>
      <c r="B165" s="606" t="s">
        <v>200</v>
      </c>
      <c r="C165" s="607" t="s">
        <v>1185</v>
      </c>
      <c r="D165" s="608" t="s">
        <v>1195</v>
      </c>
      <c r="E165" s="609" t="s">
        <v>199</v>
      </c>
      <c r="F165" s="802">
        <v>15733171</v>
      </c>
      <c r="G165" s="804">
        <v>168060</v>
      </c>
      <c r="H165" s="804">
        <v>0</v>
      </c>
      <c r="I165" s="804">
        <v>104198</v>
      </c>
      <c r="J165" s="804">
        <v>0</v>
      </c>
      <c r="K165" s="804">
        <v>104198</v>
      </c>
      <c r="L165" s="804">
        <v>0</v>
      </c>
      <c r="M165" s="804">
        <v>0</v>
      </c>
      <c r="N165" s="804">
        <v>0</v>
      </c>
      <c r="O165" s="804">
        <v>0</v>
      </c>
      <c r="P165" s="804">
        <v>0</v>
      </c>
      <c r="Q165" s="804">
        <v>0</v>
      </c>
      <c r="R165" s="804">
        <v>15797033</v>
      </c>
      <c r="S165" s="804">
        <v>0.5</v>
      </c>
      <c r="T165" s="804">
        <v>0.4</v>
      </c>
      <c r="U165" s="804">
        <v>0.09</v>
      </c>
      <c r="V165" s="804">
        <v>0.01</v>
      </c>
      <c r="W165" s="804">
        <v>1</v>
      </c>
      <c r="X165" s="804">
        <v>7898517</v>
      </c>
      <c r="Y165" s="804">
        <v>6318813</v>
      </c>
      <c r="Z165" s="804">
        <v>1421733</v>
      </c>
      <c r="AA165" s="804">
        <v>157970</v>
      </c>
      <c r="AB165" s="804">
        <v>15797033</v>
      </c>
      <c r="AC165" s="804">
        <v>0</v>
      </c>
      <c r="AD165" s="804">
        <v>0</v>
      </c>
      <c r="AE165" s="804">
        <v>0</v>
      </c>
      <c r="AF165" s="804">
        <v>0</v>
      </c>
      <c r="AG165" s="804">
        <v>0</v>
      </c>
      <c r="AH165" s="804">
        <v>7898517</v>
      </c>
      <c r="AI165" s="804">
        <v>6318813</v>
      </c>
      <c r="AJ165" s="804">
        <v>1421733</v>
      </c>
      <c r="AK165" s="804">
        <v>157970</v>
      </c>
      <c r="AL165" s="804">
        <v>15797033</v>
      </c>
      <c r="AM165" s="804">
        <v>104198</v>
      </c>
      <c r="AN165" s="804">
        <v>104198</v>
      </c>
      <c r="AO165" s="804">
        <v>0</v>
      </c>
      <c r="AP165" s="804">
        <v>0</v>
      </c>
      <c r="AQ165" s="804">
        <v>0</v>
      </c>
      <c r="AR165" s="804">
        <v>0</v>
      </c>
      <c r="AS165" s="804">
        <v>0</v>
      </c>
      <c r="AT165" s="804">
        <v>0</v>
      </c>
      <c r="AU165" s="804">
        <v>0</v>
      </c>
      <c r="AV165" s="804">
        <v>0</v>
      </c>
      <c r="AW165" s="804">
        <v>0</v>
      </c>
      <c r="AX165" s="804">
        <v>0</v>
      </c>
      <c r="AY165" s="804">
        <v>0</v>
      </c>
      <c r="AZ165" s="804">
        <v>0</v>
      </c>
      <c r="BA165" s="804">
        <v>0</v>
      </c>
      <c r="BB165" s="804">
        <v>0</v>
      </c>
      <c r="BC165" s="804">
        <v>0</v>
      </c>
      <c r="BD165" s="804">
        <v>0</v>
      </c>
      <c r="BE165" s="804">
        <v>0</v>
      </c>
      <c r="BF165" s="804">
        <v>0</v>
      </c>
      <c r="BG165" s="804">
        <v>0</v>
      </c>
      <c r="BH165" s="804">
        <v>0</v>
      </c>
      <c r="BI165" s="804">
        <v>0</v>
      </c>
      <c r="BJ165" s="804">
        <v>0.25</v>
      </c>
      <c r="BK165" s="804">
        <v>0</v>
      </c>
      <c r="BL165" s="804">
        <v>0.74</v>
      </c>
      <c r="BM165" s="804">
        <v>0.01</v>
      </c>
      <c r="BN165" s="804">
        <v>1</v>
      </c>
      <c r="BO165" s="804">
        <v>507704</v>
      </c>
      <c r="BP165" s="804">
        <v>0</v>
      </c>
      <c r="BQ165" s="804">
        <v>1502804</v>
      </c>
      <c r="BR165" s="804">
        <v>20308</v>
      </c>
      <c r="BS165" s="804">
        <v>2030816</v>
      </c>
      <c r="BT165" s="804">
        <v>0.5</v>
      </c>
      <c r="BU165" s="804">
        <v>0.4</v>
      </c>
      <c r="BV165" s="804">
        <v>0.09</v>
      </c>
      <c r="BW165" s="804">
        <v>0.01</v>
      </c>
      <c r="BX165" s="804">
        <v>1</v>
      </c>
      <c r="BY165" s="804">
        <v>-38925</v>
      </c>
      <c r="BZ165" s="804">
        <v>-31141</v>
      </c>
      <c r="CA165" s="804">
        <v>-7007</v>
      </c>
      <c r="CB165" s="804">
        <v>-779</v>
      </c>
      <c r="CC165" s="804">
        <v>-77852</v>
      </c>
      <c r="CD165" s="804">
        <v>468779</v>
      </c>
      <c r="CE165" s="804">
        <v>-31141</v>
      </c>
      <c r="CF165" s="804">
        <v>1495797</v>
      </c>
      <c r="CG165" s="804">
        <v>19529</v>
      </c>
      <c r="CH165" s="804">
        <v>1952964</v>
      </c>
      <c r="CI165" s="804">
        <v>8367296</v>
      </c>
      <c r="CJ165" s="804">
        <v>6391870</v>
      </c>
      <c r="CK165" s="804">
        <v>2917530</v>
      </c>
      <c r="CL165" s="804">
        <v>177499</v>
      </c>
      <c r="CM165" s="804">
        <v>17854195</v>
      </c>
      <c r="CN165" s="804">
        <v>253259</v>
      </c>
      <c r="CO165" s="804">
        <v>56983</v>
      </c>
      <c r="CP165" s="804">
        <v>6331</v>
      </c>
      <c r="CQ165" s="804">
        <v>316573</v>
      </c>
      <c r="CR165" s="804">
        <v>1040902</v>
      </c>
      <c r="CS165" s="804">
        <v>234203</v>
      </c>
      <c r="CT165" s="804">
        <v>26023</v>
      </c>
      <c r="CU165" s="804">
        <v>1301128</v>
      </c>
      <c r="CV165" s="804">
        <v>37707</v>
      </c>
      <c r="CW165" s="804">
        <v>8484</v>
      </c>
      <c r="CX165" s="804">
        <v>943</v>
      </c>
      <c r="CY165" s="804">
        <v>47134</v>
      </c>
      <c r="CZ165" s="804">
        <v>0</v>
      </c>
      <c r="DA165" s="804">
        <v>0</v>
      </c>
      <c r="DB165" s="804">
        <v>0</v>
      </c>
      <c r="DC165" s="804">
        <v>0</v>
      </c>
      <c r="DD165" s="804">
        <v>14354</v>
      </c>
      <c r="DE165" s="804">
        <v>3230</v>
      </c>
      <c r="DF165" s="804">
        <v>359</v>
      </c>
      <c r="DG165" s="804">
        <v>17943</v>
      </c>
      <c r="DH165" s="804">
        <v>9731</v>
      </c>
      <c r="DI165" s="804">
        <v>2189</v>
      </c>
      <c r="DJ165" s="804">
        <v>243</v>
      </c>
      <c r="DK165" s="804">
        <v>12163</v>
      </c>
      <c r="DL165" s="804">
        <v>1467</v>
      </c>
      <c r="DM165" s="804">
        <v>330</v>
      </c>
      <c r="DN165" s="804">
        <v>37</v>
      </c>
      <c r="DO165" s="804">
        <v>1834</v>
      </c>
      <c r="DP165" s="804">
        <v>0</v>
      </c>
      <c r="DQ165" s="804">
        <v>0</v>
      </c>
      <c r="DR165" s="804">
        <v>0</v>
      </c>
      <c r="DS165" s="804">
        <v>0</v>
      </c>
      <c r="DT165" s="804">
        <v>0</v>
      </c>
      <c r="DU165" s="804">
        <v>0</v>
      </c>
      <c r="DV165" s="804">
        <v>0</v>
      </c>
      <c r="DW165" s="804">
        <v>0</v>
      </c>
      <c r="DX165" s="804">
        <v>221079</v>
      </c>
      <c r="DY165" s="804">
        <v>49743</v>
      </c>
      <c r="DZ165" s="804">
        <v>5527</v>
      </c>
      <c r="EA165" s="804">
        <v>276349</v>
      </c>
      <c r="EB165" s="804">
        <v>1578499</v>
      </c>
      <c r="EC165" s="804">
        <v>355162</v>
      </c>
      <c r="ED165" s="804">
        <v>39463</v>
      </c>
      <c r="EE165" s="804">
        <v>1973124</v>
      </c>
      <c r="EF165" s="604" t="s">
        <v>199</v>
      </c>
      <c r="EG165" s="497" t="s">
        <v>578</v>
      </c>
      <c r="EH165" s="630" t="s">
        <v>577</v>
      </c>
      <c r="EI165" s="118" t="s">
        <v>1816</v>
      </c>
    </row>
    <row r="166" spans="1:139" ht="12.75" x14ac:dyDescent="0.2">
      <c r="A166" s="805">
        <v>159</v>
      </c>
      <c r="B166" s="606" t="s">
        <v>202</v>
      </c>
      <c r="C166" s="607" t="s">
        <v>1192</v>
      </c>
      <c r="D166" s="608" t="s">
        <v>1187</v>
      </c>
      <c r="E166" s="609" t="s">
        <v>201</v>
      </c>
      <c r="F166" s="802">
        <v>345918546</v>
      </c>
      <c r="G166" s="804">
        <v>0</v>
      </c>
      <c r="H166" s="804">
        <v>427451</v>
      </c>
      <c r="I166" s="804">
        <v>1123822</v>
      </c>
      <c r="J166" s="804">
        <v>0</v>
      </c>
      <c r="K166" s="804">
        <v>1123822</v>
      </c>
      <c r="L166" s="804">
        <v>0</v>
      </c>
      <c r="M166" s="804">
        <v>576740</v>
      </c>
      <c r="N166" s="804">
        <v>0</v>
      </c>
      <c r="O166" s="804">
        <v>0</v>
      </c>
      <c r="P166" s="804">
        <v>0</v>
      </c>
      <c r="Q166" s="804">
        <v>0</v>
      </c>
      <c r="R166" s="804">
        <v>343790533</v>
      </c>
      <c r="S166" s="804">
        <v>0</v>
      </c>
      <c r="T166" s="804">
        <v>0.99</v>
      </c>
      <c r="U166" s="804">
        <v>0</v>
      </c>
      <c r="V166" s="804">
        <v>0.01</v>
      </c>
      <c r="W166" s="804">
        <v>1</v>
      </c>
      <c r="X166" s="804">
        <v>0</v>
      </c>
      <c r="Y166" s="804">
        <v>340352628</v>
      </c>
      <c r="Z166" s="804">
        <v>0</v>
      </c>
      <c r="AA166" s="804">
        <v>3437905</v>
      </c>
      <c r="AB166" s="804">
        <v>343790533</v>
      </c>
      <c r="AC166" s="804">
        <v>0</v>
      </c>
      <c r="AD166" s="804">
        <v>0</v>
      </c>
      <c r="AE166" s="804">
        <v>0</v>
      </c>
      <c r="AF166" s="804">
        <v>0</v>
      </c>
      <c r="AG166" s="804">
        <v>0</v>
      </c>
      <c r="AH166" s="804">
        <v>0</v>
      </c>
      <c r="AI166" s="804">
        <v>340352628</v>
      </c>
      <c r="AJ166" s="804">
        <v>0</v>
      </c>
      <c r="AK166" s="804">
        <v>3437905</v>
      </c>
      <c r="AL166" s="804">
        <v>343790533</v>
      </c>
      <c r="AM166" s="804">
        <v>1123822</v>
      </c>
      <c r="AN166" s="804">
        <v>1123822</v>
      </c>
      <c r="AO166" s="804">
        <v>576740</v>
      </c>
      <c r="AP166" s="804">
        <v>576740</v>
      </c>
      <c r="AQ166" s="804">
        <v>0</v>
      </c>
      <c r="AR166" s="804">
        <v>0</v>
      </c>
      <c r="AS166" s="804">
        <v>0</v>
      </c>
      <c r="AT166" s="804">
        <v>0</v>
      </c>
      <c r="AU166" s="804">
        <v>0</v>
      </c>
      <c r="AV166" s="804">
        <v>0</v>
      </c>
      <c r="AW166" s="804">
        <v>0</v>
      </c>
      <c r="AX166" s="804">
        <v>0</v>
      </c>
      <c r="AY166" s="804">
        <v>0</v>
      </c>
      <c r="AZ166" s="804">
        <v>0</v>
      </c>
      <c r="BA166" s="804">
        <v>0</v>
      </c>
      <c r="BB166" s="804">
        <v>0</v>
      </c>
      <c r="BC166" s="804">
        <v>0</v>
      </c>
      <c r="BD166" s="804">
        <v>0</v>
      </c>
      <c r="BE166" s="804">
        <v>0</v>
      </c>
      <c r="BF166" s="804">
        <v>0</v>
      </c>
      <c r="BG166" s="804">
        <v>0</v>
      </c>
      <c r="BH166" s="804">
        <v>0</v>
      </c>
      <c r="BI166" s="804">
        <v>0</v>
      </c>
      <c r="BJ166" s="804">
        <v>0</v>
      </c>
      <c r="BK166" s="804">
        <v>0.99</v>
      </c>
      <c r="BL166" s="804">
        <v>0</v>
      </c>
      <c r="BM166" s="804">
        <v>0.01</v>
      </c>
      <c r="BN166" s="804">
        <v>1</v>
      </c>
      <c r="BO166" s="804">
        <v>0</v>
      </c>
      <c r="BP166" s="804">
        <v>9618289</v>
      </c>
      <c r="BQ166" s="804">
        <v>0</v>
      </c>
      <c r="BR166" s="804">
        <v>97154</v>
      </c>
      <c r="BS166" s="804">
        <v>9715443</v>
      </c>
      <c r="BT166" s="804">
        <v>0</v>
      </c>
      <c r="BU166" s="804">
        <v>0.99</v>
      </c>
      <c r="BV166" s="804">
        <v>0</v>
      </c>
      <c r="BW166" s="804">
        <v>0.01</v>
      </c>
      <c r="BX166" s="804">
        <v>1</v>
      </c>
      <c r="BY166" s="804">
        <v>0</v>
      </c>
      <c r="BZ166" s="804">
        <v>2461414</v>
      </c>
      <c r="CA166" s="804">
        <v>0</v>
      </c>
      <c r="CB166" s="804">
        <v>24863</v>
      </c>
      <c r="CC166" s="804">
        <v>2486277</v>
      </c>
      <c r="CD166" s="804">
        <v>0</v>
      </c>
      <c r="CE166" s="804">
        <v>12079703</v>
      </c>
      <c r="CF166" s="804">
        <v>0</v>
      </c>
      <c r="CG166" s="804">
        <v>122017</v>
      </c>
      <c r="CH166" s="804">
        <v>12201720</v>
      </c>
      <c r="CI166" s="804">
        <v>0</v>
      </c>
      <c r="CJ166" s="804">
        <v>354132893</v>
      </c>
      <c r="CK166" s="804">
        <v>0</v>
      </c>
      <c r="CL166" s="804">
        <v>3559922</v>
      </c>
      <c r="CM166" s="804">
        <v>357692815</v>
      </c>
      <c r="CN166" s="804">
        <v>13664504</v>
      </c>
      <c r="CO166" s="804">
        <v>0</v>
      </c>
      <c r="CP166" s="804">
        <v>137792</v>
      </c>
      <c r="CQ166" s="804">
        <v>13802296</v>
      </c>
      <c r="CR166" s="804">
        <v>13977688</v>
      </c>
      <c r="CS166" s="804">
        <v>0</v>
      </c>
      <c r="CT166" s="804">
        <v>139810</v>
      </c>
      <c r="CU166" s="804">
        <v>14117498</v>
      </c>
      <c r="CV166" s="804">
        <v>1296261</v>
      </c>
      <c r="CW166" s="804">
        <v>0</v>
      </c>
      <c r="CX166" s="804">
        <v>12684</v>
      </c>
      <c r="CY166" s="804">
        <v>1308945</v>
      </c>
      <c r="CZ166" s="804">
        <v>0</v>
      </c>
      <c r="DA166" s="804">
        <v>0</v>
      </c>
      <c r="DB166" s="804">
        <v>0</v>
      </c>
      <c r="DC166" s="804">
        <v>0</v>
      </c>
      <c r="DD166" s="804">
        <v>0</v>
      </c>
      <c r="DE166" s="804">
        <v>0</v>
      </c>
      <c r="DF166" s="804">
        <v>0</v>
      </c>
      <c r="DG166" s="804">
        <v>0</v>
      </c>
      <c r="DH166" s="804">
        <v>78051</v>
      </c>
      <c r="DI166" s="804">
        <v>0</v>
      </c>
      <c r="DJ166" s="804">
        <v>788</v>
      </c>
      <c r="DK166" s="804">
        <v>78839</v>
      </c>
      <c r="DL166" s="804">
        <v>44632</v>
      </c>
      <c r="DM166" s="804">
        <v>0</v>
      </c>
      <c r="DN166" s="804">
        <v>451</v>
      </c>
      <c r="DO166" s="804">
        <v>45083</v>
      </c>
      <c r="DP166" s="804">
        <v>1058176</v>
      </c>
      <c r="DQ166" s="804">
        <v>0</v>
      </c>
      <c r="DR166" s="804">
        <v>0</v>
      </c>
      <c r="DS166" s="804">
        <v>1058176</v>
      </c>
      <c r="DT166" s="804">
        <v>0</v>
      </c>
      <c r="DU166" s="804">
        <v>0</v>
      </c>
      <c r="DV166" s="804">
        <v>0</v>
      </c>
      <c r="DW166" s="804">
        <v>0</v>
      </c>
      <c r="DX166" s="804">
        <v>5762237</v>
      </c>
      <c r="DY166" s="804">
        <v>0</v>
      </c>
      <c r="DZ166" s="804">
        <v>57891</v>
      </c>
      <c r="EA166" s="804">
        <v>5820128</v>
      </c>
      <c r="EB166" s="804">
        <v>35881549</v>
      </c>
      <c r="EC166" s="804">
        <v>0</v>
      </c>
      <c r="ED166" s="804">
        <v>349416</v>
      </c>
      <c r="EE166" s="804">
        <v>36230965</v>
      </c>
      <c r="EF166" s="604" t="s">
        <v>201</v>
      </c>
      <c r="EG166" s="497" t="s">
        <v>616</v>
      </c>
      <c r="EH166" s="630" t="s">
        <v>617</v>
      </c>
      <c r="EI166" s="118" t="s">
        <v>1817</v>
      </c>
    </row>
    <row r="167" spans="1:139" ht="14.25" x14ac:dyDescent="0.2">
      <c r="A167" s="805">
        <v>160</v>
      </c>
      <c r="B167" s="606" t="s">
        <v>204</v>
      </c>
      <c r="C167" s="607" t="s">
        <v>1185</v>
      </c>
      <c r="D167" s="608" t="s">
        <v>1188</v>
      </c>
      <c r="E167" s="609" t="s">
        <v>1985</v>
      </c>
      <c r="F167" s="802">
        <v>29042671</v>
      </c>
      <c r="G167" s="804">
        <v>128136</v>
      </c>
      <c r="H167" s="804">
        <v>0</v>
      </c>
      <c r="I167" s="804">
        <v>125307</v>
      </c>
      <c r="J167" s="804">
        <v>0</v>
      </c>
      <c r="K167" s="804">
        <v>125307</v>
      </c>
      <c r="L167" s="804">
        <v>0</v>
      </c>
      <c r="M167" s="804">
        <v>0</v>
      </c>
      <c r="N167" s="804">
        <v>73031</v>
      </c>
      <c r="O167" s="804">
        <v>73031</v>
      </c>
      <c r="P167" s="804">
        <v>0</v>
      </c>
      <c r="Q167" s="804">
        <v>0</v>
      </c>
      <c r="R167" s="804">
        <v>28972469</v>
      </c>
      <c r="S167" s="804">
        <v>0.5</v>
      </c>
      <c r="T167" s="804">
        <v>0.4</v>
      </c>
      <c r="U167" s="804">
        <v>0.09</v>
      </c>
      <c r="V167" s="804">
        <v>0.01</v>
      </c>
      <c r="W167" s="804">
        <v>1</v>
      </c>
      <c r="X167" s="804">
        <v>14486234</v>
      </c>
      <c r="Y167" s="804">
        <v>11588988</v>
      </c>
      <c r="Z167" s="804">
        <v>2607522</v>
      </c>
      <c r="AA167" s="804">
        <v>289725</v>
      </c>
      <c r="AB167" s="804">
        <v>28972469</v>
      </c>
      <c r="AC167" s="804">
        <v>0</v>
      </c>
      <c r="AD167" s="804">
        <v>0</v>
      </c>
      <c r="AE167" s="804">
        <v>0</v>
      </c>
      <c r="AF167" s="804">
        <v>0</v>
      </c>
      <c r="AG167" s="804">
        <v>0</v>
      </c>
      <c r="AH167" s="804">
        <v>14486234</v>
      </c>
      <c r="AI167" s="804">
        <v>11588988</v>
      </c>
      <c r="AJ167" s="804">
        <v>2607522</v>
      </c>
      <c r="AK167" s="804">
        <v>289725</v>
      </c>
      <c r="AL167" s="804">
        <v>28972469</v>
      </c>
      <c r="AM167" s="804">
        <v>125307</v>
      </c>
      <c r="AN167" s="804">
        <v>125307</v>
      </c>
      <c r="AO167" s="804">
        <v>0</v>
      </c>
      <c r="AP167" s="804">
        <v>0</v>
      </c>
      <c r="AQ167" s="804">
        <v>73031</v>
      </c>
      <c r="AR167" s="804">
        <v>0</v>
      </c>
      <c r="AS167" s="804">
        <v>73031</v>
      </c>
      <c r="AT167" s="804">
        <v>0</v>
      </c>
      <c r="AU167" s="804">
        <v>0</v>
      </c>
      <c r="AV167" s="804">
        <v>0</v>
      </c>
      <c r="AW167" s="804">
        <v>0</v>
      </c>
      <c r="AX167" s="804">
        <v>0</v>
      </c>
      <c r="AY167" s="804">
        <v>0</v>
      </c>
      <c r="AZ167" s="804">
        <v>0</v>
      </c>
      <c r="BA167" s="804">
        <v>0</v>
      </c>
      <c r="BB167" s="804">
        <v>0</v>
      </c>
      <c r="BC167" s="804">
        <v>0</v>
      </c>
      <c r="BD167" s="804">
        <v>0</v>
      </c>
      <c r="BE167" s="804">
        <v>0</v>
      </c>
      <c r="BF167" s="804">
        <v>0</v>
      </c>
      <c r="BG167" s="804">
        <v>0</v>
      </c>
      <c r="BH167" s="804">
        <v>0</v>
      </c>
      <c r="BI167" s="804">
        <v>0</v>
      </c>
      <c r="BJ167" s="804">
        <v>0.5</v>
      </c>
      <c r="BK167" s="804">
        <v>0.4</v>
      </c>
      <c r="BL167" s="804">
        <v>0.09</v>
      </c>
      <c r="BM167" s="804">
        <v>0.01</v>
      </c>
      <c r="BN167" s="804">
        <v>1</v>
      </c>
      <c r="BO167" s="804">
        <v>709282</v>
      </c>
      <c r="BP167" s="804">
        <v>567426</v>
      </c>
      <c r="BQ167" s="804">
        <v>127671</v>
      </c>
      <c r="BR167" s="804">
        <v>14186</v>
      </c>
      <c r="BS167" s="804">
        <v>1418565</v>
      </c>
      <c r="BT167" s="804">
        <v>0.5</v>
      </c>
      <c r="BU167" s="804">
        <v>0.4</v>
      </c>
      <c r="BV167" s="804">
        <v>0.09</v>
      </c>
      <c r="BW167" s="804">
        <v>0.01</v>
      </c>
      <c r="BX167" s="804">
        <v>1</v>
      </c>
      <c r="BY167" s="804">
        <v>-208144</v>
      </c>
      <c r="BZ167" s="804">
        <v>-166516</v>
      </c>
      <c r="CA167" s="804">
        <v>-37466</v>
      </c>
      <c r="CB167" s="804">
        <v>-4163</v>
      </c>
      <c r="CC167" s="804">
        <v>-416289</v>
      </c>
      <c r="CD167" s="804">
        <v>501138</v>
      </c>
      <c r="CE167" s="804">
        <v>400910</v>
      </c>
      <c r="CF167" s="804">
        <v>90205</v>
      </c>
      <c r="CG167" s="804">
        <v>10023</v>
      </c>
      <c r="CH167" s="804">
        <v>1002276</v>
      </c>
      <c r="CI167" s="804">
        <v>14987372</v>
      </c>
      <c r="CJ167" s="804">
        <v>12188236</v>
      </c>
      <c r="CK167" s="804">
        <v>2697727</v>
      </c>
      <c r="CL167" s="804">
        <v>299748</v>
      </c>
      <c r="CM167" s="804">
        <v>30173083</v>
      </c>
      <c r="CN167" s="804">
        <v>467416</v>
      </c>
      <c r="CO167" s="804">
        <v>104510</v>
      </c>
      <c r="CP167" s="804">
        <v>11612</v>
      </c>
      <c r="CQ167" s="804">
        <v>583538</v>
      </c>
      <c r="CR167" s="804">
        <v>930390</v>
      </c>
      <c r="CS167" s="804">
        <v>209338</v>
      </c>
      <c r="CT167" s="804">
        <v>23260</v>
      </c>
      <c r="CU167" s="804">
        <v>1162988</v>
      </c>
      <c r="CV167" s="804">
        <v>45504</v>
      </c>
      <c r="CW167" s="804">
        <v>10239</v>
      </c>
      <c r="CX167" s="804">
        <v>1138</v>
      </c>
      <c r="CY167" s="804">
        <v>56881</v>
      </c>
      <c r="CZ167" s="804">
        <v>2615</v>
      </c>
      <c r="DA167" s="804">
        <v>589</v>
      </c>
      <c r="DB167" s="804">
        <v>65</v>
      </c>
      <c r="DC167" s="804">
        <v>3269</v>
      </c>
      <c r="DD167" s="804">
        <v>0</v>
      </c>
      <c r="DE167" s="804">
        <v>0</v>
      </c>
      <c r="DF167" s="804">
        <v>0</v>
      </c>
      <c r="DG167" s="804">
        <v>0</v>
      </c>
      <c r="DH167" s="804">
        <v>2749</v>
      </c>
      <c r="DI167" s="804">
        <v>618</v>
      </c>
      <c r="DJ167" s="804">
        <v>69</v>
      </c>
      <c r="DK167" s="804">
        <v>3436</v>
      </c>
      <c r="DL167" s="804">
        <v>2415</v>
      </c>
      <c r="DM167" s="804">
        <v>543</v>
      </c>
      <c r="DN167" s="804">
        <v>60</v>
      </c>
      <c r="DO167" s="804">
        <v>3018</v>
      </c>
      <c r="DP167" s="804">
        <v>0</v>
      </c>
      <c r="DQ167" s="804">
        <v>0</v>
      </c>
      <c r="DR167" s="804">
        <v>0</v>
      </c>
      <c r="DS167" s="804">
        <v>0</v>
      </c>
      <c r="DT167" s="804">
        <v>0</v>
      </c>
      <c r="DU167" s="804">
        <v>0</v>
      </c>
      <c r="DV167" s="804">
        <v>0</v>
      </c>
      <c r="DW167" s="804">
        <v>0</v>
      </c>
      <c r="DX167" s="804">
        <v>197331</v>
      </c>
      <c r="DY167" s="804">
        <v>44400</v>
      </c>
      <c r="DZ167" s="804">
        <v>4933</v>
      </c>
      <c r="EA167" s="804">
        <v>246664</v>
      </c>
      <c r="EB167" s="804">
        <v>1648420</v>
      </c>
      <c r="EC167" s="804">
        <v>370237</v>
      </c>
      <c r="ED167" s="804">
        <v>41137</v>
      </c>
      <c r="EE167" s="804">
        <v>2059794</v>
      </c>
      <c r="EF167" s="604" t="s">
        <v>203</v>
      </c>
      <c r="EG167" s="497" t="s">
        <v>603</v>
      </c>
      <c r="EH167" s="630" t="s">
        <v>602</v>
      </c>
      <c r="EI167" s="118" t="s">
        <v>1818</v>
      </c>
    </row>
    <row r="168" spans="1:139" ht="12.75" x14ac:dyDescent="0.2">
      <c r="A168" s="805">
        <v>161</v>
      </c>
      <c r="B168" s="606" t="s">
        <v>206</v>
      </c>
      <c r="C168" s="607" t="s">
        <v>524</v>
      </c>
      <c r="D168" s="608" t="s">
        <v>1186</v>
      </c>
      <c r="E168" s="609" t="s">
        <v>584</v>
      </c>
      <c r="F168" s="802">
        <v>94418899</v>
      </c>
      <c r="G168" s="804">
        <v>0</v>
      </c>
      <c r="H168" s="804">
        <v>2653180</v>
      </c>
      <c r="I168" s="804">
        <v>265015</v>
      </c>
      <c r="J168" s="804">
        <v>0</v>
      </c>
      <c r="K168" s="804">
        <v>265015</v>
      </c>
      <c r="L168" s="804">
        <v>0</v>
      </c>
      <c r="M168" s="804">
        <v>0</v>
      </c>
      <c r="N168" s="804">
        <v>63271</v>
      </c>
      <c r="O168" s="804">
        <v>63271</v>
      </c>
      <c r="P168" s="804">
        <v>0</v>
      </c>
      <c r="Q168" s="804">
        <v>0</v>
      </c>
      <c r="R168" s="804">
        <v>91437433</v>
      </c>
      <c r="S168" s="804">
        <v>0.5</v>
      </c>
      <c r="T168" s="804">
        <v>0.49</v>
      </c>
      <c r="U168" s="804">
        <v>0</v>
      </c>
      <c r="V168" s="804">
        <v>0.01</v>
      </c>
      <c r="W168" s="804">
        <v>1</v>
      </c>
      <c r="X168" s="804">
        <v>45718717</v>
      </c>
      <c r="Y168" s="804">
        <v>44804342</v>
      </c>
      <c r="Z168" s="804">
        <v>0</v>
      </c>
      <c r="AA168" s="804">
        <v>914374</v>
      </c>
      <c r="AB168" s="804">
        <v>91437433</v>
      </c>
      <c r="AC168" s="804">
        <v>0</v>
      </c>
      <c r="AD168" s="804">
        <v>0</v>
      </c>
      <c r="AE168" s="804">
        <v>0</v>
      </c>
      <c r="AF168" s="804">
        <v>0</v>
      </c>
      <c r="AG168" s="804">
        <v>0</v>
      </c>
      <c r="AH168" s="804">
        <v>45718717</v>
      </c>
      <c r="AI168" s="804">
        <v>44804342</v>
      </c>
      <c r="AJ168" s="804">
        <v>0</v>
      </c>
      <c r="AK168" s="804">
        <v>914374</v>
      </c>
      <c r="AL168" s="804">
        <v>91437433</v>
      </c>
      <c r="AM168" s="804">
        <v>265015</v>
      </c>
      <c r="AN168" s="804">
        <v>265015</v>
      </c>
      <c r="AO168" s="804">
        <v>0</v>
      </c>
      <c r="AP168" s="804">
        <v>0</v>
      </c>
      <c r="AQ168" s="804">
        <v>63271</v>
      </c>
      <c r="AR168" s="804">
        <v>0</v>
      </c>
      <c r="AS168" s="804">
        <v>63271</v>
      </c>
      <c r="AT168" s="804">
        <v>0</v>
      </c>
      <c r="AU168" s="804">
        <v>0</v>
      </c>
      <c r="AV168" s="804">
        <v>0</v>
      </c>
      <c r="AW168" s="804">
        <v>0</v>
      </c>
      <c r="AX168" s="804">
        <v>0</v>
      </c>
      <c r="AY168" s="804">
        <v>0</v>
      </c>
      <c r="AZ168" s="804">
        <v>0</v>
      </c>
      <c r="BA168" s="804">
        <v>0</v>
      </c>
      <c r="BB168" s="804">
        <v>0</v>
      </c>
      <c r="BC168" s="804">
        <v>0</v>
      </c>
      <c r="BD168" s="804">
        <v>0</v>
      </c>
      <c r="BE168" s="804">
        <v>0</v>
      </c>
      <c r="BF168" s="804">
        <v>0</v>
      </c>
      <c r="BG168" s="804">
        <v>0</v>
      </c>
      <c r="BH168" s="804">
        <v>0</v>
      </c>
      <c r="BI168" s="804">
        <v>0</v>
      </c>
      <c r="BJ168" s="804">
        <v>0.5</v>
      </c>
      <c r="BK168" s="804">
        <v>0.49</v>
      </c>
      <c r="BL168" s="804">
        <v>0</v>
      </c>
      <c r="BM168" s="804">
        <v>0.01</v>
      </c>
      <c r="BN168" s="804">
        <v>1</v>
      </c>
      <c r="BO168" s="804">
        <v>1824154</v>
      </c>
      <c r="BP168" s="804">
        <v>1787670</v>
      </c>
      <c r="BQ168" s="804">
        <v>0</v>
      </c>
      <c r="BR168" s="804">
        <v>36483</v>
      </c>
      <c r="BS168" s="804">
        <v>3648307</v>
      </c>
      <c r="BT168" s="804">
        <v>0</v>
      </c>
      <c r="BU168" s="804">
        <v>0.99</v>
      </c>
      <c r="BV168" s="804">
        <v>0</v>
      </c>
      <c r="BW168" s="804">
        <v>0.01</v>
      </c>
      <c r="BX168" s="804">
        <v>1</v>
      </c>
      <c r="BY168" s="804">
        <v>-9.9999994039535522E-2</v>
      </c>
      <c r="BZ168" s="804">
        <v>-1064876</v>
      </c>
      <c r="CA168" s="804">
        <v>0</v>
      </c>
      <c r="CB168" s="804">
        <v>-10756</v>
      </c>
      <c r="CC168" s="804">
        <v>-1075632.099999994</v>
      </c>
      <c r="CD168" s="804">
        <v>1824154</v>
      </c>
      <c r="CE168" s="804">
        <v>722794</v>
      </c>
      <c r="CF168" s="804">
        <v>0</v>
      </c>
      <c r="CG168" s="804">
        <v>25727</v>
      </c>
      <c r="CH168" s="804">
        <v>2572674.900000006</v>
      </c>
      <c r="CI168" s="804">
        <v>47542871</v>
      </c>
      <c r="CJ168" s="804">
        <v>45855422</v>
      </c>
      <c r="CK168" s="804">
        <v>0</v>
      </c>
      <c r="CL168" s="804">
        <v>940101</v>
      </c>
      <c r="CM168" s="804">
        <v>94338394</v>
      </c>
      <c r="CN168" s="804">
        <v>1798301</v>
      </c>
      <c r="CO168" s="804">
        <v>0</v>
      </c>
      <c r="CP168" s="804">
        <v>36648</v>
      </c>
      <c r="CQ168" s="804">
        <v>1834949</v>
      </c>
      <c r="CR168" s="804">
        <v>2690821</v>
      </c>
      <c r="CS168" s="804">
        <v>0</v>
      </c>
      <c r="CT168" s="804">
        <v>54826</v>
      </c>
      <c r="CU168" s="804">
        <v>2745647</v>
      </c>
      <c r="CV168" s="804">
        <v>157841</v>
      </c>
      <c r="CW168" s="804">
        <v>0</v>
      </c>
      <c r="CX168" s="804">
        <v>3221</v>
      </c>
      <c r="CY168" s="804">
        <v>161062</v>
      </c>
      <c r="CZ168" s="804">
        <v>1017</v>
      </c>
      <c r="DA168" s="804">
        <v>0</v>
      </c>
      <c r="DB168" s="804">
        <v>21</v>
      </c>
      <c r="DC168" s="804">
        <v>1038</v>
      </c>
      <c r="DD168" s="804">
        <v>0</v>
      </c>
      <c r="DE168" s="804">
        <v>0</v>
      </c>
      <c r="DF168" s="804">
        <v>0</v>
      </c>
      <c r="DG168" s="804">
        <v>0</v>
      </c>
      <c r="DH168" s="804">
        <v>24876</v>
      </c>
      <c r="DI168" s="804">
        <v>0</v>
      </c>
      <c r="DJ168" s="804">
        <v>508</v>
      </c>
      <c r="DK168" s="804">
        <v>25384</v>
      </c>
      <c r="DL168" s="804">
        <v>7936</v>
      </c>
      <c r="DM168" s="804">
        <v>0</v>
      </c>
      <c r="DN168" s="804">
        <v>162</v>
      </c>
      <c r="DO168" s="804">
        <v>8098</v>
      </c>
      <c r="DP168" s="804">
        <v>0</v>
      </c>
      <c r="DQ168" s="804">
        <v>0</v>
      </c>
      <c r="DR168" s="804">
        <v>0</v>
      </c>
      <c r="DS168" s="804">
        <v>0</v>
      </c>
      <c r="DT168" s="804">
        <v>0</v>
      </c>
      <c r="DU168" s="804">
        <v>0</v>
      </c>
      <c r="DV168" s="804">
        <v>0</v>
      </c>
      <c r="DW168" s="804">
        <v>0</v>
      </c>
      <c r="DX168" s="804">
        <v>850743</v>
      </c>
      <c r="DY168" s="804">
        <v>0</v>
      </c>
      <c r="DZ168" s="804">
        <v>17362</v>
      </c>
      <c r="EA168" s="804">
        <v>868105</v>
      </c>
      <c r="EB168" s="804">
        <v>5531535</v>
      </c>
      <c r="EC168" s="804">
        <v>0</v>
      </c>
      <c r="ED168" s="804">
        <v>112748</v>
      </c>
      <c r="EE168" s="804">
        <v>5644283</v>
      </c>
      <c r="EF168" s="604" t="s">
        <v>584</v>
      </c>
      <c r="EG168" s="497" t="s">
        <v>524</v>
      </c>
      <c r="EH168" s="630" t="s">
        <v>585</v>
      </c>
      <c r="EI168" s="118" t="s">
        <v>1819</v>
      </c>
    </row>
    <row r="169" spans="1:139" ht="12.75" x14ac:dyDescent="0.2">
      <c r="A169" s="805">
        <v>162</v>
      </c>
      <c r="B169" s="606" t="s">
        <v>208</v>
      </c>
      <c r="C169" s="607" t="s">
        <v>1185</v>
      </c>
      <c r="D169" s="608" t="s">
        <v>1188</v>
      </c>
      <c r="E169" s="609" t="s">
        <v>207</v>
      </c>
      <c r="F169" s="802">
        <v>14712715</v>
      </c>
      <c r="G169" s="804">
        <v>215000</v>
      </c>
      <c r="H169" s="804">
        <v>0</v>
      </c>
      <c r="I169" s="804">
        <v>60666</v>
      </c>
      <c r="J169" s="804">
        <v>0</v>
      </c>
      <c r="K169" s="804">
        <v>60666</v>
      </c>
      <c r="L169" s="804">
        <v>0</v>
      </c>
      <c r="M169" s="804">
        <v>0</v>
      </c>
      <c r="N169" s="804">
        <v>140000</v>
      </c>
      <c r="O169" s="804">
        <v>140000</v>
      </c>
      <c r="P169" s="804">
        <v>0</v>
      </c>
      <c r="Q169" s="804">
        <v>0</v>
      </c>
      <c r="R169" s="804">
        <v>14727049</v>
      </c>
      <c r="S169" s="804">
        <v>0.5</v>
      </c>
      <c r="T169" s="804">
        <v>0.4</v>
      </c>
      <c r="U169" s="804">
        <v>0.09</v>
      </c>
      <c r="V169" s="804">
        <v>0.01</v>
      </c>
      <c r="W169" s="804">
        <v>1</v>
      </c>
      <c r="X169" s="804">
        <v>7363525</v>
      </c>
      <c r="Y169" s="804">
        <v>5890820</v>
      </c>
      <c r="Z169" s="804">
        <v>1325434</v>
      </c>
      <c r="AA169" s="804">
        <v>147270</v>
      </c>
      <c r="AB169" s="804">
        <v>14727049</v>
      </c>
      <c r="AC169" s="804">
        <v>0</v>
      </c>
      <c r="AD169" s="804">
        <v>0</v>
      </c>
      <c r="AE169" s="804">
        <v>0</v>
      </c>
      <c r="AF169" s="804">
        <v>0</v>
      </c>
      <c r="AG169" s="804">
        <v>0</v>
      </c>
      <c r="AH169" s="804">
        <v>7363525</v>
      </c>
      <c r="AI169" s="804">
        <v>5890820</v>
      </c>
      <c r="AJ169" s="804">
        <v>1325434</v>
      </c>
      <c r="AK169" s="804">
        <v>147270</v>
      </c>
      <c r="AL169" s="804">
        <v>14727049</v>
      </c>
      <c r="AM169" s="804">
        <v>60666</v>
      </c>
      <c r="AN169" s="804">
        <v>60666</v>
      </c>
      <c r="AO169" s="804">
        <v>0</v>
      </c>
      <c r="AP169" s="804">
        <v>0</v>
      </c>
      <c r="AQ169" s="804">
        <v>140000</v>
      </c>
      <c r="AR169" s="804">
        <v>0</v>
      </c>
      <c r="AS169" s="804">
        <v>140000</v>
      </c>
      <c r="AT169" s="804">
        <v>0</v>
      </c>
      <c r="AU169" s="804">
        <v>0</v>
      </c>
      <c r="AV169" s="804">
        <v>0</v>
      </c>
      <c r="AW169" s="804">
        <v>0</v>
      </c>
      <c r="AX169" s="804">
        <v>0</v>
      </c>
      <c r="AY169" s="804">
        <v>0</v>
      </c>
      <c r="AZ169" s="804">
        <v>0</v>
      </c>
      <c r="BA169" s="804">
        <v>0</v>
      </c>
      <c r="BB169" s="804">
        <v>0</v>
      </c>
      <c r="BC169" s="804">
        <v>0</v>
      </c>
      <c r="BD169" s="804">
        <v>0</v>
      </c>
      <c r="BE169" s="804">
        <v>0</v>
      </c>
      <c r="BF169" s="804">
        <v>0</v>
      </c>
      <c r="BG169" s="804">
        <v>0</v>
      </c>
      <c r="BH169" s="804">
        <v>0</v>
      </c>
      <c r="BI169" s="804">
        <v>0</v>
      </c>
      <c r="BJ169" s="804">
        <v>0.25</v>
      </c>
      <c r="BK169" s="804">
        <v>0.375</v>
      </c>
      <c r="BL169" s="804">
        <v>0.36499999999999999</v>
      </c>
      <c r="BM169" s="804">
        <v>0.01</v>
      </c>
      <c r="BN169" s="804">
        <v>1</v>
      </c>
      <c r="BO169" s="804">
        <v>47177</v>
      </c>
      <c r="BP169" s="804">
        <v>70764</v>
      </c>
      <c r="BQ169" s="804">
        <v>68877</v>
      </c>
      <c r="BR169" s="804">
        <v>1887</v>
      </c>
      <c r="BS169" s="804">
        <v>188705</v>
      </c>
      <c r="BT169" s="804">
        <v>0.5</v>
      </c>
      <c r="BU169" s="804">
        <v>0.4</v>
      </c>
      <c r="BV169" s="804">
        <v>0.09</v>
      </c>
      <c r="BW169" s="804">
        <v>0.01</v>
      </c>
      <c r="BX169" s="804">
        <v>1</v>
      </c>
      <c r="BY169" s="804">
        <v>-162070.29999999888</v>
      </c>
      <c r="BZ169" s="804">
        <v>-129656</v>
      </c>
      <c r="CA169" s="804">
        <v>-29173</v>
      </c>
      <c r="CB169" s="804">
        <v>-3241</v>
      </c>
      <c r="CC169" s="804">
        <v>-324140.29999999888</v>
      </c>
      <c r="CD169" s="804">
        <v>-114893</v>
      </c>
      <c r="CE169" s="804">
        <v>-58892</v>
      </c>
      <c r="CF169" s="804">
        <v>39704</v>
      </c>
      <c r="CG169" s="804">
        <v>-1354</v>
      </c>
      <c r="CH169" s="804">
        <v>-135435.29999999888</v>
      </c>
      <c r="CI169" s="804">
        <v>7248632</v>
      </c>
      <c r="CJ169" s="804">
        <v>6032594</v>
      </c>
      <c r="CK169" s="804">
        <v>1365138</v>
      </c>
      <c r="CL169" s="804">
        <v>145916</v>
      </c>
      <c r="CM169" s="804">
        <v>14792280</v>
      </c>
      <c r="CN169" s="804">
        <v>241716</v>
      </c>
      <c r="CO169" s="804">
        <v>53124</v>
      </c>
      <c r="CP169" s="804">
        <v>5903</v>
      </c>
      <c r="CQ169" s="804">
        <v>300743</v>
      </c>
      <c r="CR169" s="804">
        <v>626998</v>
      </c>
      <c r="CS169" s="804">
        <v>141074</v>
      </c>
      <c r="CT169" s="804">
        <v>15675</v>
      </c>
      <c r="CU169" s="804">
        <v>783747</v>
      </c>
      <c r="CV169" s="804">
        <v>34180</v>
      </c>
      <c r="CW169" s="804">
        <v>7691</v>
      </c>
      <c r="CX169" s="804">
        <v>855</v>
      </c>
      <c r="CY169" s="804">
        <v>42726</v>
      </c>
      <c r="CZ169" s="804">
        <v>2496</v>
      </c>
      <c r="DA169" s="804">
        <v>562</v>
      </c>
      <c r="DB169" s="804">
        <v>62</v>
      </c>
      <c r="DC169" s="804">
        <v>3120</v>
      </c>
      <c r="DD169" s="804">
        <v>7697</v>
      </c>
      <c r="DE169" s="804">
        <v>1732</v>
      </c>
      <c r="DF169" s="804">
        <v>192</v>
      </c>
      <c r="DG169" s="804">
        <v>9621</v>
      </c>
      <c r="DH169" s="804">
        <v>8113</v>
      </c>
      <c r="DI169" s="804">
        <v>1825</v>
      </c>
      <c r="DJ169" s="804">
        <v>203</v>
      </c>
      <c r="DK169" s="804">
        <v>10141</v>
      </c>
      <c r="DL169" s="804">
        <v>1753</v>
      </c>
      <c r="DM169" s="804">
        <v>394</v>
      </c>
      <c r="DN169" s="804">
        <v>44</v>
      </c>
      <c r="DO169" s="804">
        <v>2191</v>
      </c>
      <c r="DP169" s="804">
        <v>0</v>
      </c>
      <c r="DQ169" s="804">
        <v>0</v>
      </c>
      <c r="DR169" s="804">
        <v>0</v>
      </c>
      <c r="DS169" s="804">
        <v>0</v>
      </c>
      <c r="DT169" s="804">
        <v>0</v>
      </c>
      <c r="DU169" s="804">
        <v>0</v>
      </c>
      <c r="DV169" s="804">
        <v>0</v>
      </c>
      <c r="DW169" s="804">
        <v>0</v>
      </c>
      <c r="DX169" s="804">
        <v>183055</v>
      </c>
      <c r="DY169" s="804">
        <v>41187</v>
      </c>
      <c r="DZ169" s="804">
        <v>4576</v>
      </c>
      <c r="EA169" s="804">
        <v>228818</v>
      </c>
      <c r="EB169" s="804">
        <v>1106008</v>
      </c>
      <c r="EC169" s="804">
        <v>247589</v>
      </c>
      <c r="ED169" s="804">
        <v>27510</v>
      </c>
      <c r="EE169" s="804">
        <v>1381107</v>
      </c>
      <c r="EF169" s="604" t="s">
        <v>207</v>
      </c>
      <c r="EG169" s="497" t="s">
        <v>594</v>
      </c>
      <c r="EH169" s="630" t="s">
        <v>592</v>
      </c>
      <c r="EI169" s="118" t="s">
        <v>1820</v>
      </c>
    </row>
    <row r="170" spans="1:139" ht="12.75" x14ac:dyDescent="0.2">
      <c r="A170" s="805">
        <v>163</v>
      </c>
      <c r="B170" s="606" t="s">
        <v>210</v>
      </c>
      <c r="C170" s="607" t="s">
        <v>1185</v>
      </c>
      <c r="D170" s="608" t="s">
        <v>1194</v>
      </c>
      <c r="E170" s="609" t="s">
        <v>209</v>
      </c>
      <c r="F170" s="802">
        <v>36375437</v>
      </c>
      <c r="G170" s="804">
        <v>255281</v>
      </c>
      <c r="H170" s="804">
        <v>0</v>
      </c>
      <c r="I170" s="804">
        <v>166243</v>
      </c>
      <c r="J170" s="804">
        <v>0</v>
      </c>
      <c r="K170" s="804">
        <v>166243</v>
      </c>
      <c r="L170" s="804">
        <v>0</v>
      </c>
      <c r="M170" s="804">
        <v>0</v>
      </c>
      <c r="N170" s="804">
        <v>114618</v>
      </c>
      <c r="O170" s="804">
        <v>114618</v>
      </c>
      <c r="P170" s="804">
        <v>0</v>
      </c>
      <c r="Q170" s="804">
        <v>0</v>
      </c>
      <c r="R170" s="804">
        <v>36349857</v>
      </c>
      <c r="S170" s="804">
        <v>0.5</v>
      </c>
      <c r="T170" s="804">
        <v>0.4</v>
      </c>
      <c r="U170" s="804">
        <v>0.09</v>
      </c>
      <c r="V170" s="804">
        <v>0.01</v>
      </c>
      <c r="W170" s="804">
        <v>1</v>
      </c>
      <c r="X170" s="804">
        <v>18174928</v>
      </c>
      <c r="Y170" s="804">
        <v>14539943</v>
      </c>
      <c r="Z170" s="804">
        <v>3271487</v>
      </c>
      <c r="AA170" s="804">
        <v>363499</v>
      </c>
      <c r="AB170" s="804">
        <v>36349857</v>
      </c>
      <c r="AC170" s="804">
        <v>0</v>
      </c>
      <c r="AD170" s="804">
        <v>0</v>
      </c>
      <c r="AE170" s="804">
        <v>0</v>
      </c>
      <c r="AF170" s="804">
        <v>0</v>
      </c>
      <c r="AG170" s="804">
        <v>0</v>
      </c>
      <c r="AH170" s="804">
        <v>18174928</v>
      </c>
      <c r="AI170" s="804">
        <v>14539943</v>
      </c>
      <c r="AJ170" s="804">
        <v>3271487</v>
      </c>
      <c r="AK170" s="804">
        <v>363499</v>
      </c>
      <c r="AL170" s="804">
        <v>36349857</v>
      </c>
      <c r="AM170" s="804">
        <v>166243</v>
      </c>
      <c r="AN170" s="804">
        <v>166243</v>
      </c>
      <c r="AO170" s="804">
        <v>0</v>
      </c>
      <c r="AP170" s="804">
        <v>0</v>
      </c>
      <c r="AQ170" s="804">
        <v>114618</v>
      </c>
      <c r="AR170" s="804">
        <v>0</v>
      </c>
      <c r="AS170" s="804">
        <v>114618</v>
      </c>
      <c r="AT170" s="804">
        <v>0</v>
      </c>
      <c r="AU170" s="804">
        <v>0</v>
      </c>
      <c r="AV170" s="804">
        <v>0</v>
      </c>
      <c r="AW170" s="804">
        <v>0</v>
      </c>
      <c r="AX170" s="804">
        <v>0</v>
      </c>
      <c r="AY170" s="804">
        <v>0</v>
      </c>
      <c r="AZ170" s="804">
        <v>0</v>
      </c>
      <c r="BA170" s="804">
        <v>0</v>
      </c>
      <c r="BB170" s="804">
        <v>0</v>
      </c>
      <c r="BC170" s="804">
        <v>0</v>
      </c>
      <c r="BD170" s="804">
        <v>0</v>
      </c>
      <c r="BE170" s="804">
        <v>0</v>
      </c>
      <c r="BF170" s="804">
        <v>0</v>
      </c>
      <c r="BG170" s="804">
        <v>0</v>
      </c>
      <c r="BH170" s="804">
        <v>0</v>
      </c>
      <c r="BI170" s="804">
        <v>0</v>
      </c>
      <c r="BJ170" s="804">
        <v>0.24999999999999994</v>
      </c>
      <c r="BK170" s="804">
        <v>0.44</v>
      </c>
      <c r="BL170" s="804">
        <v>0.3</v>
      </c>
      <c r="BM170" s="804">
        <v>0.01</v>
      </c>
      <c r="BN170" s="804">
        <v>1</v>
      </c>
      <c r="BO170" s="804">
        <v>-9164.000000001397</v>
      </c>
      <c r="BP170" s="804">
        <v>-16129</v>
      </c>
      <c r="BQ170" s="804">
        <v>-10997</v>
      </c>
      <c r="BR170" s="804">
        <v>-367</v>
      </c>
      <c r="BS170" s="804">
        <v>-36657.000000001397</v>
      </c>
      <c r="BT170" s="804">
        <v>0.5</v>
      </c>
      <c r="BU170" s="804">
        <v>0.4</v>
      </c>
      <c r="BV170" s="804">
        <v>0.09</v>
      </c>
      <c r="BW170" s="804">
        <v>0.01</v>
      </c>
      <c r="BX170" s="804">
        <v>1</v>
      </c>
      <c r="BY170" s="804">
        <v>146247.04999999842</v>
      </c>
      <c r="BZ170" s="804">
        <v>116998</v>
      </c>
      <c r="CA170" s="804">
        <v>26325</v>
      </c>
      <c r="CB170" s="804">
        <v>2925</v>
      </c>
      <c r="CC170" s="804">
        <v>292495.04999999842</v>
      </c>
      <c r="CD170" s="804">
        <v>137083</v>
      </c>
      <c r="CE170" s="804">
        <v>100869</v>
      </c>
      <c r="CF170" s="804">
        <v>15328</v>
      </c>
      <c r="CG170" s="804">
        <v>2558</v>
      </c>
      <c r="CH170" s="804">
        <v>255838.04999999702</v>
      </c>
      <c r="CI170" s="804">
        <v>18312011</v>
      </c>
      <c r="CJ170" s="804">
        <v>14921673</v>
      </c>
      <c r="CK170" s="804">
        <v>3286815</v>
      </c>
      <c r="CL170" s="804">
        <v>366057</v>
      </c>
      <c r="CM170" s="804">
        <v>36886556</v>
      </c>
      <c r="CN170" s="804">
        <v>587357</v>
      </c>
      <c r="CO170" s="804">
        <v>131122</v>
      </c>
      <c r="CP170" s="804">
        <v>14569</v>
      </c>
      <c r="CQ170" s="804">
        <v>733048</v>
      </c>
      <c r="CR170" s="804">
        <v>1549979</v>
      </c>
      <c r="CS170" s="804">
        <v>348745</v>
      </c>
      <c r="CT170" s="804">
        <v>38749</v>
      </c>
      <c r="CU170" s="804">
        <v>1937473</v>
      </c>
      <c r="CV170" s="804">
        <v>90766</v>
      </c>
      <c r="CW170" s="804">
        <v>20422</v>
      </c>
      <c r="CX170" s="804">
        <v>2269</v>
      </c>
      <c r="CY170" s="804">
        <v>113457</v>
      </c>
      <c r="CZ170" s="804">
        <v>0</v>
      </c>
      <c r="DA170" s="804">
        <v>0</v>
      </c>
      <c r="DB170" s="804">
        <v>0</v>
      </c>
      <c r="DC170" s="804">
        <v>0</v>
      </c>
      <c r="DD170" s="804">
        <v>7918</v>
      </c>
      <c r="DE170" s="804">
        <v>1782</v>
      </c>
      <c r="DF170" s="804">
        <v>198</v>
      </c>
      <c r="DG170" s="804">
        <v>9898</v>
      </c>
      <c r="DH170" s="804">
        <v>25079</v>
      </c>
      <c r="DI170" s="804">
        <v>5643</v>
      </c>
      <c r="DJ170" s="804">
        <v>627</v>
      </c>
      <c r="DK170" s="804">
        <v>31349</v>
      </c>
      <c r="DL170" s="804">
        <v>4149</v>
      </c>
      <c r="DM170" s="804">
        <v>933</v>
      </c>
      <c r="DN170" s="804">
        <v>104</v>
      </c>
      <c r="DO170" s="804">
        <v>5186</v>
      </c>
      <c r="DP170" s="804">
        <v>0</v>
      </c>
      <c r="DQ170" s="804">
        <v>0</v>
      </c>
      <c r="DR170" s="804">
        <v>0</v>
      </c>
      <c r="DS170" s="804">
        <v>0</v>
      </c>
      <c r="DT170" s="804">
        <v>0</v>
      </c>
      <c r="DU170" s="804">
        <v>0</v>
      </c>
      <c r="DV170" s="804">
        <v>0</v>
      </c>
      <c r="DW170" s="804">
        <v>0</v>
      </c>
      <c r="DX170" s="804">
        <v>447645</v>
      </c>
      <c r="DY170" s="804">
        <v>100720</v>
      </c>
      <c r="DZ170" s="804">
        <v>11191</v>
      </c>
      <c r="EA170" s="804">
        <v>559556</v>
      </c>
      <c r="EB170" s="804">
        <v>2712893</v>
      </c>
      <c r="EC170" s="804">
        <v>609367</v>
      </c>
      <c r="ED170" s="804">
        <v>67707</v>
      </c>
      <c r="EE170" s="804">
        <v>3389967</v>
      </c>
      <c r="EF170" s="604" t="s">
        <v>209</v>
      </c>
      <c r="EG170" s="497" t="s">
        <v>606</v>
      </c>
      <c r="EH170" s="630" t="s">
        <v>558</v>
      </c>
      <c r="EI170" s="118" t="s">
        <v>1821</v>
      </c>
    </row>
    <row r="171" spans="1:139" ht="12.75" x14ac:dyDescent="0.2">
      <c r="A171" s="805">
        <v>164</v>
      </c>
      <c r="B171" s="606" t="s">
        <v>212</v>
      </c>
      <c r="C171" s="607" t="s">
        <v>1190</v>
      </c>
      <c r="D171" s="608" t="s">
        <v>1191</v>
      </c>
      <c r="E171" s="609" t="s">
        <v>211</v>
      </c>
      <c r="F171" s="802">
        <v>87478275</v>
      </c>
      <c r="G171" s="804">
        <v>0</v>
      </c>
      <c r="H171" s="804">
        <v>383062</v>
      </c>
      <c r="I171" s="804">
        <v>256692</v>
      </c>
      <c r="J171" s="804">
        <v>0</v>
      </c>
      <c r="K171" s="804">
        <v>256692</v>
      </c>
      <c r="L171" s="804">
        <v>0</v>
      </c>
      <c r="M171" s="804">
        <v>0</v>
      </c>
      <c r="N171" s="804">
        <v>0</v>
      </c>
      <c r="O171" s="804">
        <v>0</v>
      </c>
      <c r="P171" s="804">
        <v>0</v>
      </c>
      <c r="Q171" s="804">
        <v>0</v>
      </c>
      <c r="R171" s="804">
        <v>86838521</v>
      </c>
      <c r="S171" s="804">
        <v>0.33</v>
      </c>
      <c r="T171" s="804">
        <v>0.3</v>
      </c>
      <c r="U171" s="804">
        <v>0.37</v>
      </c>
      <c r="V171" s="804">
        <v>0</v>
      </c>
      <c r="W171" s="804">
        <v>1</v>
      </c>
      <c r="X171" s="804">
        <v>28656712</v>
      </c>
      <c r="Y171" s="804">
        <v>26051556</v>
      </c>
      <c r="Z171" s="804">
        <v>32130253</v>
      </c>
      <c r="AA171" s="804">
        <v>0</v>
      </c>
      <c r="AB171" s="804">
        <v>86838521</v>
      </c>
      <c r="AC171" s="804">
        <v>0</v>
      </c>
      <c r="AD171" s="804">
        <v>0</v>
      </c>
      <c r="AE171" s="804">
        <v>0</v>
      </c>
      <c r="AF171" s="804">
        <v>0</v>
      </c>
      <c r="AG171" s="804">
        <v>0</v>
      </c>
      <c r="AH171" s="804">
        <v>28656712</v>
      </c>
      <c r="AI171" s="804">
        <v>26051556</v>
      </c>
      <c r="AJ171" s="804">
        <v>32130253</v>
      </c>
      <c r="AK171" s="804">
        <v>0</v>
      </c>
      <c r="AL171" s="804">
        <v>86838521</v>
      </c>
      <c r="AM171" s="804">
        <v>256692</v>
      </c>
      <c r="AN171" s="804">
        <v>256692</v>
      </c>
      <c r="AO171" s="804">
        <v>0</v>
      </c>
      <c r="AP171" s="804">
        <v>0</v>
      </c>
      <c r="AQ171" s="804">
        <v>0</v>
      </c>
      <c r="AR171" s="804">
        <v>0</v>
      </c>
      <c r="AS171" s="804">
        <v>0</v>
      </c>
      <c r="AT171" s="804">
        <v>0</v>
      </c>
      <c r="AU171" s="804">
        <v>0</v>
      </c>
      <c r="AV171" s="804">
        <v>0</v>
      </c>
      <c r="AW171" s="804">
        <v>0</v>
      </c>
      <c r="AX171" s="804">
        <v>0</v>
      </c>
      <c r="AY171" s="804">
        <v>0</v>
      </c>
      <c r="AZ171" s="804">
        <v>0</v>
      </c>
      <c r="BA171" s="804">
        <v>0</v>
      </c>
      <c r="BB171" s="804">
        <v>0</v>
      </c>
      <c r="BC171" s="804">
        <v>0</v>
      </c>
      <c r="BD171" s="804">
        <v>0</v>
      </c>
      <c r="BE171" s="804">
        <v>0</v>
      </c>
      <c r="BF171" s="804">
        <v>0</v>
      </c>
      <c r="BG171" s="804">
        <v>0</v>
      </c>
      <c r="BH171" s="804">
        <v>0</v>
      </c>
      <c r="BI171" s="804">
        <v>0</v>
      </c>
      <c r="BJ171" s="804">
        <v>0.25</v>
      </c>
      <c r="BK171" s="804">
        <v>0.48</v>
      </c>
      <c r="BL171" s="804">
        <v>0.27</v>
      </c>
      <c r="BM171" s="804">
        <v>0</v>
      </c>
      <c r="BN171" s="804">
        <v>1</v>
      </c>
      <c r="BO171" s="804">
        <v>-947367</v>
      </c>
      <c r="BP171" s="804">
        <v>-1818945</v>
      </c>
      <c r="BQ171" s="804">
        <v>-1023157</v>
      </c>
      <c r="BR171" s="804">
        <v>0</v>
      </c>
      <c r="BS171" s="804">
        <v>-3789469</v>
      </c>
      <c r="BT171" s="804">
        <v>0</v>
      </c>
      <c r="BU171" s="804">
        <v>0.64</v>
      </c>
      <c r="BV171" s="804">
        <v>0.36</v>
      </c>
      <c r="BW171" s="804">
        <v>0</v>
      </c>
      <c r="BX171" s="804">
        <v>1</v>
      </c>
      <c r="BY171" s="804">
        <v>0</v>
      </c>
      <c r="BZ171" s="804">
        <v>621547</v>
      </c>
      <c r="CA171" s="804">
        <v>349620</v>
      </c>
      <c r="CB171" s="804">
        <v>0</v>
      </c>
      <c r="CC171" s="804">
        <v>971167</v>
      </c>
      <c r="CD171" s="804">
        <v>-947367</v>
      </c>
      <c r="CE171" s="804">
        <v>-1197398</v>
      </c>
      <c r="CF171" s="804">
        <v>-673537</v>
      </c>
      <c r="CG171" s="804">
        <v>0</v>
      </c>
      <c r="CH171" s="804">
        <v>-2818302</v>
      </c>
      <c r="CI171" s="804">
        <v>27709345</v>
      </c>
      <c r="CJ171" s="804">
        <v>25110850</v>
      </c>
      <c r="CK171" s="804">
        <v>31456716</v>
      </c>
      <c r="CL171" s="804">
        <v>0</v>
      </c>
      <c r="CM171" s="804">
        <v>84276911</v>
      </c>
      <c r="CN171" s="804">
        <v>1044151</v>
      </c>
      <c r="CO171" s="804">
        <v>1287786</v>
      </c>
      <c r="CP171" s="804">
        <v>0</v>
      </c>
      <c r="CQ171" s="804">
        <v>2331937</v>
      </c>
      <c r="CR171" s="804">
        <v>1168280</v>
      </c>
      <c r="CS171" s="804">
        <v>1440878</v>
      </c>
      <c r="CT171" s="804">
        <v>0</v>
      </c>
      <c r="CU171" s="804">
        <v>2609158</v>
      </c>
      <c r="CV171" s="804">
        <v>82592</v>
      </c>
      <c r="CW171" s="804">
        <v>101863</v>
      </c>
      <c r="CX171" s="804">
        <v>0</v>
      </c>
      <c r="CY171" s="804">
        <v>184455</v>
      </c>
      <c r="CZ171" s="804">
        <v>983</v>
      </c>
      <c r="DA171" s="804">
        <v>1211</v>
      </c>
      <c r="DB171" s="804">
        <v>0</v>
      </c>
      <c r="DC171" s="804">
        <v>2194</v>
      </c>
      <c r="DD171" s="804">
        <v>0</v>
      </c>
      <c r="DE171" s="804">
        <v>0</v>
      </c>
      <c r="DF171" s="804">
        <v>0</v>
      </c>
      <c r="DG171" s="804">
        <v>0</v>
      </c>
      <c r="DH171" s="804">
        <v>7230</v>
      </c>
      <c r="DI171" s="804">
        <v>8918</v>
      </c>
      <c r="DJ171" s="804">
        <v>0</v>
      </c>
      <c r="DK171" s="804">
        <v>16148</v>
      </c>
      <c r="DL171" s="804">
        <v>4056</v>
      </c>
      <c r="DM171" s="804">
        <v>5003</v>
      </c>
      <c r="DN171" s="804">
        <v>0</v>
      </c>
      <c r="DO171" s="804">
        <v>9059</v>
      </c>
      <c r="DP171" s="804">
        <v>0</v>
      </c>
      <c r="DQ171" s="804">
        <v>0</v>
      </c>
      <c r="DR171" s="804">
        <v>0</v>
      </c>
      <c r="DS171" s="804">
        <v>0</v>
      </c>
      <c r="DT171" s="804">
        <v>0</v>
      </c>
      <c r="DU171" s="804">
        <v>0</v>
      </c>
      <c r="DV171" s="804">
        <v>0</v>
      </c>
      <c r="DW171" s="804">
        <v>0</v>
      </c>
      <c r="DX171" s="804">
        <v>782556</v>
      </c>
      <c r="DY171" s="804">
        <v>965153</v>
      </c>
      <c r="DZ171" s="804">
        <v>0</v>
      </c>
      <c r="EA171" s="804">
        <v>1747709</v>
      </c>
      <c r="EB171" s="804">
        <v>3089848</v>
      </c>
      <c r="EC171" s="804">
        <v>3810812</v>
      </c>
      <c r="ED171" s="804">
        <v>0</v>
      </c>
      <c r="EE171" s="804">
        <v>6900660</v>
      </c>
      <c r="EF171" s="604" t="s">
        <v>211</v>
      </c>
      <c r="EG171" s="497" t="s">
        <v>623</v>
      </c>
      <c r="EH171" s="243" t="s">
        <v>523</v>
      </c>
      <c r="EI171" s="118" t="s">
        <v>1822</v>
      </c>
    </row>
    <row r="172" spans="1:139" ht="12.75" x14ac:dyDescent="0.2">
      <c r="A172" s="805">
        <v>165</v>
      </c>
      <c r="B172" s="606" t="s">
        <v>214</v>
      </c>
      <c r="C172" s="607" t="s">
        <v>1185</v>
      </c>
      <c r="D172" s="608" t="s">
        <v>1194</v>
      </c>
      <c r="E172" s="609" t="s">
        <v>213</v>
      </c>
      <c r="F172" s="802">
        <v>15635546</v>
      </c>
      <c r="G172" s="804">
        <v>242642</v>
      </c>
      <c r="H172" s="804">
        <v>0</v>
      </c>
      <c r="I172" s="804">
        <v>110909</v>
      </c>
      <c r="J172" s="804">
        <v>0</v>
      </c>
      <c r="K172" s="804">
        <v>110909</v>
      </c>
      <c r="L172" s="804">
        <v>0</v>
      </c>
      <c r="M172" s="804">
        <v>0</v>
      </c>
      <c r="N172" s="804">
        <v>166869</v>
      </c>
      <c r="O172" s="804">
        <v>97508</v>
      </c>
      <c r="P172" s="804">
        <v>69361</v>
      </c>
      <c r="Q172" s="804">
        <v>0</v>
      </c>
      <c r="R172" s="804">
        <v>15600410</v>
      </c>
      <c r="S172" s="804">
        <v>0.5</v>
      </c>
      <c r="T172" s="804">
        <v>0.4</v>
      </c>
      <c r="U172" s="804">
        <v>0.09</v>
      </c>
      <c r="V172" s="804">
        <v>0.01</v>
      </c>
      <c r="W172" s="804">
        <v>1</v>
      </c>
      <c r="X172" s="804">
        <v>7800205</v>
      </c>
      <c r="Y172" s="804">
        <v>6240164</v>
      </c>
      <c r="Z172" s="804">
        <v>1404037</v>
      </c>
      <c r="AA172" s="804">
        <v>156004</v>
      </c>
      <c r="AB172" s="804">
        <v>15600410</v>
      </c>
      <c r="AC172" s="804">
        <v>0</v>
      </c>
      <c r="AD172" s="804">
        <v>0</v>
      </c>
      <c r="AE172" s="804">
        <v>0</v>
      </c>
      <c r="AF172" s="804">
        <v>0</v>
      </c>
      <c r="AG172" s="804">
        <v>0</v>
      </c>
      <c r="AH172" s="804">
        <v>7800205</v>
      </c>
      <c r="AI172" s="804">
        <v>6240164</v>
      </c>
      <c r="AJ172" s="804">
        <v>1404037</v>
      </c>
      <c r="AK172" s="804">
        <v>156004</v>
      </c>
      <c r="AL172" s="804">
        <v>15600410</v>
      </c>
      <c r="AM172" s="804">
        <v>110909</v>
      </c>
      <c r="AN172" s="804">
        <v>110909</v>
      </c>
      <c r="AO172" s="804">
        <v>0</v>
      </c>
      <c r="AP172" s="804">
        <v>0</v>
      </c>
      <c r="AQ172" s="804">
        <v>97508</v>
      </c>
      <c r="AR172" s="804">
        <v>69361</v>
      </c>
      <c r="AS172" s="804">
        <v>166869</v>
      </c>
      <c r="AT172" s="804">
        <v>0</v>
      </c>
      <c r="AU172" s="804">
        <v>0</v>
      </c>
      <c r="AV172" s="804">
        <v>0</v>
      </c>
      <c r="AW172" s="804">
        <v>0</v>
      </c>
      <c r="AX172" s="804">
        <v>0</v>
      </c>
      <c r="AY172" s="804">
        <v>0</v>
      </c>
      <c r="AZ172" s="804">
        <v>0</v>
      </c>
      <c r="BA172" s="804">
        <v>0</v>
      </c>
      <c r="BB172" s="804">
        <v>0</v>
      </c>
      <c r="BC172" s="804">
        <v>0</v>
      </c>
      <c r="BD172" s="804">
        <v>0</v>
      </c>
      <c r="BE172" s="804">
        <v>0</v>
      </c>
      <c r="BF172" s="804">
        <v>0</v>
      </c>
      <c r="BG172" s="804">
        <v>0</v>
      </c>
      <c r="BH172" s="804">
        <v>0</v>
      </c>
      <c r="BI172" s="804">
        <v>0</v>
      </c>
      <c r="BJ172" s="804">
        <v>0.5</v>
      </c>
      <c r="BK172" s="804">
        <v>0.4</v>
      </c>
      <c r="BL172" s="804">
        <v>0.09</v>
      </c>
      <c r="BM172" s="804">
        <v>0.01</v>
      </c>
      <c r="BN172" s="804">
        <v>1</v>
      </c>
      <c r="BO172" s="804">
        <v>150739</v>
      </c>
      <c r="BP172" s="804">
        <v>120591</v>
      </c>
      <c r="BQ172" s="804">
        <v>27133</v>
      </c>
      <c r="BR172" s="804">
        <v>3015</v>
      </c>
      <c r="BS172" s="804">
        <v>301478</v>
      </c>
      <c r="BT172" s="804">
        <v>0</v>
      </c>
      <c r="BU172" s="804">
        <v>0.4</v>
      </c>
      <c r="BV172" s="804">
        <v>0.59</v>
      </c>
      <c r="BW172" s="804">
        <v>0.01</v>
      </c>
      <c r="BX172" s="804">
        <v>1</v>
      </c>
      <c r="BY172" s="804">
        <v>0</v>
      </c>
      <c r="BZ172" s="804">
        <v>71217</v>
      </c>
      <c r="CA172" s="804">
        <v>105045</v>
      </c>
      <c r="CB172" s="804">
        <v>1780</v>
      </c>
      <c r="CC172" s="804">
        <v>178042</v>
      </c>
      <c r="CD172" s="804">
        <v>150739</v>
      </c>
      <c r="CE172" s="804">
        <v>191808</v>
      </c>
      <c r="CF172" s="804">
        <v>132178</v>
      </c>
      <c r="CG172" s="804">
        <v>4795</v>
      </c>
      <c r="CH172" s="804">
        <v>479520</v>
      </c>
      <c r="CI172" s="804">
        <v>7950944</v>
      </c>
      <c r="CJ172" s="804">
        <v>6640389</v>
      </c>
      <c r="CK172" s="804">
        <v>1605576</v>
      </c>
      <c r="CL172" s="804">
        <v>160799</v>
      </c>
      <c r="CM172" s="804">
        <v>16357708</v>
      </c>
      <c r="CN172" s="804">
        <v>254015</v>
      </c>
      <c r="CO172" s="804">
        <v>59054</v>
      </c>
      <c r="CP172" s="804">
        <v>6253</v>
      </c>
      <c r="CQ172" s="804">
        <v>319322</v>
      </c>
      <c r="CR172" s="804">
        <v>1133219</v>
      </c>
      <c r="CS172" s="804">
        <v>254974</v>
      </c>
      <c r="CT172" s="804">
        <v>28330</v>
      </c>
      <c r="CU172" s="804">
        <v>1416523</v>
      </c>
      <c r="CV172" s="804">
        <v>42653</v>
      </c>
      <c r="CW172" s="804">
        <v>9597</v>
      </c>
      <c r="CX172" s="804">
        <v>1066</v>
      </c>
      <c r="CY172" s="804">
        <v>53316</v>
      </c>
      <c r="CZ172" s="804">
        <v>3572</v>
      </c>
      <c r="DA172" s="804">
        <v>804</v>
      </c>
      <c r="DB172" s="804">
        <v>89</v>
      </c>
      <c r="DC172" s="804">
        <v>4465</v>
      </c>
      <c r="DD172" s="804">
        <v>12428</v>
      </c>
      <c r="DE172" s="804">
        <v>2796</v>
      </c>
      <c r="DF172" s="804">
        <v>311</v>
      </c>
      <c r="DG172" s="804">
        <v>15535</v>
      </c>
      <c r="DH172" s="804">
        <v>11773</v>
      </c>
      <c r="DI172" s="804">
        <v>2649</v>
      </c>
      <c r="DJ172" s="804">
        <v>294</v>
      </c>
      <c r="DK172" s="804">
        <v>14716</v>
      </c>
      <c r="DL172" s="804">
        <v>1248</v>
      </c>
      <c r="DM172" s="804">
        <v>281</v>
      </c>
      <c r="DN172" s="804">
        <v>31</v>
      </c>
      <c r="DO172" s="804">
        <v>1560</v>
      </c>
      <c r="DP172" s="804">
        <v>0</v>
      </c>
      <c r="DQ172" s="804">
        <v>0</v>
      </c>
      <c r="DR172" s="804">
        <v>0</v>
      </c>
      <c r="DS172" s="804">
        <v>0</v>
      </c>
      <c r="DT172" s="804">
        <v>0</v>
      </c>
      <c r="DU172" s="804">
        <v>0</v>
      </c>
      <c r="DV172" s="804">
        <v>0</v>
      </c>
      <c r="DW172" s="804">
        <v>0</v>
      </c>
      <c r="DX172" s="804">
        <v>141709</v>
      </c>
      <c r="DY172" s="804">
        <v>31884</v>
      </c>
      <c r="DZ172" s="804">
        <v>3543</v>
      </c>
      <c r="EA172" s="804">
        <v>177136</v>
      </c>
      <c r="EB172" s="804">
        <v>1600617</v>
      </c>
      <c r="EC172" s="804">
        <v>362039</v>
      </c>
      <c r="ED172" s="804">
        <v>39917</v>
      </c>
      <c r="EE172" s="804">
        <v>2002573</v>
      </c>
      <c r="EF172" s="604" t="s">
        <v>213</v>
      </c>
      <c r="EG172" s="497" t="s">
        <v>560</v>
      </c>
      <c r="EH172" s="630" t="s">
        <v>558</v>
      </c>
      <c r="EI172" s="118" t="s">
        <v>1823</v>
      </c>
    </row>
    <row r="173" spans="1:139" ht="12.75" x14ac:dyDescent="0.2">
      <c r="A173" s="805">
        <v>166</v>
      </c>
      <c r="B173" s="606" t="s">
        <v>216</v>
      </c>
      <c r="C173" s="607" t="s">
        <v>1185</v>
      </c>
      <c r="D173" s="608" t="s">
        <v>1189</v>
      </c>
      <c r="E173" s="609" t="s">
        <v>215</v>
      </c>
      <c r="F173" s="802">
        <v>23645334</v>
      </c>
      <c r="G173" s="804">
        <v>175361</v>
      </c>
      <c r="H173" s="804">
        <v>0</v>
      </c>
      <c r="I173" s="804">
        <v>126183</v>
      </c>
      <c r="J173" s="804">
        <v>0</v>
      </c>
      <c r="K173" s="804">
        <v>126183</v>
      </c>
      <c r="L173" s="804">
        <v>0</v>
      </c>
      <c r="M173" s="804">
        <v>0</v>
      </c>
      <c r="N173" s="804">
        <v>338749</v>
      </c>
      <c r="O173" s="804">
        <v>171791</v>
      </c>
      <c r="P173" s="804">
        <v>166958</v>
      </c>
      <c r="Q173" s="804">
        <v>0</v>
      </c>
      <c r="R173" s="804">
        <v>23355763</v>
      </c>
      <c r="S173" s="804">
        <v>0.5</v>
      </c>
      <c r="T173" s="804">
        <v>0.4</v>
      </c>
      <c r="U173" s="804">
        <v>0.1</v>
      </c>
      <c r="V173" s="804">
        <v>0</v>
      </c>
      <c r="W173" s="804">
        <v>1</v>
      </c>
      <c r="X173" s="804">
        <v>11677882</v>
      </c>
      <c r="Y173" s="804">
        <v>9342305</v>
      </c>
      <c r="Z173" s="804">
        <v>2335576</v>
      </c>
      <c r="AA173" s="804">
        <v>0</v>
      </c>
      <c r="AB173" s="804">
        <v>23355763</v>
      </c>
      <c r="AC173" s="804">
        <v>0</v>
      </c>
      <c r="AD173" s="804">
        <v>0</v>
      </c>
      <c r="AE173" s="804">
        <v>0</v>
      </c>
      <c r="AF173" s="804">
        <v>0</v>
      </c>
      <c r="AG173" s="804">
        <v>0</v>
      </c>
      <c r="AH173" s="804">
        <v>11677882</v>
      </c>
      <c r="AI173" s="804">
        <v>9342305</v>
      </c>
      <c r="AJ173" s="804">
        <v>2335576</v>
      </c>
      <c r="AK173" s="804">
        <v>0</v>
      </c>
      <c r="AL173" s="804">
        <v>23355763</v>
      </c>
      <c r="AM173" s="804">
        <v>126183</v>
      </c>
      <c r="AN173" s="804">
        <v>126183</v>
      </c>
      <c r="AO173" s="804">
        <v>0</v>
      </c>
      <c r="AP173" s="804">
        <v>0</v>
      </c>
      <c r="AQ173" s="804">
        <v>171791</v>
      </c>
      <c r="AR173" s="804">
        <v>166958</v>
      </c>
      <c r="AS173" s="804">
        <v>338749</v>
      </c>
      <c r="AT173" s="804">
        <v>0</v>
      </c>
      <c r="AU173" s="804">
        <v>0</v>
      </c>
      <c r="AV173" s="804">
        <v>0</v>
      </c>
      <c r="AW173" s="804">
        <v>0</v>
      </c>
      <c r="AX173" s="804">
        <v>0</v>
      </c>
      <c r="AY173" s="804">
        <v>0</v>
      </c>
      <c r="AZ173" s="804">
        <v>0</v>
      </c>
      <c r="BA173" s="804">
        <v>0</v>
      </c>
      <c r="BB173" s="804">
        <v>0</v>
      </c>
      <c r="BC173" s="804">
        <v>0</v>
      </c>
      <c r="BD173" s="804">
        <v>0</v>
      </c>
      <c r="BE173" s="804">
        <v>0</v>
      </c>
      <c r="BF173" s="804">
        <v>0</v>
      </c>
      <c r="BG173" s="804">
        <v>0</v>
      </c>
      <c r="BH173" s="804">
        <v>0</v>
      </c>
      <c r="BI173" s="804">
        <v>0</v>
      </c>
      <c r="BJ173" s="804">
        <v>0.5</v>
      </c>
      <c r="BK173" s="804">
        <v>0.4</v>
      </c>
      <c r="BL173" s="804">
        <v>0.1</v>
      </c>
      <c r="BM173" s="804">
        <v>0</v>
      </c>
      <c r="BN173" s="804">
        <v>1</v>
      </c>
      <c r="BO173" s="804">
        <v>-25186</v>
      </c>
      <c r="BP173" s="804">
        <v>-20149</v>
      </c>
      <c r="BQ173" s="804">
        <v>-5037</v>
      </c>
      <c r="BR173" s="804">
        <v>0</v>
      </c>
      <c r="BS173" s="804">
        <v>-50372</v>
      </c>
      <c r="BT173" s="804">
        <v>0</v>
      </c>
      <c r="BU173" s="804">
        <v>0.8</v>
      </c>
      <c r="BV173" s="804">
        <v>0.2</v>
      </c>
      <c r="BW173" s="804">
        <v>0</v>
      </c>
      <c r="BX173" s="804">
        <v>1</v>
      </c>
      <c r="BY173" s="804">
        <v>0.30000000074505806</v>
      </c>
      <c r="BZ173" s="804">
        <v>140008</v>
      </c>
      <c r="CA173" s="804">
        <v>35002</v>
      </c>
      <c r="CB173" s="804">
        <v>0</v>
      </c>
      <c r="CC173" s="804">
        <v>175010.30000000075</v>
      </c>
      <c r="CD173" s="804">
        <v>-25186</v>
      </c>
      <c r="CE173" s="804">
        <v>119859</v>
      </c>
      <c r="CF173" s="804">
        <v>29965</v>
      </c>
      <c r="CG173" s="804">
        <v>0</v>
      </c>
      <c r="CH173" s="804">
        <v>124638.30000000075</v>
      </c>
      <c r="CI173" s="804">
        <v>11652696</v>
      </c>
      <c r="CJ173" s="804">
        <v>9760138</v>
      </c>
      <c r="CK173" s="804">
        <v>2532499</v>
      </c>
      <c r="CL173" s="804">
        <v>0</v>
      </c>
      <c r="CM173" s="804">
        <v>23945333</v>
      </c>
      <c r="CN173" s="804">
        <v>381326</v>
      </c>
      <c r="CO173" s="804">
        <v>100302</v>
      </c>
      <c r="CP173" s="804">
        <v>0</v>
      </c>
      <c r="CQ173" s="804">
        <v>481628</v>
      </c>
      <c r="CR173" s="804">
        <v>1039103</v>
      </c>
      <c r="CS173" s="804">
        <v>259776</v>
      </c>
      <c r="CT173" s="804">
        <v>0</v>
      </c>
      <c r="CU173" s="804">
        <v>1298879</v>
      </c>
      <c r="CV173" s="804">
        <v>57749</v>
      </c>
      <c r="CW173" s="804">
        <v>14437</v>
      </c>
      <c r="CX173" s="804">
        <v>0</v>
      </c>
      <c r="CY173" s="804">
        <v>72186</v>
      </c>
      <c r="CZ173" s="804">
        <v>5024</v>
      </c>
      <c r="DA173" s="804">
        <v>1256</v>
      </c>
      <c r="DB173" s="804">
        <v>0</v>
      </c>
      <c r="DC173" s="804">
        <v>6280</v>
      </c>
      <c r="DD173" s="804">
        <v>22012</v>
      </c>
      <c r="DE173" s="804">
        <v>5503</v>
      </c>
      <c r="DF173" s="804">
        <v>0</v>
      </c>
      <c r="DG173" s="804">
        <v>27515</v>
      </c>
      <c r="DH173" s="804">
        <v>28088</v>
      </c>
      <c r="DI173" s="804">
        <v>7022</v>
      </c>
      <c r="DJ173" s="804">
        <v>0</v>
      </c>
      <c r="DK173" s="804">
        <v>35110</v>
      </c>
      <c r="DL173" s="804">
        <v>2496</v>
      </c>
      <c r="DM173" s="804">
        <v>624</v>
      </c>
      <c r="DN173" s="804">
        <v>0</v>
      </c>
      <c r="DO173" s="804">
        <v>3120</v>
      </c>
      <c r="DP173" s="804">
        <v>0</v>
      </c>
      <c r="DQ173" s="804">
        <v>0</v>
      </c>
      <c r="DR173" s="804">
        <v>0</v>
      </c>
      <c r="DS173" s="804">
        <v>0</v>
      </c>
      <c r="DT173" s="804">
        <v>0</v>
      </c>
      <c r="DU173" s="804">
        <v>0</v>
      </c>
      <c r="DV173" s="804">
        <v>0</v>
      </c>
      <c r="DW173" s="804">
        <v>0</v>
      </c>
      <c r="DX173" s="804">
        <v>141690</v>
      </c>
      <c r="DY173" s="804">
        <v>35422</v>
      </c>
      <c r="DZ173" s="804">
        <v>0</v>
      </c>
      <c r="EA173" s="804">
        <v>177112</v>
      </c>
      <c r="EB173" s="804">
        <v>1677488</v>
      </c>
      <c r="EC173" s="804">
        <v>424342</v>
      </c>
      <c r="ED173" s="804">
        <v>0</v>
      </c>
      <c r="EE173" s="804">
        <v>2101830</v>
      </c>
      <c r="EF173" s="604" t="s">
        <v>215</v>
      </c>
      <c r="EG173" s="497" t="s">
        <v>610</v>
      </c>
      <c r="EH173" s="630" t="s">
        <v>551</v>
      </c>
      <c r="EI173" s="118" t="s">
        <v>1824</v>
      </c>
    </row>
    <row r="174" spans="1:139" ht="12.75" x14ac:dyDescent="0.2">
      <c r="A174" s="805">
        <v>167</v>
      </c>
      <c r="B174" s="606" t="s">
        <v>218</v>
      </c>
      <c r="C174" s="607" t="s">
        <v>1185</v>
      </c>
      <c r="D174" s="608" t="s">
        <v>1186</v>
      </c>
      <c r="E174" s="609" t="s">
        <v>217</v>
      </c>
      <c r="F174" s="802">
        <v>46353833</v>
      </c>
      <c r="G174" s="804">
        <v>231033</v>
      </c>
      <c r="H174" s="804">
        <v>0</v>
      </c>
      <c r="I174" s="804">
        <v>171934</v>
      </c>
      <c r="J174" s="804">
        <v>0</v>
      </c>
      <c r="K174" s="804">
        <v>171934</v>
      </c>
      <c r="L174" s="804">
        <v>0</v>
      </c>
      <c r="M174" s="804">
        <v>0</v>
      </c>
      <c r="N174" s="804">
        <v>0</v>
      </c>
      <c r="O174" s="804">
        <v>0</v>
      </c>
      <c r="P174" s="804">
        <v>0</v>
      </c>
      <c r="Q174" s="804">
        <v>0</v>
      </c>
      <c r="R174" s="804">
        <v>46412932</v>
      </c>
      <c r="S174" s="804">
        <v>0.5</v>
      </c>
      <c r="T174" s="804">
        <v>0.4</v>
      </c>
      <c r="U174" s="804">
        <v>0.1</v>
      </c>
      <c r="V174" s="804">
        <v>0</v>
      </c>
      <c r="W174" s="804">
        <v>1</v>
      </c>
      <c r="X174" s="804">
        <v>23206466</v>
      </c>
      <c r="Y174" s="804">
        <v>18565173</v>
      </c>
      <c r="Z174" s="804">
        <v>4641293</v>
      </c>
      <c r="AA174" s="804">
        <v>0</v>
      </c>
      <c r="AB174" s="804">
        <v>46412932</v>
      </c>
      <c r="AC174" s="804">
        <v>0</v>
      </c>
      <c r="AD174" s="804">
        <v>0</v>
      </c>
      <c r="AE174" s="804">
        <v>0</v>
      </c>
      <c r="AF174" s="804">
        <v>0</v>
      </c>
      <c r="AG174" s="804">
        <v>0</v>
      </c>
      <c r="AH174" s="804">
        <v>23206466</v>
      </c>
      <c r="AI174" s="804">
        <v>18565173</v>
      </c>
      <c r="AJ174" s="804">
        <v>4641293</v>
      </c>
      <c r="AK174" s="804">
        <v>0</v>
      </c>
      <c r="AL174" s="804">
        <v>46412932</v>
      </c>
      <c r="AM174" s="804">
        <v>171934</v>
      </c>
      <c r="AN174" s="804">
        <v>171934</v>
      </c>
      <c r="AO174" s="804">
        <v>0</v>
      </c>
      <c r="AP174" s="804">
        <v>0</v>
      </c>
      <c r="AQ174" s="804">
        <v>0</v>
      </c>
      <c r="AR174" s="804">
        <v>0</v>
      </c>
      <c r="AS174" s="804">
        <v>0</v>
      </c>
      <c r="AT174" s="804">
        <v>0</v>
      </c>
      <c r="AU174" s="804">
        <v>0</v>
      </c>
      <c r="AV174" s="804">
        <v>0</v>
      </c>
      <c r="AW174" s="804">
        <v>0</v>
      </c>
      <c r="AX174" s="804">
        <v>0</v>
      </c>
      <c r="AY174" s="804">
        <v>0</v>
      </c>
      <c r="AZ174" s="804">
        <v>0</v>
      </c>
      <c r="BA174" s="804">
        <v>0</v>
      </c>
      <c r="BB174" s="804">
        <v>0</v>
      </c>
      <c r="BC174" s="804">
        <v>0</v>
      </c>
      <c r="BD174" s="804">
        <v>0</v>
      </c>
      <c r="BE174" s="804">
        <v>0</v>
      </c>
      <c r="BF174" s="804">
        <v>0</v>
      </c>
      <c r="BG174" s="804">
        <v>0</v>
      </c>
      <c r="BH174" s="804">
        <v>0</v>
      </c>
      <c r="BI174" s="804">
        <v>0</v>
      </c>
      <c r="BJ174" s="804">
        <v>0.24999999999999994</v>
      </c>
      <c r="BK174" s="804">
        <v>0.2</v>
      </c>
      <c r="BL174" s="804">
        <v>0.55000000000000004</v>
      </c>
      <c r="BM174" s="804">
        <v>0</v>
      </c>
      <c r="BN174" s="804">
        <v>1</v>
      </c>
      <c r="BO174" s="804">
        <v>367709.99999999814</v>
      </c>
      <c r="BP174" s="804">
        <v>294169</v>
      </c>
      <c r="BQ174" s="804">
        <v>808964</v>
      </c>
      <c r="BR174" s="804">
        <v>0</v>
      </c>
      <c r="BS174" s="804">
        <v>1470842.9999999981</v>
      </c>
      <c r="BT174" s="804">
        <v>0.5</v>
      </c>
      <c r="BU174" s="804">
        <v>0.4</v>
      </c>
      <c r="BV174" s="804">
        <v>0.1</v>
      </c>
      <c r="BW174" s="804">
        <v>0</v>
      </c>
      <c r="BX174" s="804">
        <v>1</v>
      </c>
      <c r="BY174" s="804">
        <v>-1094267.4400000032</v>
      </c>
      <c r="BZ174" s="804">
        <v>-875413</v>
      </c>
      <c r="CA174" s="804">
        <v>-218853</v>
      </c>
      <c r="CB174" s="804">
        <v>0</v>
      </c>
      <c r="CC174" s="804">
        <v>-2188533.4400000032</v>
      </c>
      <c r="CD174" s="804">
        <v>-726557</v>
      </c>
      <c r="CE174" s="804">
        <v>-581244</v>
      </c>
      <c r="CF174" s="804">
        <v>590111</v>
      </c>
      <c r="CG174" s="804">
        <v>0</v>
      </c>
      <c r="CH174" s="804">
        <v>-717690.44000000507</v>
      </c>
      <c r="CI174" s="804">
        <v>22479909</v>
      </c>
      <c r="CJ174" s="804">
        <v>18155863</v>
      </c>
      <c r="CK174" s="804">
        <v>5231404</v>
      </c>
      <c r="CL174" s="804">
        <v>0</v>
      </c>
      <c r="CM174" s="804">
        <v>45867176</v>
      </c>
      <c r="CN174" s="804">
        <v>744095</v>
      </c>
      <c r="CO174" s="804">
        <v>186024</v>
      </c>
      <c r="CP174" s="804">
        <v>0</v>
      </c>
      <c r="CQ174" s="804">
        <v>930119</v>
      </c>
      <c r="CR174" s="804">
        <v>1457238</v>
      </c>
      <c r="CS174" s="804">
        <v>364309</v>
      </c>
      <c r="CT174" s="804">
        <v>0</v>
      </c>
      <c r="CU174" s="804">
        <v>1821547</v>
      </c>
      <c r="CV174" s="804">
        <v>121778</v>
      </c>
      <c r="CW174" s="804">
        <v>30444</v>
      </c>
      <c r="CX174" s="804">
        <v>0</v>
      </c>
      <c r="CY174" s="804">
        <v>152222</v>
      </c>
      <c r="CZ174" s="804">
        <v>0</v>
      </c>
      <c r="DA174" s="804">
        <v>0</v>
      </c>
      <c r="DB174" s="804">
        <v>0</v>
      </c>
      <c r="DC174" s="804">
        <v>0</v>
      </c>
      <c r="DD174" s="804">
        <v>2410</v>
      </c>
      <c r="DE174" s="804">
        <v>603</v>
      </c>
      <c r="DF174" s="804">
        <v>0</v>
      </c>
      <c r="DG174" s="804">
        <v>3013</v>
      </c>
      <c r="DH174" s="804">
        <v>20370</v>
      </c>
      <c r="DI174" s="804">
        <v>5093</v>
      </c>
      <c r="DJ174" s="804">
        <v>0</v>
      </c>
      <c r="DK174" s="804">
        <v>25463</v>
      </c>
      <c r="DL174" s="804">
        <v>624</v>
      </c>
      <c r="DM174" s="804">
        <v>156</v>
      </c>
      <c r="DN174" s="804">
        <v>0</v>
      </c>
      <c r="DO174" s="804">
        <v>780</v>
      </c>
      <c r="DP174" s="804">
        <v>0</v>
      </c>
      <c r="DQ174" s="804">
        <v>0</v>
      </c>
      <c r="DR174" s="804">
        <v>0</v>
      </c>
      <c r="DS174" s="804">
        <v>0</v>
      </c>
      <c r="DT174" s="804">
        <v>0</v>
      </c>
      <c r="DU174" s="804">
        <v>0</v>
      </c>
      <c r="DV174" s="804">
        <v>0</v>
      </c>
      <c r="DW174" s="804">
        <v>0</v>
      </c>
      <c r="DX174" s="804">
        <v>827151</v>
      </c>
      <c r="DY174" s="804">
        <v>206788</v>
      </c>
      <c r="DZ174" s="804">
        <v>0</v>
      </c>
      <c r="EA174" s="804">
        <v>1033939</v>
      </c>
      <c r="EB174" s="804">
        <v>3173666</v>
      </c>
      <c r="EC174" s="804">
        <v>793417</v>
      </c>
      <c r="ED174" s="804">
        <v>0</v>
      </c>
      <c r="EE174" s="804">
        <v>3967083</v>
      </c>
      <c r="EF174" s="604" t="s">
        <v>217</v>
      </c>
      <c r="EG174" s="497" t="s">
        <v>613</v>
      </c>
      <c r="EH174" s="630" t="s">
        <v>551</v>
      </c>
      <c r="EI174" s="118" t="s">
        <v>1825</v>
      </c>
    </row>
    <row r="175" spans="1:139" ht="12.75" x14ac:dyDescent="0.2">
      <c r="A175" s="805">
        <v>168</v>
      </c>
      <c r="B175" s="606" t="s">
        <v>220</v>
      </c>
      <c r="C175" s="607" t="s">
        <v>524</v>
      </c>
      <c r="D175" s="608" t="s">
        <v>1197</v>
      </c>
      <c r="E175" s="609" t="s">
        <v>549</v>
      </c>
      <c r="F175" s="802">
        <v>37708331</v>
      </c>
      <c r="G175" s="804">
        <v>0</v>
      </c>
      <c r="H175" s="804">
        <v>1619574</v>
      </c>
      <c r="I175" s="804">
        <v>170442</v>
      </c>
      <c r="J175" s="804">
        <v>0</v>
      </c>
      <c r="K175" s="804">
        <v>170442</v>
      </c>
      <c r="L175" s="804">
        <v>0</v>
      </c>
      <c r="M175" s="804">
        <v>15144</v>
      </c>
      <c r="N175" s="804">
        <v>131376</v>
      </c>
      <c r="O175" s="804">
        <v>131376</v>
      </c>
      <c r="P175" s="804">
        <v>0</v>
      </c>
      <c r="Q175" s="804">
        <v>0</v>
      </c>
      <c r="R175" s="804">
        <v>35771795</v>
      </c>
      <c r="S175" s="804">
        <v>0.5</v>
      </c>
      <c r="T175" s="804">
        <v>0.49</v>
      </c>
      <c r="U175" s="804">
        <v>0</v>
      </c>
      <c r="V175" s="804">
        <v>0.01</v>
      </c>
      <c r="W175" s="804">
        <v>1</v>
      </c>
      <c r="X175" s="804">
        <v>17885897</v>
      </c>
      <c r="Y175" s="804">
        <v>17528180</v>
      </c>
      <c r="Z175" s="804">
        <v>0</v>
      </c>
      <c r="AA175" s="804">
        <v>357718</v>
      </c>
      <c r="AB175" s="804">
        <v>35771795</v>
      </c>
      <c r="AC175" s="804">
        <v>168111</v>
      </c>
      <c r="AD175" s="804">
        <v>0</v>
      </c>
      <c r="AE175" s="804">
        <v>0</v>
      </c>
      <c r="AF175" s="804">
        <v>0</v>
      </c>
      <c r="AG175" s="804">
        <v>168111</v>
      </c>
      <c r="AH175" s="804">
        <v>17717786</v>
      </c>
      <c r="AI175" s="804">
        <v>17528180</v>
      </c>
      <c r="AJ175" s="804">
        <v>0</v>
      </c>
      <c r="AK175" s="804">
        <v>357718</v>
      </c>
      <c r="AL175" s="804">
        <v>35603684</v>
      </c>
      <c r="AM175" s="804">
        <v>170442</v>
      </c>
      <c r="AN175" s="804">
        <v>170442</v>
      </c>
      <c r="AO175" s="804">
        <v>15144</v>
      </c>
      <c r="AP175" s="804">
        <v>15144</v>
      </c>
      <c r="AQ175" s="804">
        <v>131376</v>
      </c>
      <c r="AR175" s="804">
        <v>0</v>
      </c>
      <c r="AS175" s="804">
        <v>131376</v>
      </c>
      <c r="AT175" s="804">
        <v>0</v>
      </c>
      <c r="AU175" s="804">
        <v>0</v>
      </c>
      <c r="AV175" s="804">
        <v>0</v>
      </c>
      <c r="AW175" s="804">
        <v>0</v>
      </c>
      <c r="AX175" s="804">
        <v>168111</v>
      </c>
      <c r="AY175" s="804">
        <v>0</v>
      </c>
      <c r="AZ175" s="804">
        <v>0</v>
      </c>
      <c r="BA175" s="804">
        <v>168111</v>
      </c>
      <c r="BB175" s="804">
        <v>0</v>
      </c>
      <c r="BC175" s="804">
        <v>0</v>
      </c>
      <c r="BD175" s="804">
        <v>0</v>
      </c>
      <c r="BE175" s="804">
        <v>0</v>
      </c>
      <c r="BF175" s="804">
        <v>0</v>
      </c>
      <c r="BG175" s="804">
        <v>0</v>
      </c>
      <c r="BH175" s="804">
        <v>0</v>
      </c>
      <c r="BI175" s="804">
        <v>0</v>
      </c>
      <c r="BJ175" s="804">
        <v>0.5</v>
      </c>
      <c r="BK175" s="804">
        <v>0.49</v>
      </c>
      <c r="BL175" s="804">
        <v>0</v>
      </c>
      <c r="BM175" s="804">
        <v>0.01</v>
      </c>
      <c r="BN175" s="804">
        <v>1</v>
      </c>
      <c r="BO175" s="804">
        <v>-313781</v>
      </c>
      <c r="BP175" s="804">
        <v>-307505</v>
      </c>
      <c r="BQ175" s="804">
        <v>0</v>
      </c>
      <c r="BR175" s="804">
        <v>-6276</v>
      </c>
      <c r="BS175" s="804">
        <v>-627562</v>
      </c>
      <c r="BT175" s="804">
        <v>0.5</v>
      </c>
      <c r="BU175" s="804">
        <v>0.49</v>
      </c>
      <c r="BV175" s="804">
        <v>0</v>
      </c>
      <c r="BW175" s="804">
        <v>0.01</v>
      </c>
      <c r="BX175" s="804">
        <v>1</v>
      </c>
      <c r="BY175" s="804">
        <v>424681.10000000149</v>
      </c>
      <c r="BZ175" s="804">
        <v>416187</v>
      </c>
      <c r="CA175" s="804">
        <v>0</v>
      </c>
      <c r="CB175" s="804">
        <v>8494</v>
      </c>
      <c r="CC175" s="804">
        <v>849362.10000000149</v>
      </c>
      <c r="CD175" s="804">
        <v>110900</v>
      </c>
      <c r="CE175" s="804">
        <v>108682</v>
      </c>
      <c r="CF175" s="804">
        <v>0</v>
      </c>
      <c r="CG175" s="804">
        <v>2218</v>
      </c>
      <c r="CH175" s="804">
        <v>221800.10000000149</v>
      </c>
      <c r="CI175" s="804">
        <v>17828686</v>
      </c>
      <c r="CJ175" s="804">
        <v>18121935</v>
      </c>
      <c r="CK175" s="804">
        <v>0</v>
      </c>
      <c r="CL175" s="804">
        <v>359936</v>
      </c>
      <c r="CM175" s="804">
        <v>36310557</v>
      </c>
      <c r="CN175" s="804">
        <v>715143</v>
      </c>
      <c r="CO175" s="804">
        <v>0</v>
      </c>
      <c r="CP175" s="804">
        <v>14337</v>
      </c>
      <c r="CQ175" s="804">
        <v>729480</v>
      </c>
      <c r="CR175" s="804">
        <v>1520212</v>
      </c>
      <c r="CS175" s="804">
        <v>0</v>
      </c>
      <c r="CT175" s="804">
        <v>27047</v>
      </c>
      <c r="CU175" s="804">
        <v>1547259</v>
      </c>
      <c r="CV175" s="804">
        <v>110909</v>
      </c>
      <c r="CW175" s="804">
        <v>0</v>
      </c>
      <c r="CX175" s="804">
        <v>1916</v>
      </c>
      <c r="CY175" s="804">
        <v>112825</v>
      </c>
      <c r="CZ175" s="804">
        <v>2431</v>
      </c>
      <c r="DA175" s="804">
        <v>0</v>
      </c>
      <c r="DB175" s="804">
        <v>50</v>
      </c>
      <c r="DC175" s="804">
        <v>2481</v>
      </c>
      <c r="DD175" s="804">
        <v>0</v>
      </c>
      <c r="DE175" s="804">
        <v>0</v>
      </c>
      <c r="DF175" s="804">
        <v>0</v>
      </c>
      <c r="DG175" s="804">
        <v>0</v>
      </c>
      <c r="DH175" s="804">
        <v>8379</v>
      </c>
      <c r="DI175" s="804">
        <v>0</v>
      </c>
      <c r="DJ175" s="804">
        <v>135</v>
      </c>
      <c r="DK175" s="804">
        <v>8514</v>
      </c>
      <c r="DL175" s="804">
        <v>3588</v>
      </c>
      <c r="DM175" s="804">
        <v>0</v>
      </c>
      <c r="DN175" s="804">
        <v>52</v>
      </c>
      <c r="DO175" s="804">
        <v>3640</v>
      </c>
      <c r="DP175" s="804">
        <v>0</v>
      </c>
      <c r="DQ175" s="804">
        <v>0</v>
      </c>
      <c r="DR175" s="804">
        <v>0</v>
      </c>
      <c r="DS175" s="804">
        <v>0</v>
      </c>
      <c r="DT175" s="804">
        <v>0</v>
      </c>
      <c r="DU175" s="804">
        <v>0</v>
      </c>
      <c r="DV175" s="804">
        <v>0</v>
      </c>
      <c r="DW175" s="804">
        <v>0</v>
      </c>
      <c r="DX175" s="804">
        <v>740115</v>
      </c>
      <c r="DY175" s="804">
        <v>0</v>
      </c>
      <c r="DZ175" s="804">
        <v>12000</v>
      </c>
      <c r="EA175" s="804">
        <v>752115</v>
      </c>
      <c r="EB175" s="804">
        <v>3100777</v>
      </c>
      <c r="EC175" s="804">
        <v>0</v>
      </c>
      <c r="ED175" s="804">
        <v>55537</v>
      </c>
      <c r="EE175" s="804">
        <v>3156314</v>
      </c>
      <c r="EF175" s="604" t="s">
        <v>549</v>
      </c>
      <c r="EG175" s="497" t="s">
        <v>524</v>
      </c>
      <c r="EH175" s="630" t="s">
        <v>548</v>
      </c>
      <c r="EI175" s="118" t="s">
        <v>1826</v>
      </c>
    </row>
    <row r="176" spans="1:139" ht="12.75" x14ac:dyDescent="0.2">
      <c r="A176" s="805">
        <v>169</v>
      </c>
      <c r="B176" s="606" t="s">
        <v>222</v>
      </c>
      <c r="C176" s="607" t="s">
        <v>524</v>
      </c>
      <c r="D176" s="608" t="s">
        <v>1186</v>
      </c>
      <c r="E176" s="609" t="s">
        <v>537</v>
      </c>
      <c r="F176" s="802">
        <v>163496810</v>
      </c>
      <c r="G176" s="804">
        <v>500000</v>
      </c>
      <c r="H176" s="804">
        <v>0</v>
      </c>
      <c r="I176" s="804">
        <v>391236</v>
      </c>
      <c r="J176" s="804">
        <v>0</v>
      </c>
      <c r="K176" s="804">
        <v>391236</v>
      </c>
      <c r="L176" s="804">
        <v>0</v>
      </c>
      <c r="M176" s="804">
        <v>0</v>
      </c>
      <c r="N176" s="804">
        <v>160000</v>
      </c>
      <c r="O176" s="804">
        <v>160000</v>
      </c>
      <c r="P176" s="804">
        <v>0</v>
      </c>
      <c r="Q176" s="804">
        <v>0</v>
      </c>
      <c r="R176" s="804">
        <v>163445574</v>
      </c>
      <c r="S176" s="804">
        <v>0.5</v>
      </c>
      <c r="T176" s="804">
        <v>0.49</v>
      </c>
      <c r="U176" s="804">
        <v>0</v>
      </c>
      <c r="V176" s="804">
        <v>0.01</v>
      </c>
      <c r="W176" s="804">
        <v>1</v>
      </c>
      <c r="X176" s="804">
        <v>81722787</v>
      </c>
      <c r="Y176" s="804">
        <v>80088331</v>
      </c>
      <c r="Z176" s="804">
        <v>0</v>
      </c>
      <c r="AA176" s="804">
        <v>1634456</v>
      </c>
      <c r="AB176" s="804">
        <v>163445574</v>
      </c>
      <c r="AC176" s="804">
        <v>0</v>
      </c>
      <c r="AD176" s="804">
        <v>0</v>
      </c>
      <c r="AE176" s="804">
        <v>0</v>
      </c>
      <c r="AF176" s="804">
        <v>0</v>
      </c>
      <c r="AG176" s="804">
        <v>0</v>
      </c>
      <c r="AH176" s="804">
        <v>81722787</v>
      </c>
      <c r="AI176" s="804">
        <v>80088331</v>
      </c>
      <c r="AJ176" s="804">
        <v>0</v>
      </c>
      <c r="AK176" s="804">
        <v>1634456</v>
      </c>
      <c r="AL176" s="804">
        <v>163445574</v>
      </c>
      <c r="AM176" s="804">
        <v>391236</v>
      </c>
      <c r="AN176" s="804">
        <v>391236</v>
      </c>
      <c r="AO176" s="804">
        <v>0</v>
      </c>
      <c r="AP176" s="804">
        <v>0</v>
      </c>
      <c r="AQ176" s="804">
        <v>160000</v>
      </c>
      <c r="AR176" s="804">
        <v>0</v>
      </c>
      <c r="AS176" s="804">
        <v>160000</v>
      </c>
      <c r="AT176" s="804">
        <v>0</v>
      </c>
      <c r="AU176" s="804">
        <v>0</v>
      </c>
      <c r="AV176" s="804">
        <v>0</v>
      </c>
      <c r="AW176" s="804">
        <v>0</v>
      </c>
      <c r="AX176" s="804">
        <v>0</v>
      </c>
      <c r="AY176" s="804">
        <v>0</v>
      </c>
      <c r="AZ176" s="804">
        <v>0</v>
      </c>
      <c r="BA176" s="804">
        <v>0</v>
      </c>
      <c r="BB176" s="804">
        <v>0</v>
      </c>
      <c r="BC176" s="804">
        <v>0</v>
      </c>
      <c r="BD176" s="804">
        <v>0</v>
      </c>
      <c r="BE176" s="804">
        <v>0</v>
      </c>
      <c r="BF176" s="804">
        <v>0</v>
      </c>
      <c r="BG176" s="804">
        <v>0</v>
      </c>
      <c r="BH176" s="804">
        <v>0</v>
      </c>
      <c r="BI176" s="804">
        <v>0</v>
      </c>
      <c r="BJ176" s="804">
        <v>0.5</v>
      </c>
      <c r="BK176" s="804">
        <v>0.49</v>
      </c>
      <c r="BL176" s="804">
        <v>0</v>
      </c>
      <c r="BM176" s="804">
        <v>0.01</v>
      </c>
      <c r="BN176" s="804">
        <v>1</v>
      </c>
      <c r="BO176" s="804">
        <v>3204290</v>
      </c>
      <c r="BP176" s="804">
        <v>3140204</v>
      </c>
      <c r="BQ176" s="804">
        <v>0</v>
      </c>
      <c r="BR176" s="804">
        <v>64086</v>
      </c>
      <c r="BS176" s="804">
        <v>6408580</v>
      </c>
      <c r="BT176" s="804">
        <v>0.5</v>
      </c>
      <c r="BU176" s="804">
        <v>0.49</v>
      </c>
      <c r="BV176" s="804">
        <v>0</v>
      </c>
      <c r="BW176" s="804">
        <v>0.01</v>
      </c>
      <c r="BX176" s="804">
        <v>1</v>
      </c>
      <c r="BY176" s="804">
        <v>2121990</v>
      </c>
      <c r="BZ176" s="804">
        <v>2079551</v>
      </c>
      <c r="CA176" s="804">
        <v>0</v>
      </c>
      <c r="CB176" s="804">
        <v>42440</v>
      </c>
      <c r="CC176" s="804">
        <v>4243981</v>
      </c>
      <c r="CD176" s="804">
        <v>5326280</v>
      </c>
      <c r="CE176" s="804">
        <v>5219755</v>
      </c>
      <c r="CF176" s="804">
        <v>0</v>
      </c>
      <c r="CG176" s="804">
        <v>106526</v>
      </c>
      <c r="CH176" s="804">
        <v>10652561</v>
      </c>
      <c r="CI176" s="804">
        <v>87049067</v>
      </c>
      <c r="CJ176" s="804">
        <v>85859322</v>
      </c>
      <c r="CK176" s="804">
        <v>0</v>
      </c>
      <c r="CL176" s="804">
        <v>1740982</v>
      </c>
      <c r="CM176" s="804">
        <v>174649371</v>
      </c>
      <c r="CN176" s="804">
        <v>3216366</v>
      </c>
      <c r="CO176" s="804">
        <v>0</v>
      </c>
      <c r="CP176" s="804">
        <v>65509</v>
      </c>
      <c r="CQ176" s="804">
        <v>3281875</v>
      </c>
      <c r="CR176" s="804">
        <v>2673226</v>
      </c>
      <c r="CS176" s="804">
        <v>0</v>
      </c>
      <c r="CT176" s="804">
        <v>54556</v>
      </c>
      <c r="CU176" s="804">
        <v>2727782</v>
      </c>
      <c r="CV176" s="804">
        <v>236190</v>
      </c>
      <c r="CW176" s="804">
        <v>0</v>
      </c>
      <c r="CX176" s="804">
        <v>4820</v>
      </c>
      <c r="CY176" s="804">
        <v>241010</v>
      </c>
      <c r="CZ176" s="804">
        <v>42300</v>
      </c>
      <c r="DA176" s="804">
        <v>0</v>
      </c>
      <c r="DB176" s="804">
        <v>863</v>
      </c>
      <c r="DC176" s="804">
        <v>43163</v>
      </c>
      <c r="DD176" s="804">
        <v>7645</v>
      </c>
      <c r="DE176" s="804">
        <v>0</v>
      </c>
      <c r="DF176" s="804">
        <v>156</v>
      </c>
      <c r="DG176" s="804">
        <v>7801</v>
      </c>
      <c r="DH176" s="804">
        <v>12741</v>
      </c>
      <c r="DI176" s="804">
        <v>0</v>
      </c>
      <c r="DJ176" s="804">
        <v>260</v>
      </c>
      <c r="DK176" s="804">
        <v>13001</v>
      </c>
      <c r="DL176" s="804">
        <v>10919</v>
      </c>
      <c r="DM176" s="804">
        <v>0</v>
      </c>
      <c r="DN176" s="804">
        <v>223</v>
      </c>
      <c r="DO176" s="804">
        <v>11142</v>
      </c>
      <c r="DP176" s="804">
        <v>0</v>
      </c>
      <c r="DQ176" s="804">
        <v>0</v>
      </c>
      <c r="DR176" s="804">
        <v>0</v>
      </c>
      <c r="DS176" s="804">
        <v>0</v>
      </c>
      <c r="DT176" s="804">
        <v>0</v>
      </c>
      <c r="DU176" s="804">
        <v>0</v>
      </c>
      <c r="DV176" s="804">
        <v>0</v>
      </c>
      <c r="DW176" s="804">
        <v>0</v>
      </c>
      <c r="DX176" s="804">
        <v>1019278</v>
      </c>
      <c r="DY176" s="804">
        <v>0</v>
      </c>
      <c r="DZ176" s="804">
        <v>20802</v>
      </c>
      <c r="EA176" s="804">
        <v>1040080</v>
      </c>
      <c r="EB176" s="804">
        <v>7218665</v>
      </c>
      <c r="EC176" s="804">
        <v>0</v>
      </c>
      <c r="ED176" s="804">
        <v>147189</v>
      </c>
      <c r="EE176" s="804">
        <v>7365854</v>
      </c>
      <c r="EF176" s="604" t="s">
        <v>537</v>
      </c>
      <c r="EG176" s="497" t="s">
        <v>524</v>
      </c>
      <c r="EH176" s="630" t="s">
        <v>538</v>
      </c>
      <c r="EI176" s="118" t="s">
        <v>1827</v>
      </c>
    </row>
    <row r="177" spans="1:139" ht="12.75" x14ac:dyDescent="0.2">
      <c r="A177" s="805">
        <v>170</v>
      </c>
      <c r="B177" s="606" t="s">
        <v>224</v>
      </c>
      <c r="C177" s="607" t="s">
        <v>1185</v>
      </c>
      <c r="D177" s="608" t="s">
        <v>1186</v>
      </c>
      <c r="E177" s="609" t="s">
        <v>223</v>
      </c>
      <c r="F177" s="802">
        <v>44032211</v>
      </c>
      <c r="G177" s="804">
        <v>330096</v>
      </c>
      <c r="H177" s="804">
        <v>0</v>
      </c>
      <c r="I177" s="804">
        <v>150036</v>
      </c>
      <c r="J177" s="804">
        <v>0</v>
      </c>
      <c r="K177" s="804">
        <v>150036</v>
      </c>
      <c r="L177" s="804">
        <v>0</v>
      </c>
      <c r="M177" s="804">
        <v>0</v>
      </c>
      <c r="N177" s="804">
        <v>0</v>
      </c>
      <c r="O177" s="804">
        <v>0</v>
      </c>
      <c r="P177" s="804">
        <v>0</v>
      </c>
      <c r="Q177" s="804">
        <v>0</v>
      </c>
      <c r="R177" s="804">
        <v>44212271</v>
      </c>
      <c r="S177" s="804">
        <v>0.5</v>
      </c>
      <c r="T177" s="804">
        <v>0.4</v>
      </c>
      <c r="U177" s="804">
        <v>0.1</v>
      </c>
      <c r="V177" s="804">
        <v>0</v>
      </c>
      <c r="W177" s="804">
        <v>1</v>
      </c>
      <c r="X177" s="804">
        <v>22106136</v>
      </c>
      <c r="Y177" s="804">
        <v>17684908</v>
      </c>
      <c r="Z177" s="804">
        <v>4421227</v>
      </c>
      <c r="AA177" s="804">
        <v>0</v>
      </c>
      <c r="AB177" s="804">
        <v>44212271</v>
      </c>
      <c r="AC177" s="804">
        <v>0</v>
      </c>
      <c r="AD177" s="804">
        <v>0</v>
      </c>
      <c r="AE177" s="804">
        <v>0</v>
      </c>
      <c r="AF177" s="804">
        <v>0</v>
      </c>
      <c r="AG177" s="804">
        <v>0</v>
      </c>
      <c r="AH177" s="804">
        <v>22106136</v>
      </c>
      <c r="AI177" s="804">
        <v>17684908</v>
      </c>
      <c r="AJ177" s="804">
        <v>4421227</v>
      </c>
      <c r="AK177" s="804">
        <v>0</v>
      </c>
      <c r="AL177" s="804">
        <v>44212271</v>
      </c>
      <c r="AM177" s="804">
        <v>150036</v>
      </c>
      <c r="AN177" s="804">
        <v>150036</v>
      </c>
      <c r="AO177" s="804">
        <v>0</v>
      </c>
      <c r="AP177" s="804">
        <v>0</v>
      </c>
      <c r="AQ177" s="804">
        <v>0</v>
      </c>
      <c r="AR177" s="804">
        <v>0</v>
      </c>
      <c r="AS177" s="804">
        <v>0</v>
      </c>
      <c r="AT177" s="804">
        <v>0</v>
      </c>
      <c r="AU177" s="804">
        <v>0</v>
      </c>
      <c r="AV177" s="804">
        <v>0</v>
      </c>
      <c r="AW177" s="804">
        <v>0</v>
      </c>
      <c r="AX177" s="804">
        <v>0</v>
      </c>
      <c r="AY177" s="804">
        <v>0</v>
      </c>
      <c r="AZ177" s="804">
        <v>0</v>
      </c>
      <c r="BA177" s="804">
        <v>0</v>
      </c>
      <c r="BB177" s="804">
        <v>0</v>
      </c>
      <c r="BC177" s="804">
        <v>0</v>
      </c>
      <c r="BD177" s="804">
        <v>0</v>
      </c>
      <c r="BE177" s="804">
        <v>0</v>
      </c>
      <c r="BF177" s="804">
        <v>0</v>
      </c>
      <c r="BG177" s="804">
        <v>0</v>
      </c>
      <c r="BH177" s="804">
        <v>0</v>
      </c>
      <c r="BI177" s="804">
        <v>0</v>
      </c>
      <c r="BJ177" s="804">
        <v>0.5</v>
      </c>
      <c r="BK177" s="804">
        <v>0.4</v>
      </c>
      <c r="BL177" s="804">
        <v>0.1</v>
      </c>
      <c r="BM177" s="804">
        <v>0</v>
      </c>
      <c r="BN177" s="804">
        <v>1</v>
      </c>
      <c r="BO177" s="804">
        <v>-301895</v>
      </c>
      <c r="BP177" s="804">
        <v>-241516</v>
      </c>
      <c r="BQ177" s="804">
        <v>-60379</v>
      </c>
      <c r="BR177" s="804">
        <v>0</v>
      </c>
      <c r="BS177" s="804">
        <v>-603790</v>
      </c>
      <c r="BT177" s="804">
        <v>0</v>
      </c>
      <c r="BU177" s="804">
        <v>0.3</v>
      </c>
      <c r="BV177" s="804">
        <v>0.7</v>
      </c>
      <c r="BW177" s="804">
        <v>0</v>
      </c>
      <c r="BX177" s="804">
        <v>1</v>
      </c>
      <c r="BY177" s="804">
        <v>-1</v>
      </c>
      <c r="BZ177" s="804">
        <v>580352</v>
      </c>
      <c r="CA177" s="804">
        <v>1354154</v>
      </c>
      <c r="CB177" s="804">
        <v>0</v>
      </c>
      <c r="CC177" s="804">
        <v>1934505</v>
      </c>
      <c r="CD177" s="804">
        <v>-301896</v>
      </c>
      <c r="CE177" s="804">
        <v>338836</v>
      </c>
      <c r="CF177" s="804">
        <v>1293775</v>
      </c>
      <c r="CG177" s="804">
        <v>0</v>
      </c>
      <c r="CH177" s="804">
        <v>1330715</v>
      </c>
      <c r="CI177" s="804">
        <v>21804240</v>
      </c>
      <c r="CJ177" s="804">
        <v>18173780</v>
      </c>
      <c r="CK177" s="804">
        <v>5715002</v>
      </c>
      <c r="CL177" s="804">
        <v>0</v>
      </c>
      <c r="CM177" s="804">
        <v>45693022</v>
      </c>
      <c r="CN177" s="804">
        <v>708814</v>
      </c>
      <c r="CO177" s="804">
        <v>177203</v>
      </c>
      <c r="CP177" s="804">
        <v>0</v>
      </c>
      <c r="CQ177" s="804">
        <v>886017</v>
      </c>
      <c r="CR177" s="804">
        <v>986039</v>
      </c>
      <c r="CS177" s="804">
        <v>246510</v>
      </c>
      <c r="CT177" s="804">
        <v>0</v>
      </c>
      <c r="CU177" s="804">
        <v>1232549</v>
      </c>
      <c r="CV177" s="804">
        <v>75209</v>
      </c>
      <c r="CW177" s="804">
        <v>18802</v>
      </c>
      <c r="CX177" s="804">
        <v>0</v>
      </c>
      <c r="CY177" s="804">
        <v>94011</v>
      </c>
      <c r="CZ177" s="804">
        <v>8294</v>
      </c>
      <c r="DA177" s="804">
        <v>2073</v>
      </c>
      <c r="DB177" s="804">
        <v>0</v>
      </c>
      <c r="DC177" s="804">
        <v>10367</v>
      </c>
      <c r="DD177" s="804">
        <v>2865</v>
      </c>
      <c r="DE177" s="804">
        <v>716</v>
      </c>
      <c r="DF177" s="804">
        <v>0</v>
      </c>
      <c r="DG177" s="804">
        <v>3581</v>
      </c>
      <c r="DH177" s="804">
        <v>22386</v>
      </c>
      <c r="DI177" s="804">
        <v>5596</v>
      </c>
      <c r="DJ177" s="804">
        <v>0</v>
      </c>
      <c r="DK177" s="804">
        <v>27982</v>
      </c>
      <c r="DL177" s="804">
        <v>4422</v>
      </c>
      <c r="DM177" s="804">
        <v>1105</v>
      </c>
      <c r="DN177" s="804">
        <v>0</v>
      </c>
      <c r="DO177" s="804">
        <v>5527</v>
      </c>
      <c r="DP177" s="804">
        <v>0</v>
      </c>
      <c r="DQ177" s="804">
        <v>0</v>
      </c>
      <c r="DR177" s="804">
        <v>0</v>
      </c>
      <c r="DS177" s="804">
        <v>0</v>
      </c>
      <c r="DT177" s="804">
        <v>0</v>
      </c>
      <c r="DU177" s="804">
        <v>0</v>
      </c>
      <c r="DV177" s="804">
        <v>0</v>
      </c>
      <c r="DW177" s="804">
        <v>0</v>
      </c>
      <c r="DX177" s="804">
        <v>391358</v>
      </c>
      <c r="DY177" s="804">
        <v>97839</v>
      </c>
      <c r="DZ177" s="804">
        <v>0</v>
      </c>
      <c r="EA177" s="804">
        <v>489197</v>
      </c>
      <c r="EB177" s="804">
        <v>2199387</v>
      </c>
      <c r="EC177" s="804">
        <v>549844</v>
      </c>
      <c r="ED177" s="804">
        <v>0</v>
      </c>
      <c r="EE177" s="804">
        <v>2749231</v>
      </c>
      <c r="EF177" s="604" t="s">
        <v>223</v>
      </c>
      <c r="EG177" s="497" t="s">
        <v>611</v>
      </c>
      <c r="EH177" s="630" t="s">
        <v>551</v>
      </c>
      <c r="EI177" s="118" t="s">
        <v>1828</v>
      </c>
    </row>
    <row r="178" spans="1:139" ht="12.75" x14ac:dyDescent="0.2">
      <c r="A178" s="805">
        <v>171</v>
      </c>
      <c r="B178" s="606" t="s">
        <v>226</v>
      </c>
      <c r="C178" s="607" t="s">
        <v>1185</v>
      </c>
      <c r="D178" s="608" t="s">
        <v>1186</v>
      </c>
      <c r="E178" s="609" t="s">
        <v>225</v>
      </c>
      <c r="F178" s="802">
        <v>69158643</v>
      </c>
      <c r="G178" s="804">
        <v>49658</v>
      </c>
      <c r="H178" s="804">
        <v>0</v>
      </c>
      <c r="I178" s="804">
        <v>275425</v>
      </c>
      <c r="J178" s="804">
        <v>0</v>
      </c>
      <c r="K178" s="804">
        <v>275425</v>
      </c>
      <c r="L178" s="804">
        <v>0</v>
      </c>
      <c r="M178" s="804">
        <v>0</v>
      </c>
      <c r="N178" s="804">
        <v>10000</v>
      </c>
      <c r="O178" s="804">
        <v>10000</v>
      </c>
      <c r="P178" s="804">
        <v>0</v>
      </c>
      <c r="Q178" s="804">
        <v>0</v>
      </c>
      <c r="R178" s="804">
        <v>68922876</v>
      </c>
      <c r="S178" s="804">
        <v>0.5</v>
      </c>
      <c r="T178" s="804">
        <v>0.4</v>
      </c>
      <c r="U178" s="804">
        <v>0.09</v>
      </c>
      <c r="V178" s="804">
        <v>0.01</v>
      </c>
      <c r="W178" s="804">
        <v>1</v>
      </c>
      <c r="X178" s="804">
        <v>34461438</v>
      </c>
      <c r="Y178" s="804">
        <v>27569150</v>
      </c>
      <c r="Z178" s="804">
        <v>6203059</v>
      </c>
      <c r="AA178" s="804">
        <v>689229</v>
      </c>
      <c r="AB178" s="804">
        <v>68922876</v>
      </c>
      <c r="AC178" s="804">
        <v>0</v>
      </c>
      <c r="AD178" s="804">
        <v>0</v>
      </c>
      <c r="AE178" s="804">
        <v>0</v>
      </c>
      <c r="AF178" s="804">
        <v>0</v>
      </c>
      <c r="AG178" s="804">
        <v>0</v>
      </c>
      <c r="AH178" s="804">
        <v>34461438</v>
      </c>
      <c r="AI178" s="804">
        <v>27569150</v>
      </c>
      <c r="AJ178" s="804">
        <v>6203059</v>
      </c>
      <c r="AK178" s="804">
        <v>689229</v>
      </c>
      <c r="AL178" s="804">
        <v>68922876</v>
      </c>
      <c r="AM178" s="804">
        <v>275425</v>
      </c>
      <c r="AN178" s="804">
        <v>275425</v>
      </c>
      <c r="AO178" s="804">
        <v>0</v>
      </c>
      <c r="AP178" s="804">
        <v>0</v>
      </c>
      <c r="AQ178" s="804">
        <v>10000</v>
      </c>
      <c r="AR178" s="804">
        <v>0</v>
      </c>
      <c r="AS178" s="804">
        <v>10000</v>
      </c>
      <c r="AT178" s="804">
        <v>0</v>
      </c>
      <c r="AU178" s="804">
        <v>0</v>
      </c>
      <c r="AV178" s="804">
        <v>0</v>
      </c>
      <c r="AW178" s="804">
        <v>0</v>
      </c>
      <c r="AX178" s="804">
        <v>0</v>
      </c>
      <c r="AY178" s="804">
        <v>0</v>
      </c>
      <c r="AZ178" s="804">
        <v>0</v>
      </c>
      <c r="BA178" s="804">
        <v>0</v>
      </c>
      <c r="BB178" s="804">
        <v>0</v>
      </c>
      <c r="BC178" s="804">
        <v>0</v>
      </c>
      <c r="BD178" s="804">
        <v>0</v>
      </c>
      <c r="BE178" s="804">
        <v>0</v>
      </c>
      <c r="BF178" s="804">
        <v>0</v>
      </c>
      <c r="BG178" s="804">
        <v>0</v>
      </c>
      <c r="BH178" s="804">
        <v>0</v>
      </c>
      <c r="BI178" s="804">
        <v>0</v>
      </c>
      <c r="BJ178" s="804">
        <v>0.5</v>
      </c>
      <c r="BK178" s="804">
        <v>0.4</v>
      </c>
      <c r="BL178" s="804">
        <v>0.09</v>
      </c>
      <c r="BM178" s="804">
        <v>0.01</v>
      </c>
      <c r="BN178" s="804">
        <v>1</v>
      </c>
      <c r="BO178" s="804">
        <v>1128641</v>
      </c>
      <c r="BP178" s="804">
        <v>902914</v>
      </c>
      <c r="BQ178" s="804">
        <v>203156</v>
      </c>
      <c r="BR178" s="804">
        <v>22573</v>
      </c>
      <c r="BS178" s="804">
        <v>2257284</v>
      </c>
      <c r="BT178" s="804">
        <v>0.5</v>
      </c>
      <c r="BU178" s="804">
        <v>0.4</v>
      </c>
      <c r="BV178" s="804">
        <v>0.09</v>
      </c>
      <c r="BW178" s="804">
        <v>0.01</v>
      </c>
      <c r="BX178" s="804">
        <v>1</v>
      </c>
      <c r="BY178" s="804">
        <v>-13895.79999999702</v>
      </c>
      <c r="BZ178" s="804">
        <v>-11116</v>
      </c>
      <c r="CA178" s="804">
        <v>-2501</v>
      </c>
      <c r="CB178" s="804">
        <v>-278</v>
      </c>
      <c r="CC178" s="804">
        <v>-27790.79999999702</v>
      </c>
      <c r="CD178" s="804">
        <v>1114745</v>
      </c>
      <c r="CE178" s="804">
        <v>891798</v>
      </c>
      <c r="CF178" s="804">
        <v>200655</v>
      </c>
      <c r="CG178" s="804">
        <v>22295</v>
      </c>
      <c r="CH178" s="804">
        <v>2229493.200000003</v>
      </c>
      <c r="CI178" s="804">
        <v>35576183</v>
      </c>
      <c r="CJ178" s="804">
        <v>28746373</v>
      </c>
      <c r="CK178" s="804">
        <v>6403714</v>
      </c>
      <c r="CL178" s="804">
        <v>711524</v>
      </c>
      <c r="CM178" s="804">
        <v>71437794</v>
      </c>
      <c r="CN178" s="804">
        <v>1105377</v>
      </c>
      <c r="CO178" s="804">
        <v>248620</v>
      </c>
      <c r="CP178" s="804">
        <v>27624</v>
      </c>
      <c r="CQ178" s="804">
        <v>1381621</v>
      </c>
      <c r="CR178" s="804">
        <v>2374008</v>
      </c>
      <c r="CS178" s="804">
        <v>534152</v>
      </c>
      <c r="CT178" s="804">
        <v>59350</v>
      </c>
      <c r="CU178" s="804">
        <v>2967510</v>
      </c>
      <c r="CV178" s="804">
        <v>148962</v>
      </c>
      <c r="CW178" s="804">
        <v>33516</v>
      </c>
      <c r="CX178" s="804">
        <v>3724</v>
      </c>
      <c r="CY178" s="804">
        <v>186202</v>
      </c>
      <c r="CZ178" s="804">
        <v>6241</v>
      </c>
      <c r="DA178" s="804">
        <v>1404</v>
      </c>
      <c r="DB178" s="804">
        <v>156</v>
      </c>
      <c r="DC178" s="804">
        <v>7801</v>
      </c>
      <c r="DD178" s="804">
        <v>4984</v>
      </c>
      <c r="DE178" s="804">
        <v>1122</v>
      </c>
      <c r="DF178" s="804">
        <v>125</v>
      </c>
      <c r="DG178" s="804">
        <v>6231</v>
      </c>
      <c r="DH178" s="804">
        <v>13598</v>
      </c>
      <c r="DI178" s="804">
        <v>3060</v>
      </c>
      <c r="DJ178" s="804">
        <v>340</v>
      </c>
      <c r="DK178" s="804">
        <v>16998</v>
      </c>
      <c r="DL178" s="804">
        <v>4920</v>
      </c>
      <c r="DM178" s="804">
        <v>1107</v>
      </c>
      <c r="DN178" s="804">
        <v>123</v>
      </c>
      <c r="DO178" s="804">
        <v>6150</v>
      </c>
      <c r="DP178" s="804">
        <v>0</v>
      </c>
      <c r="DQ178" s="804">
        <v>0</v>
      </c>
      <c r="DR178" s="804">
        <v>0</v>
      </c>
      <c r="DS178" s="804">
        <v>0</v>
      </c>
      <c r="DT178" s="804">
        <v>0</v>
      </c>
      <c r="DU178" s="804">
        <v>0</v>
      </c>
      <c r="DV178" s="804">
        <v>0</v>
      </c>
      <c r="DW178" s="804">
        <v>0</v>
      </c>
      <c r="DX178" s="804">
        <v>613052</v>
      </c>
      <c r="DY178" s="804">
        <v>137937</v>
      </c>
      <c r="DZ178" s="804">
        <v>15326</v>
      </c>
      <c r="EA178" s="804">
        <v>766315</v>
      </c>
      <c r="EB178" s="804">
        <v>4271142</v>
      </c>
      <c r="EC178" s="804">
        <v>960918</v>
      </c>
      <c r="ED178" s="804">
        <v>106768</v>
      </c>
      <c r="EE178" s="804">
        <v>5338828</v>
      </c>
      <c r="EF178" s="604" t="s">
        <v>225</v>
      </c>
      <c r="EG178" s="497" t="s">
        <v>575</v>
      </c>
      <c r="EH178" s="630" t="s">
        <v>573</v>
      </c>
      <c r="EI178" s="118" t="s">
        <v>1829</v>
      </c>
    </row>
    <row r="179" spans="1:139" ht="12.75" x14ac:dyDescent="0.2">
      <c r="A179" s="805">
        <v>172</v>
      </c>
      <c r="B179" s="606" t="s">
        <v>228</v>
      </c>
      <c r="C179" s="607" t="s">
        <v>1185</v>
      </c>
      <c r="D179" s="608" t="s">
        <v>1188</v>
      </c>
      <c r="E179" s="609" t="s">
        <v>227</v>
      </c>
      <c r="F179" s="802">
        <v>44379170</v>
      </c>
      <c r="G179" s="804">
        <v>475443</v>
      </c>
      <c r="H179" s="804">
        <v>0</v>
      </c>
      <c r="I179" s="804">
        <v>162134</v>
      </c>
      <c r="J179" s="804">
        <v>0</v>
      </c>
      <c r="K179" s="804">
        <v>162134</v>
      </c>
      <c r="L179" s="804">
        <v>0</v>
      </c>
      <c r="M179" s="804">
        <v>0</v>
      </c>
      <c r="N179" s="804">
        <v>775515</v>
      </c>
      <c r="O179" s="804">
        <v>665933</v>
      </c>
      <c r="P179" s="804">
        <v>109582</v>
      </c>
      <c r="Q179" s="804">
        <v>0</v>
      </c>
      <c r="R179" s="804">
        <v>43916964</v>
      </c>
      <c r="S179" s="804">
        <v>0.5</v>
      </c>
      <c r="T179" s="804">
        <v>0.4</v>
      </c>
      <c r="U179" s="804">
        <v>0.09</v>
      </c>
      <c r="V179" s="804">
        <v>0.01</v>
      </c>
      <c r="W179" s="804">
        <v>1</v>
      </c>
      <c r="X179" s="804">
        <v>21958481</v>
      </c>
      <c r="Y179" s="804">
        <v>17566786</v>
      </c>
      <c r="Z179" s="804">
        <v>3952527</v>
      </c>
      <c r="AA179" s="804">
        <v>439170</v>
      </c>
      <c r="AB179" s="804">
        <v>43916964</v>
      </c>
      <c r="AC179" s="804">
        <v>0</v>
      </c>
      <c r="AD179" s="804">
        <v>0</v>
      </c>
      <c r="AE179" s="804">
        <v>0</v>
      </c>
      <c r="AF179" s="804">
        <v>0</v>
      </c>
      <c r="AG179" s="804">
        <v>0</v>
      </c>
      <c r="AH179" s="804">
        <v>21958481</v>
      </c>
      <c r="AI179" s="804">
        <v>17566786</v>
      </c>
      <c r="AJ179" s="804">
        <v>3952527</v>
      </c>
      <c r="AK179" s="804">
        <v>439170</v>
      </c>
      <c r="AL179" s="804">
        <v>43916964</v>
      </c>
      <c r="AM179" s="804">
        <v>162134</v>
      </c>
      <c r="AN179" s="804">
        <v>162134</v>
      </c>
      <c r="AO179" s="804">
        <v>0</v>
      </c>
      <c r="AP179" s="804">
        <v>0</v>
      </c>
      <c r="AQ179" s="804">
        <v>665933</v>
      </c>
      <c r="AR179" s="804">
        <v>109582</v>
      </c>
      <c r="AS179" s="804">
        <v>775515</v>
      </c>
      <c r="AT179" s="804">
        <v>0</v>
      </c>
      <c r="AU179" s="804">
        <v>0</v>
      </c>
      <c r="AV179" s="804">
        <v>0</v>
      </c>
      <c r="AW179" s="804">
        <v>0</v>
      </c>
      <c r="AX179" s="804">
        <v>0</v>
      </c>
      <c r="AY179" s="804">
        <v>0</v>
      </c>
      <c r="AZ179" s="804">
        <v>0</v>
      </c>
      <c r="BA179" s="804">
        <v>0</v>
      </c>
      <c r="BB179" s="804">
        <v>0</v>
      </c>
      <c r="BC179" s="804">
        <v>0</v>
      </c>
      <c r="BD179" s="804">
        <v>0</v>
      </c>
      <c r="BE179" s="804">
        <v>0</v>
      </c>
      <c r="BF179" s="804">
        <v>0</v>
      </c>
      <c r="BG179" s="804">
        <v>0</v>
      </c>
      <c r="BH179" s="804">
        <v>0</v>
      </c>
      <c r="BI179" s="804">
        <v>0</v>
      </c>
      <c r="BJ179" s="804">
        <v>0.5</v>
      </c>
      <c r="BK179" s="804">
        <v>0.4</v>
      </c>
      <c r="BL179" s="804">
        <v>0.09</v>
      </c>
      <c r="BM179" s="804">
        <v>0.01</v>
      </c>
      <c r="BN179" s="804">
        <v>1</v>
      </c>
      <c r="BO179" s="804">
        <v>1255972</v>
      </c>
      <c r="BP179" s="804">
        <v>1004778</v>
      </c>
      <c r="BQ179" s="804">
        <v>226075</v>
      </c>
      <c r="BR179" s="804">
        <v>25119</v>
      </c>
      <c r="BS179" s="804">
        <v>2511944</v>
      </c>
      <c r="BT179" s="804">
        <v>0.5</v>
      </c>
      <c r="BU179" s="804">
        <v>0.4</v>
      </c>
      <c r="BV179" s="804">
        <v>0.09</v>
      </c>
      <c r="BW179" s="804">
        <v>0.01</v>
      </c>
      <c r="BX179" s="804">
        <v>1</v>
      </c>
      <c r="BY179" s="804">
        <v>-112195</v>
      </c>
      <c r="BZ179" s="804">
        <v>-89756</v>
      </c>
      <c r="CA179" s="804">
        <v>-20195</v>
      </c>
      <c r="CB179" s="804">
        <v>-2244</v>
      </c>
      <c r="CC179" s="804">
        <v>-224390</v>
      </c>
      <c r="CD179" s="804">
        <v>1143776</v>
      </c>
      <c r="CE179" s="804">
        <v>915022</v>
      </c>
      <c r="CF179" s="804">
        <v>205880</v>
      </c>
      <c r="CG179" s="804">
        <v>22876</v>
      </c>
      <c r="CH179" s="804">
        <v>2287554</v>
      </c>
      <c r="CI179" s="804">
        <v>23102257</v>
      </c>
      <c r="CJ179" s="804">
        <v>19309875</v>
      </c>
      <c r="CK179" s="804">
        <v>4267989</v>
      </c>
      <c r="CL179" s="804">
        <v>462046</v>
      </c>
      <c r="CM179" s="804">
        <v>47142167</v>
      </c>
      <c r="CN179" s="804">
        <v>730770</v>
      </c>
      <c r="CO179" s="804">
        <v>162810</v>
      </c>
      <c r="CP179" s="804">
        <v>17602</v>
      </c>
      <c r="CQ179" s="804">
        <v>911182</v>
      </c>
      <c r="CR179" s="804">
        <v>1369945</v>
      </c>
      <c r="CS179" s="804">
        <v>308238</v>
      </c>
      <c r="CT179" s="804">
        <v>34249</v>
      </c>
      <c r="CU179" s="804">
        <v>1712432</v>
      </c>
      <c r="CV179" s="804">
        <v>71019</v>
      </c>
      <c r="CW179" s="804">
        <v>15979</v>
      </c>
      <c r="CX179" s="804">
        <v>1775</v>
      </c>
      <c r="CY179" s="804">
        <v>88773</v>
      </c>
      <c r="CZ179" s="804">
        <v>0</v>
      </c>
      <c r="DA179" s="804">
        <v>0</v>
      </c>
      <c r="DB179" s="804">
        <v>0</v>
      </c>
      <c r="DC179" s="804">
        <v>0</v>
      </c>
      <c r="DD179" s="804">
        <v>7433</v>
      </c>
      <c r="DE179" s="804">
        <v>1673</v>
      </c>
      <c r="DF179" s="804">
        <v>186</v>
      </c>
      <c r="DG179" s="804">
        <v>9292</v>
      </c>
      <c r="DH179" s="804">
        <v>12576</v>
      </c>
      <c r="DI179" s="804">
        <v>2829</v>
      </c>
      <c r="DJ179" s="804">
        <v>314</v>
      </c>
      <c r="DK179" s="804">
        <v>15719</v>
      </c>
      <c r="DL179" s="804">
        <v>2080</v>
      </c>
      <c r="DM179" s="804">
        <v>468</v>
      </c>
      <c r="DN179" s="804">
        <v>52</v>
      </c>
      <c r="DO179" s="804">
        <v>2600</v>
      </c>
      <c r="DP179" s="804">
        <v>0</v>
      </c>
      <c r="DQ179" s="804">
        <v>0</v>
      </c>
      <c r="DR179" s="804">
        <v>0</v>
      </c>
      <c r="DS179" s="804">
        <v>0</v>
      </c>
      <c r="DT179" s="804">
        <v>0</v>
      </c>
      <c r="DU179" s="804">
        <v>0</v>
      </c>
      <c r="DV179" s="804">
        <v>0</v>
      </c>
      <c r="DW179" s="804">
        <v>0</v>
      </c>
      <c r="DX179" s="804">
        <v>341502</v>
      </c>
      <c r="DY179" s="804">
        <v>76838</v>
      </c>
      <c r="DZ179" s="804">
        <v>8538</v>
      </c>
      <c r="EA179" s="804">
        <v>426878</v>
      </c>
      <c r="EB179" s="804">
        <v>2535325</v>
      </c>
      <c r="EC179" s="804">
        <v>568835</v>
      </c>
      <c r="ED179" s="804">
        <v>62716</v>
      </c>
      <c r="EE179" s="804">
        <v>3166876</v>
      </c>
      <c r="EF179" s="604" t="s">
        <v>227</v>
      </c>
      <c r="EG179" s="497" t="s">
        <v>603</v>
      </c>
      <c r="EH179" s="630" t="s">
        <v>602</v>
      </c>
      <c r="EI179" s="118" t="s">
        <v>1830</v>
      </c>
    </row>
    <row r="180" spans="1:139" ht="12.75" x14ac:dyDescent="0.2">
      <c r="A180" s="805">
        <v>173</v>
      </c>
      <c r="B180" s="606" t="s">
        <v>229</v>
      </c>
      <c r="C180" s="607" t="s">
        <v>1192</v>
      </c>
      <c r="D180" s="608" t="s">
        <v>1197</v>
      </c>
      <c r="E180" s="609" t="s">
        <v>860</v>
      </c>
      <c r="F180" s="802">
        <v>141048395</v>
      </c>
      <c r="G180" s="804">
        <v>0</v>
      </c>
      <c r="H180" s="804">
        <v>2597185</v>
      </c>
      <c r="I180" s="804">
        <v>474305</v>
      </c>
      <c r="J180" s="804">
        <v>0</v>
      </c>
      <c r="K180" s="804">
        <v>474305</v>
      </c>
      <c r="L180" s="804">
        <v>0</v>
      </c>
      <c r="M180" s="804">
        <v>2000683</v>
      </c>
      <c r="N180" s="804">
        <v>0</v>
      </c>
      <c r="O180" s="804">
        <v>0</v>
      </c>
      <c r="P180" s="804">
        <v>0</v>
      </c>
      <c r="Q180" s="804">
        <v>0</v>
      </c>
      <c r="R180" s="804">
        <v>135976222</v>
      </c>
      <c r="S180" s="804">
        <v>0.5</v>
      </c>
      <c r="T180" s="804">
        <v>0.49</v>
      </c>
      <c r="U180" s="804">
        <v>0</v>
      </c>
      <c r="V180" s="804">
        <v>0.01</v>
      </c>
      <c r="W180" s="804">
        <v>1</v>
      </c>
      <c r="X180" s="804">
        <v>67988111</v>
      </c>
      <c r="Y180" s="804">
        <v>66628349</v>
      </c>
      <c r="Z180" s="804">
        <v>0</v>
      </c>
      <c r="AA180" s="804">
        <v>1359762</v>
      </c>
      <c r="AB180" s="804">
        <v>135976222</v>
      </c>
      <c r="AC180" s="804">
        <v>0</v>
      </c>
      <c r="AD180" s="804">
        <v>0</v>
      </c>
      <c r="AE180" s="804">
        <v>0</v>
      </c>
      <c r="AF180" s="804">
        <v>0</v>
      </c>
      <c r="AG180" s="804">
        <v>0</v>
      </c>
      <c r="AH180" s="804">
        <v>67988111</v>
      </c>
      <c r="AI180" s="804">
        <v>66628349</v>
      </c>
      <c r="AJ180" s="804">
        <v>0</v>
      </c>
      <c r="AK180" s="804">
        <v>1359762</v>
      </c>
      <c r="AL180" s="804">
        <v>135976222</v>
      </c>
      <c r="AM180" s="804">
        <v>474305</v>
      </c>
      <c r="AN180" s="804">
        <v>474305</v>
      </c>
      <c r="AO180" s="804">
        <v>2000683</v>
      </c>
      <c r="AP180" s="804">
        <v>2000683</v>
      </c>
      <c r="AQ180" s="804">
        <v>0</v>
      </c>
      <c r="AR180" s="804">
        <v>0</v>
      </c>
      <c r="AS180" s="804">
        <v>0</v>
      </c>
      <c r="AT180" s="804">
        <v>0</v>
      </c>
      <c r="AU180" s="804">
        <v>0</v>
      </c>
      <c r="AV180" s="804">
        <v>0</v>
      </c>
      <c r="AW180" s="804">
        <v>0</v>
      </c>
      <c r="AX180" s="804">
        <v>0</v>
      </c>
      <c r="AY180" s="804">
        <v>0</v>
      </c>
      <c r="AZ180" s="804">
        <v>0</v>
      </c>
      <c r="BA180" s="804">
        <v>0</v>
      </c>
      <c r="BB180" s="804">
        <v>0</v>
      </c>
      <c r="BC180" s="804">
        <v>0</v>
      </c>
      <c r="BD180" s="804">
        <v>0</v>
      </c>
      <c r="BE180" s="804">
        <v>0</v>
      </c>
      <c r="BF180" s="804">
        <v>0</v>
      </c>
      <c r="BG180" s="804">
        <v>0</v>
      </c>
      <c r="BH180" s="804">
        <v>0</v>
      </c>
      <c r="BI180" s="804">
        <v>0</v>
      </c>
      <c r="BJ180" s="804">
        <v>0.25</v>
      </c>
      <c r="BK180" s="804">
        <v>0.74</v>
      </c>
      <c r="BL180" s="804">
        <v>0</v>
      </c>
      <c r="BM180" s="804">
        <v>0.01</v>
      </c>
      <c r="BN180" s="804">
        <v>1</v>
      </c>
      <c r="BO180" s="804">
        <v>1088143</v>
      </c>
      <c r="BP180" s="804">
        <v>3220905</v>
      </c>
      <c r="BQ180" s="804">
        <v>0</v>
      </c>
      <c r="BR180" s="804">
        <v>43526</v>
      </c>
      <c r="BS180" s="804">
        <v>4352574</v>
      </c>
      <c r="BT180" s="804">
        <v>0.5</v>
      </c>
      <c r="BU180" s="804">
        <v>0.49</v>
      </c>
      <c r="BV180" s="804">
        <v>0</v>
      </c>
      <c r="BW180" s="804">
        <v>0.01</v>
      </c>
      <c r="BX180" s="804">
        <v>1</v>
      </c>
      <c r="BY180" s="804">
        <v>-1141886</v>
      </c>
      <c r="BZ180" s="804">
        <v>-1119048</v>
      </c>
      <c r="CA180" s="804">
        <v>0</v>
      </c>
      <c r="CB180" s="804">
        <v>-22838</v>
      </c>
      <c r="CC180" s="804">
        <v>-2283772</v>
      </c>
      <c r="CD180" s="804">
        <v>-53743</v>
      </c>
      <c r="CE180" s="804">
        <v>2101857</v>
      </c>
      <c r="CF180" s="804">
        <v>0</v>
      </c>
      <c r="CG180" s="804">
        <v>20688</v>
      </c>
      <c r="CH180" s="804">
        <v>2068802</v>
      </c>
      <c r="CI180" s="804">
        <v>67934368</v>
      </c>
      <c r="CJ180" s="804">
        <v>71205194</v>
      </c>
      <c r="CK180" s="804">
        <v>0</v>
      </c>
      <c r="CL180" s="804">
        <v>1380450</v>
      </c>
      <c r="CM180" s="804">
        <v>140520012</v>
      </c>
      <c r="CN180" s="804">
        <v>2750663</v>
      </c>
      <c r="CO180" s="804">
        <v>0</v>
      </c>
      <c r="CP180" s="804">
        <v>54499</v>
      </c>
      <c r="CQ180" s="804">
        <v>2805162</v>
      </c>
      <c r="CR180" s="804">
        <v>3576048</v>
      </c>
      <c r="CS180" s="804">
        <v>0</v>
      </c>
      <c r="CT180" s="804">
        <v>72135</v>
      </c>
      <c r="CU180" s="804">
        <v>3648183</v>
      </c>
      <c r="CV180" s="804">
        <v>240891</v>
      </c>
      <c r="CW180" s="804">
        <v>0</v>
      </c>
      <c r="CX180" s="804">
        <v>4541</v>
      </c>
      <c r="CY180" s="804">
        <v>245432</v>
      </c>
      <c r="CZ180" s="804">
        <v>0</v>
      </c>
      <c r="DA180" s="804">
        <v>0</v>
      </c>
      <c r="DB180" s="804">
        <v>0</v>
      </c>
      <c r="DC180" s="804">
        <v>0</v>
      </c>
      <c r="DD180" s="804">
        <v>0</v>
      </c>
      <c r="DE180" s="804">
        <v>0</v>
      </c>
      <c r="DF180" s="804">
        <v>0</v>
      </c>
      <c r="DG180" s="804">
        <v>0</v>
      </c>
      <c r="DH180" s="804">
        <v>24272</v>
      </c>
      <c r="DI180" s="804">
        <v>0</v>
      </c>
      <c r="DJ180" s="804">
        <v>495</v>
      </c>
      <c r="DK180" s="804">
        <v>24767</v>
      </c>
      <c r="DL180" s="804">
        <v>10695</v>
      </c>
      <c r="DM180" s="804">
        <v>0</v>
      </c>
      <c r="DN180" s="804">
        <v>178</v>
      </c>
      <c r="DO180" s="804">
        <v>10873</v>
      </c>
      <c r="DP180" s="804">
        <v>0</v>
      </c>
      <c r="DQ180" s="804">
        <v>0</v>
      </c>
      <c r="DR180" s="804">
        <v>0</v>
      </c>
      <c r="DS180" s="804">
        <v>0</v>
      </c>
      <c r="DT180" s="804">
        <v>0</v>
      </c>
      <c r="DU180" s="804">
        <v>0</v>
      </c>
      <c r="DV180" s="804">
        <v>0</v>
      </c>
      <c r="DW180" s="804">
        <v>0</v>
      </c>
      <c r="DX180" s="804">
        <v>1090524</v>
      </c>
      <c r="DY180" s="804">
        <v>0</v>
      </c>
      <c r="DZ180" s="804">
        <v>21154</v>
      </c>
      <c r="EA180" s="804">
        <v>1111678</v>
      </c>
      <c r="EB180" s="804">
        <v>7693093</v>
      </c>
      <c r="EC180" s="804">
        <v>0</v>
      </c>
      <c r="ED180" s="804">
        <v>153002</v>
      </c>
      <c r="EE180" s="804">
        <v>7846095</v>
      </c>
      <c r="EF180" s="604" t="s">
        <v>860</v>
      </c>
      <c r="EG180" s="497" t="s">
        <v>616</v>
      </c>
      <c r="EH180" s="630" t="s">
        <v>620</v>
      </c>
      <c r="EI180" s="118" t="s">
        <v>1831</v>
      </c>
    </row>
    <row r="181" spans="1:139" ht="12.75" x14ac:dyDescent="0.2">
      <c r="A181" s="805">
        <v>174</v>
      </c>
      <c r="B181" s="606" t="s">
        <v>231</v>
      </c>
      <c r="C181" s="607" t="s">
        <v>1185</v>
      </c>
      <c r="D181" s="608" t="s">
        <v>1195</v>
      </c>
      <c r="E181" s="609" t="s">
        <v>230</v>
      </c>
      <c r="F181" s="802">
        <v>35895638</v>
      </c>
      <c r="G181" s="804">
        <v>0</v>
      </c>
      <c r="H181" s="804">
        <v>2740</v>
      </c>
      <c r="I181" s="804">
        <v>137851</v>
      </c>
      <c r="J181" s="804">
        <v>0</v>
      </c>
      <c r="K181" s="804">
        <v>137851</v>
      </c>
      <c r="L181" s="804">
        <v>0</v>
      </c>
      <c r="M181" s="804">
        <v>0</v>
      </c>
      <c r="N181" s="804">
        <v>0</v>
      </c>
      <c r="O181" s="804">
        <v>0</v>
      </c>
      <c r="P181" s="804">
        <v>0</v>
      </c>
      <c r="Q181" s="804">
        <v>0</v>
      </c>
      <c r="R181" s="804">
        <v>35755047</v>
      </c>
      <c r="S181" s="804">
        <v>0.5</v>
      </c>
      <c r="T181" s="804">
        <v>0.4</v>
      </c>
      <c r="U181" s="804">
        <v>0.09</v>
      </c>
      <c r="V181" s="804">
        <v>0.01</v>
      </c>
      <c r="W181" s="804">
        <v>1</v>
      </c>
      <c r="X181" s="804">
        <v>17877524</v>
      </c>
      <c r="Y181" s="804">
        <v>14302019</v>
      </c>
      <c r="Z181" s="804">
        <v>3217954</v>
      </c>
      <c r="AA181" s="804">
        <v>357550</v>
      </c>
      <c r="AB181" s="804">
        <v>35755047</v>
      </c>
      <c r="AC181" s="804">
        <v>0</v>
      </c>
      <c r="AD181" s="804">
        <v>0</v>
      </c>
      <c r="AE181" s="804">
        <v>0</v>
      </c>
      <c r="AF181" s="804">
        <v>0</v>
      </c>
      <c r="AG181" s="804">
        <v>0</v>
      </c>
      <c r="AH181" s="804">
        <v>17877524</v>
      </c>
      <c r="AI181" s="804">
        <v>14302019</v>
      </c>
      <c r="AJ181" s="804">
        <v>3217954</v>
      </c>
      <c r="AK181" s="804">
        <v>357550</v>
      </c>
      <c r="AL181" s="804">
        <v>35755047</v>
      </c>
      <c r="AM181" s="804">
        <v>137851</v>
      </c>
      <c r="AN181" s="804">
        <v>137851</v>
      </c>
      <c r="AO181" s="804">
        <v>0</v>
      </c>
      <c r="AP181" s="804">
        <v>0</v>
      </c>
      <c r="AQ181" s="804">
        <v>0</v>
      </c>
      <c r="AR181" s="804">
        <v>0</v>
      </c>
      <c r="AS181" s="804">
        <v>0</v>
      </c>
      <c r="AT181" s="804">
        <v>0</v>
      </c>
      <c r="AU181" s="804">
        <v>0</v>
      </c>
      <c r="AV181" s="804">
        <v>0</v>
      </c>
      <c r="AW181" s="804">
        <v>0</v>
      </c>
      <c r="AX181" s="804">
        <v>0</v>
      </c>
      <c r="AY181" s="804">
        <v>0</v>
      </c>
      <c r="AZ181" s="804">
        <v>0</v>
      </c>
      <c r="BA181" s="804">
        <v>0</v>
      </c>
      <c r="BB181" s="804">
        <v>0</v>
      </c>
      <c r="BC181" s="804">
        <v>0</v>
      </c>
      <c r="BD181" s="804">
        <v>0</v>
      </c>
      <c r="BE181" s="804">
        <v>0</v>
      </c>
      <c r="BF181" s="804">
        <v>0</v>
      </c>
      <c r="BG181" s="804">
        <v>0</v>
      </c>
      <c r="BH181" s="804">
        <v>0</v>
      </c>
      <c r="BI181" s="804">
        <v>0</v>
      </c>
      <c r="BJ181" s="804">
        <v>0.25</v>
      </c>
      <c r="BK181" s="804">
        <v>0.4</v>
      </c>
      <c r="BL181" s="804">
        <v>0.33999999999999997</v>
      </c>
      <c r="BM181" s="804">
        <v>0.01</v>
      </c>
      <c r="BN181" s="804">
        <v>1</v>
      </c>
      <c r="BO181" s="804">
        <v>946407.99999999627</v>
      </c>
      <c r="BP181" s="804">
        <v>1514254</v>
      </c>
      <c r="BQ181" s="804">
        <v>1287116</v>
      </c>
      <c r="BR181" s="804">
        <v>37856</v>
      </c>
      <c r="BS181" s="804">
        <v>3785633.9999999963</v>
      </c>
      <c r="BT181" s="804">
        <v>0.5</v>
      </c>
      <c r="BU181" s="804">
        <v>0.4</v>
      </c>
      <c r="BV181" s="804">
        <v>0.09</v>
      </c>
      <c r="BW181" s="804">
        <v>0.01</v>
      </c>
      <c r="BX181" s="804">
        <v>1</v>
      </c>
      <c r="BY181" s="804">
        <v>268424.30000000075</v>
      </c>
      <c r="BZ181" s="804">
        <v>214741</v>
      </c>
      <c r="CA181" s="804">
        <v>48317</v>
      </c>
      <c r="CB181" s="804">
        <v>5369</v>
      </c>
      <c r="CC181" s="804">
        <v>536851.30000000075</v>
      </c>
      <c r="CD181" s="804">
        <v>1214832</v>
      </c>
      <c r="CE181" s="804">
        <v>1728995</v>
      </c>
      <c r="CF181" s="804">
        <v>1335433</v>
      </c>
      <c r="CG181" s="804">
        <v>43225</v>
      </c>
      <c r="CH181" s="804">
        <v>4322485.299999997</v>
      </c>
      <c r="CI181" s="804">
        <v>19092356</v>
      </c>
      <c r="CJ181" s="804">
        <v>16168865</v>
      </c>
      <c r="CK181" s="804">
        <v>4553387</v>
      </c>
      <c r="CL181" s="804">
        <v>400775</v>
      </c>
      <c r="CM181" s="804">
        <v>40215383</v>
      </c>
      <c r="CN181" s="804">
        <v>573227</v>
      </c>
      <c r="CO181" s="804">
        <v>128976</v>
      </c>
      <c r="CP181" s="804">
        <v>14331</v>
      </c>
      <c r="CQ181" s="804">
        <v>716534</v>
      </c>
      <c r="CR181" s="804">
        <v>1071194</v>
      </c>
      <c r="CS181" s="804">
        <v>241019</v>
      </c>
      <c r="CT181" s="804">
        <v>26780</v>
      </c>
      <c r="CU181" s="804">
        <v>1338993</v>
      </c>
      <c r="CV181" s="804">
        <v>67515</v>
      </c>
      <c r="CW181" s="804">
        <v>15191</v>
      </c>
      <c r="CX181" s="804">
        <v>1688</v>
      </c>
      <c r="CY181" s="804">
        <v>84394</v>
      </c>
      <c r="CZ181" s="804">
        <v>0</v>
      </c>
      <c r="DA181" s="804">
        <v>0</v>
      </c>
      <c r="DB181" s="804">
        <v>0</v>
      </c>
      <c r="DC181" s="804">
        <v>0</v>
      </c>
      <c r="DD181" s="804">
        <v>11272</v>
      </c>
      <c r="DE181" s="804">
        <v>2536</v>
      </c>
      <c r="DF181" s="804">
        <v>282</v>
      </c>
      <c r="DG181" s="804">
        <v>14090</v>
      </c>
      <c r="DH181" s="804">
        <v>8940</v>
      </c>
      <c r="DI181" s="804">
        <v>2012</v>
      </c>
      <c r="DJ181" s="804">
        <v>224</v>
      </c>
      <c r="DK181" s="804">
        <v>11176</v>
      </c>
      <c r="DL181" s="804">
        <v>3240</v>
      </c>
      <c r="DM181" s="804">
        <v>729</v>
      </c>
      <c r="DN181" s="804">
        <v>81</v>
      </c>
      <c r="DO181" s="804">
        <v>4050</v>
      </c>
      <c r="DP181" s="804">
        <v>0</v>
      </c>
      <c r="DQ181" s="804">
        <v>0</v>
      </c>
      <c r="DR181" s="804">
        <v>0</v>
      </c>
      <c r="DS181" s="804">
        <v>0</v>
      </c>
      <c r="DT181" s="804">
        <v>0</v>
      </c>
      <c r="DU181" s="804">
        <v>0</v>
      </c>
      <c r="DV181" s="804">
        <v>0</v>
      </c>
      <c r="DW181" s="804">
        <v>0</v>
      </c>
      <c r="DX181" s="804">
        <v>432383</v>
      </c>
      <c r="DY181" s="804">
        <v>97286</v>
      </c>
      <c r="DZ181" s="804">
        <v>10810</v>
      </c>
      <c r="EA181" s="804">
        <v>540479</v>
      </c>
      <c r="EB181" s="804">
        <v>2167771</v>
      </c>
      <c r="EC181" s="804">
        <v>487749</v>
      </c>
      <c r="ED181" s="804">
        <v>54196</v>
      </c>
      <c r="EE181" s="804">
        <v>2709716</v>
      </c>
      <c r="EF181" s="604" t="s">
        <v>230</v>
      </c>
      <c r="EG181" s="497" t="s">
        <v>609</v>
      </c>
      <c r="EH181" s="630" t="s">
        <v>608</v>
      </c>
      <c r="EI181" s="118" t="s">
        <v>1832</v>
      </c>
    </row>
    <row r="182" spans="1:139" ht="12.75" x14ac:dyDescent="0.2">
      <c r="A182" s="805">
        <v>175</v>
      </c>
      <c r="B182" s="606" t="s">
        <v>233</v>
      </c>
      <c r="C182" s="607" t="s">
        <v>1190</v>
      </c>
      <c r="D182" s="608" t="s">
        <v>1191</v>
      </c>
      <c r="E182" s="609" t="s">
        <v>232</v>
      </c>
      <c r="F182" s="802">
        <v>155002837</v>
      </c>
      <c r="G182" s="804">
        <v>0</v>
      </c>
      <c r="H182" s="804">
        <v>30025</v>
      </c>
      <c r="I182" s="804">
        <v>377735</v>
      </c>
      <c r="J182" s="804">
        <v>0</v>
      </c>
      <c r="K182" s="804">
        <v>377735</v>
      </c>
      <c r="L182" s="804">
        <v>0</v>
      </c>
      <c r="M182" s="804">
        <v>1851110</v>
      </c>
      <c r="N182" s="804">
        <v>0</v>
      </c>
      <c r="O182" s="804">
        <v>0</v>
      </c>
      <c r="P182" s="804">
        <v>0</v>
      </c>
      <c r="Q182" s="804">
        <v>0</v>
      </c>
      <c r="R182" s="804">
        <v>152743967</v>
      </c>
      <c r="S182" s="804">
        <v>0.33</v>
      </c>
      <c r="T182" s="804">
        <v>0.3</v>
      </c>
      <c r="U182" s="804">
        <v>0.37</v>
      </c>
      <c r="V182" s="804">
        <v>0</v>
      </c>
      <c r="W182" s="804">
        <v>1</v>
      </c>
      <c r="X182" s="804">
        <v>50405509</v>
      </c>
      <c r="Y182" s="804">
        <v>45823190</v>
      </c>
      <c r="Z182" s="804">
        <v>56515268</v>
      </c>
      <c r="AA182" s="804">
        <v>0</v>
      </c>
      <c r="AB182" s="804">
        <v>152743967</v>
      </c>
      <c r="AC182" s="804">
        <v>331425</v>
      </c>
      <c r="AD182" s="804">
        <v>0</v>
      </c>
      <c r="AE182" s="804">
        <v>0</v>
      </c>
      <c r="AF182" s="804">
        <v>0</v>
      </c>
      <c r="AG182" s="804">
        <v>331425</v>
      </c>
      <c r="AH182" s="804">
        <v>50074084</v>
      </c>
      <c r="AI182" s="804">
        <v>45823190</v>
      </c>
      <c r="AJ182" s="804">
        <v>56515268</v>
      </c>
      <c r="AK182" s="804">
        <v>0</v>
      </c>
      <c r="AL182" s="804">
        <v>152412542</v>
      </c>
      <c r="AM182" s="804">
        <v>377735</v>
      </c>
      <c r="AN182" s="804">
        <v>377735</v>
      </c>
      <c r="AO182" s="804">
        <v>1851110</v>
      </c>
      <c r="AP182" s="804">
        <v>1851110</v>
      </c>
      <c r="AQ182" s="804">
        <v>0</v>
      </c>
      <c r="AR182" s="804">
        <v>0</v>
      </c>
      <c r="AS182" s="804">
        <v>0</v>
      </c>
      <c r="AT182" s="804">
        <v>0</v>
      </c>
      <c r="AU182" s="804">
        <v>0</v>
      </c>
      <c r="AV182" s="804">
        <v>0</v>
      </c>
      <c r="AW182" s="804">
        <v>0</v>
      </c>
      <c r="AX182" s="804">
        <v>331425</v>
      </c>
      <c r="AY182" s="804">
        <v>0</v>
      </c>
      <c r="AZ182" s="804">
        <v>0</v>
      </c>
      <c r="BA182" s="804">
        <v>331425</v>
      </c>
      <c r="BB182" s="804">
        <v>0</v>
      </c>
      <c r="BC182" s="804">
        <v>0</v>
      </c>
      <c r="BD182" s="804">
        <v>0</v>
      </c>
      <c r="BE182" s="804">
        <v>0</v>
      </c>
      <c r="BF182" s="804">
        <v>0</v>
      </c>
      <c r="BG182" s="804">
        <v>0</v>
      </c>
      <c r="BH182" s="804">
        <v>0</v>
      </c>
      <c r="BI182" s="804">
        <v>0</v>
      </c>
      <c r="BJ182" s="804">
        <v>0.25</v>
      </c>
      <c r="BK182" s="804">
        <v>0.48</v>
      </c>
      <c r="BL182" s="804">
        <v>0.27</v>
      </c>
      <c r="BM182" s="804">
        <v>0</v>
      </c>
      <c r="BN182" s="804">
        <v>1</v>
      </c>
      <c r="BO182" s="804">
        <v>3978431.0000000056</v>
      </c>
      <c r="BP182" s="804">
        <v>7638588</v>
      </c>
      <c r="BQ182" s="804">
        <v>4296705</v>
      </c>
      <c r="BR182" s="804">
        <v>0</v>
      </c>
      <c r="BS182" s="804">
        <v>15913724.000000006</v>
      </c>
      <c r="BT182" s="804">
        <v>0</v>
      </c>
      <c r="BU182" s="804">
        <v>0.64</v>
      </c>
      <c r="BV182" s="804">
        <v>0.36</v>
      </c>
      <c r="BW182" s="804">
        <v>0</v>
      </c>
      <c r="BX182" s="804">
        <v>1</v>
      </c>
      <c r="BY182" s="804">
        <v>-0.59999999962747097</v>
      </c>
      <c r="BZ182" s="804">
        <v>-510558</v>
      </c>
      <c r="CA182" s="804">
        <v>-287189</v>
      </c>
      <c r="CB182" s="804">
        <v>0</v>
      </c>
      <c r="CC182" s="804">
        <v>-797747.59999999963</v>
      </c>
      <c r="CD182" s="804">
        <v>3978430</v>
      </c>
      <c r="CE182" s="804">
        <v>7128030</v>
      </c>
      <c r="CF182" s="804">
        <v>4009516</v>
      </c>
      <c r="CG182" s="804">
        <v>0</v>
      </c>
      <c r="CH182" s="804">
        <v>15115976.400000006</v>
      </c>
      <c r="CI182" s="804">
        <v>54052514</v>
      </c>
      <c r="CJ182" s="804">
        <v>55511490</v>
      </c>
      <c r="CK182" s="804">
        <v>60524784</v>
      </c>
      <c r="CL182" s="804">
        <v>0</v>
      </c>
      <c r="CM182" s="804">
        <v>170088788</v>
      </c>
      <c r="CN182" s="804">
        <v>1924077</v>
      </c>
      <c r="CO182" s="804">
        <v>2265141</v>
      </c>
      <c r="CP182" s="804">
        <v>0</v>
      </c>
      <c r="CQ182" s="804">
        <v>4189218</v>
      </c>
      <c r="CR182" s="804">
        <v>2256554</v>
      </c>
      <c r="CS182" s="804">
        <v>2767549</v>
      </c>
      <c r="CT182" s="804">
        <v>0</v>
      </c>
      <c r="CU182" s="804">
        <v>5024103</v>
      </c>
      <c r="CV182" s="804">
        <v>100614</v>
      </c>
      <c r="CW182" s="804">
        <v>121796</v>
      </c>
      <c r="CX182" s="804">
        <v>0</v>
      </c>
      <c r="CY182" s="804">
        <v>222410</v>
      </c>
      <c r="CZ182" s="804">
        <v>0</v>
      </c>
      <c r="DA182" s="804">
        <v>0</v>
      </c>
      <c r="DB182" s="804">
        <v>0</v>
      </c>
      <c r="DC182" s="804">
        <v>0</v>
      </c>
      <c r="DD182" s="804">
        <v>0</v>
      </c>
      <c r="DE182" s="804">
        <v>0</v>
      </c>
      <c r="DF182" s="804">
        <v>0</v>
      </c>
      <c r="DG182" s="804">
        <v>0</v>
      </c>
      <c r="DH182" s="804">
        <v>16974</v>
      </c>
      <c r="DI182" s="804">
        <v>20934</v>
      </c>
      <c r="DJ182" s="804">
        <v>0</v>
      </c>
      <c r="DK182" s="804">
        <v>37908</v>
      </c>
      <c r="DL182" s="804">
        <v>13624</v>
      </c>
      <c r="DM182" s="804">
        <v>16804</v>
      </c>
      <c r="DN182" s="804">
        <v>0</v>
      </c>
      <c r="DO182" s="804">
        <v>30428</v>
      </c>
      <c r="DP182" s="804">
        <v>0</v>
      </c>
      <c r="DQ182" s="804">
        <v>0</v>
      </c>
      <c r="DR182" s="804">
        <v>0</v>
      </c>
      <c r="DS182" s="804">
        <v>0</v>
      </c>
      <c r="DT182" s="804">
        <v>0</v>
      </c>
      <c r="DU182" s="804">
        <v>0</v>
      </c>
      <c r="DV182" s="804">
        <v>0</v>
      </c>
      <c r="DW182" s="804">
        <v>0</v>
      </c>
      <c r="DX182" s="804">
        <v>1508166</v>
      </c>
      <c r="DY182" s="804">
        <v>1842983</v>
      </c>
      <c r="DZ182" s="804">
        <v>0</v>
      </c>
      <c r="EA182" s="804">
        <v>3351149</v>
      </c>
      <c r="EB182" s="804">
        <v>5820009</v>
      </c>
      <c r="EC182" s="804">
        <v>7035207</v>
      </c>
      <c r="ED182" s="804">
        <v>0</v>
      </c>
      <c r="EE182" s="804">
        <v>12855216</v>
      </c>
      <c r="EF182" s="604" t="s">
        <v>232</v>
      </c>
      <c r="EG182" s="497" t="s">
        <v>623</v>
      </c>
      <c r="EH182" s="243" t="s">
        <v>523</v>
      </c>
      <c r="EI182" s="118" t="s">
        <v>1833</v>
      </c>
    </row>
    <row r="183" spans="1:139" ht="12.75" x14ac:dyDescent="0.2">
      <c r="A183" s="805">
        <v>176</v>
      </c>
      <c r="B183" s="606" t="s">
        <v>235</v>
      </c>
      <c r="C183" s="607" t="s">
        <v>1185</v>
      </c>
      <c r="D183" s="608" t="s">
        <v>1194</v>
      </c>
      <c r="E183" s="609" t="s">
        <v>234</v>
      </c>
      <c r="F183" s="802">
        <v>32726314</v>
      </c>
      <c r="G183" s="804">
        <v>0</v>
      </c>
      <c r="H183" s="804">
        <v>339317</v>
      </c>
      <c r="I183" s="804">
        <v>212237</v>
      </c>
      <c r="J183" s="804">
        <v>0</v>
      </c>
      <c r="K183" s="804">
        <v>212237</v>
      </c>
      <c r="L183" s="804">
        <v>0</v>
      </c>
      <c r="M183" s="804">
        <v>0</v>
      </c>
      <c r="N183" s="804">
        <v>390412</v>
      </c>
      <c r="O183" s="804">
        <v>390412</v>
      </c>
      <c r="P183" s="804">
        <v>0</v>
      </c>
      <c r="Q183" s="804">
        <v>0</v>
      </c>
      <c r="R183" s="804">
        <v>31784348</v>
      </c>
      <c r="S183" s="804">
        <v>0.5</v>
      </c>
      <c r="T183" s="804">
        <v>0.4</v>
      </c>
      <c r="U183" s="804">
        <v>0.09</v>
      </c>
      <c r="V183" s="804">
        <v>0.01</v>
      </c>
      <c r="W183" s="804">
        <v>1</v>
      </c>
      <c r="X183" s="804">
        <v>15892175</v>
      </c>
      <c r="Y183" s="804">
        <v>12713739</v>
      </c>
      <c r="Z183" s="804">
        <v>2860591</v>
      </c>
      <c r="AA183" s="804">
        <v>317843</v>
      </c>
      <c r="AB183" s="804">
        <v>31784348</v>
      </c>
      <c r="AC183" s="804">
        <v>0</v>
      </c>
      <c r="AD183" s="804">
        <v>0</v>
      </c>
      <c r="AE183" s="804">
        <v>0</v>
      </c>
      <c r="AF183" s="804">
        <v>0</v>
      </c>
      <c r="AG183" s="804">
        <v>0</v>
      </c>
      <c r="AH183" s="804">
        <v>15892175</v>
      </c>
      <c r="AI183" s="804">
        <v>12713739</v>
      </c>
      <c r="AJ183" s="804">
        <v>2860591</v>
      </c>
      <c r="AK183" s="804">
        <v>317843</v>
      </c>
      <c r="AL183" s="804">
        <v>31784348</v>
      </c>
      <c r="AM183" s="804">
        <v>212237</v>
      </c>
      <c r="AN183" s="804">
        <v>212237</v>
      </c>
      <c r="AO183" s="804">
        <v>0</v>
      </c>
      <c r="AP183" s="804">
        <v>0</v>
      </c>
      <c r="AQ183" s="804">
        <v>390412</v>
      </c>
      <c r="AR183" s="804">
        <v>0</v>
      </c>
      <c r="AS183" s="804">
        <v>390412</v>
      </c>
      <c r="AT183" s="804">
        <v>0</v>
      </c>
      <c r="AU183" s="804">
        <v>0</v>
      </c>
      <c r="AV183" s="804">
        <v>0</v>
      </c>
      <c r="AW183" s="804">
        <v>0</v>
      </c>
      <c r="AX183" s="804">
        <v>0</v>
      </c>
      <c r="AY183" s="804">
        <v>0</v>
      </c>
      <c r="AZ183" s="804">
        <v>0</v>
      </c>
      <c r="BA183" s="804">
        <v>0</v>
      </c>
      <c r="BB183" s="804">
        <v>0</v>
      </c>
      <c r="BC183" s="804">
        <v>0</v>
      </c>
      <c r="BD183" s="804">
        <v>0</v>
      </c>
      <c r="BE183" s="804">
        <v>0</v>
      </c>
      <c r="BF183" s="804">
        <v>0</v>
      </c>
      <c r="BG183" s="804">
        <v>0</v>
      </c>
      <c r="BH183" s="804">
        <v>0</v>
      </c>
      <c r="BI183" s="804">
        <v>0</v>
      </c>
      <c r="BJ183" s="804">
        <v>0.5</v>
      </c>
      <c r="BK183" s="804">
        <v>0.4</v>
      </c>
      <c r="BL183" s="804">
        <v>0.09</v>
      </c>
      <c r="BM183" s="804">
        <v>0.01</v>
      </c>
      <c r="BN183" s="804">
        <v>1</v>
      </c>
      <c r="BO183" s="804">
        <v>156974</v>
      </c>
      <c r="BP183" s="804">
        <v>125579</v>
      </c>
      <c r="BQ183" s="804">
        <v>28255</v>
      </c>
      <c r="BR183" s="804">
        <v>3139</v>
      </c>
      <c r="BS183" s="804">
        <v>313947</v>
      </c>
      <c r="BT183" s="804">
        <v>0</v>
      </c>
      <c r="BU183" s="804">
        <v>0.4</v>
      </c>
      <c r="BV183" s="804">
        <v>0.59</v>
      </c>
      <c r="BW183" s="804">
        <v>0.01</v>
      </c>
      <c r="BX183" s="804">
        <v>1</v>
      </c>
      <c r="BY183" s="804">
        <v>0</v>
      </c>
      <c r="BZ183" s="804">
        <v>-68723</v>
      </c>
      <c r="CA183" s="804">
        <v>-101366</v>
      </c>
      <c r="CB183" s="804">
        <v>-1718</v>
      </c>
      <c r="CC183" s="804">
        <v>-171807</v>
      </c>
      <c r="CD183" s="804">
        <v>156974</v>
      </c>
      <c r="CE183" s="804">
        <v>56856</v>
      </c>
      <c r="CF183" s="804">
        <v>-73111</v>
      </c>
      <c r="CG183" s="804">
        <v>1421</v>
      </c>
      <c r="CH183" s="804">
        <v>142140</v>
      </c>
      <c r="CI183" s="804">
        <v>16049149</v>
      </c>
      <c r="CJ183" s="804">
        <v>13373244</v>
      </c>
      <c r="CK183" s="804">
        <v>2787480</v>
      </c>
      <c r="CL183" s="804">
        <v>319264</v>
      </c>
      <c r="CM183" s="804">
        <v>32529137</v>
      </c>
      <c r="CN183" s="804">
        <v>525216</v>
      </c>
      <c r="CO183" s="804">
        <v>114653</v>
      </c>
      <c r="CP183" s="804">
        <v>12739</v>
      </c>
      <c r="CQ183" s="804">
        <v>652608</v>
      </c>
      <c r="CR183" s="804">
        <v>2219197</v>
      </c>
      <c r="CS183" s="804">
        <v>499319</v>
      </c>
      <c r="CT183" s="804">
        <v>55480</v>
      </c>
      <c r="CU183" s="804">
        <v>2773996</v>
      </c>
      <c r="CV183" s="804">
        <v>80328</v>
      </c>
      <c r="CW183" s="804">
        <v>18074</v>
      </c>
      <c r="CX183" s="804">
        <v>2008</v>
      </c>
      <c r="CY183" s="804">
        <v>100410</v>
      </c>
      <c r="CZ183" s="804">
        <v>7126</v>
      </c>
      <c r="DA183" s="804">
        <v>1603</v>
      </c>
      <c r="DB183" s="804">
        <v>178</v>
      </c>
      <c r="DC183" s="804">
        <v>8907</v>
      </c>
      <c r="DD183" s="804">
        <v>11743</v>
      </c>
      <c r="DE183" s="804">
        <v>2642</v>
      </c>
      <c r="DF183" s="804">
        <v>294</v>
      </c>
      <c r="DG183" s="804">
        <v>14679</v>
      </c>
      <c r="DH183" s="804">
        <v>10767</v>
      </c>
      <c r="DI183" s="804">
        <v>2422</v>
      </c>
      <c r="DJ183" s="804">
        <v>269</v>
      </c>
      <c r="DK183" s="804">
        <v>13458</v>
      </c>
      <c r="DL183" s="804">
        <v>2912</v>
      </c>
      <c r="DM183" s="804">
        <v>655</v>
      </c>
      <c r="DN183" s="804">
        <v>73</v>
      </c>
      <c r="DO183" s="804">
        <v>3640</v>
      </c>
      <c r="DP183" s="804">
        <v>0</v>
      </c>
      <c r="DQ183" s="804">
        <v>0</v>
      </c>
      <c r="DR183" s="804">
        <v>0</v>
      </c>
      <c r="DS183" s="804">
        <v>0</v>
      </c>
      <c r="DT183" s="804">
        <v>0</v>
      </c>
      <c r="DU183" s="804">
        <v>0</v>
      </c>
      <c r="DV183" s="804">
        <v>0</v>
      </c>
      <c r="DW183" s="804">
        <v>0</v>
      </c>
      <c r="DX183" s="804">
        <v>353654</v>
      </c>
      <c r="DY183" s="804">
        <v>79572</v>
      </c>
      <c r="DZ183" s="804">
        <v>8841</v>
      </c>
      <c r="EA183" s="804">
        <v>442067</v>
      </c>
      <c r="EB183" s="804">
        <v>3210943</v>
      </c>
      <c r="EC183" s="804">
        <v>718940</v>
      </c>
      <c r="ED183" s="804">
        <v>79882</v>
      </c>
      <c r="EE183" s="804">
        <v>4009765</v>
      </c>
      <c r="EF183" s="604" t="s">
        <v>234</v>
      </c>
      <c r="EG183" s="497" t="s">
        <v>560</v>
      </c>
      <c r="EH183" s="630" t="s">
        <v>558</v>
      </c>
      <c r="EI183" s="118" t="s">
        <v>1834</v>
      </c>
    </row>
    <row r="184" spans="1:139" ht="12.75" x14ac:dyDescent="0.2">
      <c r="A184" s="805">
        <v>177</v>
      </c>
      <c r="B184" s="606" t="s">
        <v>237</v>
      </c>
      <c r="C184" s="607" t="s">
        <v>1185</v>
      </c>
      <c r="D184" s="608" t="s">
        <v>1188</v>
      </c>
      <c r="E184" s="609" t="s">
        <v>236</v>
      </c>
      <c r="F184" s="802">
        <v>17345264</v>
      </c>
      <c r="G184" s="804">
        <v>220316</v>
      </c>
      <c r="H184" s="804">
        <v>0</v>
      </c>
      <c r="I184" s="804">
        <v>102265</v>
      </c>
      <c r="J184" s="804">
        <v>0</v>
      </c>
      <c r="K184" s="804">
        <v>102265</v>
      </c>
      <c r="L184" s="804">
        <v>0</v>
      </c>
      <c r="M184" s="804">
        <v>0</v>
      </c>
      <c r="N184" s="804">
        <v>0</v>
      </c>
      <c r="O184" s="804">
        <v>0</v>
      </c>
      <c r="P184" s="804">
        <v>0</v>
      </c>
      <c r="Q184" s="804">
        <v>0</v>
      </c>
      <c r="R184" s="804">
        <v>17463315</v>
      </c>
      <c r="S184" s="804">
        <v>0.5</v>
      </c>
      <c r="T184" s="804">
        <v>0.4</v>
      </c>
      <c r="U184" s="804">
        <v>0.09</v>
      </c>
      <c r="V184" s="804">
        <v>0.01</v>
      </c>
      <c r="W184" s="804">
        <v>1</v>
      </c>
      <c r="X184" s="804">
        <v>8731658</v>
      </c>
      <c r="Y184" s="804">
        <v>6985326</v>
      </c>
      <c r="Z184" s="804">
        <v>1571698</v>
      </c>
      <c r="AA184" s="804">
        <v>174633</v>
      </c>
      <c r="AB184" s="804">
        <v>17463315</v>
      </c>
      <c r="AC184" s="804">
        <v>0</v>
      </c>
      <c r="AD184" s="804">
        <v>0</v>
      </c>
      <c r="AE184" s="804">
        <v>0</v>
      </c>
      <c r="AF184" s="804">
        <v>0</v>
      </c>
      <c r="AG184" s="804">
        <v>0</v>
      </c>
      <c r="AH184" s="804">
        <v>8731658</v>
      </c>
      <c r="AI184" s="804">
        <v>6985326</v>
      </c>
      <c r="AJ184" s="804">
        <v>1571698</v>
      </c>
      <c r="AK184" s="804">
        <v>174633</v>
      </c>
      <c r="AL184" s="804">
        <v>17463315</v>
      </c>
      <c r="AM184" s="804">
        <v>102265</v>
      </c>
      <c r="AN184" s="804">
        <v>102265</v>
      </c>
      <c r="AO184" s="804">
        <v>0</v>
      </c>
      <c r="AP184" s="804">
        <v>0</v>
      </c>
      <c r="AQ184" s="804">
        <v>0</v>
      </c>
      <c r="AR184" s="804">
        <v>0</v>
      </c>
      <c r="AS184" s="804">
        <v>0</v>
      </c>
      <c r="AT184" s="804">
        <v>0</v>
      </c>
      <c r="AU184" s="804">
        <v>0</v>
      </c>
      <c r="AV184" s="804">
        <v>0</v>
      </c>
      <c r="AW184" s="804">
        <v>0</v>
      </c>
      <c r="AX184" s="804">
        <v>0</v>
      </c>
      <c r="AY184" s="804">
        <v>0</v>
      </c>
      <c r="AZ184" s="804">
        <v>0</v>
      </c>
      <c r="BA184" s="804">
        <v>0</v>
      </c>
      <c r="BB184" s="804">
        <v>0</v>
      </c>
      <c r="BC184" s="804">
        <v>0</v>
      </c>
      <c r="BD184" s="804">
        <v>0</v>
      </c>
      <c r="BE184" s="804">
        <v>0</v>
      </c>
      <c r="BF184" s="804">
        <v>0</v>
      </c>
      <c r="BG184" s="804">
        <v>0</v>
      </c>
      <c r="BH184" s="804">
        <v>0</v>
      </c>
      <c r="BI184" s="804">
        <v>0</v>
      </c>
      <c r="BJ184" s="804">
        <v>0.5</v>
      </c>
      <c r="BK184" s="804">
        <v>0.4</v>
      </c>
      <c r="BL184" s="804">
        <v>0.09</v>
      </c>
      <c r="BM184" s="804">
        <v>0.01</v>
      </c>
      <c r="BN184" s="804">
        <v>1</v>
      </c>
      <c r="BO184" s="804">
        <v>370684</v>
      </c>
      <c r="BP184" s="804">
        <v>296548</v>
      </c>
      <c r="BQ184" s="804">
        <v>66723</v>
      </c>
      <c r="BR184" s="804">
        <v>7414</v>
      </c>
      <c r="BS184" s="804">
        <v>741369</v>
      </c>
      <c r="BT184" s="804">
        <v>0</v>
      </c>
      <c r="BU184" s="804">
        <v>0.5</v>
      </c>
      <c r="BV184" s="804">
        <v>0.49</v>
      </c>
      <c r="BW184" s="804">
        <v>0.01</v>
      </c>
      <c r="BX184" s="804">
        <v>1</v>
      </c>
      <c r="BY184" s="804">
        <v>0</v>
      </c>
      <c r="BZ184" s="804">
        <v>329877</v>
      </c>
      <c r="CA184" s="804">
        <v>323279</v>
      </c>
      <c r="CB184" s="804">
        <v>6598</v>
      </c>
      <c r="CC184" s="804">
        <v>659754</v>
      </c>
      <c r="CD184" s="804">
        <v>370684</v>
      </c>
      <c r="CE184" s="804">
        <v>626425</v>
      </c>
      <c r="CF184" s="804">
        <v>390002</v>
      </c>
      <c r="CG184" s="804">
        <v>14012</v>
      </c>
      <c r="CH184" s="804">
        <v>1401123</v>
      </c>
      <c r="CI184" s="804">
        <v>9102342</v>
      </c>
      <c r="CJ184" s="804">
        <v>7714016</v>
      </c>
      <c r="CK184" s="804">
        <v>1961700</v>
      </c>
      <c r="CL184" s="804">
        <v>188645</v>
      </c>
      <c r="CM184" s="804">
        <v>18966703</v>
      </c>
      <c r="CN184" s="804">
        <v>279973</v>
      </c>
      <c r="CO184" s="804">
        <v>62994</v>
      </c>
      <c r="CP184" s="804">
        <v>6999</v>
      </c>
      <c r="CQ184" s="804">
        <v>349966</v>
      </c>
      <c r="CR184" s="804">
        <v>874332</v>
      </c>
      <c r="CS184" s="804">
        <v>196725</v>
      </c>
      <c r="CT184" s="804">
        <v>21858</v>
      </c>
      <c r="CU184" s="804">
        <v>1092915</v>
      </c>
      <c r="CV184" s="804">
        <v>49089</v>
      </c>
      <c r="CW184" s="804">
        <v>11045</v>
      </c>
      <c r="CX184" s="804">
        <v>1227</v>
      </c>
      <c r="CY184" s="804">
        <v>61361</v>
      </c>
      <c r="CZ184" s="804">
        <v>1598</v>
      </c>
      <c r="DA184" s="804">
        <v>360</v>
      </c>
      <c r="DB184" s="804">
        <v>40</v>
      </c>
      <c r="DC184" s="804">
        <v>1998</v>
      </c>
      <c r="DD184" s="804">
        <v>503</v>
      </c>
      <c r="DE184" s="804">
        <v>113</v>
      </c>
      <c r="DF184" s="804">
        <v>13</v>
      </c>
      <c r="DG184" s="804">
        <v>629</v>
      </c>
      <c r="DH184" s="804">
        <v>7673</v>
      </c>
      <c r="DI184" s="804">
        <v>1727</v>
      </c>
      <c r="DJ184" s="804">
        <v>192</v>
      </c>
      <c r="DK184" s="804">
        <v>9592</v>
      </c>
      <c r="DL184" s="804">
        <v>1865</v>
      </c>
      <c r="DM184" s="804">
        <v>420</v>
      </c>
      <c r="DN184" s="804">
        <v>47</v>
      </c>
      <c r="DO184" s="804">
        <v>2332</v>
      </c>
      <c r="DP184" s="804">
        <v>0</v>
      </c>
      <c r="DQ184" s="804">
        <v>0</v>
      </c>
      <c r="DR184" s="804">
        <v>0</v>
      </c>
      <c r="DS184" s="804">
        <v>0</v>
      </c>
      <c r="DT184" s="804">
        <v>0</v>
      </c>
      <c r="DU184" s="804">
        <v>0</v>
      </c>
      <c r="DV184" s="804">
        <v>0</v>
      </c>
      <c r="DW184" s="804">
        <v>0</v>
      </c>
      <c r="DX184" s="804">
        <v>276060</v>
      </c>
      <c r="DY184" s="804">
        <v>62113</v>
      </c>
      <c r="DZ184" s="804">
        <v>6901</v>
      </c>
      <c r="EA184" s="804">
        <v>345074</v>
      </c>
      <c r="EB184" s="804">
        <v>1491093</v>
      </c>
      <c r="EC184" s="804">
        <v>335497</v>
      </c>
      <c r="ED184" s="804">
        <v>37277</v>
      </c>
      <c r="EE184" s="804">
        <v>1863867</v>
      </c>
      <c r="EF184" s="604" t="s">
        <v>236</v>
      </c>
      <c r="EG184" s="497" t="s">
        <v>555</v>
      </c>
      <c r="EH184" s="630" t="s">
        <v>554</v>
      </c>
      <c r="EI184" s="118" t="s">
        <v>1835</v>
      </c>
    </row>
    <row r="185" spans="1:139" ht="12.75" x14ac:dyDescent="0.2">
      <c r="A185" s="805">
        <v>178</v>
      </c>
      <c r="B185" s="606" t="s">
        <v>239</v>
      </c>
      <c r="C185" s="607" t="s">
        <v>524</v>
      </c>
      <c r="D185" s="608" t="s">
        <v>1193</v>
      </c>
      <c r="E185" s="609" t="s">
        <v>582</v>
      </c>
      <c r="F185" s="802">
        <v>63705787</v>
      </c>
      <c r="G185" s="804">
        <v>0</v>
      </c>
      <c r="H185" s="804">
        <v>2113486</v>
      </c>
      <c r="I185" s="804">
        <v>215287</v>
      </c>
      <c r="J185" s="804">
        <v>5922</v>
      </c>
      <c r="K185" s="804">
        <v>221209</v>
      </c>
      <c r="L185" s="804">
        <v>0</v>
      </c>
      <c r="M185" s="804">
        <v>51296</v>
      </c>
      <c r="N185" s="804">
        <v>166985</v>
      </c>
      <c r="O185" s="804">
        <v>166985</v>
      </c>
      <c r="P185" s="804">
        <v>0</v>
      </c>
      <c r="Q185" s="804">
        <v>0</v>
      </c>
      <c r="R185" s="804">
        <v>61152811</v>
      </c>
      <c r="S185" s="804">
        <v>0.5</v>
      </c>
      <c r="T185" s="804">
        <v>0.49</v>
      </c>
      <c r="U185" s="804">
        <v>0</v>
      </c>
      <c r="V185" s="804">
        <v>0.01</v>
      </c>
      <c r="W185" s="804">
        <v>1</v>
      </c>
      <c r="X185" s="804">
        <v>30576406</v>
      </c>
      <c r="Y185" s="804">
        <v>29964877</v>
      </c>
      <c r="Z185" s="804">
        <v>0</v>
      </c>
      <c r="AA185" s="804">
        <v>611528</v>
      </c>
      <c r="AB185" s="804">
        <v>61152811</v>
      </c>
      <c r="AC185" s="804">
        <v>103310</v>
      </c>
      <c r="AD185" s="804">
        <v>0</v>
      </c>
      <c r="AE185" s="804">
        <v>0</v>
      </c>
      <c r="AF185" s="804">
        <v>0</v>
      </c>
      <c r="AG185" s="804">
        <v>103310</v>
      </c>
      <c r="AH185" s="804">
        <v>30473096</v>
      </c>
      <c r="AI185" s="804">
        <v>29964877</v>
      </c>
      <c r="AJ185" s="804">
        <v>0</v>
      </c>
      <c r="AK185" s="804">
        <v>611528</v>
      </c>
      <c r="AL185" s="804">
        <v>61049501</v>
      </c>
      <c r="AM185" s="804">
        <v>221209</v>
      </c>
      <c r="AN185" s="804">
        <v>221209</v>
      </c>
      <c r="AO185" s="804">
        <v>51296</v>
      </c>
      <c r="AP185" s="804">
        <v>51296</v>
      </c>
      <c r="AQ185" s="804">
        <v>166985</v>
      </c>
      <c r="AR185" s="804">
        <v>0</v>
      </c>
      <c r="AS185" s="804">
        <v>166985</v>
      </c>
      <c r="AT185" s="804">
        <v>0</v>
      </c>
      <c r="AU185" s="804">
        <v>0</v>
      </c>
      <c r="AV185" s="804">
        <v>0</v>
      </c>
      <c r="AW185" s="804">
        <v>0</v>
      </c>
      <c r="AX185" s="804">
        <v>103310</v>
      </c>
      <c r="AY185" s="804">
        <v>0</v>
      </c>
      <c r="AZ185" s="804">
        <v>0</v>
      </c>
      <c r="BA185" s="804">
        <v>103310</v>
      </c>
      <c r="BB185" s="804">
        <v>0</v>
      </c>
      <c r="BC185" s="804">
        <v>0</v>
      </c>
      <c r="BD185" s="804">
        <v>0</v>
      </c>
      <c r="BE185" s="804">
        <v>0</v>
      </c>
      <c r="BF185" s="804">
        <v>0</v>
      </c>
      <c r="BG185" s="804">
        <v>0</v>
      </c>
      <c r="BH185" s="804">
        <v>0</v>
      </c>
      <c r="BI185" s="804">
        <v>0</v>
      </c>
      <c r="BJ185" s="804">
        <v>0.5</v>
      </c>
      <c r="BK185" s="804">
        <v>0.49</v>
      </c>
      <c r="BL185" s="804">
        <v>0</v>
      </c>
      <c r="BM185" s="804">
        <v>0.01</v>
      </c>
      <c r="BN185" s="804">
        <v>1</v>
      </c>
      <c r="BO185" s="804">
        <v>123352</v>
      </c>
      <c r="BP185" s="804">
        <v>120885</v>
      </c>
      <c r="BQ185" s="804">
        <v>0</v>
      </c>
      <c r="BR185" s="804">
        <v>2467</v>
      </c>
      <c r="BS185" s="804">
        <v>246704</v>
      </c>
      <c r="BT185" s="804">
        <v>0.5</v>
      </c>
      <c r="BU185" s="804">
        <v>0.49</v>
      </c>
      <c r="BV185" s="804">
        <v>0</v>
      </c>
      <c r="BW185" s="804">
        <v>0.01</v>
      </c>
      <c r="BX185" s="804">
        <v>1</v>
      </c>
      <c r="BY185" s="804">
        <v>540268</v>
      </c>
      <c r="BZ185" s="804">
        <v>529462</v>
      </c>
      <c r="CA185" s="804">
        <v>0</v>
      </c>
      <c r="CB185" s="804">
        <v>10805</v>
      </c>
      <c r="CC185" s="804">
        <v>1080535</v>
      </c>
      <c r="CD185" s="804">
        <v>663620</v>
      </c>
      <c r="CE185" s="804">
        <v>650347</v>
      </c>
      <c r="CF185" s="804">
        <v>0</v>
      </c>
      <c r="CG185" s="804">
        <v>13272</v>
      </c>
      <c r="CH185" s="804">
        <v>1327239</v>
      </c>
      <c r="CI185" s="804">
        <v>31136716</v>
      </c>
      <c r="CJ185" s="804">
        <v>31158024</v>
      </c>
      <c r="CK185" s="804">
        <v>0</v>
      </c>
      <c r="CL185" s="804">
        <v>624800</v>
      </c>
      <c r="CM185" s="804">
        <v>62919540</v>
      </c>
      <c r="CN185" s="804">
        <v>1213886</v>
      </c>
      <c r="CO185" s="804">
        <v>0</v>
      </c>
      <c r="CP185" s="804">
        <v>24510</v>
      </c>
      <c r="CQ185" s="804">
        <v>1238396</v>
      </c>
      <c r="CR185" s="804">
        <v>1820334</v>
      </c>
      <c r="CS185" s="804">
        <v>0</v>
      </c>
      <c r="CT185" s="804">
        <v>37150</v>
      </c>
      <c r="CU185" s="804">
        <v>1857484</v>
      </c>
      <c r="CV185" s="804">
        <v>30217</v>
      </c>
      <c r="CW185" s="804">
        <v>0</v>
      </c>
      <c r="CX185" s="804">
        <v>617</v>
      </c>
      <c r="CY185" s="804">
        <v>30834</v>
      </c>
      <c r="CZ185" s="804">
        <v>19657</v>
      </c>
      <c r="DA185" s="804">
        <v>0</v>
      </c>
      <c r="DB185" s="804">
        <v>401</v>
      </c>
      <c r="DC185" s="804">
        <v>20058</v>
      </c>
      <c r="DD185" s="804">
        <v>0</v>
      </c>
      <c r="DE185" s="804">
        <v>0</v>
      </c>
      <c r="DF185" s="804">
        <v>0</v>
      </c>
      <c r="DG185" s="804">
        <v>0</v>
      </c>
      <c r="DH185" s="804">
        <v>8835</v>
      </c>
      <c r="DI185" s="804">
        <v>0</v>
      </c>
      <c r="DJ185" s="804">
        <v>180</v>
      </c>
      <c r="DK185" s="804">
        <v>9015</v>
      </c>
      <c r="DL185" s="804">
        <v>4066</v>
      </c>
      <c r="DM185" s="804">
        <v>0</v>
      </c>
      <c r="DN185" s="804">
        <v>83</v>
      </c>
      <c r="DO185" s="804">
        <v>4149</v>
      </c>
      <c r="DP185" s="804">
        <v>0</v>
      </c>
      <c r="DQ185" s="804">
        <v>0</v>
      </c>
      <c r="DR185" s="804">
        <v>0</v>
      </c>
      <c r="DS185" s="804">
        <v>0</v>
      </c>
      <c r="DT185" s="804">
        <v>0</v>
      </c>
      <c r="DU185" s="804">
        <v>0</v>
      </c>
      <c r="DV185" s="804">
        <v>0</v>
      </c>
      <c r="DW185" s="804">
        <v>0</v>
      </c>
      <c r="DX185" s="804">
        <v>373075</v>
      </c>
      <c r="DY185" s="804">
        <v>0</v>
      </c>
      <c r="DZ185" s="804">
        <v>7614</v>
      </c>
      <c r="EA185" s="804">
        <v>380689</v>
      </c>
      <c r="EB185" s="804">
        <v>3470070</v>
      </c>
      <c r="EC185" s="804">
        <v>0</v>
      </c>
      <c r="ED185" s="804">
        <v>70555</v>
      </c>
      <c r="EE185" s="804">
        <v>3540625</v>
      </c>
      <c r="EF185" s="604" t="s">
        <v>582</v>
      </c>
      <c r="EG185" s="497" t="s">
        <v>524</v>
      </c>
      <c r="EH185" s="630" t="s">
        <v>581</v>
      </c>
      <c r="EI185" s="118" t="s">
        <v>1836</v>
      </c>
    </row>
    <row r="186" spans="1:139" ht="12.75" x14ac:dyDescent="0.2">
      <c r="A186" s="805">
        <v>179</v>
      </c>
      <c r="B186" s="606" t="s">
        <v>241</v>
      </c>
      <c r="C186" s="607" t="s">
        <v>1185</v>
      </c>
      <c r="D186" s="608" t="s">
        <v>1189</v>
      </c>
      <c r="E186" s="609" t="s">
        <v>240</v>
      </c>
      <c r="F186" s="802">
        <v>39463262</v>
      </c>
      <c r="G186" s="804">
        <v>188301</v>
      </c>
      <c r="H186" s="804">
        <v>0</v>
      </c>
      <c r="I186" s="804">
        <v>174652</v>
      </c>
      <c r="J186" s="804">
        <v>0</v>
      </c>
      <c r="K186" s="804">
        <v>174652</v>
      </c>
      <c r="L186" s="804">
        <v>0</v>
      </c>
      <c r="M186" s="804">
        <v>0</v>
      </c>
      <c r="N186" s="804">
        <v>32753</v>
      </c>
      <c r="O186" s="804">
        <v>32753</v>
      </c>
      <c r="P186" s="804">
        <v>0</v>
      </c>
      <c r="Q186" s="804">
        <v>0</v>
      </c>
      <c r="R186" s="804">
        <v>39444158</v>
      </c>
      <c r="S186" s="804">
        <v>0.5</v>
      </c>
      <c r="T186" s="804">
        <v>0.4</v>
      </c>
      <c r="U186" s="804">
        <v>0.1</v>
      </c>
      <c r="V186" s="804">
        <v>0</v>
      </c>
      <c r="W186" s="804">
        <v>1</v>
      </c>
      <c r="X186" s="804">
        <v>19722079</v>
      </c>
      <c r="Y186" s="804">
        <v>15777663</v>
      </c>
      <c r="Z186" s="804">
        <v>3944416</v>
      </c>
      <c r="AA186" s="804">
        <v>0</v>
      </c>
      <c r="AB186" s="804">
        <v>39444158</v>
      </c>
      <c r="AC186" s="804">
        <v>0</v>
      </c>
      <c r="AD186" s="804">
        <v>0</v>
      </c>
      <c r="AE186" s="804">
        <v>0</v>
      </c>
      <c r="AF186" s="804">
        <v>0</v>
      </c>
      <c r="AG186" s="804">
        <v>0</v>
      </c>
      <c r="AH186" s="804">
        <v>19722079</v>
      </c>
      <c r="AI186" s="804">
        <v>15777663</v>
      </c>
      <c r="AJ186" s="804">
        <v>3944416</v>
      </c>
      <c r="AK186" s="804">
        <v>0</v>
      </c>
      <c r="AL186" s="804">
        <v>39444158</v>
      </c>
      <c r="AM186" s="804">
        <v>174652</v>
      </c>
      <c r="AN186" s="804">
        <v>174652</v>
      </c>
      <c r="AO186" s="804">
        <v>0</v>
      </c>
      <c r="AP186" s="804">
        <v>0</v>
      </c>
      <c r="AQ186" s="804">
        <v>32753</v>
      </c>
      <c r="AR186" s="804">
        <v>0</v>
      </c>
      <c r="AS186" s="804">
        <v>32753</v>
      </c>
      <c r="AT186" s="804">
        <v>0</v>
      </c>
      <c r="AU186" s="804">
        <v>0</v>
      </c>
      <c r="AV186" s="804">
        <v>0</v>
      </c>
      <c r="AW186" s="804">
        <v>0</v>
      </c>
      <c r="AX186" s="804">
        <v>0</v>
      </c>
      <c r="AY186" s="804">
        <v>0</v>
      </c>
      <c r="AZ186" s="804">
        <v>0</v>
      </c>
      <c r="BA186" s="804">
        <v>0</v>
      </c>
      <c r="BB186" s="804">
        <v>0</v>
      </c>
      <c r="BC186" s="804">
        <v>0</v>
      </c>
      <c r="BD186" s="804">
        <v>0</v>
      </c>
      <c r="BE186" s="804">
        <v>0</v>
      </c>
      <c r="BF186" s="804">
        <v>0</v>
      </c>
      <c r="BG186" s="804">
        <v>0</v>
      </c>
      <c r="BH186" s="804">
        <v>0</v>
      </c>
      <c r="BI186" s="804">
        <v>0</v>
      </c>
      <c r="BJ186" s="804">
        <v>0.25</v>
      </c>
      <c r="BK186" s="804">
        <v>0.35</v>
      </c>
      <c r="BL186" s="804">
        <v>0.4</v>
      </c>
      <c r="BM186" s="804">
        <v>0</v>
      </c>
      <c r="BN186" s="804">
        <v>1</v>
      </c>
      <c r="BO186" s="804">
        <v>180099</v>
      </c>
      <c r="BP186" s="804">
        <v>252139</v>
      </c>
      <c r="BQ186" s="804">
        <v>288158</v>
      </c>
      <c r="BR186" s="804">
        <v>0</v>
      </c>
      <c r="BS186" s="804">
        <v>720396</v>
      </c>
      <c r="BT186" s="804">
        <v>0.5</v>
      </c>
      <c r="BU186" s="804">
        <v>0.4</v>
      </c>
      <c r="BV186" s="804">
        <v>0.1</v>
      </c>
      <c r="BW186" s="804">
        <v>0</v>
      </c>
      <c r="BX186" s="804">
        <v>1</v>
      </c>
      <c r="BY186" s="804">
        <v>-682594</v>
      </c>
      <c r="BZ186" s="804">
        <v>-546076</v>
      </c>
      <c r="CA186" s="804">
        <v>-136519</v>
      </c>
      <c r="CB186" s="804">
        <v>0</v>
      </c>
      <c r="CC186" s="804">
        <v>-1365189</v>
      </c>
      <c r="CD186" s="804">
        <v>-502495</v>
      </c>
      <c r="CE186" s="804">
        <v>-293937</v>
      </c>
      <c r="CF186" s="804">
        <v>151639</v>
      </c>
      <c r="CG186" s="804">
        <v>0</v>
      </c>
      <c r="CH186" s="804">
        <v>-644793</v>
      </c>
      <c r="CI186" s="804">
        <v>19219584</v>
      </c>
      <c r="CJ186" s="804">
        <v>15691131</v>
      </c>
      <c r="CK186" s="804">
        <v>4096055</v>
      </c>
      <c r="CL186" s="804">
        <v>0</v>
      </c>
      <c r="CM186" s="804">
        <v>39006770</v>
      </c>
      <c r="CN186" s="804">
        <v>633684</v>
      </c>
      <c r="CO186" s="804">
        <v>158093</v>
      </c>
      <c r="CP186" s="804">
        <v>0</v>
      </c>
      <c r="CQ186" s="804">
        <v>791777</v>
      </c>
      <c r="CR186" s="804">
        <v>1456700</v>
      </c>
      <c r="CS186" s="804">
        <v>364175</v>
      </c>
      <c r="CT186" s="804">
        <v>0</v>
      </c>
      <c r="CU186" s="804">
        <v>1820875</v>
      </c>
      <c r="CV186" s="804">
        <v>115283</v>
      </c>
      <c r="CW186" s="804">
        <v>28821</v>
      </c>
      <c r="CX186" s="804">
        <v>0</v>
      </c>
      <c r="CY186" s="804">
        <v>144104</v>
      </c>
      <c r="CZ186" s="804">
        <v>0</v>
      </c>
      <c r="DA186" s="804">
        <v>0</v>
      </c>
      <c r="DB186" s="804">
        <v>0</v>
      </c>
      <c r="DC186" s="804">
        <v>0</v>
      </c>
      <c r="DD186" s="804">
        <v>506</v>
      </c>
      <c r="DE186" s="804">
        <v>127</v>
      </c>
      <c r="DF186" s="804">
        <v>0</v>
      </c>
      <c r="DG186" s="804">
        <v>633</v>
      </c>
      <c r="DH186" s="804">
        <v>4522</v>
      </c>
      <c r="DI186" s="804">
        <v>1130</v>
      </c>
      <c r="DJ186" s="804">
        <v>0</v>
      </c>
      <c r="DK186" s="804">
        <v>5652</v>
      </c>
      <c r="DL186" s="804">
        <v>3744</v>
      </c>
      <c r="DM186" s="804">
        <v>936</v>
      </c>
      <c r="DN186" s="804">
        <v>0</v>
      </c>
      <c r="DO186" s="804">
        <v>4680</v>
      </c>
      <c r="DP186" s="804">
        <v>0</v>
      </c>
      <c r="DQ186" s="804">
        <v>0</v>
      </c>
      <c r="DR186" s="804">
        <v>0</v>
      </c>
      <c r="DS186" s="804">
        <v>0</v>
      </c>
      <c r="DT186" s="804">
        <v>0</v>
      </c>
      <c r="DU186" s="804">
        <v>0</v>
      </c>
      <c r="DV186" s="804">
        <v>0</v>
      </c>
      <c r="DW186" s="804">
        <v>0</v>
      </c>
      <c r="DX186" s="804">
        <v>524201</v>
      </c>
      <c r="DY186" s="804">
        <v>131050</v>
      </c>
      <c r="DZ186" s="804">
        <v>0</v>
      </c>
      <c r="EA186" s="804">
        <v>655251</v>
      </c>
      <c r="EB186" s="804">
        <v>2738640</v>
      </c>
      <c r="EC186" s="804">
        <v>684332</v>
      </c>
      <c r="ED186" s="804">
        <v>0</v>
      </c>
      <c r="EE186" s="804">
        <v>3422972</v>
      </c>
      <c r="EF186" s="604" t="s">
        <v>240</v>
      </c>
      <c r="EG186" s="497" t="s">
        <v>579</v>
      </c>
      <c r="EH186" s="630" t="s">
        <v>551</v>
      </c>
      <c r="EI186" s="118" t="s">
        <v>1837</v>
      </c>
    </row>
    <row r="187" spans="1:139" ht="12.75" x14ac:dyDescent="0.2">
      <c r="A187" s="805">
        <v>180</v>
      </c>
      <c r="B187" s="606" t="s">
        <v>243</v>
      </c>
      <c r="C187" s="607" t="s">
        <v>1185</v>
      </c>
      <c r="D187" s="608" t="s">
        <v>1188</v>
      </c>
      <c r="E187" s="609" t="s">
        <v>242</v>
      </c>
      <c r="F187" s="802">
        <v>28800368</v>
      </c>
      <c r="G187" s="804">
        <v>350686</v>
      </c>
      <c r="H187" s="804">
        <v>0</v>
      </c>
      <c r="I187" s="804">
        <v>123355</v>
      </c>
      <c r="J187" s="804">
        <v>0</v>
      </c>
      <c r="K187" s="804">
        <v>123355</v>
      </c>
      <c r="L187" s="804">
        <v>0</v>
      </c>
      <c r="M187" s="804">
        <v>0</v>
      </c>
      <c r="N187" s="804">
        <v>1697225</v>
      </c>
      <c r="O187" s="804">
        <v>1564105</v>
      </c>
      <c r="P187" s="804">
        <v>133120</v>
      </c>
      <c r="Q187" s="804">
        <v>0</v>
      </c>
      <c r="R187" s="804">
        <v>27330474</v>
      </c>
      <c r="S187" s="804">
        <v>0.5</v>
      </c>
      <c r="T187" s="804">
        <v>0.4</v>
      </c>
      <c r="U187" s="804">
        <v>0.1</v>
      </c>
      <c r="V187" s="804">
        <v>0</v>
      </c>
      <c r="W187" s="804">
        <v>1</v>
      </c>
      <c r="X187" s="804">
        <v>13665237</v>
      </c>
      <c r="Y187" s="804">
        <v>10932190</v>
      </c>
      <c r="Z187" s="804">
        <v>2733047</v>
      </c>
      <c r="AA187" s="804">
        <v>0</v>
      </c>
      <c r="AB187" s="804">
        <v>27330474</v>
      </c>
      <c r="AC187" s="804">
        <v>0</v>
      </c>
      <c r="AD187" s="804">
        <v>0</v>
      </c>
      <c r="AE187" s="804">
        <v>0</v>
      </c>
      <c r="AF187" s="804">
        <v>0</v>
      </c>
      <c r="AG187" s="804">
        <v>0</v>
      </c>
      <c r="AH187" s="804">
        <v>13665237</v>
      </c>
      <c r="AI187" s="804">
        <v>10932190</v>
      </c>
      <c r="AJ187" s="804">
        <v>2733047</v>
      </c>
      <c r="AK187" s="804">
        <v>0</v>
      </c>
      <c r="AL187" s="804">
        <v>27330474</v>
      </c>
      <c r="AM187" s="804">
        <v>123355</v>
      </c>
      <c r="AN187" s="804">
        <v>123355</v>
      </c>
      <c r="AO187" s="804">
        <v>0</v>
      </c>
      <c r="AP187" s="804">
        <v>0</v>
      </c>
      <c r="AQ187" s="804">
        <v>1564105</v>
      </c>
      <c r="AR187" s="804">
        <v>133120</v>
      </c>
      <c r="AS187" s="804">
        <v>1697225</v>
      </c>
      <c r="AT187" s="804">
        <v>0</v>
      </c>
      <c r="AU187" s="804">
        <v>0</v>
      </c>
      <c r="AV187" s="804">
        <v>0</v>
      </c>
      <c r="AW187" s="804">
        <v>0</v>
      </c>
      <c r="AX187" s="804">
        <v>0</v>
      </c>
      <c r="AY187" s="804">
        <v>0</v>
      </c>
      <c r="AZ187" s="804">
        <v>0</v>
      </c>
      <c r="BA187" s="804">
        <v>0</v>
      </c>
      <c r="BB187" s="804">
        <v>0</v>
      </c>
      <c r="BC187" s="804">
        <v>0</v>
      </c>
      <c r="BD187" s="804">
        <v>0</v>
      </c>
      <c r="BE187" s="804">
        <v>0</v>
      </c>
      <c r="BF187" s="804">
        <v>0</v>
      </c>
      <c r="BG187" s="804">
        <v>0</v>
      </c>
      <c r="BH187" s="804">
        <v>0</v>
      </c>
      <c r="BI187" s="804">
        <v>0</v>
      </c>
      <c r="BJ187" s="804">
        <v>0.5</v>
      </c>
      <c r="BK187" s="804">
        <v>0.4</v>
      </c>
      <c r="BL187" s="804">
        <v>0.1</v>
      </c>
      <c r="BM187" s="804">
        <v>0</v>
      </c>
      <c r="BN187" s="804">
        <v>1</v>
      </c>
      <c r="BO187" s="804">
        <v>-123430</v>
      </c>
      <c r="BP187" s="804">
        <v>-98744</v>
      </c>
      <c r="BQ187" s="804">
        <v>-24686</v>
      </c>
      <c r="BR187" s="804">
        <v>0</v>
      </c>
      <c r="BS187" s="804">
        <v>-246860</v>
      </c>
      <c r="BT187" s="804">
        <v>0</v>
      </c>
      <c r="BU187" s="804">
        <v>0.6</v>
      </c>
      <c r="BV187" s="804">
        <v>0.4</v>
      </c>
      <c r="BW187" s="804">
        <v>0</v>
      </c>
      <c r="BX187" s="804">
        <v>1</v>
      </c>
      <c r="BY187" s="804">
        <v>0</v>
      </c>
      <c r="BZ187" s="804">
        <v>505813</v>
      </c>
      <c r="CA187" s="804">
        <v>337208</v>
      </c>
      <c r="CB187" s="804">
        <v>0</v>
      </c>
      <c r="CC187" s="804">
        <v>843021</v>
      </c>
      <c r="CD187" s="804">
        <v>-123430</v>
      </c>
      <c r="CE187" s="804">
        <v>407069</v>
      </c>
      <c r="CF187" s="804">
        <v>312522</v>
      </c>
      <c r="CG187" s="804">
        <v>0</v>
      </c>
      <c r="CH187" s="804">
        <v>596161</v>
      </c>
      <c r="CI187" s="804">
        <v>13541807</v>
      </c>
      <c r="CJ187" s="804">
        <v>13026719</v>
      </c>
      <c r="CK187" s="804">
        <v>3178689</v>
      </c>
      <c r="CL187" s="804">
        <v>0</v>
      </c>
      <c r="CM187" s="804">
        <v>29747215</v>
      </c>
      <c r="CN187" s="804">
        <v>500854</v>
      </c>
      <c r="CO187" s="804">
        <v>114876</v>
      </c>
      <c r="CP187" s="804">
        <v>0</v>
      </c>
      <c r="CQ187" s="804">
        <v>615730</v>
      </c>
      <c r="CR187" s="804">
        <v>1022089</v>
      </c>
      <c r="CS187" s="804">
        <v>255522</v>
      </c>
      <c r="CT187" s="804">
        <v>0</v>
      </c>
      <c r="CU187" s="804">
        <v>1277611</v>
      </c>
      <c r="CV187" s="804">
        <v>50021</v>
      </c>
      <c r="CW187" s="804">
        <v>12505</v>
      </c>
      <c r="CX187" s="804">
        <v>0</v>
      </c>
      <c r="CY187" s="804">
        <v>62526</v>
      </c>
      <c r="CZ187" s="804">
        <v>6062</v>
      </c>
      <c r="DA187" s="804">
        <v>1516</v>
      </c>
      <c r="DB187" s="804">
        <v>0</v>
      </c>
      <c r="DC187" s="804">
        <v>7578</v>
      </c>
      <c r="DD187" s="804">
        <v>9170</v>
      </c>
      <c r="DE187" s="804">
        <v>2292</v>
      </c>
      <c r="DF187" s="804">
        <v>0</v>
      </c>
      <c r="DG187" s="804">
        <v>11462</v>
      </c>
      <c r="DH187" s="804">
        <v>8743</v>
      </c>
      <c r="DI187" s="804">
        <v>2186</v>
      </c>
      <c r="DJ187" s="804">
        <v>0</v>
      </c>
      <c r="DK187" s="804">
        <v>10929</v>
      </c>
      <c r="DL187" s="804">
        <v>2080</v>
      </c>
      <c r="DM187" s="804">
        <v>520</v>
      </c>
      <c r="DN187" s="804">
        <v>0</v>
      </c>
      <c r="DO187" s="804">
        <v>2600</v>
      </c>
      <c r="DP187" s="804">
        <v>0</v>
      </c>
      <c r="DQ187" s="804">
        <v>0</v>
      </c>
      <c r="DR187" s="804">
        <v>0</v>
      </c>
      <c r="DS187" s="804">
        <v>0</v>
      </c>
      <c r="DT187" s="804">
        <v>0</v>
      </c>
      <c r="DU187" s="804">
        <v>0</v>
      </c>
      <c r="DV187" s="804">
        <v>0</v>
      </c>
      <c r="DW187" s="804">
        <v>0</v>
      </c>
      <c r="DX187" s="804">
        <v>138858</v>
      </c>
      <c r="DY187" s="804">
        <v>34715</v>
      </c>
      <c r="DZ187" s="804">
        <v>0</v>
      </c>
      <c r="EA187" s="804">
        <v>173573</v>
      </c>
      <c r="EB187" s="804">
        <v>1737877</v>
      </c>
      <c r="EC187" s="804">
        <v>424132</v>
      </c>
      <c r="ED187" s="804">
        <v>0</v>
      </c>
      <c r="EE187" s="804">
        <v>2162009</v>
      </c>
      <c r="EF187" s="604" t="s">
        <v>242</v>
      </c>
      <c r="EG187" s="497" t="s">
        <v>595</v>
      </c>
      <c r="EH187" s="630" t="s">
        <v>551</v>
      </c>
      <c r="EI187" s="118" t="s">
        <v>1838</v>
      </c>
    </row>
    <row r="188" spans="1:139" ht="12.75" x14ac:dyDescent="0.2">
      <c r="A188" s="805">
        <v>181</v>
      </c>
      <c r="B188" s="606" t="s">
        <v>245</v>
      </c>
      <c r="C188" s="607" t="s">
        <v>524</v>
      </c>
      <c r="D188" s="608" t="s">
        <v>1193</v>
      </c>
      <c r="E188" s="609" t="s">
        <v>583</v>
      </c>
      <c r="F188" s="802">
        <v>83815097</v>
      </c>
      <c r="G188" s="804">
        <v>0</v>
      </c>
      <c r="H188" s="804">
        <v>2426092</v>
      </c>
      <c r="I188" s="804">
        <v>233461</v>
      </c>
      <c r="J188" s="804">
        <v>5922</v>
      </c>
      <c r="K188" s="804">
        <v>239383</v>
      </c>
      <c r="L188" s="804">
        <v>0</v>
      </c>
      <c r="M188" s="804">
        <v>1995301</v>
      </c>
      <c r="N188" s="804">
        <v>2898735</v>
      </c>
      <c r="O188" s="804">
        <v>2898735</v>
      </c>
      <c r="P188" s="804">
        <v>0</v>
      </c>
      <c r="Q188" s="804">
        <v>0</v>
      </c>
      <c r="R188" s="804">
        <v>76255586</v>
      </c>
      <c r="S188" s="804">
        <v>0.5</v>
      </c>
      <c r="T188" s="804">
        <v>0.49</v>
      </c>
      <c r="U188" s="804">
        <v>0</v>
      </c>
      <c r="V188" s="804">
        <v>0.01</v>
      </c>
      <c r="W188" s="804">
        <v>1</v>
      </c>
      <c r="X188" s="804">
        <v>38127793</v>
      </c>
      <c r="Y188" s="804">
        <v>37365237</v>
      </c>
      <c r="Z188" s="804">
        <v>0</v>
      </c>
      <c r="AA188" s="804">
        <v>762556</v>
      </c>
      <c r="AB188" s="804">
        <v>76255586</v>
      </c>
      <c r="AC188" s="804">
        <v>85950</v>
      </c>
      <c r="AD188" s="804">
        <v>0</v>
      </c>
      <c r="AE188" s="804">
        <v>0</v>
      </c>
      <c r="AF188" s="804">
        <v>0</v>
      </c>
      <c r="AG188" s="804">
        <v>85950</v>
      </c>
      <c r="AH188" s="804">
        <v>38041843</v>
      </c>
      <c r="AI188" s="804">
        <v>37365237</v>
      </c>
      <c r="AJ188" s="804">
        <v>0</v>
      </c>
      <c r="AK188" s="804">
        <v>762556</v>
      </c>
      <c r="AL188" s="804">
        <v>76169636</v>
      </c>
      <c r="AM188" s="804">
        <v>239383</v>
      </c>
      <c r="AN188" s="804">
        <v>239383</v>
      </c>
      <c r="AO188" s="804">
        <v>1995301</v>
      </c>
      <c r="AP188" s="804">
        <v>1995301</v>
      </c>
      <c r="AQ188" s="804">
        <v>2898735</v>
      </c>
      <c r="AR188" s="804">
        <v>0</v>
      </c>
      <c r="AS188" s="804">
        <v>2898735</v>
      </c>
      <c r="AT188" s="804">
        <v>0</v>
      </c>
      <c r="AU188" s="804">
        <v>0</v>
      </c>
      <c r="AV188" s="804">
        <v>0</v>
      </c>
      <c r="AW188" s="804">
        <v>0</v>
      </c>
      <c r="AX188" s="804">
        <v>85950</v>
      </c>
      <c r="AY188" s="804">
        <v>0</v>
      </c>
      <c r="AZ188" s="804">
        <v>0</v>
      </c>
      <c r="BA188" s="804">
        <v>85950</v>
      </c>
      <c r="BB188" s="804">
        <v>0</v>
      </c>
      <c r="BC188" s="804">
        <v>0</v>
      </c>
      <c r="BD188" s="804">
        <v>0</v>
      </c>
      <c r="BE188" s="804">
        <v>0</v>
      </c>
      <c r="BF188" s="804">
        <v>0</v>
      </c>
      <c r="BG188" s="804">
        <v>0</v>
      </c>
      <c r="BH188" s="804">
        <v>0</v>
      </c>
      <c r="BI188" s="804">
        <v>0</v>
      </c>
      <c r="BJ188" s="804">
        <v>0.5</v>
      </c>
      <c r="BK188" s="804">
        <v>0.49</v>
      </c>
      <c r="BL188" s="804">
        <v>0</v>
      </c>
      <c r="BM188" s="804">
        <v>0.01</v>
      </c>
      <c r="BN188" s="804">
        <v>1</v>
      </c>
      <c r="BO188" s="804">
        <v>-867526</v>
      </c>
      <c r="BP188" s="804">
        <v>-850175</v>
      </c>
      <c r="BQ188" s="804">
        <v>0</v>
      </c>
      <c r="BR188" s="804">
        <v>-17351</v>
      </c>
      <c r="BS188" s="804">
        <v>-1735052</v>
      </c>
      <c r="BT188" s="804">
        <v>0</v>
      </c>
      <c r="BU188" s="804">
        <v>0.99</v>
      </c>
      <c r="BV188" s="804">
        <v>0</v>
      </c>
      <c r="BW188" s="804">
        <v>0.01</v>
      </c>
      <c r="BX188" s="804">
        <v>1</v>
      </c>
      <c r="BY188" s="804">
        <v>0.5</v>
      </c>
      <c r="BZ188" s="804">
        <v>3413621</v>
      </c>
      <c r="CA188" s="804">
        <v>0</v>
      </c>
      <c r="CB188" s="804">
        <v>34481</v>
      </c>
      <c r="CC188" s="804">
        <v>3448102.5</v>
      </c>
      <c r="CD188" s="804">
        <v>-867526</v>
      </c>
      <c r="CE188" s="804">
        <v>2563446</v>
      </c>
      <c r="CF188" s="804">
        <v>0</v>
      </c>
      <c r="CG188" s="804">
        <v>17130</v>
      </c>
      <c r="CH188" s="804">
        <v>1713050.5</v>
      </c>
      <c r="CI188" s="804">
        <v>37174317</v>
      </c>
      <c r="CJ188" s="804">
        <v>45148052</v>
      </c>
      <c r="CK188" s="804">
        <v>0</v>
      </c>
      <c r="CL188" s="804">
        <v>779686</v>
      </c>
      <c r="CM188" s="804">
        <v>83102056</v>
      </c>
      <c r="CN188" s="804">
        <v>1697203</v>
      </c>
      <c r="CO188" s="804">
        <v>0</v>
      </c>
      <c r="CP188" s="804">
        <v>30563</v>
      </c>
      <c r="CQ188" s="804">
        <v>1727766</v>
      </c>
      <c r="CR188" s="804">
        <v>2058339</v>
      </c>
      <c r="CS188" s="804">
        <v>0</v>
      </c>
      <c r="CT188" s="804">
        <v>41873</v>
      </c>
      <c r="CU188" s="804">
        <v>2100212</v>
      </c>
      <c r="CV188" s="804">
        <v>18677</v>
      </c>
      <c r="CW188" s="804">
        <v>0</v>
      </c>
      <c r="CX188" s="804">
        <v>371</v>
      </c>
      <c r="CY188" s="804">
        <v>19048</v>
      </c>
      <c r="CZ188" s="804">
        <v>11413</v>
      </c>
      <c r="DA188" s="804">
        <v>0</v>
      </c>
      <c r="DB188" s="804">
        <v>233</v>
      </c>
      <c r="DC188" s="804">
        <v>11646</v>
      </c>
      <c r="DD188" s="804">
        <v>5656</v>
      </c>
      <c r="DE188" s="804">
        <v>0</v>
      </c>
      <c r="DF188" s="804">
        <v>115</v>
      </c>
      <c r="DG188" s="804">
        <v>5771</v>
      </c>
      <c r="DH188" s="804">
        <v>19096</v>
      </c>
      <c r="DI188" s="804">
        <v>0</v>
      </c>
      <c r="DJ188" s="804">
        <v>390</v>
      </c>
      <c r="DK188" s="804">
        <v>19486</v>
      </c>
      <c r="DL188" s="804">
        <v>4077</v>
      </c>
      <c r="DM188" s="804">
        <v>0</v>
      </c>
      <c r="DN188" s="804">
        <v>83</v>
      </c>
      <c r="DO188" s="804">
        <v>4160</v>
      </c>
      <c r="DP188" s="804">
        <v>0</v>
      </c>
      <c r="DQ188" s="804">
        <v>0</v>
      </c>
      <c r="DR188" s="804">
        <v>0</v>
      </c>
      <c r="DS188" s="804">
        <v>0</v>
      </c>
      <c r="DT188" s="804">
        <v>0</v>
      </c>
      <c r="DU188" s="804">
        <v>0</v>
      </c>
      <c r="DV188" s="804">
        <v>0</v>
      </c>
      <c r="DW188" s="804">
        <v>0</v>
      </c>
      <c r="DX188" s="804">
        <v>363548</v>
      </c>
      <c r="DY188" s="804">
        <v>0</v>
      </c>
      <c r="DZ188" s="804">
        <v>7419</v>
      </c>
      <c r="EA188" s="804">
        <v>370967</v>
      </c>
      <c r="EB188" s="804">
        <v>4178009</v>
      </c>
      <c r="EC188" s="804">
        <v>0</v>
      </c>
      <c r="ED188" s="804">
        <v>81047</v>
      </c>
      <c r="EE188" s="804">
        <v>4259056</v>
      </c>
      <c r="EF188" s="604" t="s">
        <v>583</v>
      </c>
      <c r="EG188" s="497" t="s">
        <v>524</v>
      </c>
      <c r="EH188" s="630" t="s">
        <v>581</v>
      </c>
      <c r="EI188" s="118" t="s">
        <v>1839</v>
      </c>
    </row>
    <row r="189" spans="1:139" ht="12.75" x14ac:dyDescent="0.2">
      <c r="A189" s="805">
        <v>182</v>
      </c>
      <c r="B189" s="606" t="s">
        <v>247</v>
      </c>
      <c r="C189" s="607" t="s">
        <v>1185</v>
      </c>
      <c r="D189" s="608" t="s">
        <v>1189</v>
      </c>
      <c r="E189" s="609" t="s">
        <v>246</v>
      </c>
      <c r="F189" s="802">
        <v>26520693</v>
      </c>
      <c r="G189" s="804">
        <v>695879</v>
      </c>
      <c r="H189" s="804">
        <v>0</v>
      </c>
      <c r="I189" s="804">
        <v>259130</v>
      </c>
      <c r="J189" s="804">
        <v>0</v>
      </c>
      <c r="K189" s="804">
        <v>259130</v>
      </c>
      <c r="L189" s="804">
        <v>0</v>
      </c>
      <c r="M189" s="804">
        <v>0</v>
      </c>
      <c r="N189" s="804">
        <v>652778</v>
      </c>
      <c r="O189" s="804">
        <v>652778</v>
      </c>
      <c r="P189" s="804">
        <v>0</v>
      </c>
      <c r="Q189" s="804">
        <v>0</v>
      </c>
      <c r="R189" s="804">
        <v>26304664</v>
      </c>
      <c r="S189" s="804">
        <v>0.5</v>
      </c>
      <c r="T189" s="804">
        <v>0.4</v>
      </c>
      <c r="U189" s="804">
        <v>0.1</v>
      </c>
      <c r="V189" s="804">
        <v>0</v>
      </c>
      <c r="W189" s="804">
        <v>1</v>
      </c>
      <c r="X189" s="804">
        <v>13152332</v>
      </c>
      <c r="Y189" s="804">
        <v>10521866</v>
      </c>
      <c r="Z189" s="804">
        <v>2630466</v>
      </c>
      <c r="AA189" s="804">
        <v>0</v>
      </c>
      <c r="AB189" s="804">
        <v>26304664</v>
      </c>
      <c r="AC189" s="804">
        <v>314588</v>
      </c>
      <c r="AD189" s="804">
        <v>0</v>
      </c>
      <c r="AE189" s="804">
        <v>0</v>
      </c>
      <c r="AF189" s="804">
        <v>0</v>
      </c>
      <c r="AG189" s="804">
        <v>314588</v>
      </c>
      <c r="AH189" s="804">
        <v>12837744</v>
      </c>
      <c r="AI189" s="804">
        <v>10521866</v>
      </c>
      <c r="AJ189" s="804">
        <v>2630466</v>
      </c>
      <c r="AK189" s="804">
        <v>0</v>
      </c>
      <c r="AL189" s="804">
        <v>25990076</v>
      </c>
      <c r="AM189" s="804">
        <v>259130</v>
      </c>
      <c r="AN189" s="804">
        <v>259130</v>
      </c>
      <c r="AO189" s="804">
        <v>0</v>
      </c>
      <c r="AP189" s="804">
        <v>0</v>
      </c>
      <c r="AQ189" s="804">
        <v>652778</v>
      </c>
      <c r="AR189" s="804">
        <v>0</v>
      </c>
      <c r="AS189" s="804">
        <v>652778</v>
      </c>
      <c r="AT189" s="804">
        <v>0</v>
      </c>
      <c r="AU189" s="804">
        <v>0</v>
      </c>
      <c r="AV189" s="804">
        <v>0</v>
      </c>
      <c r="AW189" s="804">
        <v>0</v>
      </c>
      <c r="AX189" s="804">
        <v>314588</v>
      </c>
      <c r="AY189" s="804">
        <v>0</v>
      </c>
      <c r="AZ189" s="804">
        <v>0</v>
      </c>
      <c r="BA189" s="804">
        <v>314588</v>
      </c>
      <c r="BB189" s="804">
        <v>0</v>
      </c>
      <c r="BC189" s="804">
        <v>0</v>
      </c>
      <c r="BD189" s="804">
        <v>0</v>
      </c>
      <c r="BE189" s="804">
        <v>0</v>
      </c>
      <c r="BF189" s="804">
        <v>0</v>
      </c>
      <c r="BG189" s="804">
        <v>0</v>
      </c>
      <c r="BH189" s="804">
        <v>0</v>
      </c>
      <c r="BI189" s="804">
        <v>0</v>
      </c>
      <c r="BJ189" s="804">
        <v>0.25000000000000006</v>
      </c>
      <c r="BK189" s="804">
        <v>0.42499999999999999</v>
      </c>
      <c r="BL189" s="804">
        <v>0.32500000000000001</v>
      </c>
      <c r="BM189" s="804">
        <v>0</v>
      </c>
      <c r="BN189" s="804">
        <v>1</v>
      </c>
      <c r="BO189" s="804">
        <v>1129908</v>
      </c>
      <c r="BP189" s="804">
        <v>1920843</v>
      </c>
      <c r="BQ189" s="804">
        <v>1468880</v>
      </c>
      <c r="BR189" s="804">
        <v>0</v>
      </c>
      <c r="BS189" s="804">
        <v>4519631</v>
      </c>
      <c r="BT189" s="804">
        <v>0.5</v>
      </c>
      <c r="BU189" s="804">
        <v>0.4</v>
      </c>
      <c r="BV189" s="804">
        <v>0.1</v>
      </c>
      <c r="BW189" s="804">
        <v>0</v>
      </c>
      <c r="BX189" s="804">
        <v>1</v>
      </c>
      <c r="BY189" s="804">
        <v>-315036</v>
      </c>
      <c r="BZ189" s="804">
        <v>-252028</v>
      </c>
      <c r="CA189" s="804">
        <v>-63007</v>
      </c>
      <c r="CB189" s="804">
        <v>0</v>
      </c>
      <c r="CC189" s="804">
        <v>-630071</v>
      </c>
      <c r="CD189" s="804">
        <v>814872</v>
      </c>
      <c r="CE189" s="804">
        <v>1668815</v>
      </c>
      <c r="CF189" s="804">
        <v>1405873</v>
      </c>
      <c r="CG189" s="804">
        <v>0</v>
      </c>
      <c r="CH189" s="804">
        <v>3889560</v>
      </c>
      <c r="CI189" s="804">
        <v>13652616</v>
      </c>
      <c r="CJ189" s="804">
        <v>13417177</v>
      </c>
      <c r="CK189" s="804">
        <v>4036339</v>
      </c>
      <c r="CL189" s="804">
        <v>0</v>
      </c>
      <c r="CM189" s="804">
        <v>31106132</v>
      </c>
      <c r="CN189" s="804">
        <v>460490</v>
      </c>
      <c r="CO189" s="804">
        <v>105429</v>
      </c>
      <c r="CP189" s="804">
        <v>0</v>
      </c>
      <c r="CQ189" s="804">
        <v>565919</v>
      </c>
      <c r="CR189" s="804">
        <v>2168900</v>
      </c>
      <c r="CS189" s="804">
        <v>532675</v>
      </c>
      <c r="CT189" s="804">
        <v>0</v>
      </c>
      <c r="CU189" s="804">
        <v>2701575</v>
      </c>
      <c r="CV189" s="804">
        <v>71794</v>
      </c>
      <c r="CW189" s="804">
        <v>17286</v>
      </c>
      <c r="CX189" s="804">
        <v>0</v>
      </c>
      <c r="CY189" s="804">
        <v>89080</v>
      </c>
      <c r="CZ189" s="804">
        <v>0</v>
      </c>
      <c r="DA189" s="804">
        <v>0</v>
      </c>
      <c r="DB189" s="804">
        <v>0</v>
      </c>
      <c r="DC189" s="804">
        <v>0</v>
      </c>
      <c r="DD189" s="804">
        <v>34066</v>
      </c>
      <c r="DE189" s="804">
        <v>8517</v>
      </c>
      <c r="DF189" s="804">
        <v>0</v>
      </c>
      <c r="DG189" s="804">
        <v>42583</v>
      </c>
      <c r="DH189" s="804">
        <v>31513</v>
      </c>
      <c r="DI189" s="804">
        <v>7878</v>
      </c>
      <c r="DJ189" s="804">
        <v>0</v>
      </c>
      <c r="DK189" s="804">
        <v>39391</v>
      </c>
      <c r="DL189" s="804">
        <v>6270</v>
      </c>
      <c r="DM189" s="804">
        <v>1567</v>
      </c>
      <c r="DN189" s="804">
        <v>0</v>
      </c>
      <c r="DO189" s="804">
        <v>7837</v>
      </c>
      <c r="DP189" s="804">
        <v>0</v>
      </c>
      <c r="DQ189" s="804">
        <v>0</v>
      </c>
      <c r="DR189" s="804">
        <v>0</v>
      </c>
      <c r="DS189" s="804">
        <v>0</v>
      </c>
      <c r="DT189" s="804">
        <v>0</v>
      </c>
      <c r="DU189" s="804">
        <v>0</v>
      </c>
      <c r="DV189" s="804">
        <v>0</v>
      </c>
      <c r="DW189" s="804">
        <v>0</v>
      </c>
      <c r="DX189" s="804">
        <v>518865</v>
      </c>
      <c r="DY189" s="804">
        <v>129716</v>
      </c>
      <c r="DZ189" s="804">
        <v>0</v>
      </c>
      <c r="EA189" s="804">
        <v>648581</v>
      </c>
      <c r="EB189" s="804">
        <v>3291898</v>
      </c>
      <c r="EC189" s="804">
        <v>803068</v>
      </c>
      <c r="ED189" s="804">
        <v>0</v>
      </c>
      <c r="EE189" s="804">
        <v>4094966</v>
      </c>
      <c r="EF189" s="604" t="s">
        <v>246</v>
      </c>
      <c r="EG189" s="497" t="s">
        <v>596</v>
      </c>
      <c r="EH189" s="630" t="s">
        <v>551</v>
      </c>
      <c r="EI189" s="118" t="s">
        <v>1840</v>
      </c>
    </row>
    <row r="190" spans="1:139" ht="12.75" x14ac:dyDescent="0.2">
      <c r="A190" s="805">
        <v>183</v>
      </c>
      <c r="B190" s="606" t="s">
        <v>249</v>
      </c>
      <c r="C190" s="607" t="s">
        <v>524</v>
      </c>
      <c r="D190" s="608" t="s">
        <v>1194</v>
      </c>
      <c r="E190" s="609" t="s">
        <v>528</v>
      </c>
      <c r="F190" s="802">
        <v>60131520</v>
      </c>
      <c r="G190" s="804">
        <v>0</v>
      </c>
      <c r="H190" s="804">
        <v>138284</v>
      </c>
      <c r="I190" s="804">
        <v>255492</v>
      </c>
      <c r="J190" s="804">
        <v>0</v>
      </c>
      <c r="K190" s="804">
        <v>255492</v>
      </c>
      <c r="L190" s="804">
        <v>0</v>
      </c>
      <c r="M190" s="804">
        <v>683122</v>
      </c>
      <c r="N190" s="804">
        <v>132224</v>
      </c>
      <c r="O190" s="804">
        <v>132224</v>
      </c>
      <c r="P190" s="804">
        <v>0</v>
      </c>
      <c r="Q190" s="804">
        <v>0</v>
      </c>
      <c r="R190" s="804">
        <v>58922398</v>
      </c>
      <c r="S190" s="804">
        <v>0.5</v>
      </c>
      <c r="T190" s="804">
        <v>0.49</v>
      </c>
      <c r="U190" s="804">
        <v>0</v>
      </c>
      <c r="V190" s="804">
        <v>0.01</v>
      </c>
      <c r="W190" s="804">
        <v>1</v>
      </c>
      <c r="X190" s="804">
        <v>29461199</v>
      </c>
      <c r="Y190" s="804">
        <v>28871975</v>
      </c>
      <c r="Z190" s="804">
        <v>0</v>
      </c>
      <c r="AA190" s="804">
        <v>589224</v>
      </c>
      <c r="AB190" s="804">
        <v>58922398</v>
      </c>
      <c r="AC190" s="804">
        <v>697190</v>
      </c>
      <c r="AD190" s="804">
        <v>0</v>
      </c>
      <c r="AE190" s="804">
        <v>0</v>
      </c>
      <c r="AF190" s="804">
        <v>0</v>
      </c>
      <c r="AG190" s="804">
        <v>697190</v>
      </c>
      <c r="AH190" s="804">
        <v>28764009</v>
      </c>
      <c r="AI190" s="804">
        <v>28871975</v>
      </c>
      <c r="AJ190" s="804">
        <v>0</v>
      </c>
      <c r="AK190" s="804">
        <v>589224</v>
      </c>
      <c r="AL190" s="804">
        <v>58225208</v>
      </c>
      <c r="AM190" s="804">
        <v>255492</v>
      </c>
      <c r="AN190" s="804">
        <v>255492</v>
      </c>
      <c r="AO190" s="804">
        <v>683122</v>
      </c>
      <c r="AP190" s="804">
        <v>683122</v>
      </c>
      <c r="AQ190" s="804">
        <v>132224</v>
      </c>
      <c r="AR190" s="804">
        <v>0</v>
      </c>
      <c r="AS190" s="804">
        <v>132224</v>
      </c>
      <c r="AT190" s="804">
        <v>0</v>
      </c>
      <c r="AU190" s="804">
        <v>0</v>
      </c>
      <c r="AV190" s="804">
        <v>0</v>
      </c>
      <c r="AW190" s="804">
        <v>0</v>
      </c>
      <c r="AX190" s="804">
        <v>0</v>
      </c>
      <c r="AY190" s="804">
        <v>0</v>
      </c>
      <c r="AZ190" s="804">
        <v>0</v>
      </c>
      <c r="BA190" s="804">
        <v>0</v>
      </c>
      <c r="BB190" s="804">
        <v>0</v>
      </c>
      <c r="BC190" s="804">
        <v>0</v>
      </c>
      <c r="BD190" s="804">
        <v>0</v>
      </c>
      <c r="BE190" s="804">
        <v>0</v>
      </c>
      <c r="BF190" s="804">
        <v>0</v>
      </c>
      <c r="BG190" s="804">
        <v>0</v>
      </c>
      <c r="BH190" s="804">
        <v>697190</v>
      </c>
      <c r="BI190" s="804">
        <v>697190</v>
      </c>
      <c r="BJ190" s="804">
        <v>0.5</v>
      </c>
      <c r="BK190" s="804">
        <v>0.49</v>
      </c>
      <c r="BL190" s="804">
        <v>0</v>
      </c>
      <c r="BM190" s="804">
        <v>0.01</v>
      </c>
      <c r="BN190" s="804">
        <v>1</v>
      </c>
      <c r="BO190" s="804">
        <v>972689</v>
      </c>
      <c r="BP190" s="804">
        <v>953236</v>
      </c>
      <c r="BQ190" s="804">
        <v>0</v>
      </c>
      <c r="BR190" s="804">
        <v>19454</v>
      </c>
      <c r="BS190" s="804">
        <v>1945379</v>
      </c>
      <c r="BT190" s="804">
        <v>0.5</v>
      </c>
      <c r="BU190" s="804">
        <v>0.49</v>
      </c>
      <c r="BV190" s="804">
        <v>0</v>
      </c>
      <c r="BW190" s="804">
        <v>0.01</v>
      </c>
      <c r="BX190" s="804">
        <v>1</v>
      </c>
      <c r="BY190" s="804">
        <v>-327921.20000000298</v>
      </c>
      <c r="BZ190" s="804">
        <v>-321363</v>
      </c>
      <c r="CA190" s="804">
        <v>0</v>
      </c>
      <c r="CB190" s="804">
        <v>-6558</v>
      </c>
      <c r="CC190" s="804">
        <v>-655842.20000000298</v>
      </c>
      <c r="CD190" s="804">
        <v>644769</v>
      </c>
      <c r="CE190" s="804">
        <v>631873</v>
      </c>
      <c r="CF190" s="804">
        <v>0</v>
      </c>
      <c r="CG190" s="804">
        <v>12895</v>
      </c>
      <c r="CH190" s="804">
        <v>1289536.799999997</v>
      </c>
      <c r="CI190" s="804">
        <v>29408778</v>
      </c>
      <c r="CJ190" s="804">
        <v>31271876</v>
      </c>
      <c r="CK190" s="804">
        <v>0</v>
      </c>
      <c r="CL190" s="804">
        <v>602119</v>
      </c>
      <c r="CM190" s="804">
        <v>61282773</v>
      </c>
      <c r="CN190" s="804">
        <v>1217816</v>
      </c>
      <c r="CO190" s="804">
        <v>0</v>
      </c>
      <c r="CP190" s="804">
        <v>23616</v>
      </c>
      <c r="CQ190" s="804">
        <v>1241432</v>
      </c>
      <c r="CR190" s="804">
        <v>2507293</v>
      </c>
      <c r="CS190" s="804">
        <v>0</v>
      </c>
      <c r="CT190" s="804">
        <v>50073</v>
      </c>
      <c r="CU190" s="804">
        <v>2557366</v>
      </c>
      <c r="CV190" s="804">
        <v>149907</v>
      </c>
      <c r="CW190" s="804">
        <v>0</v>
      </c>
      <c r="CX190" s="804">
        <v>3002</v>
      </c>
      <c r="CY190" s="804">
        <v>152909</v>
      </c>
      <c r="CZ190" s="804">
        <v>10478</v>
      </c>
      <c r="DA190" s="804">
        <v>0</v>
      </c>
      <c r="DB190" s="804">
        <v>214</v>
      </c>
      <c r="DC190" s="804">
        <v>10692</v>
      </c>
      <c r="DD190" s="804">
        <v>4855</v>
      </c>
      <c r="DE190" s="804">
        <v>0</v>
      </c>
      <c r="DF190" s="804">
        <v>99</v>
      </c>
      <c r="DG190" s="804">
        <v>4954</v>
      </c>
      <c r="DH190" s="804">
        <v>15992</v>
      </c>
      <c r="DI190" s="804">
        <v>0</v>
      </c>
      <c r="DJ190" s="804">
        <v>326</v>
      </c>
      <c r="DK190" s="804">
        <v>16318</v>
      </c>
      <c r="DL190" s="804">
        <v>4077</v>
      </c>
      <c r="DM190" s="804">
        <v>0</v>
      </c>
      <c r="DN190" s="804">
        <v>83</v>
      </c>
      <c r="DO190" s="804">
        <v>4160</v>
      </c>
      <c r="DP190" s="804">
        <v>0</v>
      </c>
      <c r="DQ190" s="804">
        <v>0</v>
      </c>
      <c r="DR190" s="804">
        <v>0</v>
      </c>
      <c r="DS190" s="804">
        <v>0</v>
      </c>
      <c r="DT190" s="804">
        <v>0</v>
      </c>
      <c r="DU190" s="804">
        <v>0</v>
      </c>
      <c r="DV190" s="804">
        <v>0</v>
      </c>
      <c r="DW190" s="804">
        <v>0</v>
      </c>
      <c r="DX190" s="804">
        <v>997388</v>
      </c>
      <c r="DY190" s="804">
        <v>0</v>
      </c>
      <c r="DZ190" s="804">
        <v>20189</v>
      </c>
      <c r="EA190" s="804">
        <v>1017577</v>
      </c>
      <c r="EB190" s="804">
        <v>4907806</v>
      </c>
      <c r="EC190" s="804">
        <v>0</v>
      </c>
      <c r="ED190" s="804">
        <v>97602</v>
      </c>
      <c r="EE190" s="804">
        <v>5005408</v>
      </c>
      <c r="EF190" s="604" t="s">
        <v>528</v>
      </c>
      <c r="EG190" s="497" t="s">
        <v>524</v>
      </c>
      <c r="EH190" s="630" t="s">
        <v>525</v>
      </c>
      <c r="EI190" s="118" t="s">
        <v>1841</v>
      </c>
    </row>
    <row r="191" spans="1:139" ht="12.75" x14ac:dyDescent="0.2">
      <c r="A191" s="805">
        <v>184</v>
      </c>
      <c r="B191" s="606" t="s">
        <v>251</v>
      </c>
      <c r="C191" s="607" t="s">
        <v>1192</v>
      </c>
      <c r="D191" s="608" t="s">
        <v>1197</v>
      </c>
      <c r="E191" s="609" t="s">
        <v>250</v>
      </c>
      <c r="F191" s="802">
        <v>58873045</v>
      </c>
      <c r="G191" s="804">
        <v>0</v>
      </c>
      <c r="H191" s="804">
        <v>51904</v>
      </c>
      <c r="I191" s="804">
        <v>231034</v>
      </c>
      <c r="J191" s="804">
        <v>0</v>
      </c>
      <c r="K191" s="804">
        <v>231034</v>
      </c>
      <c r="L191" s="804">
        <v>0</v>
      </c>
      <c r="M191" s="804">
        <v>155514</v>
      </c>
      <c r="N191" s="804">
        <v>0</v>
      </c>
      <c r="O191" s="804">
        <v>0</v>
      </c>
      <c r="P191" s="804">
        <v>0</v>
      </c>
      <c r="Q191" s="804">
        <v>0</v>
      </c>
      <c r="R191" s="804">
        <v>58434593</v>
      </c>
      <c r="S191" s="804">
        <v>0.5</v>
      </c>
      <c r="T191" s="804">
        <v>0.49</v>
      </c>
      <c r="U191" s="804">
        <v>0</v>
      </c>
      <c r="V191" s="804">
        <v>0.01</v>
      </c>
      <c r="W191" s="804">
        <v>1</v>
      </c>
      <c r="X191" s="804">
        <v>29217296</v>
      </c>
      <c r="Y191" s="804">
        <v>28632951</v>
      </c>
      <c r="Z191" s="804">
        <v>0</v>
      </c>
      <c r="AA191" s="804">
        <v>584346</v>
      </c>
      <c r="AB191" s="804">
        <v>58434593</v>
      </c>
      <c r="AC191" s="804">
        <v>17000</v>
      </c>
      <c r="AD191" s="804">
        <v>0</v>
      </c>
      <c r="AE191" s="804">
        <v>0</v>
      </c>
      <c r="AF191" s="804">
        <v>0</v>
      </c>
      <c r="AG191" s="804">
        <v>17000</v>
      </c>
      <c r="AH191" s="804">
        <v>29200296</v>
      </c>
      <c r="AI191" s="804">
        <v>28632951</v>
      </c>
      <c r="AJ191" s="804">
        <v>0</v>
      </c>
      <c r="AK191" s="804">
        <v>584346</v>
      </c>
      <c r="AL191" s="804">
        <v>58417593</v>
      </c>
      <c r="AM191" s="804">
        <v>231034</v>
      </c>
      <c r="AN191" s="804">
        <v>231034</v>
      </c>
      <c r="AO191" s="804">
        <v>155514</v>
      </c>
      <c r="AP191" s="804">
        <v>155514</v>
      </c>
      <c r="AQ191" s="804">
        <v>0</v>
      </c>
      <c r="AR191" s="804">
        <v>0</v>
      </c>
      <c r="AS191" s="804">
        <v>0</v>
      </c>
      <c r="AT191" s="804">
        <v>0</v>
      </c>
      <c r="AU191" s="804">
        <v>0</v>
      </c>
      <c r="AV191" s="804">
        <v>0</v>
      </c>
      <c r="AW191" s="804">
        <v>0</v>
      </c>
      <c r="AX191" s="804">
        <v>17000</v>
      </c>
      <c r="AY191" s="804">
        <v>0</v>
      </c>
      <c r="AZ191" s="804">
        <v>0</v>
      </c>
      <c r="BA191" s="804">
        <v>17000</v>
      </c>
      <c r="BB191" s="804">
        <v>0</v>
      </c>
      <c r="BC191" s="804">
        <v>0</v>
      </c>
      <c r="BD191" s="804">
        <v>0</v>
      </c>
      <c r="BE191" s="804">
        <v>0</v>
      </c>
      <c r="BF191" s="804">
        <v>0</v>
      </c>
      <c r="BG191" s="804">
        <v>0</v>
      </c>
      <c r="BH191" s="804">
        <v>0</v>
      </c>
      <c r="BI191" s="804">
        <v>0</v>
      </c>
      <c r="BJ191" s="804">
        <v>0.25</v>
      </c>
      <c r="BK191" s="804">
        <v>0.74</v>
      </c>
      <c r="BL191" s="804">
        <v>0</v>
      </c>
      <c r="BM191" s="804">
        <v>0.01</v>
      </c>
      <c r="BN191" s="804">
        <v>1</v>
      </c>
      <c r="BO191" s="804">
        <v>-23162</v>
      </c>
      <c r="BP191" s="804">
        <v>-68559</v>
      </c>
      <c r="BQ191" s="804">
        <v>0</v>
      </c>
      <c r="BR191" s="804">
        <v>-926</v>
      </c>
      <c r="BS191" s="804">
        <v>-92647</v>
      </c>
      <c r="BT191" s="804">
        <v>0.5</v>
      </c>
      <c r="BU191" s="804">
        <v>0.49</v>
      </c>
      <c r="BV191" s="804">
        <v>0</v>
      </c>
      <c r="BW191" s="804">
        <v>0.01</v>
      </c>
      <c r="BX191" s="804">
        <v>1</v>
      </c>
      <c r="BY191" s="804">
        <v>-622208</v>
      </c>
      <c r="BZ191" s="804">
        <v>-609764</v>
      </c>
      <c r="CA191" s="804">
        <v>0</v>
      </c>
      <c r="CB191" s="804">
        <v>-12444</v>
      </c>
      <c r="CC191" s="804">
        <v>-1244416</v>
      </c>
      <c r="CD191" s="804">
        <v>-645370</v>
      </c>
      <c r="CE191" s="804">
        <v>-678323</v>
      </c>
      <c r="CF191" s="804">
        <v>0</v>
      </c>
      <c r="CG191" s="804">
        <v>-13370</v>
      </c>
      <c r="CH191" s="804">
        <v>-1337063</v>
      </c>
      <c r="CI191" s="804">
        <v>28554926</v>
      </c>
      <c r="CJ191" s="804">
        <v>28358176</v>
      </c>
      <c r="CK191" s="804">
        <v>0</v>
      </c>
      <c r="CL191" s="804">
        <v>570976</v>
      </c>
      <c r="CM191" s="804">
        <v>57484078</v>
      </c>
      <c r="CN191" s="804">
        <v>1154528</v>
      </c>
      <c r="CO191" s="804">
        <v>0</v>
      </c>
      <c r="CP191" s="804">
        <v>23421</v>
      </c>
      <c r="CQ191" s="804">
        <v>1177949</v>
      </c>
      <c r="CR191" s="804">
        <v>2325034</v>
      </c>
      <c r="CS191" s="804">
        <v>0</v>
      </c>
      <c r="CT191" s="804">
        <v>47211</v>
      </c>
      <c r="CU191" s="804">
        <v>2372245</v>
      </c>
      <c r="CV191" s="804">
        <v>113837</v>
      </c>
      <c r="CW191" s="804">
        <v>0</v>
      </c>
      <c r="CX191" s="804">
        <v>2310</v>
      </c>
      <c r="CY191" s="804">
        <v>116147</v>
      </c>
      <c r="CZ191" s="804">
        <v>7481</v>
      </c>
      <c r="DA191" s="804">
        <v>0</v>
      </c>
      <c r="DB191" s="804">
        <v>153</v>
      </c>
      <c r="DC191" s="804">
        <v>7634</v>
      </c>
      <c r="DD191" s="804">
        <v>0</v>
      </c>
      <c r="DE191" s="804">
        <v>0</v>
      </c>
      <c r="DF191" s="804">
        <v>0</v>
      </c>
      <c r="DG191" s="804">
        <v>0</v>
      </c>
      <c r="DH191" s="804">
        <v>20799</v>
      </c>
      <c r="DI191" s="804">
        <v>0</v>
      </c>
      <c r="DJ191" s="804">
        <v>424</v>
      </c>
      <c r="DK191" s="804">
        <v>21223</v>
      </c>
      <c r="DL191" s="804">
        <v>4513</v>
      </c>
      <c r="DM191" s="804">
        <v>0</v>
      </c>
      <c r="DN191" s="804">
        <v>92</v>
      </c>
      <c r="DO191" s="804">
        <v>4605</v>
      </c>
      <c r="DP191" s="804">
        <v>0</v>
      </c>
      <c r="DQ191" s="804">
        <v>0</v>
      </c>
      <c r="DR191" s="804">
        <v>0</v>
      </c>
      <c r="DS191" s="804">
        <v>0</v>
      </c>
      <c r="DT191" s="804">
        <v>0</v>
      </c>
      <c r="DU191" s="804">
        <v>0</v>
      </c>
      <c r="DV191" s="804">
        <v>0</v>
      </c>
      <c r="DW191" s="804">
        <v>0</v>
      </c>
      <c r="DX191" s="804">
        <v>468314</v>
      </c>
      <c r="DY191" s="804">
        <v>0</v>
      </c>
      <c r="DZ191" s="804">
        <v>9557</v>
      </c>
      <c r="EA191" s="804">
        <v>477871</v>
      </c>
      <c r="EB191" s="804">
        <v>4094506</v>
      </c>
      <c r="EC191" s="804">
        <v>0</v>
      </c>
      <c r="ED191" s="804">
        <v>83168</v>
      </c>
      <c r="EE191" s="804">
        <v>4177674</v>
      </c>
      <c r="EF191" s="604" t="s">
        <v>250</v>
      </c>
      <c r="EG191" s="497" t="s">
        <v>616</v>
      </c>
      <c r="EH191" s="630" t="s">
        <v>620</v>
      </c>
      <c r="EI191" s="118" t="s">
        <v>1842</v>
      </c>
    </row>
    <row r="192" spans="1:139" ht="14.25" x14ac:dyDescent="0.2">
      <c r="A192" s="805">
        <v>185</v>
      </c>
      <c r="B192" s="606" t="s">
        <v>253</v>
      </c>
      <c r="C192" s="607" t="s">
        <v>1185</v>
      </c>
      <c r="D192" s="608" t="s">
        <v>1195</v>
      </c>
      <c r="E192" s="609" t="s">
        <v>1986</v>
      </c>
      <c r="F192" s="802">
        <v>51784981</v>
      </c>
      <c r="G192" s="804">
        <v>69454</v>
      </c>
      <c r="H192" s="804">
        <v>0</v>
      </c>
      <c r="I192" s="804">
        <v>110539</v>
      </c>
      <c r="J192" s="804">
        <v>0</v>
      </c>
      <c r="K192" s="804">
        <v>110539</v>
      </c>
      <c r="L192" s="804">
        <v>0</v>
      </c>
      <c r="M192" s="804">
        <v>0</v>
      </c>
      <c r="N192" s="804">
        <v>0</v>
      </c>
      <c r="O192" s="804">
        <v>0</v>
      </c>
      <c r="P192" s="804">
        <v>0</v>
      </c>
      <c r="Q192" s="804">
        <v>0</v>
      </c>
      <c r="R192" s="804">
        <v>51743896</v>
      </c>
      <c r="S192" s="804">
        <v>0.5</v>
      </c>
      <c r="T192" s="804">
        <v>0.4</v>
      </c>
      <c r="U192" s="804">
        <v>0.1</v>
      </c>
      <c r="V192" s="804">
        <v>0</v>
      </c>
      <c r="W192" s="804">
        <v>1</v>
      </c>
      <c r="X192" s="804">
        <v>25871948</v>
      </c>
      <c r="Y192" s="804">
        <v>20697558</v>
      </c>
      <c r="Z192" s="804">
        <v>5174390</v>
      </c>
      <c r="AA192" s="804">
        <v>0</v>
      </c>
      <c r="AB192" s="804">
        <v>51743896</v>
      </c>
      <c r="AC192" s="804">
        <v>0</v>
      </c>
      <c r="AD192" s="804">
        <v>0</v>
      </c>
      <c r="AE192" s="804">
        <v>0</v>
      </c>
      <c r="AF192" s="804">
        <v>0</v>
      </c>
      <c r="AG192" s="804">
        <v>0</v>
      </c>
      <c r="AH192" s="804">
        <v>25871948</v>
      </c>
      <c r="AI192" s="804">
        <v>20697558</v>
      </c>
      <c r="AJ192" s="804">
        <v>5174390</v>
      </c>
      <c r="AK192" s="804">
        <v>0</v>
      </c>
      <c r="AL192" s="804">
        <v>51743896</v>
      </c>
      <c r="AM192" s="804">
        <v>110539</v>
      </c>
      <c r="AN192" s="804">
        <v>110539</v>
      </c>
      <c r="AO192" s="804">
        <v>0</v>
      </c>
      <c r="AP192" s="804">
        <v>0</v>
      </c>
      <c r="AQ192" s="804">
        <v>0</v>
      </c>
      <c r="AR192" s="804">
        <v>0</v>
      </c>
      <c r="AS192" s="804">
        <v>0</v>
      </c>
      <c r="AT192" s="804">
        <v>0</v>
      </c>
      <c r="AU192" s="804">
        <v>0</v>
      </c>
      <c r="AV192" s="804">
        <v>0</v>
      </c>
      <c r="AW192" s="804">
        <v>0</v>
      </c>
      <c r="AX192" s="804">
        <v>0</v>
      </c>
      <c r="AY192" s="804">
        <v>0</v>
      </c>
      <c r="AZ192" s="804">
        <v>0</v>
      </c>
      <c r="BA192" s="804">
        <v>0</v>
      </c>
      <c r="BB192" s="804">
        <v>0</v>
      </c>
      <c r="BC192" s="804">
        <v>0</v>
      </c>
      <c r="BD192" s="804">
        <v>0</v>
      </c>
      <c r="BE192" s="804">
        <v>0</v>
      </c>
      <c r="BF192" s="804">
        <v>0</v>
      </c>
      <c r="BG192" s="804">
        <v>0</v>
      </c>
      <c r="BH192" s="804">
        <v>0</v>
      </c>
      <c r="BI192" s="804">
        <v>0</v>
      </c>
      <c r="BJ192" s="804">
        <v>0.5</v>
      </c>
      <c r="BK192" s="804">
        <v>0.4</v>
      </c>
      <c r="BL192" s="804">
        <v>0.1</v>
      </c>
      <c r="BM192" s="804">
        <v>0</v>
      </c>
      <c r="BN192" s="804">
        <v>1</v>
      </c>
      <c r="BO192" s="804">
        <v>-359886</v>
      </c>
      <c r="BP192" s="804">
        <v>-287908</v>
      </c>
      <c r="BQ192" s="804">
        <v>-71977</v>
      </c>
      <c r="BR192" s="804">
        <v>0</v>
      </c>
      <c r="BS192" s="804">
        <v>-719771</v>
      </c>
      <c r="BT192" s="804">
        <v>0.5</v>
      </c>
      <c r="BU192" s="804">
        <v>0.4</v>
      </c>
      <c r="BV192" s="804">
        <v>0.1</v>
      </c>
      <c r="BW192" s="804">
        <v>0</v>
      </c>
      <c r="BX192" s="804">
        <v>1</v>
      </c>
      <c r="BY192" s="804">
        <v>3264020</v>
      </c>
      <c r="BZ192" s="804">
        <v>2611216</v>
      </c>
      <c r="CA192" s="804">
        <v>652804</v>
      </c>
      <c r="CB192" s="804">
        <v>0</v>
      </c>
      <c r="CC192" s="804">
        <v>6528040</v>
      </c>
      <c r="CD192" s="804">
        <v>2904134</v>
      </c>
      <c r="CE192" s="804">
        <v>2323308</v>
      </c>
      <c r="CF192" s="804">
        <v>580827</v>
      </c>
      <c r="CG192" s="804">
        <v>0</v>
      </c>
      <c r="CH192" s="804">
        <v>5808269</v>
      </c>
      <c r="CI192" s="804">
        <v>28776082</v>
      </c>
      <c r="CJ192" s="804">
        <v>23131405</v>
      </c>
      <c r="CK192" s="804">
        <v>5755217</v>
      </c>
      <c r="CL192" s="804">
        <v>0</v>
      </c>
      <c r="CM192" s="804">
        <v>57662704</v>
      </c>
      <c r="CN192" s="804">
        <v>829561</v>
      </c>
      <c r="CO192" s="804">
        <v>207390</v>
      </c>
      <c r="CP192" s="804">
        <v>0</v>
      </c>
      <c r="CQ192" s="804">
        <v>1036951</v>
      </c>
      <c r="CR192" s="804">
        <v>753710</v>
      </c>
      <c r="CS192" s="804">
        <v>188427</v>
      </c>
      <c r="CT192" s="804">
        <v>0</v>
      </c>
      <c r="CU192" s="804">
        <v>942137</v>
      </c>
      <c r="CV192" s="804">
        <v>47041</v>
      </c>
      <c r="CW192" s="804">
        <v>11760</v>
      </c>
      <c r="CX192" s="804">
        <v>0</v>
      </c>
      <c r="CY192" s="804">
        <v>58801</v>
      </c>
      <c r="CZ192" s="804">
        <v>0</v>
      </c>
      <c r="DA192" s="804">
        <v>0</v>
      </c>
      <c r="DB192" s="804">
        <v>0</v>
      </c>
      <c r="DC192" s="804">
        <v>0</v>
      </c>
      <c r="DD192" s="804">
        <v>5486</v>
      </c>
      <c r="DE192" s="804">
        <v>1372</v>
      </c>
      <c r="DF192" s="804">
        <v>0</v>
      </c>
      <c r="DG192" s="804">
        <v>6858</v>
      </c>
      <c r="DH192" s="804">
        <v>6116</v>
      </c>
      <c r="DI192" s="804">
        <v>1529</v>
      </c>
      <c r="DJ192" s="804">
        <v>0</v>
      </c>
      <c r="DK192" s="804">
        <v>7645</v>
      </c>
      <c r="DL192" s="804">
        <v>1664</v>
      </c>
      <c r="DM192" s="804">
        <v>416</v>
      </c>
      <c r="DN192" s="804">
        <v>0</v>
      </c>
      <c r="DO192" s="804">
        <v>2080</v>
      </c>
      <c r="DP192" s="804">
        <v>0</v>
      </c>
      <c r="DQ192" s="804">
        <v>0</v>
      </c>
      <c r="DR192" s="804">
        <v>0</v>
      </c>
      <c r="DS192" s="804">
        <v>0</v>
      </c>
      <c r="DT192" s="804">
        <v>0</v>
      </c>
      <c r="DU192" s="804">
        <v>0</v>
      </c>
      <c r="DV192" s="804">
        <v>0</v>
      </c>
      <c r="DW192" s="804">
        <v>0</v>
      </c>
      <c r="DX192" s="804">
        <v>150592</v>
      </c>
      <c r="DY192" s="804">
        <v>37648</v>
      </c>
      <c r="DZ192" s="804">
        <v>0</v>
      </c>
      <c r="EA192" s="804">
        <v>188240</v>
      </c>
      <c r="EB192" s="804">
        <v>1794170</v>
      </c>
      <c r="EC192" s="804">
        <v>448542</v>
      </c>
      <c r="ED192" s="804">
        <v>0</v>
      </c>
      <c r="EE192" s="804">
        <v>2242712</v>
      </c>
      <c r="EF192" s="604" t="s">
        <v>252</v>
      </c>
      <c r="EG192" s="497" t="s">
        <v>612</v>
      </c>
      <c r="EH192" s="630" t="s">
        <v>551</v>
      </c>
      <c r="EI192" s="118" t="s">
        <v>1843</v>
      </c>
    </row>
    <row r="193" spans="1:139" ht="12.75" x14ac:dyDescent="0.2">
      <c r="A193" s="805">
        <v>186</v>
      </c>
      <c r="B193" s="606" t="s">
        <v>259</v>
      </c>
      <c r="C193" s="607" t="s">
        <v>1185</v>
      </c>
      <c r="D193" s="608" t="s">
        <v>1188</v>
      </c>
      <c r="E193" s="609" t="s">
        <v>258</v>
      </c>
      <c r="F193" s="802">
        <v>69151427</v>
      </c>
      <c r="G193" s="804">
        <v>260605</v>
      </c>
      <c r="H193" s="804">
        <v>0</v>
      </c>
      <c r="I193" s="804">
        <v>149558</v>
      </c>
      <c r="J193" s="804">
        <v>0</v>
      </c>
      <c r="K193" s="804">
        <v>149558</v>
      </c>
      <c r="L193" s="804">
        <v>0</v>
      </c>
      <c r="M193" s="804">
        <v>0</v>
      </c>
      <c r="N193" s="804">
        <v>173997</v>
      </c>
      <c r="O193" s="804">
        <v>173997</v>
      </c>
      <c r="P193" s="804">
        <v>0</v>
      </c>
      <c r="Q193" s="804">
        <v>0</v>
      </c>
      <c r="R193" s="804">
        <v>69088477</v>
      </c>
      <c r="S193" s="804">
        <v>0.5</v>
      </c>
      <c r="T193" s="804">
        <v>0.4</v>
      </c>
      <c r="U193" s="804">
        <v>0.09</v>
      </c>
      <c r="V193" s="804">
        <v>0.01</v>
      </c>
      <c r="W193" s="804">
        <v>1</v>
      </c>
      <c r="X193" s="804">
        <v>34544238</v>
      </c>
      <c r="Y193" s="804">
        <v>27635391</v>
      </c>
      <c r="Z193" s="804">
        <v>6217963</v>
      </c>
      <c r="AA193" s="804">
        <v>690885</v>
      </c>
      <c r="AB193" s="804">
        <v>69088477</v>
      </c>
      <c r="AC193" s="804">
        <v>0</v>
      </c>
      <c r="AD193" s="804">
        <v>0</v>
      </c>
      <c r="AE193" s="804">
        <v>0</v>
      </c>
      <c r="AF193" s="804">
        <v>0</v>
      </c>
      <c r="AG193" s="804">
        <v>0</v>
      </c>
      <c r="AH193" s="804">
        <v>34544238</v>
      </c>
      <c r="AI193" s="804">
        <v>27635391</v>
      </c>
      <c r="AJ193" s="804">
        <v>6217963</v>
      </c>
      <c r="AK193" s="804">
        <v>690885</v>
      </c>
      <c r="AL193" s="804">
        <v>69088477</v>
      </c>
      <c r="AM193" s="804">
        <v>149558</v>
      </c>
      <c r="AN193" s="804">
        <v>149558</v>
      </c>
      <c r="AO193" s="804">
        <v>0</v>
      </c>
      <c r="AP193" s="804">
        <v>0</v>
      </c>
      <c r="AQ193" s="804">
        <v>173997</v>
      </c>
      <c r="AR193" s="804">
        <v>0</v>
      </c>
      <c r="AS193" s="804">
        <v>173997</v>
      </c>
      <c r="AT193" s="804">
        <v>0</v>
      </c>
      <c r="AU193" s="804">
        <v>0</v>
      </c>
      <c r="AV193" s="804">
        <v>0</v>
      </c>
      <c r="AW193" s="804">
        <v>0</v>
      </c>
      <c r="AX193" s="804">
        <v>0</v>
      </c>
      <c r="AY193" s="804">
        <v>0</v>
      </c>
      <c r="AZ193" s="804">
        <v>0</v>
      </c>
      <c r="BA193" s="804">
        <v>0</v>
      </c>
      <c r="BB193" s="804">
        <v>0</v>
      </c>
      <c r="BC193" s="804">
        <v>0</v>
      </c>
      <c r="BD193" s="804">
        <v>0</v>
      </c>
      <c r="BE193" s="804">
        <v>0</v>
      </c>
      <c r="BF193" s="804">
        <v>0</v>
      </c>
      <c r="BG193" s="804">
        <v>0</v>
      </c>
      <c r="BH193" s="804">
        <v>0</v>
      </c>
      <c r="BI193" s="804">
        <v>0</v>
      </c>
      <c r="BJ193" s="804">
        <v>0.25</v>
      </c>
      <c r="BK193" s="804">
        <v>0.375</v>
      </c>
      <c r="BL193" s="804">
        <v>0.36499999999999999</v>
      </c>
      <c r="BM193" s="804">
        <v>0.01</v>
      </c>
      <c r="BN193" s="804">
        <v>1</v>
      </c>
      <c r="BO193" s="804">
        <v>-166537.99999999814</v>
      </c>
      <c r="BP193" s="804">
        <v>-249806</v>
      </c>
      <c r="BQ193" s="804">
        <v>-243144</v>
      </c>
      <c r="BR193" s="804">
        <v>-6661</v>
      </c>
      <c r="BS193" s="804">
        <v>-666148.99999999814</v>
      </c>
      <c r="BT193" s="804">
        <v>0.5</v>
      </c>
      <c r="BU193" s="804">
        <v>0.4</v>
      </c>
      <c r="BV193" s="804">
        <v>0.09</v>
      </c>
      <c r="BW193" s="804">
        <v>0.01</v>
      </c>
      <c r="BX193" s="804">
        <v>1</v>
      </c>
      <c r="BY193" s="804">
        <v>-203109.21000000276</v>
      </c>
      <c r="BZ193" s="804">
        <v>-162486</v>
      </c>
      <c r="CA193" s="804">
        <v>-36559</v>
      </c>
      <c r="CB193" s="804">
        <v>-4062</v>
      </c>
      <c r="CC193" s="804">
        <v>-406216.21000000276</v>
      </c>
      <c r="CD193" s="804">
        <v>-369647</v>
      </c>
      <c r="CE193" s="804">
        <v>-412292</v>
      </c>
      <c r="CF193" s="804">
        <v>-279703</v>
      </c>
      <c r="CG193" s="804">
        <v>-10723</v>
      </c>
      <c r="CH193" s="804">
        <v>-1072365.2100000009</v>
      </c>
      <c r="CI193" s="804">
        <v>34174591</v>
      </c>
      <c r="CJ193" s="804">
        <v>27546654</v>
      </c>
      <c r="CK193" s="804">
        <v>5938260</v>
      </c>
      <c r="CL193" s="804">
        <v>680162</v>
      </c>
      <c r="CM193" s="804">
        <v>68339667</v>
      </c>
      <c r="CN193" s="804">
        <v>1114605</v>
      </c>
      <c r="CO193" s="804">
        <v>249217</v>
      </c>
      <c r="CP193" s="804">
        <v>27691</v>
      </c>
      <c r="CQ193" s="804">
        <v>1391513</v>
      </c>
      <c r="CR193" s="804">
        <v>954713</v>
      </c>
      <c r="CS193" s="804">
        <v>214810</v>
      </c>
      <c r="CT193" s="804">
        <v>23868</v>
      </c>
      <c r="CU193" s="804">
        <v>1193391</v>
      </c>
      <c r="CV193" s="804">
        <v>85027</v>
      </c>
      <c r="CW193" s="804">
        <v>19131</v>
      </c>
      <c r="CX193" s="804">
        <v>2126</v>
      </c>
      <c r="CY193" s="804">
        <v>106284</v>
      </c>
      <c r="CZ193" s="804">
        <v>0</v>
      </c>
      <c r="DA193" s="804">
        <v>0</v>
      </c>
      <c r="DB193" s="804">
        <v>0</v>
      </c>
      <c r="DC193" s="804">
        <v>0</v>
      </c>
      <c r="DD193" s="804">
        <v>3003</v>
      </c>
      <c r="DE193" s="804">
        <v>675</v>
      </c>
      <c r="DF193" s="804">
        <v>75</v>
      </c>
      <c r="DG193" s="804">
        <v>3753</v>
      </c>
      <c r="DH193" s="804">
        <v>13416</v>
      </c>
      <c r="DI193" s="804">
        <v>3019</v>
      </c>
      <c r="DJ193" s="804">
        <v>335</v>
      </c>
      <c r="DK193" s="804">
        <v>16770</v>
      </c>
      <c r="DL193" s="804">
        <v>3487</v>
      </c>
      <c r="DM193" s="804">
        <v>785</v>
      </c>
      <c r="DN193" s="804">
        <v>87</v>
      </c>
      <c r="DO193" s="804">
        <v>4359</v>
      </c>
      <c r="DP193" s="804">
        <v>0</v>
      </c>
      <c r="DQ193" s="804">
        <v>0</v>
      </c>
      <c r="DR193" s="804">
        <v>0</v>
      </c>
      <c r="DS193" s="804">
        <v>0</v>
      </c>
      <c r="DT193" s="804">
        <v>0</v>
      </c>
      <c r="DU193" s="804">
        <v>0</v>
      </c>
      <c r="DV193" s="804">
        <v>0</v>
      </c>
      <c r="DW193" s="804">
        <v>0</v>
      </c>
      <c r="DX193" s="804">
        <v>144204</v>
      </c>
      <c r="DY193" s="804">
        <v>32446</v>
      </c>
      <c r="DZ193" s="804">
        <v>3605</v>
      </c>
      <c r="EA193" s="804">
        <v>180255</v>
      </c>
      <c r="EB193" s="804">
        <v>2318455</v>
      </c>
      <c r="EC193" s="804">
        <v>520083</v>
      </c>
      <c r="ED193" s="804">
        <v>57787</v>
      </c>
      <c r="EE193" s="804">
        <v>2896325</v>
      </c>
      <c r="EF193" s="604" t="s">
        <v>258</v>
      </c>
      <c r="EG193" s="497" t="s">
        <v>594</v>
      </c>
      <c r="EH193" s="630" t="s">
        <v>592</v>
      </c>
      <c r="EI193" s="118" t="s">
        <v>1844</v>
      </c>
    </row>
    <row r="194" spans="1:139" ht="12.75" x14ac:dyDescent="0.2">
      <c r="A194" s="805">
        <v>187</v>
      </c>
      <c r="B194" s="606" t="s">
        <v>261</v>
      </c>
      <c r="C194" s="607" t="s">
        <v>1185</v>
      </c>
      <c r="D194" s="608" t="s">
        <v>1188</v>
      </c>
      <c r="E194" s="609" t="s">
        <v>260</v>
      </c>
      <c r="F194" s="802">
        <v>103414408</v>
      </c>
      <c r="G194" s="804">
        <v>0</v>
      </c>
      <c r="H194" s="804">
        <v>235796</v>
      </c>
      <c r="I194" s="804">
        <v>277624</v>
      </c>
      <c r="J194" s="804">
        <v>0</v>
      </c>
      <c r="K194" s="804">
        <v>277624</v>
      </c>
      <c r="L194" s="804">
        <v>0</v>
      </c>
      <c r="M194" s="804">
        <v>1589381</v>
      </c>
      <c r="N194" s="804">
        <v>0</v>
      </c>
      <c r="O194" s="804">
        <v>0</v>
      </c>
      <c r="P194" s="804">
        <v>0</v>
      </c>
      <c r="Q194" s="804">
        <v>0</v>
      </c>
      <c r="R194" s="804">
        <v>101311607</v>
      </c>
      <c r="S194" s="804">
        <v>0.5</v>
      </c>
      <c r="T194" s="804">
        <v>0.4</v>
      </c>
      <c r="U194" s="804">
        <v>0.09</v>
      </c>
      <c r="V194" s="804">
        <v>0.01</v>
      </c>
      <c r="W194" s="804">
        <v>1</v>
      </c>
      <c r="X194" s="804">
        <v>50655803</v>
      </c>
      <c r="Y194" s="804">
        <v>40524643</v>
      </c>
      <c r="Z194" s="804">
        <v>9118045</v>
      </c>
      <c r="AA194" s="804">
        <v>1013116</v>
      </c>
      <c r="AB194" s="804">
        <v>101311607</v>
      </c>
      <c r="AC194" s="804">
        <v>388828</v>
      </c>
      <c r="AD194" s="804">
        <v>0</v>
      </c>
      <c r="AE194" s="804">
        <v>0</v>
      </c>
      <c r="AF194" s="804">
        <v>0</v>
      </c>
      <c r="AG194" s="804">
        <v>388828</v>
      </c>
      <c r="AH194" s="804">
        <v>50266975</v>
      </c>
      <c r="AI194" s="804">
        <v>40524643</v>
      </c>
      <c r="AJ194" s="804">
        <v>9118045</v>
      </c>
      <c r="AK194" s="804">
        <v>1013116</v>
      </c>
      <c r="AL194" s="804">
        <v>100922779</v>
      </c>
      <c r="AM194" s="804">
        <v>277624</v>
      </c>
      <c r="AN194" s="804">
        <v>277624</v>
      </c>
      <c r="AO194" s="804">
        <v>1589381</v>
      </c>
      <c r="AP194" s="804">
        <v>1589381</v>
      </c>
      <c r="AQ194" s="804">
        <v>0</v>
      </c>
      <c r="AR194" s="804">
        <v>0</v>
      </c>
      <c r="AS194" s="804">
        <v>0</v>
      </c>
      <c r="AT194" s="804">
        <v>0</v>
      </c>
      <c r="AU194" s="804">
        <v>0</v>
      </c>
      <c r="AV194" s="804">
        <v>0</v>
      </c>
      <c r="AW194" s="804">
        <v>0</v>
      </c>
      <c r="AX194" s="804">
        <v>388828</v>
      </c>
      <c r="AY194" s="804">
        <v>0</v>
      </c>
      <c r="AZ194" s="804">
        <v>0</v>
      </c>
      <c r="BA194" s="804">
        <v>388828</v>
      </c>
      <c r="BB194" s="804">
        <v>0</v>
      </c>
      <c r="BC194" s="804">
        <v>0</v>
      </c>
      <c r="BD194" s="804">
        <v>0</v>
      </c>
      <c r="BE194" s="804">
        <v>0</v>
      </c>
      <c r="BF194" s="804">
        <v>0</v>
      </c>
      <c r="BG194" s="804">
        <v>0</v>
      </c>
      <c r="BH194" s="804">
        <v>0</v>
      </c>
      <c r="BI194" s="804">
        <v>0</v>
      </c>
      <c r="BJ194" s="804">
        <v>0.25</v>
      </c>
      <c r="BK194" s="804">
        <v>0.4</v>
      </c>
      <c r="BL194" s="804">
        <v>0.33999999999999997</v>
      </c>
      <c r="BM194" s="804">
        <v>0.01</v>
      </c>
      <c r="BN194" s="804">
        <v>1</v>
      </c>
      <c r="BO194" s="804">
        <v>-342727</v>
      </c>
      <c r="BP194" s="804">
        <v>-548363</v>
      </c>
      <c r="BQ194" s="804">
        <v>-466109</v>
      </c>
      <c r="BR194" s="804">
        <v>-13709</v>
      </c>
      <c r="BS194" s="804">
        <v>-1370908</v>
      </c>
      <c r="BT194" s="804">
        <v>0.5</v>
      </c>
      <c r="BU194" s="804">
        <v>0.4</v>
      </c>
      <c r="BV194" s="804">
        <v>0.1</v>
      </c>
      <c r="BW194" s="804">
        <v>0</v>
      </c>
      <c r="BX194" s="804">
        <v>1</v>
      </c>
      <c r="BY194" s="804">
        <v>678566</v>
      </c>
      <c r="BZ194" s="804">
        <v>542852</v>
      </c>
      <c r="CA194" s="804">
        <v>135713</v>
      </c>
      <c r="CB194" s="804">
        <v>0</v>
      </c>
      <c r="CC194" s="804">
        <v>1357131</v>
      </c>
      <c r="CD194" s="804">
        <v>335839</v>
      </c>
      <c r="CE194" s="804">
        <v>-5511</v>
      </c>
      <c r="CF194" s="804">
        <v>-330396</v>
      </c>
      <c r="CG194" s="804">
        <v>-13709</v>
      </c>
      <c r="CH194" s="804">
        <v>-13777</v>
      </c>
      <c r="CI194" s="804">
        <v>50602814</v>
      </c>
      <c r="CJ194" s="804">
        <v>42774965</v>
      </c>
      <c r="CK194" s="804">
        <v>8787649</v>
      </c>
      <c r="CL194" s="804">
        <v>999407</v>
      </c>
      <c r="CM194" s="804">
        <v>103164835</v>
      </c>
      <c r="CN194" s="804">
        <v>1703521</v>
      </c>
      <c r="CO194" s="804">
        <v>365453</v>
      </c>
      <c r="CP194" s="804">
        <v>40606</v>
      </c>
      <c r="CQ194" s="804">
        <v>2109580</v>
      </c>
      <c r="CR194" s="804">
        <v>1770380</v>
      </c>
      <c r="CS194" s="804">
        <v>377624</v>
      </c>
      <c r="CT194" s="804">
        <v>41958</v>
      </c>
      <c r="CU194" s="804">
        <v>2189962</v>
      </c>
      <c r="CV194" s="804">
        <v>173361</v>
      </c>
      <c r="CW194" s="804">
        <v>34073</v>
      </c>
      <c r="CX194" s="804">
        <v>3786</v>
      </c>
      <c r="CY194" s="804">
        <v>211220</v>
      </c>
      <c r="CZ194" s="804">
        <v>0</v>
      </c>
      <c r="DA194" s="804">
        <v>0</v>
      </c>
      <c r="DB194" s="804">
        <v>0</v>
      </c>
      <c r="DC194" s="804">
        <v>0</v>
      </c>
      <c r="DD194" s="804">
        <v>0</v>
      </c>
      <c r="DE194" s="804">
        <v>0</v>
      </c>
      <c r="DF194" s="804">
        <v>0</v>
      </c>
      <c r="DG194" s="804">
        <v>0</v>
      </c>
      <c r="DH194" s="804">
        <v>3742</v>
      </c>
      <c r="DI194" s="804">
        <v>842</v>
      </c>
      <c r="DJ194" s="804">
        <v>94</v>
      </c>
      <c r="DK194" s="804">
        <v>4678</v>
      </c>
      <c r="DL194" s="804">
        <v>2080</v>
      </c>
      <c r="DM194" s="804">
        <v>468</v>
      </c>
      <c r="DN194" s="804">
        <v>52</v>
      </c>
      <c r="DO194" s="804">
        <v>2600</v>
      </c>
      <c r="DP194" s="804">
        <v>0</v>
      </c>
      <c r="DQ194" s="804">
        <v>0</v>
      </c>
      <c r="DR194" s="804">
        <v>0</v>
      </c>
      <c r="DS194" s="804">
        <v>0</v>
      </c>
      <c r="DT194" s="804">
        <v>0</v>
      </c>
      <c r="DU194" s="804">
        <v>0</v>
      </c>
      <c r="DV194" s="804">
        <v>0</v>
      </c>
      <c r="DW194" s="804">
        <v>0</v>
      </c>
      <c r="DX194" s="804">
        <v>693617</v>
      </c>
      <c r="DY194" s="804">
        <v>146988</v>
      </c>
      <c r="DZ194" s="804">
        <v>16332</v>
      </c>
      <c r="EA194" s="804">
        <v>856937</v>
      </c>
      <c r="EB194" s="804">
        <v>4346701</v>
      </c>
      <c r="EC194" s="804">
        <v>925448</v>
      </c>
      <c r="ED194" s="804">
        <v>102828</v>
      </c>
      <c r="EE194" s="804">
        <v>5374977</v>
      </c>
      <c r="EF194" s="604" t="s">
        <v>260</v>
      </c>
      <c r="EG194" s="497" t="s">
        <v>600</v>
      </c>
      <c r="EH194" s="630" t="s">
        <v>551</v>
      </c>
      <c r="EI194" s="118" t="s">
        <v>1845</v>
      </c>
    </row>
    <row r="195" spans="1:139" ht="12.75" x14ac:dyDescent="0.2">
      <c r="A195" s="805">
        <v>188</v>
      </c>
      <c r="B195" s="606" t="s">
        <v>263</v>
      </c>
      <c r="C195" s="607" t="s">
        <v>524</v>
      </c>
      <c r="D195" s="608" t="s">
        <v>1197</v>
      </c>
      <c r="E195" s="609" t="s">
        <v>262</v>
      </c>
      <c r="F195" s="802">
        <v>83257840</v>
      </c>
      <c r="G195" s="804">
        <v>1288501</v>
      </c>
      <c r="H195" s="804">
        <v>0</v>
      </c>
      <c r="I195" s="804">
        <v>478902</v>
      </c>
      <c r="J195" s="804">
        <v>0</v>
      </c>
      <c r="K195" s="804">
        <v>478902</v>
      </c>
      <c r="L195" s="804">
        <v>0</v>
      </c>
      <c r="M195" s="804">
        <v>265520</v>
      </c>
      <c r="N195" s="804">
        <v>2783404</v>
      </c>
      <c r="O195" s="804">
        <v>2783404</v>
      </c>
      <c r="P195" s="804">
        <v>0</v>
      </c>
      <c r="Q195" s="804">
        <v>0</v>
      </c>
      <c r="R195" s="804">
        <v>81018515</v>
      </c>
      <c r="S195" s="804">
        <v>0.5</v>
      </c>
      <c r="T195" s="804">
        <v>0.5</v>
      </c>
      <c r="U195" s="804">
        <v>0</v>
      </c>
      <c r="V195" s="804">
        <v>0</v>
      </c>
      <c r="W195" s="804">
        <v>1</v>
      </c>
      <c r="X195" s="804">
        <v>40509257</v>
      </c>
      <c r="Y195" s="804">
        <v>40509258</v>
      </c>
      <c r="Z195" s="804">
        <v>0</v>
      </c>
      <c r="AA195" s="804">
        <v>0</v>
      </c>
      <c r="AB195" s="804">
        <v>81018515</v>
      </c>
      <c r="AC195" s="804">
        <v>83715</v>
      </c>
      <c r="AD195" s="804">
        <v>0</v>
      </c>
      <c r="AE195" s="804">
        <v>0</v>
      </c>
      <c r="AF195" s="804">
        <v>0</v>
      </c>
      <c r="AG195" s="804">
        <v>83715</v>
      </c>
      <c r="AH195" s="804">
        <v>40425542</v>
      </c>
      <c r="AI195" s="804">
        <v>40509258</v>
      </c>
      <c r="AJ195" s="804">
        <v>0</v>
      </c>
      <c r="AK195" s="804">
        <v>0</v>
      </c>
      <c r="AL195" s="804">
        <v>80934800</v>
      </c>
      <c r="AM195" s="804">
        <v>478902</v>
      </c>
      <c r="AN195" s="804">
        <v>478902</v>
      </c>
      <c r="AO195" s="804">
        <v>265520</v>
      </c>
      <c r="AP195" s="804">
        <v>265520</v>
      </c>
      <c r="AQ195" s="804">
        <v>2783404</v>
      </c>
      <c r="AR195" s="804">
        <v>0</v>
      </c>
      <c r="AS195" s="804">
        <v>2783404</v>
      </c>
      <c r="AT195" s="804">
        <v>0</v>
      </c>
      <c r="AU195" s="804">
        <v>0</v>
      </c>
      <c r="AV195" s="804">
        <v>0</v>
      </c>
      <c r="AW195" s="804">
        <v>0</v>
      </c>
      <c r="AX195" s="804">
        <v>83715</v>
      </c>
      <c r="AY195" s="804">
        <v>0</v>
      </c>
      <c r="AZ195" s="804">
        <v>0</v>
      </c>
      <c r="BA195" s="804">
        <v>83715</v>
      </c>
      <c r="BB195" s="804">
        <v>0</v>
      </c>
      <c r="BC195" s="804">
        <v>0</v>
      </c>
      <c r="BD195" s="804">
        <v>0</v>
      </c>
      <c r="BE195" s="804">
        <v>0</v>
      </c>
      <c r="BF195" s="804">
        <v>0</v>
      </c>
      <c r="BG195" s="804">
        <v>0</v>
      </c>
      <c r="BH195" s="804">
        <v>0</v>
      </c>
      <c r="BI195" s="804">
        <v>0</v>
      </c>
      <c r="BJ195" s="804">
        <v>0.25</v>
      </c>
      <c r="BK195" s="804">
        <v>0.75</v>
      </c>
      <c r="BL195" s="804">
        <v>0</v>
      </c>
      <c r="BM195" s="804">
        <v>0</v>
      </c>
      <c r="BN195" s="804">
        <v>1</v>
      </c>
      <c r="BO195" s="804">
        <v>454623</v>
      </c>
      <c r="BP195" s="804">
        <v>1363869</v>
      </c>
      <c r="BQ195" s="804">
        <v>0</v>
      </c>
      <c r="BR195" s="804">
        <v>0</v>
      </c>
      <c r="BS195" s="804">
        <v>1818492</v>
      </c>
      <c r="BT195" s="804">
        <v>0.5</v>
      </c>
      <c r="BU195" s="804">
        <v>0.5</v>
      </c>
      <c r="BV195" s="804">
        <v>0</v>
      </c>
      <c r="BW195" s="804">
        <v>0</v>
      </c>
      <c r="BX195" s="804">
        <v>1</v>
      </c>
      <c r="BY195" s="804">
        <v>-794287.29999999702</v>
      </c>
      <c r="BZ195" s="804">
        <v>-794288</v>
      </c>
      <c r="CA195" s="804">
        <v>0</v>
      </c>
      <c r="CB195" s="804">
        <v>0</v>
      </c>
      <c r="CC195" s="804">
        <v>-1588575.299999997</v>
      </c>
      <c r="CD195" s="804">
        <v>-339664</v>
      </c>
      <c r="CE195" s="804">
        <v>569581</v>
      </c>
      <c r="CF195" s="804">
        <v>0</v>
      </c>
      <c r="CG195" s="804">
        <v>0</v>
      </c>
      <c r="CH195" s="804">
        <v>229916.70000000298</v>
      </c>
      <c r="CI195" s="804">
        <v>40085878</v>
      </c>
      <c r="CJ195" s="804">
        <v>44690380</v>
      </c>
      <c r="CK195" s="804">
        <v>0</v>
      </c>
      <c r="CL195" s="804">
        <v>0</v>
      </c>
      <c r="CM195" s="804">
        <v>84776258</v>
      </c>
      <c r="CN195" s="804">
        <v>1749174</v>
      </c>
      <c r="CO195" s="804">
        <v>0</v>
      </c>
      <c r="CP195" s="804">
        <v>0</v>
      </c>
      <c r="CQ195" s="804">
        <v>1749174</v>
      </c>
      <c r="CR195" s="804">
        <v>4823425</v>
      </c>
      <c r="CS195" s="804">
        <v>0</v>
      </c>
      <c r="CT195" s="804">
        <v>0</v>
      </c>
      <c r="CU195" s="804">
        <v>4823425</v>
      </c>
      <c r="CV195" s="804">
        <v>245515</v>
      </c>
      <c r="CW195" s="804">
        <v>0</v>
      </c>
      <c r="CX195" s="804">
        <v>0</v>
      </c>
      <c r="CY195" s="804">
        <v>245515</v>
      </c>
      <c r="CZ195" s="804">
        <v>25941</v>
      </c>
      <c r="DA195" s="804">
        <v>0</v>
      </c>
      <c r="DB195" s="804">
        <v>0</v>
      </c>
      <c r="DC195" s="804">
        <v>25941</v>
      </c>
      <c r="DD195" s="804">
        <v>38862</v>
      </c>
      <c r="DE195" s="804">
        <v>0</v>
      </c>
      <c r="DF195" s="804">
        <v>0</v>
      </c>
      <c r="DG195" s="804">
        <v>38862</v>
      </c>
      <c r="DH195" s="804">
        <v>53671</v>
      </c>
      <c r="DI195" s="804">
        <v>0</v>
      </c>
      <c r="DJ195" s="804">
        <v>0</v>
      </c>
      <c r="DK195" s="804">
        <v>53671</v>
      </c>
      <c r="DL195" s="804">
        <v>14307</v>
      </c>
      <c r="DM195" s="804">
        <v>0</v>
      </c>
      <c r="DN195" s="804">
        <v>0</v>
      </c>
      <c r="DO195" s="804">
        <v>14307</v>
      </c>
      <c r="DP195" s="804">
        <v>0</v>
      </c>
      <c r="DQ195" s="804">
        <v>0</v>
      </c>
      <c r="DR195" s="804">
        <v>0</v>
      </c>
      <c r="DS195" s="804">
        <v>0</v>
      </c>
      <c r="DT195" s="804">
        <v>0</v>
      </c>
      <c r="DU195" s="804">
        <v>0</v>
      </c>
      <c r="DV195" s="804">
        <v>0</v>
      </c>
      <c r="DW195" s="804">
        <v>0</v>
      </c>
      <c r="DX195" s="804">
        <v>1053323</v>
      </c>
      <c r="DY195" s="804">
        <v>0</v>
      </c>
      <c r="DZ195" s="804">
        <v>0</v>
      </c>
      <c r="EA195" s="804">
        <v>1053323</v>
      </c>
      <c r="EB195" s="804">
        <v>8004218</v>
      </c>
      <c r="EC195" s="804">
        <v>0</v>
      </c>
      <c r="ED195" s="804">
        <v>0</v>
      </c>
      <c r="EE195" s="804">
        <v>8004218</v>
      </c>
      <c r="EF195" s="604" t="s">
        <v>262</v>
      </c>
      <c r="EG195" s="497" t="s">
        <v>524</v>
      </c>
      <c r="EH195" s="630" t="s">
        <v>551</v>
      </c>
      <c r="EI195" s="118" t="s">
        <v>1846</v>
      </c>
    </row>
    <row r="196" spans="1:139" ht="12.75" x14ac:dyDescent="0.2">
      <c r="A196" s="805">
        <v>189</v>
      </c>
      <c r="B196" s="606" t="s">
        <v>265</v>
      </c>
      <c r="C196" s="607" t="s">
        <v>1185</v>
      </c>
      <c r="D196" s="608" t="s">
        <v>1189</v>
      </c>
      <c r="E196" s="609" t="s">
        <v>264</v>
      </c>
      <c r="F196" s="802">
        <v>76423650</v>
      </c>
      <c r="G196" s="804">
        <v>0</v>
      </c>
      <c r="H196" s="804">
        <v>290250</v>
      </c>
      <c r="I196" s="804">
        <v>271166</v>
      </c>
      <c r="J196" s="804">
        <v>0</v>
      </c>
      <c r="K196" s="804">
        <v>271166</v>
      </c>
      <c r="L196" s="804">
        <v>0</v>
      </c>
      <c r="M196" s="804">
        <v>0</v>
      </c>
      <c r="N196" s="804">
        <v>0</v>
      </c>
      <c r="O196" s="804">
        <v>0</v>
      </c>
      <c r="P196" s="804">
        <v>0</v>
      </c>
      <c r="Q196" s="804">
        <v>0</v>
      </c>
      <c r="R196" s="804">
        <v>75862234</v>
      </c>
      <c r="S196" s="804">
        <v>0.5</v>
      </c>
      <c r="T196" s="804">
        <v>0.4</v>
      </c>
      <c r="U196" s="804">
        <v>0.1</v>
      </c>
      <c r="V196" s="804">
        <v>0</v>
      </c>
      <c r="W196" s="804">
        <v>1</v>
      </c>
      <c r="X196" s="804">
        <v>37931117</v>
      </c>
      <c r="Y196" s="804">
        <v>30344894</v>
      </c>
      <c r="Z196" s="804">
        <v>7586223</v>
      </c>
      <c r="AA196" s="804">
        <v>0</v>
      </c>
      <c r="AB196" s="804">
        <v>75862234</v>
      </c>
      <c r="AC196" s="804">
        <v>0</v>
      </c>
      <c r="AD196" s="804">
        <v>0</v>
      </c>
      <c r="AE196" s="804">
        <v>0</v>
      </c>
      <c r="AF196" s="804">
        <v>0</v>
      </c>
      <c r="AG196" s="804">
        <v>0</v>
      </c>
      <c r="AH196" s="804">
        <v>37931117</v>
      </c>
      <c r="AI196" s="804">
        <v>30344894</v>
      </c>
      <c r="AJ196" s="804">
        <v>7586223</v>
      </c>
      <c r="AK196" s="804">
        <v>0</v>
      </c>
      <c r="AL196" s="804">
        <v>75862234</v>
      </c>
      <c r="AM196" s="804">
        <v>271166</v>
      </c>
      <c r="AN196" s="804">
        <v>271166</v>
      </c>
      <c r="AO196" s="804">
        <v>0</v>
      </c>
      <c r="AP196" s="804">
        <v>0</v>
      </c>
      <c r="AQ196" s="804">
        <v>0</v>
      </c>
      <c r="AR196" s="804">
        <v>0</v>
      </c>
      <c r="AS196" s="804">
        <v>0</v>
      </c>
      <c r="AT196" s="804">
        <v>0</v>
      </c>
      <c r="AU196" s="804">
        <v>0</v>
      </c>
      <c r="AV196" s="804">
        <v>0</v>
      </c>
      <c r="AW196" s="804">
        <v>0</v>
      </c>
      <c r="AX196" s="804">
        <v>0</v>
      </c>
      <c r="AY196" s="804">
        <v>0</v>
      </c>
      <c r="AZ196" s="804">
        <v>0</v>
      </c>
      <c r="BA196" s="804">
        <v>0</v>
      </c>
      <c r="BB196" s="804">
        <v>0</v>
      </c>
      <c r="BC196" s="804">
        <v>0</v>
      </c>
      <c r="BD196" s="804">
        <v>0</v>
      </c>
      <c r="BE196" s="804">
        <v>0</v>
      </c>
      <c r="BF196" s="804">
        <v>0</v>
      </c>
      <c r="BG196" s="804">
        <v>0</v>
      </c>
      <c r="BH196" s="804">
        <v>0</v>
      </c>
      <c r="BI196" s="804">
        <v>0</v>
      </c>
      <c r="BJ196" s="804">
        <v>0.25000000000000006</v>
      </c>
      <c r="BK196" s="804">
        <v>0.42499999999999999</v>
      </c>
      <c r="BL196" s="804">
        <v>0.32500000000000001</v>
      </c>
      <c r="BM196" s="804">
        <v>0</v>
      </c>
      <c r="BN196" s="804">
        <v>1</v>
      </c>
      <c r="BO196" s="804">
        <v>191537</v>
      </c>
      <c r="BP196" s="804">
        <v>325613</v>
      </c>
      <c r="BQ196" s="804">
        <v>248998</v>
      </c>
      <c r="BR196" s="804">
        <v>0</v>
      </c>
      <c r="BS196" s="804">
        <v>766148</v>
      </c>
      <c r="BT196" s="804">
        <v>0.5</v>
      </c>
      <c r="BU196" s="804">
        <v>0.4</v>
      </c>
      <c r="BV196" s="804">
        <v>0.1</v>
      </c>
      <c r="BW196" s="804">
        <v>0</v>
      </c>
      <c r="BX196" s="804">
        <v>1</v>
      </c>
      <c r="BY196" s="804">
        <v>648568</v>
      </c>
      <c r="BZ196" s="804">
        <v>518855</v>
      </c>
      <c r="CA196" s="804">
        <v>129714</v>
      </c>
      <c r="CB196" s="804">
        <v>0</v>
      </c>
      <c r="CC196" s="804">
        <v>1297137</v>
      </c>
      <c r="CD196" s="804">
        <v>840105</v>
      </c>
      <c r="CE196" s="804">
        <v>844468</v>
      </c>
      <c r="CF196" s="804">
        <v>378712</v>
      </c>
      <c r="CG196" s="804">
        <v>0</v>
      </c>
      <c r="CH196" s="804">
        <v>2063285</v>
      </c>
      <c r="CI196" s="804">
        <v>38771222</v>
      </c>
      <c r="CJ196" s="804">
        <v>31460528</v>
      </c>
      <c r="CK196" s="804">
        <v>7964935</v>
      </c>
      <c r="CL196" s="804">
        <v>0</v>
      </c>
      <c r="CM196" s="804">
        <v>78196685</v>
      </c>
      <c r="CN196" s="804">
        <v>1216228</v>
      </c>
      <c r="CO196" s="804">
        <v>304057</v>
      </c>
      <c r="CP196" s="804">
        <v>0</v>
      </c>
      <c r="CQ196" s="804">
        <v>1520285</v>
      </c>
      <c r="CR196" s="804">
        <v>1973941</v>
      </c>
      <c r="CS196" s="804">
        <v>493485</v>
      </c>
      <c r="CT196" s="804">
        <v>0</v>
      </c>
      <c r="CU196" s="804">
        <v>2467426</v>
      </c>
      <c r="CV196" s="804">
        <v>153232</v>
      </c>
      <c r="CW196" s="804">
        <v>38308</v>
      </c>
      <c r="CX196" s="804">
        <v>0</v>
      </c>
      <c r="CY196" s="804">
        <v>191540</v>
      </c>
      <c r="CZ196" s="804">
        <v>9653</v>
      </c>
      <c r="DA196" s="804">
        <v>2413</v>
      </c>
      <c r="DB196" s="804">
        <v>0</v>
      </c>
      <c r="DC196" s="804">
        <v>12066</v>
      </c>
      <c r="DD196" s="804">
        <v>0</v>
      </c>
      <c r="DE196" s="804">
        <v>0</v>
      </c>
      <c r="DF196" s="804">
        <v>0</v>
      </c>
      <c r="DG196" s="804">
        <v>0</v>
      </c>
      <c r="DH196" s="804">
        <v>10401</v>
      </c>
      <c r="DI196" s="804">
        <v>2600</v>
      </c>
      <c r="DJ196" s="804">
        <v>0</v>
      </c>
      <c r="DK196" s="804">
        <v>13001</v>
      </c>
      <c r="DL196" s="804">
        <v>5753</v>
      </c>
      <c r="DM196" s="804">
        <v>1438</v>
      </c>
      <c r="DN196" s="804">
        <v>0</v>
      </c>
      <c r="DO196" s="804">
        <v>7191</v>
      </c>
      <c r="DP196" s="804">
        <v>0</v>
      </c>
      <c r="DQ196" s="804">
        <v>0</v>
      </c>
      <c r="DR196" s="804">
        <v>0</v>
      </c>
      <c r="DS196" s="804">
        <v>0</v>
      </c>
      <c r="DT196" s="804">
        <v>0</v>
      </c>
      <c r="DU196" s="804">
        <v>0</v>
      </c>
      <c r="DV196" s="804">
        <v>0</v>
      </c>
      <c r="DW196" s="804">
        <v>0</v>
      </c>
      <c r="DX196" s="804">
        <v>790656</v>
      </c>
      <c r="DY196" s="804">
        <v>197664</v>
      </c>
      <c r="DZ196" s="804">
        <v>0</v>
      </c>
      <c r="EA196" s="804">
        <v>988320</v>
      </c>
      <c r="EB196" s="804">
        <v>4159864</v>
      </c>
      <c r="EC196" s="804">
        <v>1039965</v>
      </c>
      <c r="ED196" s="804">
        <v>0</v>
      </c>
      <c r="EE196" s="804">
        <v>5199829</v>
      </c>
      <c r="EF196" s="604" t="s">
        <v>264</v>
      </c>
      <c r="EG196" s="497" t="s">
        <v>596</v>
      </c>
      <c r="EH196" s="630" t="s">
        <v>551</v>
      </c>
      <c r="EI196" s="118" t="s">
        <v>1847</v>
      </c>
    </row>
    <row r="197" spans="1:139" ht="12.75" x14ac:dyDescent="0.2">
      <c r="A197" s="805">
        <v>190</v>
      </c>
      <c r="B197" s="606" t="s">
        <v>267</v>
      </c>
      <c r="C197" s="607" t="s">
        <v>524</v>
      </c>
      <c r="D197" s="608" t="s">
        <v>1188</v>
      </c>
      <c r="E197" s="609" t="s">
        <v>601</v>
      </c>
      <c r="F197" s="802">
        <v>136508721</v>
      </c>
      <c r="G197" s="804">
        <v>1558800</v>
      </c>
      <c r="H197" s="804">
        <v>0</v>
      </c>
      <c r="I197" s="804">
        <v>481943</v>
      </c>
      <c r="J197" s="804">
        <v>0</v>
      </c>
      <c r="K197" s="804">
        <v>481943</v>
      </c>
      <c r="L197" s="804">
        <v>0</v>
      </c>
      <c r="M197" s="804">
        <v>0</v>
      </c>
      <c r="N197" s="804">
        <v>0</v>
      </c>
      <c r="O197" s="804">
        <v>0</v>
      </c>
      <c r="P197" s="804">
        <v>0</v>
      </c>
      <c r="Q197" s="804">
        <v>0</v>
      </c>
      <c r="R197" s="804">
        <v>137585578</v>
      </c>
      <c r="S197" s="804">
        <v>0.5</v>
      </c>
      <c r="T197" s="804">
        <v>0.49</v>
      </c>
      <c r="U197" s="804">
        <v>0</v>
      </c>
      <c r="V197" s="804">
        <v>0.01</v>
      </c>
      <c r="W197" s="804">
        <v>1</v>
      </c>
      <c r="X197" s="804">
        <v>68792789</v>
      </c>
      <c r="Y197" s="804">
        <v>67416933</v>
      </c>
      <c r="Z197" s="804">
        <v>0</v>
      </c>
      <c r="AA197" s="804">
        <v>1375856</v>
      </c>
      <c r="AB197" s="804">
        <v>137585578</v>
      </c>
      <c r="AC197" s="804">
        <v>0</v>
      </c>
      <c r="AD197" s="804">
        <v>0</v>
      </c>
      <c r="AE197" s="804">
        <v>0</v>
      </c>
      <c r="AF197" s="804">
        <v>0</v>
      </c>
      <c r="AG197" s="804">
        <v>0</v>
      </c>
      <c r="AH197" s="804">
        <v>68792789</v>
      </c>
      <c r="AI197" s="804">
        <v>67416933</v>
      </c>
      <c r="AJ197" s="804">
        <v>0</v>
      </c>
      <c r="AK197" s="804">
        <v>1375856</v>
      </c>
      <c r="AL197" s="804">
        <v>137585578</v>
      </c>
      <c r="AM197" s="804">
        <v>481943</v>
      </c>
      <c r="AN197" s="804">
        <v>481943</v>
      </c>
      <c r="AO197" s="804">
        <v>0</v>
      </c>
      <c r="AP197" s="804">
        <v>0</v>
      </c>
      <c r="AQ197" s="804">
        <v>0</v>
      </c>
      <c r="AR197" s="804">
        <v>0</v>
      </c>
      <c r="AS197" s="804">
        <v>0</v>
      </c>
      <c r="AT197" s="804">
        <v>0</v>
      </c>
      <c r="AU197" s="804">
        <v>0</v>
      </c>
      <c r="AV197" s="804">
        <v>0</v>
      </c>
      <c r="AW197" s="804">
        <v>0</v>
      </c>
      <c r="AX197" s="804">
        <v>0</v>
      </c>
      <c r="AY197" s="804">
        <v>0</v>
      </c>
      <c r="AZ197" s="804">
        <v>0</v>
      </c>
      <c r="BA197" s="804">
        <v>0</v>
      </c>
      <c r="BB197" s="804">
        <v>0</v>
      </c>
      <c r="BC197" s="804">
        <v>0</v>
      </c>
      <c r="BD197" s="804">
        <v>0</v>
      </c>
      <c r="BE197" s="804">
        <v>0</v>
      </c>
      <c r="BF197" s="804">
        <v>0</v>
      </c>
      <c r="BG197" s="804">
        <v>0</v>
      </c>
      <c r="BH197" s="804">
        <v>0</v>
      </c>
      <c r="BI197" s="804">
        <v>0</v>
      </c>
      <c r="BJ197" s="804">
        <v>0.5</v>
      </c>
      <c r="BK197" s="804">
        <v>0.49</v>
      </c>
      <c r="BL197" s="804">
        <v>0</v>
      </c>
      <c r="BM197" s="804">
        <v>0.01</v>
      </c>
      <c r="BN197" s="804">
        <v>1</v>
      </c>
      <c r="BO197" s="804">
        <v>1687451</v>
      </c>
      <c r="BP197" s="804">
        <v>1653701</v>
      </c>
      <c r="BQ197" s="804">
        <v>0</v>
      </c>
      <c r="BR197" s="804">
        <v>33749</v>
      </c>
      <c r="BS197" s="804">
        <v>3374901</v>
      </c>
      <c r="BT197" s="804">
        <v>0.5</v>
      </c>
      <c r="BU197" s="804">
        <v>0.49</v>
      </c>
      <c r="BV197" s="804">
        <v>0</v>
      </c>
      <c r="BW197" s="804">
        <v>0.01</v>
      </c>
      <c r="BX197" s="804">
        <v>1</v>
      </c>
      <c r="BY197" s="804">
        <v>988373</v>
      </c>
      <c r="BZ197" s="804">
        <v>968605</v>
      </c>
      <c r="CA197" s="804">
        <v>0</v>
      </c>
      <c r="CB197" s="804">
        <v>19767</v>
      </c>
      <c r="CC197" s="804">
        <v>1976745</v>
      </c>
      <c r="CD197" s="804">
        <v>2675824</v>
      </c>
      <c r="CE197" s="804">
        <v>2622306</v>
      </c>
      <c r="CF197" s="804">
        <v>0</v>
      </c>
      <c r="CG197" s="804">
        <v>53516</v>
      </c>
      <c r="CH197" s="804">
        <v>5351646</v>
      </c>
      <c r="CI197" s="804">
        <v>71468613</v>
      </c>
      <c r="CJ197" s="804">
        <v>70521182</v>
      </c>
      <c r="CK197" s="804">
        <v>0</v>
      </c>
      <c r="CL197" s="804">
        <v>1429372</v>
      </c>
      <c r="CM197" s="804">
        <v>143419167</v>
      </c>
      <c r="CN197" s="804">
        <v>2702081</v>
      </c>
      <c r="CO197" s="804">
        <v>0</v>
      </c>
      <c r="CP197" s="804">
        <v>55145</v>
      </c>
      <c r="CQ197" s="804">
        <v>2757226</v>
      </c>
      <c r="CR197" s="804">
        <v>3603506</v>
      </c>
      <c r="CS197" s="804">
        <v>0</v>
      </c>
      <c r="CT197" s="804">
        <v>64484</v>
      </c>
      <c r="CU197" s="804">
        <v>3667990</v>
      </c>
      <c r="CV197" s="804">
        <v>292278</v>
      </c>
      <c r="CW197" s="804">
        <v>0</v>
      </c>
      <c r="CX197" s="804">
        <v>5100</v>
      </c>
      <c r="CY197" s="804">
        <v>297378</v>
      </c>
      <c r="CZ197" s="804">
        <v>23456</v>
      </c>
      <c r="DA197" s="804">
        <v>0</v>
      </c>
      <c r="DB197" s="804">
        <v>352</v>
      </c>
      <c r="DC197" s="804">
        <v>23808</v>
      </c>
      <c r="DD197" s="804">
        <v>0</v>
      </c>
      <c r="DE197" s="804">
        <v>0</v>
      </c>
      <c r="DF197" s="804">
        <v>0</v>
      </c>
      <c r="DG197" s="804">
        <v>0</v>
      </c>
      <c r="DH197" s="804">
        <v>46843</v>
      </c>
      <c r="DI197" s="804">
        <v>0</v>
      </c>
      <c r="DJ197" s="804">
        <v>750</v>
      </c>
      <c r="DK197" s="804">
        <v>47593</v>
      </c>
      <c r="DL197" s="804">
        <v>16950</v>
      </c>
      <c r="DM197" s="804">
        <v>0</v>
      </c>
      <c r="DN197" s="804">
        <v>300</v>
      </c>
      <c r="DO197" s="804">
        <v>17250</v>
      </c>
      <c r="DP197" s="804">
        <v>0</v>
      </c>
      <c r="DQ197" s="804">
        <v>0</v>
      </c>
      <c r="DR197" s="804">
        <v>0</v>
      </c>
      <c r="DS197" s="804">
        <v>0</v>
      </c>
      <c r="DT197" s="804">
        <v>0</v>
      </c>
      <c r="DU197" s="804">
        <v>0</v>
      </c>
      <c r="DV197" s="804">
        <v>0</v>
      </c>
      <c r="DW197" s="804">
        <v>0</v>
      </c>
      <c r="DX197" s="804">
        <v>1399232</v>
      </c>
      <c r="DY197" s="804">
        <v>0</v>
      </c>
      <c r="DZ197" s="804">
        <v>23683</v>
      </c>
      <c r="EA197" s="804">
        <v>1422915</v>
      </c>
      <c r="EB197" s="804">
        <v>8084346</v>
      </c>
      <c r="EC197" s="804">
        <v>0</v>
      </c>
      <c r="ED197" s="804">
        <v>149814</v>
      </c>
      <c r="EE197" s="804">
        <v>8234160</v>
      </c>
      <c r="EF197" s="604" t="s">
        <v>601</v>
      </c>
      <c r="EG197" s="497" t="s">
        <v>524</v>
      </c>
      <c r="EH197" s="630" t="s">
        <v>602</v>
      </c>
      <c r="EI197" s="118" t="s">
        <v>1848</v>
      </c>
    </row>
    <row r="198" spans="1:139" ht="12.75" x14ac:dyDescent="0.2">
      <c r="A198" s="805">
        <v>191</v>
      </c>
      <c r="B198" s="606" t="s">
        <v>269</v>
      </c>
      <c r="C198" s="607" t="s">
        <v>1185</v>
      </c>
      <c r="D198" s="608" t="s">
        <v>1195</v>
      </c>
      <c r="E198" s="609" t="s">
        <v>268</v>
      </c>
      <c r="F198" s="802">
        <v>34658512</v>
      </c>
      <c r="G198" s="804">
        <v>0</v>
      </c>
      <c r="H198" s="804">
        <v>83663</v>
      </c>
      <c r="I198" s="804">
        <v>129348</v>
      </c>
      <c r="J198" s="804">
        <v>0</v>
      </c>
      <c r="K198" s="804">
        <v>129348</v>
      </c>
      <c r="L198" s="804">
        <v>0</v>
      </c>
      <c r="M198" s="804">
        <v>0</v>
      </c>
      <c r="N198" s="804">
        <v>0</v>
      </c>
      <c r="O198" s="804">
        <v>0</v>
      </c>
      <c r="P198" s="804">
        <v>0</v>
      </c>
      <c r="Q198" s="804">
        <v>0</v>
      </c>
      <c r="R198" s="804">
        <v>34445501</v>
      </c>
      <c r="S198" s="804">
        <v>0.5</v>
      </c>
      <c r="T198" s="804">
        <v>0.4</v>
      </c>
      <c r="U198" s="804">
        <v>0.1</v>
      </c>
      <c r="V198" s="804">
        <v>0</v>
      </c>
      <c r="W198" s="804">
        <v>1</v>
      </c>
      <c r="X198" s="804">
        <v>17222751</v>
      </c>
      <c r="Y198" s="804">
        <v>13778200</v>
      </c>
      <c r="Z198" s="804">
        <v>3444550</v>
      </c>
      <c r="AA198" s="804">
        <v>0</v>
      </c>
      <c r="AB198" s="804">
        <v>34445501</v>
      </c>
      <c r="AC198" s="804">
        <v>0</v>
      </c>
      <c r="AD198" s="804">
        <v>0</v>
      </c>
      <c r="AE198" s="804">
        <v>0</v>
      </c>
      <c r="AF198" s="804">
        <v>0</v>
      </c>
      <c r="AG198" s="804">
        <v>0</v>
      </c>
      <c r="AH198" s="804">
        <v>17222751</v>
      </c>
      <c r="AI198" s="804">
        <v>13778200</v>
      </c>
      <c r="AJ198" s="804">
        <v>3444550</v>
      </c>
      <c r="AK198" s="804">
        <v>0</v>
      </c>
      <c r="AL198" s="804">
        <v>34445501</v>
      </c>
      <c r="AM198" s="804">
        <v>129348</v>
      </c>
      <c r="AN198" s="804">
        <v>129348</v>
      </c>
      <c r="AO198" s="804">
        <v>0</v>
      </c>
      <c r="AP198" s="804">
        <v>0</v>
      </c>
      <c r="AQ198" s="804">
        <v>0</v>
      </c>
      <c r="AR198" s="804">
        <v>0</v>
      </c>
      <c r="AS198" s="804">
        <v>0</v>
      </c>
      <c r="AT198" s="804">
        <v>0</v>
      </c>
      <c r="AU198" s="804">
        <v>0</v>
      </c>
      <c r="AV198" s="804">
        <v>0</v>
      </c>
      <c r="AW198" s="804">
        <v>0</v>
      </c>
      <c r="AX198" s="804">
        <v>0</v>
      </c>
      <c r="AY198" s="804">
        <v>0</v>
      </c>
      <c r="AZ198" s="804">
        <v>0</v>
      </c>
      <c r="BA198" s="804">
        <v>0</v>
      </c>
      <c r="BB198" s="804">
        <v>0</v>
      </c>
      <c r="BC198" s="804">
        <v>0</v>
      </c>
      <c r="BD198" s="804">
        <v>0</v>
      </c>
      <c r="BE198" s="804">
        <v>0</v>
      </c>
      <c r="BF198" s="804">
        <v>0</v>
      </c>
      <c r="BG198" s="804">
        <v>0</v>
      </c>
      <c r="BH198" s="804">
        <v>0</v>
      </c>
      <c r="BI198" s="804">
        <v>0</v>
      </c>
      <c r="BJ198" s="804">
        <v>0.5</v>
      </c>
      <c r="BK198" s="804">
        <v>0.4</v>
      </c>
      <c r="BL198" s="804">
        <v>0.1</v>
      </c>
      <c r="BM198" s="804">
        <v>0</v>
      </c>
      <c r="BN198" s="804">
        <v>1</v>
      </c>
      <c r="BO198" s="804">
        <v>-336926</v>
      </c>
      <c r="BP198" s="804">
        <v>-269541</v>
      </c>
      <c r="BQ198" s="804">
        <v>-67385</v>
      </c>
      <c r="BR198" s="804">
        <v>0</v>
      </c>
      <c r="BS198" s="804">
        <v>-673852</v>
      </c>
      <c r="BT198" s="804">
        <v>0.5</v>
      </c>
      <c r="BU198" s="804">
        <v>0.4</v>
      </c>
      <c r="BV198" s="804">
        <v>0.1</v>
      </c>
      <c r="BW198" s="804">
        <v>0</v>
      </c>
      <c r="BX198" s="804">
        <v>1</v>
      </c>
      <c r="BY198" s="804">
        <v>487293</v>
      </c>
      <c r="BZ198" s="804">
        <v>389835</v>
      </c>
      <c r="CA198" s="804">
        <v>97459</v>
      </c>
      <c r="CB198" s="804">
        <v>0</v>
      </c>
      <c r="CC198" s="804">
        <v>974587</v>
      </c>
      <c r="CD198" s="804">
        <v>150367</v>
      </c>
      <c r="CE198" s="804">
        <v>120294</v>
      </c>
      <c r="CF198" s="804">
        <v>30074</v>
      </c>
      <c r="CG198" s="804">
        <v>0</v>
      </c>
      <c r="CH198" s="804">
        <v>300735</v>
      </c>
      <c r="CI198" s="804">
        <v>17373118</v>
      </c>
      <c r="CJ198" s="804">
        <v>14027842</v>
      </c>
      <c r="CK198" s="804">
        <v>3474624</v>
      </c>
      <c r="CL198" s="804">
        <v>0</v>
      </c>
      <c r="CM198" s="804">
        <v>34875584</v>
      </c>
      <c r="CN198" s="804">
        <v>552232</v>
      </c>
      <c r="CO198" s="804">
        <v>138058</v>
      </c>
      <c r="CP198" s="804">
        <v>0</v>
      </c>
      <c r="CQ198" s="804">
        <v>690290</v>
      </c>
      <c r="CR198" s="804">
        <v>1083201</v>
      </c>
      <c r="CS198" s="804">
        <v>270800</v>
      </c>
      <c r="CT198" s="804">
        <v>0</v>
      </c>
      <c r="CU198" s="804">
        <v>1354001</v>
      </c>
      <c r="CV198" s="804">
        <v>85462</v>
      </c>
      <c r="CW198" s="804">
        <v>21365</v>
      </c>
      <c r="CX198" s="804">
        <v>0</v>
      </c>
      <c r="CY198" s="804">
        <v>106827</v>
      </c>
      <c r="CZ198" s="804">
        <v>0</v>
      </c>
      <c r="DA198" s="804">
        <v>0</v>
      </c>
      <c r="DB198" s="804">
        <v>0</v>
      </c>
      <c r="DC198" s="804">
        <v>0</v>
      </c>
      <c r="DD198" s="804">
        <v>0</v>
      </c>
      <c r="DE198" s="804">
        <v>0</v>
      </c>
      <c r="DF198" s="804">
        <v>0</v>
      </c>
      <c r="DG198" s="804">
        <v>0</v>
      </c>
      <c r="DH198" s="804">
        <v>3300</v>
      </c>
      <c r="DI198" s="804">
        <v>825</v>
      </c>
      <c r="DJ198" s="804">
        <v>0</v>
      </c>
      <c r="DK198" s="804">
        <v>4125</v>
      </c>
      <c r="DL198" s="804">
        <v>1664</v>
      </c>
      <c r="DM198" s="804">
        <v>416</v>
      </c>
      <c r="DN198" s="804">
        <v>0</v>
      </c>
      <c r="DO198" s="804">
        <v>2080</v>
      </c>
      <c r="DP198" s="804">
        <v>0</v>
      </c>
      <c r="DQ198" s="804">
        <v>0</v>
      </c>
      <c r="DR198" s="804">
        <v>0</v>
      </c>
      <c r="DS198" s="804">
        <v>0</v>
      </c>
      <c r="DT198" s="804">
        <v>0</v>
      </c>
      <c r="DU198" s="804">
        <v>0</v>
      </c>
      <c r="DV198" s="804">
        <v>0</v>
      </c>
      <c r="DW198" s="804">
        <v>0</v>
      </c>
      <c r="DX198" s="804">
        <v>491540</v>
      </c>
      <c r="DY198" s="804">
        <v>122885</v>
      </c>
      <c r="DZ198" s="804">
        <v>0</v>
      </c>
      <c r="EA198" s="804">
        <v>614425</v>
      </c>
      <c r="EB198" s="804">
        <v>2217399</v>
      </c>
      <c r="EC198" s="804">
        <v>554349</v>
      </c>
      <c r="ED198" s="804">
        <v>0</v>
      </c>
      <c r="EE198" s="804">
        <v>2771748</v>
      </c>
      <c r="EF198" s="604" t="s">
        <v>268</v>
      </c>
      <c r="EG198" s="497" t="s">
        <v>612</v>
      </c>
      <c r="EH198" s="630" t="s">
        <v>551</v>
      </c>
      <c r="EI198" s="118" t="s">
        <v>1849</v>
      </c>
    </row>
    <row r="199" spans="1:139" ht="12.75" x14ac:dyDescent="0.2">
      <c r="A199" s="805">
        <v>192</v>
      </c>
      <c r="B199" s="606" t="s">
        <v>271</v>
      </c>
      <c r="C199" s="607" t="s">
        <v>1185</v>
      </c>
      <c r="D199" s="608" t="s">
        <v>1188</v>
      </c>
      <c r="E199" s="609" t="s">
        <v>270</v>
      </c>
      <c r="F199" s="802">
        <v>12739916</v>
      </c>
      <c r="G199" s="804">
        <v>66519</v>
      </c>
      <c r="H199" s="804">
        <v>0</v>
      </c>
      <c r="I199" s="804">
        <v>55388</v>
      </c>
      <c r="J199" s="804">
        <v>0</v>
      </c>
      <c r="K199" s="804">
        <v>55388</v>
      </c>
      <c r="L199" s="804">
        <v>0</v>
      </c>
      <c r="M199" s="804">
        <v>0</v>
      </c>
      <c r="N199" s="804">
        <v>8446</v>
      </c>
      <c r="O199" s="804">
        <v>8446</v>
      </c>
      <c r="P199" s="804">
        <v>0</v>
      </c>
      <c r="Q199" s="804">
        <v>0</v>
      </c>
      <c r="R199" s="804">
        <v>12742601</v>
      </c>
      <c r="S199" s="804">
        <v>0.5</v>
      </c>
      <c r="T199" s="804">
        <v>0.4</v>
      </c>
      <c r="U199" s="804">
        <v>0.09</v>
      </c>
      <c r="V199" s="804">
        <v>0.01</v>
      </c>
      <c r="W199" s="804">
        <v>1</v>
      </c>
      <c r="X199" s="804">
        <v>6371301</v>
      </c>
      <c r="Y199" s="804">
        <v>5097040</v>
      </c>
      <c r="Z199" s="804">
        <v>1146834</v>
      </c>
      <c r="AA199" s="804">
        <v>127426</v>
      </c>
      <c r="AB199" s="804">
        <v>12742601</v>
      </c>
      <c r="AC199" s="804">
        <v>0</v>
      </c>
      <c r="AD199" s="804">
        <v>0</v>
      </c>
      <c r="AE199" s="804">
        <v>0</v>
      </c>
      <c r="AF199" s="804">
        <v>0</v>
      </c>
      <c r="AG199" s="804">
        <v>0</v>
      </c>
      <c r="AH199" s="804">
        <v>6371301</v>
      </c>
      <c r="AI199" s="804">
        <v>5097040</v>
      </c>
      <c r="AJ199" s="804">
        <v>1146834</v>
      </c>
      <c r="AK199" s="804">
        <v>127426</v>
      </c>
      <c r="AL199" s="804">
        <v>12742601</v>
      </c>
      <c r="AM199" s="804">
        <v>55388</v>
      </c>
      <c r="AN199" s="804">
        <v>55388</v>
      </c>
      <c r="AO199" s="804">
        <v>0</v>
      </c>
      <c r="AP199" s="804">
        <v>0</v>
      </c>
      <c r="AQ199" s="804">
        <v>8446</v>
      </c>
      <c r="AR199" s="804">
        <v>0</v>
      </c>
      <c r="AS199" s="804">
        <v>8446</v>
      </c>
      <c r="AT199" s="804">
        <v>0</v>
      </c>
      <c r="AU199" s="804">
        <v>0</v>
      </c>
      <c r="AV199" s="804">
        <v>0</v>
      </c>
      <c r="AW199" s="804">
        <v>0</v>
      </c>
      <c r="AX199" s="804">
        <v>0</v>
      </c>
      <c r="AY199" s="804">
        <v>0</v>
      </c>
      <c r="AZ199" s="804">
        <v>0</v>
      </c>
      <c r="BA199" s="804">
        <v>0</v>
      </c>
      <c r="BB199" s="804">
        <v>0</v>
      </c>
      <c r="BC199" s="804">
        <v>0</v>
      </c>
      <c r="BD199" s="804">
        <v>0</v>
      </c>
      <c r="BE199" s="804">
        <v>0</v>
      </c>
      <c r="BF199" s="804">
        <v>0</v>
      </c>
      <c r="BG199" s="804">
        <v>0</v>
      </c>
      <c r="BH199" s="804">
        <v>0</v>
      </c>
      <c r="BI199" s="804">
        <v>0</v>
      </c>
      <c r="BJ199" s="804">
        <v>0.25</v>
      </c>
      <c r="BK199" s="804">
        <v>0.375</v>
      </c>
      <c r="BL199" s="804">
        <v>0.36499999999999999</v>
      </c>
      <c r="BM199" s="804">
        <v>0.01</v>
      </c>
      <c r="BN199" s="804">
        <v>1</v>
      </c>
      <c r="BO199" s="804">
        <v>65601</v>
      </c>
      <c r="BP199" s="804">
        <v>98400</v>
      </c>
      <c r="BQ199" s="804">
        <v>95776</v>
      </c>
      <c r="BR199" s="804">
        <v>2624</v>
      </c>
      <c r="BS199" s="804">
        <v>262401</v>
      </c>
      <c r="BT199" s="804">
        <v>0.5</v>
      </c>
      <c r="BU199" s="804">
        <v>0.4</v>
      </c>
      <c r="BV199" s="804">
        <v>0.09</v>
      </c>
      <c r="BW199" s="804">
        <v>0.01</v>
      </c>
      <c r="BX199" s="804">
        <v>1</v>
      </c>
      <c r="BY199" s="804">
        <v>-148448</v>
      </c>
      <c r="BZ199" s="804">
        <v>-118759</v>
      </c>
      <c r="CA199" s="804">
        <v>-26721</v>
      </c>
      <c r="CB199" s="804">
        <v>-2969</v>
      </c>
      <c r="CC199" s="804">
        <v>-296897</v>
      </c>
      <c r="CD199" s="804">
        <v>-82847</v>
      </c>
      <c r="CE199" s="804">
        <v>-20359</v>
      </c>
      <c r="CF199" s="804">
        <v>69055</v>
      </c>
      <c r="CG199" s="804">
        <v>-345</v>
      </c>
      <c r="CH199" s="804">
        <v>-34496</v>
      </c>
      <c r="CI199" s="804">
        <v>6288454</v>
      </c>
      <c r="CJ199" s="804">
        <v>5140515</v>
      </c>
      <c r="CK199" s="804">
        <v>1215889</v>
      </c>
      <c r="CL199" s="804">
        <v>127081</v>
      </c>
      <c r="CM199" s="804">
        <v>12771939</v>
      </c>
      <c r="CN199" s="804">
        <v>204629</v>
      </c>
      <c r="CO199" s="804">
        <v>45965</v>
      </c>
      <c r="CP199" s="804">
        <v>5107</v>
      </c>
      <c r="CQ199" s="804">
        <v>255701</v>
      </c>
      <c r="CR199" s="804">
        <v>563532</v>
      </c>
      <c r="CS199" s="804">
        <v>126795</v>
      </c>
      <c r="CT199" s="804">
        <v>14088</v>
      </c>
      <c r="CU199" s="804">
        <v>704415</v>
      </c>
      <c r="CV199" s="804">
        <v>29984</v>
      </c>
      <c r="CW199" s="804">
        <v>6746</v>
      </c>
      <c r="CX199" s="804">
        <v>750</v>
      </c>
      <c r="CY199" s="804">
        <v>37480</v>
      </c>
      <c r="CZ199" s="804">
        <v>6257</v>
      </c>
      <c r="DA199" s="804">
        <v>1408</v>
      </c>
      <c r="DB199" s="804">
        <v>156</v>
      </c>
      <c r="DC199" s="804">
        <v>7821</v>
      </c>
      <c r="DD199" s="804">
        <v>0</v>
      </c>
      <c r="DE199" s="804">
        <v>0</v>
      </c>
      <c r="DF199" s="804">
        <v>0</v>
      </c>
      <c r="DG199" s="804">
        <v>0</v>
      </c>
      <c r="DH199" s="804">
        <v>1019</v>
      </c>
      <c r="DI199" s="804">
        <v>230</v>
      </c>
      <c r="DJ199" s="804">
        <v>26</v>
      </c>
      <c r="DK199" s="804">
        <v>1275</v>
      </c>
      <c r="DL199" s="804">
        <v>0</v>
      </c>
      <c r="DM199" s="804">
        <v>0</v>
      </c>
      <c r="DN199" s="804">
        <v>0</v>
      </c>
      <c r="DO199" s="804">
        <v>0</v>
      </c>
      <c r="DP199" s="804">
        <v>0</v>
      </c>
      <c r="DQ199" s="804">
        <v>0</v>
      </c>
      <c r="DR199" s="804">
        <v>0</v>
      </c>
      <c r="DS199" s="804">
        <v>0</v>
      </c>
      <c r="DT199" s="804">
        <v>0</v>
      </c>
      <c r="DU199" s="804">
        <v>0</v>
      </c>
      <c r="DV199" s="804">
        <v>0</v>
      </c>
      <c r="DW199" s="804">
        <v>0</v>
      </c>
      <c r="DX199" s="804">
        <v>154963</v>
      </c>
      <c r="DY199" s="804">
        <v>34867</v>
      </c>
      <c r="DZ199" s="804">
        <v>3874</v>
      </c>
      <c r="EA199" s="804">
        <v>193704</v>
      </c>
      <c r="EB199" s="804">
        <v>960384</v>
      </c>
      <c r="EC199" s="804">
        <v>216011</v>
      </c>
      <c r="ED199" s="804">
        <v>24001</v>
      </c>
      <c r="EE199" s="804">
        <v>1200396</v>
      </c>
      <c r="EF199" s="604" t="s">
        <v>270</v>
      </c>
      <c r="EG199" s="497" t="s">
        <v>594</v>
      </c>
      <c r="EH199" s="630" t="s">
        <v>592</v>
      </c>
      <c r="EI199" s="118" t="s">
        <v>1850</v>
      </c>
    </row>
    <row r="200" spans="1:139" ht="12.75" x14ac:dyDescent="0.2">
      <c r="A200" s="805">
        <v>193</v>
      </c>
      <c r="B200" s="606" t="s">
        <v>273</v>
      </c>
      <c r="C200" s="607" t="s">
        <v>1192</v>
      </c>
      <c r="D200" s="608" t="s">
        <v>1187</v>
      </c>
      <c r="E200" s="609" t="s">
        <v>272</v>
      </c>
      <c r="F200" s="802">
        <v>54711939</v>
      </c>
      <c r="G200" s="804">
        <v>0</v>
      </c>
      <c r="H200" s="804">
        <v>440836</v>
      </c>
      <c r="I200" s="804">
        <v>295441</v>
      </c>
      <c r="J200" s="804">
        <v>0</v>
      </c>
      <c r="K200" s="804">
        <v>295441</v>
      </c>
      <c r="L200" s="804">
        <v>0</v>
      </c>
      <c r="M200" s="804">
        <v>0</v>
      </c>
      <c r="N200" s="804">
        <v>0</v>
      </c>
      <c r="O200" s="804">
        <v>0</v>
      </c>
      <c r="P200" s="804">
        <v>0</v>
      </c>
      <c r="Q200" s="804">
        <v>0</v>
      </c>
      <c r="R200" s="804">
        <v>53975662</v>
      </c>
      <c r="S200" s="804">
        <v>0</v>
      </c>
      <c r="T200" s="804">
        <v>0.99</v>
      </c>
      <c r="U200" s="804">
        <v>0</v>
      </c>
      <c r="V200" s="804">
        <v>0.01</v>
      </c>
      <c r="W200" s="804">
        <v>1</v>
      </c>
      <c r="X200" s="804">
        <v>0</v>
      </c>
      <c r="Y200" s="804">
        <v>53435905</v>
      </c>
      <c r="Z200" s="804">
        <v>0</v>
      </c>
      <c r="AA200" s="804">
        <v>539757</v>
      </c>
      <c r="AB200" s="804">
        <v>53975662</v>
      </c>
      <c r="AC200" s="804">
        <v>0</v>
      </c>
      <c r="AD200" s="804">
        <v>0</v>
      </c>
      <c r="AE200" s="804">
        <v>0</v>
      </c>
      <c r="AF200" s="804">
        <v>0</v>
      </c>
      <c r="AG200" s="804">
        <v>0</v>
      </c>
      <c r="AH200" s="804">
        <v>0</v>
      </c>
      <c r="AI200" s="804">
        <v>53435905</v>
      </c>
      <c r="AJ200" s="804">
        <v>0</v>
      </c>
      <c r="AK200" s="804">
        <v>539757</v>
      </c>
      <c r="AL200" s="804">
        <v>53975662</v>
      </c>
      <c r="AM200" s="804">
        <v>295441</v>
      </c>
      <c r="AN200" s="804">
        <v>295441</v>
      </c>
      <c r="AO200" s="804">
        <v>0</v>
      </c>
      <c r="AP200" s="804">
        <v>0</v>
      </c>
      <c r="AQ200" s="804">
        <v>0</v>
      </c>
      <c r="AR200" s="804">
        <v>0</v>
      </c>
      <c r="AS200" s="804">
        <v>0</v>
      </c>
      <c r="AT200" s="804">
        <v>0</v>
      </c>
      <c r="AU200" s="804">
        <v>0</v>
      </c>
      <c r="AV200" s="804">
        <v>0</v>
      </c>
      <c r="AW200" s="804">
        <v>0</v>
      </c>
      <c r="AX200" s="804">
        <v>0</v>
      </c>
      <c r="AY200" s="804">
        <v>0</v>
      </c>
      <c r="AZ200" s="804">
        <v>0</v>
      </c>
      <c r="BA200" s="804">
        <v>0</v>
      </c>
      <c r="BB200" s="804">
        <v>0</v>
      </c>
      <c r="BC200" s="804">
        <v>0</v>
      </c>
      <c r="BD200" s="804">
        <v>0</v>
      </c>
      <c r="BE200" s="804">
        <v>0</v>
      </c>
      <c r="BF200" s="804">
        <v>0</v>
      </c>
      <c r="BG200" s="804">
        <v>0</v>
      </c>
      <c r="BH200" s="804">
        <v>0</v>
      </c>
      <c r="BI200" s="804">
        <v>0</v>
      </c>
      <c r="BJ200" s="804">
        <v>0</v>
      </c>
      <c r="BK200" s="804">
        <v>0.99</v>
      </c>
      <c r="BL200" s="804">
        <v>0</v>
      </c>
      <c r="BM200" s="804">
        <v>0.01</v>
      </c>
      <c r="BN200" s="804">
        <v>1</v>
      </c>
      <c r="BO200" s="804">
        <v>0</v>
      </c>
      <c r="BP200" s="804">
        <v>-45613</v>
      </c>
      <c r="BQ200" s="804">
        <v>0</v>
      </c>
      <c r="BR200" s="804">
        <v>-461</v>
      </c>
      <c r="BS200" s="804">
        <v>-46074</v>
      </c>
      <c r="BT200" s="804">
        <v>0</v>
      </c>
      <c r="BU200" s="804">
        <v>0.99</v>
      </c>
      <c r="BV200" s="804">
        <v>0</v>
      </c>
      <c r="BW200" s="804">
        <v>0.01</v>
      </c>
      <c r="BX200" s="804">
        <v>1</v>
      </c>
      <c r="BY200" s="804">
        <v>0</v>
      </c>
      <c r="BZ200" s="804">
        <v>1095504</v>
      </c>
      <c r="CA200" s="804">
        <v>0</v>
      </c>
      <c r="CB200" s="804">
        <v>11066</v>
      </c>
      <c r="CC200" s="804">
        <v>1106570</v>
      </c>
      <c r="CD200" s="804">
        <v>0</v>
      </c>
      <c r="CE200" s="804">
        <v>1049891</v>
      </c>
      <c r="CF200" s="804">
        <v>0</v>
      </c>
      <c r="CG200" s="804">
        <v>10605</v>
      </c>
      <c r="CH200" s="804">
        <v>1060496</v>
      </c>
      <c r="CI200" s="804">
        <v>0</v>
      </c>
      <c r="CJ200" s="804">
        <v>54781237</v>
      </c>
      <c r="CK200" s="804">
        <v>0</v>
      </c>
      <c r="CL200" s="804">
        <v>550362</v>
      </c>
      <c r="CM200" s="804">
        <v>55331599</v>
      </c>
      <c r="CN200" s="804">
        <v>2141720</v>
      </c>
      <c r="CO200" s="804">
        <v>0</v>
      </c>
      <c r="CP200" s="804">
        <v>21634</v>
      </c>
      <c r="CQ200" s="804">
        <v>2163354</v>
      </c>
      <c r="CR200" s="804">
        <v>7183542</v>
      </c>
      <c r="CS200" s="804">
        <v>0</v>
      </c>
      <c r="CT200" s="804">
        <v>72561</v>
      </c>
      <c r="CU200" s="804">
        <v>7256103</v>
      </c>
      <c r="CV200" s="804">
        <v>296955</v>
      </c>
      <c r="CW200" s="804">
        <v>0</v>
      </c>
      <c r="CX200" s="804">
        <v>3000</v>
      </c>
      <c r="CY200" s="804">
        <v>299955</v>
      </c>
      <c r="CZ200" s="804">
        <v>0</v>
      </c>
      <c r="DA200" s="804">
        <v>0</v>
      </c>
      <c r="DB200" s="804">
        <v>0</v>
      </c>
      <c r="DC200" s="804">
        <v>0</v>
      </c>
      <c r="DD200" s="804">
        <v>0</v>
      </c>
      <c r="DE200" s="804">
        <v>0</v>
      </c>
      <c r="DF200" s="804">
        <v>0</v>
      </c>
      <c r="DG200" s="804">
        <v>0</v>
      </c>
      <c r="DH200" s="804">
        <v>14305</v>
      </c>
      <c r="DI200" s="804">
        <v>0</v>
      </c>
      <c r="DJ200" s="804">
        <v>144</v>
      </c>
      <c r="DK200" s="804">
        <v>14449</v>
      </c>
      <c r="DL200" s="804">
        <v>8850</v>
      </c>
      <c r="DM200" s="804">
        <v>0</v>
      </c>
      <c r="DN200" s="804">
        <v>89</v>
      </c>
      <c r="DO200" s="804">
        <v>8939</v>
      </c>
      <c r="DP200" s="804">
        <v>0</v>
      </c>
      <c r="DQ200" s="804">
        <v>0</v>
      </c>
      <c r="DR200" s="804">
        <v>0</v>
      </c>
      <c r="DS200" s="804">
        <v>0</v>
      </c>
      <c r="DT200" s="804">
        <v>0</v>
      </c>
      <c r="DU200" s="804">
        <v>0</v>
      </c>
      <c r="DV200" s="804">
        <v>0</v>
      </c>
      <c r="DW200" s="804">
        <v>0</v>
      </c>
      <c r="DX200" s="804">
        <v>1282336</v>
      </c>
      <c r="DY200" s="804">
        <v>0</v>
      </c>
      <c r="DZ200" s="804">
        <v>12953</v>
      </c>
      <c r="EA200" s="804">
        <v>1295289</v>
      </c>
      <c r="EB200" s="804">
        <v>10927708</v>
      </c>
      <c r="EC200" s="804">
        <v>0</v>
      </c>
      <c r="ED200" s="804">
        <v>110381</v>
      </c>
      <c r="EE200" s="804">
        <v>11038089</v>
      </c>
      <c r="EF200" s="604" t="s">
        <v>272</v>
      </c>
      <c r="EG200" s="497" t="s">
        <v>616</v>
      </c>
      <c r="EH200" s="630" t="s">
        <v>617</v>
      </c>
      <c r="EI200" s="118" t="s">
        <v>1851</v>
      </c>
    </row>
    <row r="201" spans="1:139" ht="12.75" x14ac:dyDescent="0.2">
      <c r="A201" s="805">
        <v>194</v>
      </c>
      <c r="B201" s="606" t="s">
        <v>275</v>
      </c>
      <c r="C201" s="607" t="s">
        <v>1185</v>
      </c>
      <c r="D201" s="608" t="s">
        <v>1186</v>
      </c>
      <c r="E201" s="609" t="s">
        <v>274</v>
      </c>
      <c r="F201" s="802">
        <v>103284589</v>
      </c>
      <c r="G201" s="804">
        <v>0</v>
      </c>
      <c r="H201" s="804">
        <v>30740</v>
      </c>
      <c r="I201" s="804">
        <v>234024</v>
      </c>
      <c r="J201" s="804">
        <v>0</v>
      </c>
      <c r="K201" s="804">
        <v>234024</v>
      </c>
      <c r="L201" s="804">
        <v>0</v>
      </c>
      <c r="M201" s="804">
        <v>0</v>
      </c>
      <c r="N201" s="804">
        <v>10913</v>
      </c>
      <c r="O201" s="804">
        <v>9905</v>
      </c>
      <c r="P201" s="804">
        <v>1008</v>
      </c>
      <c r="Q201" s="804">
        <v>0</v>
      </c>
      <c r="R201" s="804">
        <v>103008912</v>
      </c>
      <c r="S201" s="804">
        <v>0.5</v>
      </c>
      <c r="T201" s="804">
        <v>0.4</v>
      </c>
      <c r="U201" s="804">
        <v>0.1</v>
      </c>
      <c r="V201" s="804">
        <v>0</v>
      </c>
      <c r="W201" s="804">
        <v>1</v>
      </c>
      <c r="X201" s="804">
        <v>51504456</v>
      </c>
      <c r="Y201" s="804">
        <v>41203565</v>
      </c>
      <c r="Z201" s="804">
        <v>10300891</v>
      </c>
      <c r="AA201" s="804">
        <v>0</v>
      </c>
      <c r="AB201" s="804">
        <v>103008912</v>
      </c>
      <c r="AC201" s="804">
        <v>0</v>
      </c>
      <c r="AD201" s="804">
        <v>0</v>
      </c>
      <c r="AE201" s="804">
        <v>0</v>
      </c>
      <c r="AF201" s="804">
        <v>0</v>
      </c>
      <c r="AG201" s="804">
        <v>0</v>
      </c>
      <c r="AH201" s="804">
        <v>51504456</v>
      </c>
      <c r="AI201" s="804">
        <v>41203565</v>
      </c>
      <c r="AJ201" s="804">
        <v>10300891</v>
      </c>
      <c r="AK201" s="804">
        <v>0</v>
      </c>
      <c r="AL201" s="804">
        <v>103008912</v>
      </c>
      <c r="AM201" s="804">
        <v>234024</v>
      </c>
      <c r="AN201" s="804">
        <v>234024</v>
      </c>
      <c r="AO201" s="804">
        <v>0</v>
      </c>
      <c r="AP201" s="804">
        <v>0</v>
      </c>
      <c r="AQ201" s="804">
        <v>9905</v>
      </c>
      <c r="AR201" s="804">
        <v>1008</v>
      </c>
      <c r="AS201" s="804">
        <v>10913</v>
      </c>
      <c r="AT201" s="804">
        <v>0</v>
      </c>
      <c r="AU201" s="804">
        <v>0</v>
      </c>
      <c r="AV201" s="804">
        <v>0</v>
      </c>
      <c r="AW201" s="804">
        <v>0</v>
      </c>
      <c r="AX201" s="804">
        <v>0</v>
      </c>
      <c r="AY201" s="804">
        <v>0</v>
      </c>
      <c r="AZ201" s="804">
        <v>0</v>
      </c>
      <c r="BA201" s="804">
        <v>0</v>
      </c>
      <c r="BB201" s="804">
        <v>0</v>
      </c>
      <c r="BC201" s="804">
        <v>0</v>
      </c>
      <c r="BD201" s="804">
        <v>0</v>
      </c>
      <c r="BE201" s="804">
        <v>0</v>
      </c>
      <c r="BF201" s="804">
        <v>0</v>
      </c>
      <c r="BG201" s="804">
        <v>0</v>
      </c>
      <c r="BH201" s="804">
        <v>0</v>
      </c>
      <c r="BI201" s="804">
        <v>0</v>
      </c>
      <c r="BJ201" s="804">
        <v>0.5</v>
      </c>
      <c r="BK201" s="804">
        <v>0.4</v>
      </c>
      <c r="BL201" s="804">
        <v>0.1</v>
      </c>
      <c r="BM201" s="804">
        <v>0</v>
      </c>
      <c r="BN201" s="804">
        <v>1</v>
      </c>
      <c r="BO201" s="804">
        <v>-469412</v>
      </c>
      <c r="BP201" s="804">
        <v>-375530</v>
      </c>
      <c r="BQ201" s="804">
        <v>-93883</v>
      </c>
      <c r="BR201" s="804">
        <v>0</v>
      </c>
      <c r="BS201" s="804">
        <v>-938825</v>
      </c>
      <c r="BT201" s="804">
        <v>0.5</v>
      </c>
      <c r="BU201" s="804">
        <v>0.4</v>
      </c>
      <c r="BV201" s="804">
        <v>0.1</v>
      </c>
      <c r="BW201" s="804">
        <v>0</v>
      </c>
      <c r="BX201" s="804">
        <v>1</v>
      </c>
      <c r="BY201" s="804">
        <v>432326</v>
      </c>
      <c r="BZ201" s="804">
        <v>345860</v>
      </c>
      <c r="CA201" s="804">
        <v>86465</v>
      </c>
      <c r="CB201" s="804">
        <v>0</v>
      </c>
      <c r="CC201" s="804">
        <v>864651</v>
      </c>
      <c r="CD201" s="804">
        <v>-37087</v>
      </c>
      <c r="CE201" s="804">
        <v>-29670</v>
      </c>
      <c r="CF201" s="804">
        <v>-7417</v>
      </c>
      <c r="CG201" s="804">
        <v>0</v>
      </c>
      <c r="CH201" s="804">
        <v>-74174</v>
      </c>
      <c r="CI201" s="804">
        <v>51467369</v>
      </c>
      <c r="CJ201" s="804">
        <v>41417824</v>
      </c>
      <c r="CK201" s="804">
        <v>10294482</v>
      </c>
      <c r="CL201" s="804">
        <v>0</v>
      </c>
      <c r="CM201" s="804">
        <v>103179675</v>
      </c>
      <c r="CN201" s="804">
        <v>1651842</v>
      </c>
      <c r="CO201" s="804">
        <v>412902</v>
      </c>
      <c r="CP201" s="804">
        <v>0</v>
      </c>
      <c r="CQ201" s="804">
        <v>2064744</v>
      </c>
      <c r="CR201" s="804">
        <v>772286</v>
      </c>
      <c r="CS201" s="804">
        <v>193071</v>
      </c>
      <c r="CT201" s="804">
        <v>0</v>
      </c>
      <c r="CU201" s="804">
        <v>965357</v>
      </c>
      <c r="CV201" s="804">
        <v>149486</v>
      </c>
      <c r="CW201" s="804">
        <v>37371</v>
      </c>
      <c r="CX201" s="804">
        <v>0</v>
      </c>
      <c r="CY201" s="804">
        <v>186857</v>
      </c>
      <c r="CZ201" s="804">
        <v>1578</v>
      </c>
      <c r="DA201" s="804">
        <v>394</v>
      </c>
      <c r="DB201" s="804">
        <v>0</v>
      </c>
      <c r="DC201" s="804">
        <v>1972</v>
      </c>
      <c r="DD201" s="804">
        <v>0</v>
      </c>
      <c r="DE201" s="804">
        <v>0</v>
      </c>
      <c r="DF201" s="804">
        <v>0</v>
      </c>
      <c r="DG201" s="804">
        <v>0</v>
      </c>
      <c r="DH201" s="804">
        <v>1126</v>
      </c>
      <c r="DI201" s="804">
        <v>282</v>
      </c>
      <c r="DJ201" s="804">
        <v>0</v>
      </c>
      <c r="DK201" s="804">
        <v>1408</v>
      </c>
      <c r="DL201" s="804">
        <v>5714</v>
      </c>
      <c r="DM201" s="804">
        <v>1429</v>
      </c>
      <c r="DN201" s="804">
        <v>0</v>
      </c>
      <c r="DO201" s="804">
        <v>7143</v>
      </c>
      <c r="DP201" s="804">
        <v>0</v>
      </c>
      <c r="DQ201" s="804">
        <v>0</v>
      </c>
      <c r="DR201" s="804">
        <v>0</v>
      </c>
      <c r="DS201" s="804">
        <v>0</v>
      </c>
      <c r="DT201" s="804">
        <v>57512</v>
      </c>
      <c r="DU201" s="804">
        <v>14378</v>
      </c>
      <c r="DV201" s="804">
        <v>0</v>
      </c>
      <c r="DW201" s="804">
        <v>71890</v>
      </c>
      <c r="DX201" s="804">
        <v>1082702</v>
      </c>
      <c r="DY201" s="804">
        <v>270675</v>
      </c>
      <c r="DZ201" s="804">
        <v>0</v>
      </c>
      <c r="EA201" s="804">
        <v>1353377</v>
      </c>
      <c r="EB201" s="804">
        <v>3722246</v>
      </c>
      <c r="EC201" s="804">
        <v>930502</v>
      </c>
      <c r="ED201" s="804">
        <v>0</v>
      </c>
      <c r="EE201" s="804">
        <v>4652748</v>
      </c>
      <c r="EF201" s="604" t="s">
        <v>274</v>
      </c>
      <c r="EG201" s="497" t="s">
        <v>604</v>
      </c>
      <c r="EH201" s="630" t="s">
        <v>551</v>
      </c>
      <c r="EI201" s="118" t="s">
        <v>1852</v>
      </c>
    </row>
    <row r="202" spans="1:139" ht="14.25" x14ac:dyDescent="0.2">
      <c r="A202" s="805">
        <v>195</v>
      </c>
      <c r="B202" s="606" t="s">
        <v>277</v>
      </c>
      <c r="C202" s="607" t="s">
        <v>1185</v>
      </c>
      <c r="D202" s="608" t="s">
        <v>1187</v>
      </c>
      <c r="E202" s="609" t="s">
        <v>1987</v>
      </c>
      <c r="F202" s="802">
        <v>18882340</v>
      </c>
      <c r="G202" s="804">
        <v>48474</v>
      </c>
      <c r="H202" s="804">
        <v>0</v>
      </c>
      <c r="I202" s="804">
        <v>130837</v>
      </c>
      <c r="J202" s="804">
        <v>0</v>
      </c>
      <c r="K202" s="804">
        <v>130837</v>
      </c>
      <c r="L202" s="804">
        <v>0</v>
      </c>
      <c r="M202" s="804">
        <v>0</v>
      </c>
      <c r="N202" s="804">
        <v>0</v>
      </c>
      <c r="O202" s="804">
        <v>0</v>
      </c>
      <c r="P202" s="804">
        <v>0</v>
      </c>
      <c r="Q202" s="804">
        <v>0</v>
      </c>
      <c r="R202" s="804">
        <v>18799977</v>
      </c>
      <c r="S202" s="804">
        <v>0.5</v>
      </c>
      <c r="T202" s="804">
        <v>0.4</v>
      </c>
      <c r="U202" s="804">
        <v>0.09</v>
      </c>
      <c r="V202" s="804">
        <v>0.01</v>
      </c>
      <c r="W202" s="804">
        <v>1</v>
      </c>
      <c r="X202" s="804">
        <v>9399988</v>
      </c>
      <c r="Y202" s="804">
        <v>7519991</v>
      </c>
      <c r="Z202" s="804">
        <v>1691998</v>
      </c>
      <c r="AA202" s="804">
        <v>188000</v>
      </c>
      <c r="AB202" s="804">
        <v>18799977</v>
      </c>
      <c r="AC202" s="804">
        <v>0</v>
      </c>
      <c r="AD202" s="804">
        <v>0</v>
      </c>
      <c r="AE202" s="804">
        <v>0</v>
      </c>
      <c r="AF202" s="804">
        <v>0</v>
      </c>
      <c r="AG202" s="804">
        <v>0</v>
      </c>
      <c r="AH202" s="804">
        <v>9399988</v>
      </c>
      <c r="AI202" s="804">
        <v>7519991</v>
      </c>
      <c r="AJ202" s="804">
        <v>1691998</v>
      </c>
      <c r="AK202" s="804">
        <v>188000</v>
      </c>
      <c r="AL202" s="804">
        <v>18799977</v>
      </c>
      <c r="AM202" s="804">
        <v>130837</v>
      </c>
      <c r="AN202" s="804">
        <v>130837</v>
      </c>
      <c r="AO202" s="804">
        <v>0</v>
      </c>
      <c r="AP202" s="804">
        <v>0</v>
      </c>
      <c r="AQ202" s="804">
        <v>0</v>
      </c>
      <c r="AR202" s="804">
        <v>0</v>
      </c>
      <c r="AS202" s="804">
        <v>0</v>
      </c>
      <c r="AT202" s="804">
        <v>0</v>
      </c>
      <c r="AU202" s="804">
        <v>0</v>
      </c>
      <c r="AV202" s="804">
        <v>0</v>
      </c>
      <c r="AW202" s="804">
        <v>0</v>
      </c>
      <c r="AX202" s="804">
        <v>0</v>
      </c>
      <c r="AY202" s="804">
        <v>0</v>
      </c>
      <c r="AZ202" s="804">
        <v>0</v>
      </c>
      <c r="BA202" s="804">
        <v>0</v>
      </c>
      <c r="BB202" s="804">
        <v>0</v>
      </c>
      <c r="BC202" s="804">
        <v>0</v>
      </c>
      <c r="BD202" s="804">
        <v>0</v>
      </c>
      <c r="BE202" s="804">
        <v>0</v>
      </c>
      <c r="BF202" s="804">
        <v>0</v>
      </c>
      <c r="BG202" s="804">
        <v>0</v>
      </c>
      <c r="BH202" s="804">
        <v>0</v>
      </c>
      <c r="BI202" s="804">
        <v>0</v>
      </c>
      <c r="BJ202" s="804">
        <v>0.25</v>
      </c>
      <c r="BK202" s="804">
        <v>0.56000000000000005</v>
      </c>
      <c r="BL202" s="804">
        <v>0.17499999999999999</v>
      </c>
      <c r="BM202" s="804">
        <v>1.4999999999999999E-2</v>
      </c>
      <c r="BN202" s="804">
        <v>1</v>
      </c>
      <c r="BO202" s="804">
        <v>449448</v>
      </c>
      <c r="BP202" s="804">
        <v>1006764</v>
      </c>
      <c r="BQ202" s="804">
        <v>314614</v>
      </c>
      <c r="BR202" s="804">
        <v>26967</v>
      </c>
      <c r="BS202" s="804">
        <v>1797793</v>
      </c>
      <c r="BT202" s="804">
        <v>0.5</v>
      </c>
      <c r="BU202" s="804">
        <v>0.4</v>
      </c>
      <c r="BV202" s="804">
        <v>0.09</v>
      </c>
      <c r="BW202" s="804">
        <v>0.01</v>
      </c>
      <c r="BX202" s="804">
        <v>1</v>
      </c>
      <c r="BY202" s="804">
        <v>3489</v>
      </c>
      <c r="BZ202" s="804">
        <v>2791</v>
      </c>
      <c r="CA202" s="804">
        <v>628</v>
      </c>
      <c r="CB202" s="804">
        <v>70</v>
      </c>
      <c r="CC202" s="804">
        <v>6978</v>
      </c>
      <c r="CD202" s="804">
        <v>452937</v>
      </c>
      <c r="CE202" s="804">
        <v>1009555</v>
      </c>
      <c r="CF202" s="804">
        <v>315242</v>
      </c>
      <c r="CG202" s="804">
        <v>27037</v>
      </c>
      <c r="CH202" s="804">
        <v>1804771</v>
      </c>
      <c r="CI202" s="804">
        <v>9852925</v>
      </c>
      <c r="CJ202" s="804">
        <v>8660383</v>
      </c>
      <c r="CK202" s="804">
        <v>2007240</v>
      </c>
      <c r="CL202" s="804">
        <v>215037</v>
      </c>
      <c r="CM202" s="804">
        <v>20735585</v>
      </c>
      <c r="CN202" s="804">
        <v>301402</v>
      </c>
      <c r="CO202" s="804">
        <v>67816</v>
      </c>
      <c r="CP202" s="804">
        <v>7535</v>
      </c>
      <c r="CQ202" s="804">
        <v>376753</v>
      </c>
      <c r="CR202" s="804">
        <v>1016092</v>
      </c>
      <c r="CS202" s="804">
        <v>228621</v>
      </c>
      <c r="CT202" s="804">
        <v>25402</v>
      </c>
      <c r="CU202" s="804">
        <v>1270115</v>
      </c>
      <c r="CV202" s="804">
        <v>39008</v>
      </c>
      <c r="CW202" s="804">
        <v>8777</v>
      </c>
      <c r="CX202" s="804">
        <v>975</v>
      </c>
      <c r="CY202" s="804">
        <v>48760</v>
      </c>
      <c r="CZ202" s="804">
        <v>0</v>
      </c>
      <c r="DA202" s="804">
        <v>0</v>
      </c>
      <c r="DB202" s="804">
        <v>0</v>
      </c>
      <c r="DC202" s="804">
        <v>0</v>
      </c>
      <c r="DD202" s="804">
        <v>0</v>
      </c>
      <c r="DE202" s="804">
        <v>0</v>
      </c>
      <c r="DF202" s="804">
        <v>0</v>
      </c>
      <c r="DG202" s="804">
        <v>0</v>
      </c>
      <c r="DH202" s="804">
        <v>4057</v>
      </c>
      <c r="DI202" s="804">
        <v>913</v>
      </c>
      <c r="DJ202" s="804">
        <v>101</v>
      </c>
      <c r="DK202" s="804">
        <v>5071</v>
      </c>
      <c r="DL202" s="804">
        <v>1176</v>
      </c>
      <c r="DM202" s="804">
        <v>264</v>
      </c>
      <c r="DN202" s="804">
        <v>29</v>
      </c>
      <c r="DO202" s="804">
        <v>1469</v>
      </c>
      <c r="DP202" s="804">
        <v>0</v>
      </c>
      <c r="DQ202" s="804">
        <v>0</v>
      </c>
      <c r="DR202" s="804">
        <v>0</v>
      </c>
      <c r="DS202" s="804">
        <v>0</v>
      </c>
      <c r="DT202" s="804">
        <v>0</v>
      </c>
      <c r="DU202" s="804">
        <v>0</v>
      </c>
      <c r="DV202" s="804">
        <v>0</v>
      </c>
      <c r="DW202" s="804">
        <v>0</v>
      </c>
      <c r="DX202" s="804">
        <v>103704</v>
      </c>
      <c r="DY202" s="804">
        <v>23333</v>
      </c>
      <c r="DZ202" s="804">
        <v>2593</v>
      </c>
      <c r="EA202" s="804">
        <v>129630</v>
      </c>
      <c r="EB202" s="804">
        <v>1465439</v>
      </c>
      <c r="EC202" s="804">
        <v>329724</v>
      </c>
      <c r="ED202" s="804">
        <v>36635</v>
      </c>
      <c r="EE202" s="804">
        <v>1831798</v>
      </c>
      <c r="EF202" s="604" t="s">
        <v>276</v>
      </c>
      <c r="EG202" s="497" t="s">
        <v>590</v>
      </c>
      <c r="EH202" s="630" t="s">
        <v>588</v>
      </c>
      <c r="EI202" s="118" t="s">
        <v>1853</v>
      </c>
    </row>
    <row r="203" spans="1:139" ht="12.75" x14ac:dyDescent="0.2">
      <c r="A203" s="805">
        <v>196</v>
      </c>
      <c r="B203" s="606" t="s">
        <v>279</v>
      </c>
      <c r="C203" s="607" t="s">
        <v>524</v>
      </c>
      <c r="D203" s="608" t="s">
        <v>1189</v>
      </c>
      <c r="E203" s="609" t="s">
        <v>540</v>
      </c>
      <c r="F203" s="802">
        <v>98250558</v>
      </c>
      <c r="G203" s="804">
        <v>0</v>
      </c>
      <c r="H203" s="804">
        <v>815683</v>
      </c>
      <c r="I203" s="804">
        <v>268778</v>
      </c>
      <c r="J203" s="804">
        <v>0</v>
      </c>
      <c r="K203" s="804">
        <v>268778</v>
      </c>
      <c r="L203" s="804">
        <v>0</v>
      </c>
      <c r="M203" s="804">
        <v>0</v>
      </c>
      <c r="N203" s="804">
        <v>350000</v>
      </c>
      <c r="O203" s="804">
        <v>350000</v>
      </c>
      <c r="P203" s="804">
        <v>0</v>
      </c>
      <c r="Q203" s="804">
        <v>0</v>
      </c>
      <c r="R203" s="804">
        <v>96816097</v>
      </c>
      <c r="S203" s="804">
        <v>0.5</v>
      </c>
      <c r="T203" s="804">
        <v>0.49</v>
      </c>
      <c r="U203" s="804">
        <v>0</v>
      </c>
      <c r="V203" s="804">
        <v>0.01</v>
      </c>
      <c r="W203" s="804">
        <v>1</v>
      </c>
      <c r="X203" s="804">
        <v>48408048</v>
      </c>
      <c r="Y203" s="804">
        <v>47439888</v>
      </c>
      <c r="Z203" s="804">
        <v>0</v>
      </c>
      <c r="AA203" s="804">
        <v>968161</v>
      </c>
      <c r="AB203" s="804">
        <v>96816097</v>
      </c>
      <c r="AC203" s="804">
        <v>0</v>
      </c>
      <c r="AD203" s="804">
        <v>0</v>
      </c>
      <c r="AE203" s="804">
        <v>0</v>
      </c>
      <c r="AF203" s="804">
        <v>0</v>
      </c>
      <c r="AG203" s="804">
        <v>0</v>
      </c>
      <c r="AH203" s="804">
        <v>48408048</v>
      </c>
      <c r="AI203" s="804">
        <v>47439888</v>
      </c>
      <c r="AJ203" s="804">
        <v>0</v>
      </c>
      <c r="AK203" s="804">
        <v>968161</v>
      </c>
      <c r="AL203" s="804">
        <v>96816097</v>
      </c>
      <c r="AM203" s="804">
        <v>268778</v>
      </c>
      <c r="AN203" s="804">
        <v>268778</v>
      </c>
      <c r="AO203" s="804">
        <v>0</v>
      </c>
      <c r="AP203" s="804">
        <v>0</v>
      </c>
      <c r="AQ203" s="804">
        <v>350000</v>
      </c>
      <c r="AR203" s="804">
        <v>0</v>
      </c>
      <c r="AS203" s="804">
        <v>350000</v>
      </c>
      <c r="AT203" s="804">
        <v>0</v>
      </c>
      <c r="AU203" s="804">
        <v>0</v>
      </c>
      <c r="AV203" s="804">
        <v>0</v>
      </c>
      <c r="AW203" s="804">
        <v>0</v>
      </c>
      <c r="AX203" s="804">
        <v>0</v>
      </c>
      <c r="AY203" s="804">
        <v>0</v>
      </c>
      <c r="AZ203" s="804">
        <v>0</v>
      </c>
      <c r="BA203" s="804">
        <v>0</v>
      </c>
      <c r="BB203" s="804">
        <v>0</v>
      </c>
      <c r="BC203" s="804">
        <v>0</v>
      </c>
      <c r="BD203" s="804">
        <v>0</v>
      </c>
      <c r="BE203" s="804">
        <v>0</v>
      </c>
      <c r="BF203" s="804">
        <v>0</v>
      </c>
      <c r="BG203" s="804">
        <v>0</v>
      </c>
      <c r="BH203" s="804">
        <v>0</v>
      </c>
      <c r="BI203" s="804">
        <v>0</v>
      </c>
      <c r="BJ203" s="804">
        <v>0.5</v>
      </c>
      <c r="BK203" s="804">
        <v>0.49</v>
      </c>
      <c r="BL203" s="804">
        <v>0</v>
      </c>
      <c r="BM203" s="804">
        <v>0.01</v>
      </c>
      <c r="BN203" s="804">
        <v>1</v>
      </c>
      <c r="BO203" s="804">
        <v>2721974</v>
      </c>
      <c r="BP203" s="804">
        <v>2667534</v>
      </c>
      <c r="BQ203" s="804">
        <v>0</v>
      </c>
      <c r="BR203" s="804">
        <v>54439</v>
      </c>
      <c r="BS203" s="804">
        <v>5443947</v>
      </c>
      <c r="BT203" s="804">
        <v>0.5</v>
      </c>
      <c r="BU203" s="804">
        <v>0.49</v>
      </c>
      <c r="BV203" s="804">
        <v>0</v>
      </c>
      <c r="BW203" s="804">
        <v>0.01</v>
      </c>
      <c r="BX203" s="804">
        <v>1</v>
      </c>
      <c r="BY203" s="804">
        <v>-332591</v>
      </c>
      <c r="BZ203" s="804">
        <v>-325940</v>
      </c>
      <c r="CA203" s="804">
        <v>0</v>
      </c>
      <c r="CB203" s="804">
        <v>-6652</v>
      </c>
      <c r="CC203" s="804">
        <v>-665183</v>
      </c>
      <c r="CD203" s="804">
        <v>2389383</v>
      </c>
      <c r="CE203" s="804">
        <v>2341594</v>
      </c>
      <c r="CF203" s="804">
        <v>0</v>
      </c>
      <c r="CG203" s="804">
        <v>47787</v>
      </c>
      <c r="CH203" s="804">
        <v>4778764</v>
      </c>
      <c r="CI203" s="804">
        <v>50797431</v>
      </c>
      <c r="CJ203" s="804">
        <v>50400260</v>
      </c>
      <c r="CK203" s="804">
        <v>0</v>
      </c>
      <c r="CL203" s="804">
        <v>1015948</v>
      </c>
      <c r="CM203" s="804">
        <v>102213639</v>
      </c>
      <c r="CN203" s="804">
        <v>1915426</v>
      </c>
      <c r="CO203" s="804">
        <v>0</v>
      </c>
      <c r="CP203" s="804">
        <v>38804</v>
      </c>
      <c r="CQ203" s="804">
        <v>1954230</v>
      </c>
      <c r="CR203" s="804">
        <v>2353743</v>
      </c>
      <c r="CS203" s="804">
        <v>0</v>
      </c>
      <c r="CT203" s="804">
        <v>48036</v>
      </c>
      <c r="CU203" s="804">
        <v>2401779</v>
      </c>
      <c r="CV203" s="804">
        <v>188663</v>
      </c>
      <c r="CW203" s="804">
        <v>0</v>
      </c>
      <c r="CX203" s="804">
        <v>3850</v>
      </c>
      <c r="CY203" s="804">
        <v>192513</v>
      </c>
      <c r="CZ203" s="804">
        <v>4692</v>
      </c>
      <c r="DA203" s="804">
        <v>0</v>
      </c>
      <c r="DB203" s="804">
        <v>96</v>
      </c>
      <c r="DC203" s="804">
        <v>4788</v>
      </c>
      <c r="DD203" s="804">
        <v>7615</v>
      </c>
      <c r="DE203" s="804">
        <v>0</v>
      </c>
      <c r="DF203" s="804">
        <v>155</v>
      </c>
      <c r="DG203" s="804">
        <v>7770</v>
      </c>
      <c r="DH203" s="804">
        <v>7135</v>
      </c>
      <c r="DI203" s="804">
        <v>0</v>
      </c>
      <c r="DJ203" s="804">
        <v>146</v>
      </c>
      <c r="DK203" s="804">
        <v>7281</v>
      </c>
      <c r="DL203" s="804">
        <v>3965</v>
      </c>
      <c r="DM203" s="804">
        <v>0</v>
      </c>
      <c r="DN203" s="804">
        <v>81</v>
      </c>
      <c r="DO203" s="804">
        <v>4046</v>
      </c>
      <c r="DP203" s="804">
        <v>0</v>
      </c>
      <c r="DQ203" s="804">
        <v>0</v>
      </c>
      <c r="DR203" s="804">
        <v>0</v>
      </c>
      <c r="DS203" s="804">
        <v>0</v>
      </c>
      <c r="DT203" s="804">
        <v>0</v>
      </c>
      <c r="DU203" s="804">
        <v>0</v>
      </c>
      <c r="DV203" s="804">
        <v>0</v>
      </c>
      <c r="DW203" s="804">
        <v>0</v>
      </c>
      <c r="DX203" s="804">
        <v>564267</v>
      </c>
      <c r="DY203" s="804">
        <v>0</v>
      </c>
      <c r="DZ203" s="804">
        <v>11516</v>
      </c>
      <c r="EA203" s="804">
        <v>575783</v>
      </c>
      <c r="EB203" s="804">
        <v>5045506</v>
      </c>
      <c r="EC203" s="804">
        <v>0</v>
      </c>
      <c r="ED203" s="804">
        <v>102684</v>
      </c>
      <c r="EE203" s="804">
        <v>5148190</v>
      </c>
      <c r="EF203" s="604" t="s">
        <v>540</v>
      </c>
      <c r="EG203" s="497" t="s">
        <v>524</v>
      </c>
      <c r="EH203" s="630" t="s">
        <v>541</v>
      </c>
      <c r="EI203" s="118" t="s">
        <v>1854</v>
      </c>
    </row>
    <row r="204" spans="1:139" ht="12.75" x14ac:dyDescent="0.2">
      <c r="A204" s="805">
        <v>197</v>
      </c>
      <c r="B204" s="606" t="s">
        <v>281</v>
      </c>
      <c r="C204" s="607" t="s">
        <v>524</v>
      </c>
      <c r="D204" s="608" t="s">
        <v>1194</v>
      </c>
      <c r="E204" s="609" t="s">
        <v>557</v>
      </c>
      <c r="F204" s="802">
        <v>92264959</v>
      </c>
      <c r="G204" s="804">
        <v>0</v>
      </c>
      <c r="H204" s="804">
        <v>979139</v>
      </c>
      <c r="I204" s="804">
        <v>311229</v>
      </c>
      <c r="J204" s="804">
        <v>0</v>
      </c>
      <c r="K204" s="804">
        <v>311229</v>
      </c>
      <c r="L204" s="804">
        <v>0</v>
      </c>
      <c r="M204" s="804">
        <v>0</v>
      </c>
      <c r="N204" s="804">
        <v>222217</v>
      </c>
      <c r="O204" s="804">
        <v>222217</v>
      </c>
      <c r="P204" s="804">
        <v>0</v>
      </c>
      <c r="Q204" s="804">
        <v>0</v>
      </c>
      <c r="R204" s="804">
        <v>90752374</v>
      </c>
      <c r="S204" s="804">
        <v>0.5</v>
      </c>
      <c r="T204" s="804">
        <v>0.49</v>
      </c>
      <c r="U204" s="804">
        <v>0</v>
      </c>
      <c r="V204" s="804">
        <v>0.01</v>
      </c>
      <c r="W204" s="804">
        <v>1</v>
      </c>
      <c r="X204" s="804">
        <v>45376187</v>
      </c>
      <c r="Y204" s="804">
        <v>44468663</v>
      </c>
      <c r="Z204" s="804">
        <v>0</v>
      </c>
      <c r="AA204" s="804">
        <v>907524</v>
      </c>
      <c r="AB204" s="804">
        <v>90752374</v>
      </c>
      <c r="AC204" s="804">
        <v>10854</v>
      </c>
      <c r="AD204" s="804">
        <v>0</v>
      </c>
      <c r="AE204" s="804">
        <v>0</v>
      </c>
      <c r="AF204" s="804">
        <v>0</v>
      </c>
      <c r="AG204" s="804">
        <v>10854</v>
      </c>
      <c r="AH204" s="804">
        <v>45365333</v>
      </c>
      <c r="AI204" s="804">
        <v>44468663</v>
      </c>
      <c r="AJ204" s="804">
        <v>0</v>
      </c>
      <c r="AK204" s="804">
        <v>907524</v>
      </c>
      <c r="AL204" s="804">
        <v>90741520</v>
      </c>
      <c r="AM204" s="804">
        <v>311229</v>
      </c>
      <c r="AN204" s="804">
        <v>311229</v>
      </c>
      <c r="AO204" s="804">
        <v>0</v>
      </c>
      <c r="AP204" s="804">
        <v>0</v>
      </c>
      <c r="AQ204" s="804">
        <v>222217</v>
      </c>
      <c r="AR204" s="804">
        <v>0</v>
      </c>
      <c r="AS204" s="804">
        <v>222217</v>
      </c>
      <c r="AT204" s="804">
        <v>0</v>
      </c>
      <c r="AU204" s="804">
        <v>0</v>
      </c>
      <c r="AV204" s="804">
        <v>0</v>
      </c>
      <c r="AW204" s="804">
        <v>0</v>
      </c>
      <c r="AX204" s="804">
        <v>10854</v>
      </c>
      <c r="AY204" s="804">
        <v>0</v>
      </c>
      <c r="AZ204" s="804">
        <v>0</v>
      </c>
      <c r="BA204" s="804">
        <v>10854</v>
      </c>
      <c r="BB204" s="804">
        <v>0</v>
      </c>
      <c r="BC204" s="804">
        <v>0</v>
      </c>
      <c r="BD204" s="804">
        <v>0</v>
      </c>
      <c r="BE204" s="804">
        <v>0</v>
      </c>
      <c r="BF204" s="804">
        <v>0</v>
      </c>
      <c r="BG204" s="804">
        <v>0</v>
      </c>
      <c r="BH204" s="804">
        <v>0</v>
      </c>
      <c r="BI204" s="804">
        <v>0</v>
      </c>
      <c r="BJ204" s="804">
        <v>0.5</v>
      </c>
      <c r="BK204" s="804">
        <v>0.49</v>
      </c>
      <c r="BL204" s="804">
        <v>0</v>
      </c>
      <c r="BM204" s="804">
        <v>0.01</v>
      </c>
      <c r="BN204" s="804">
        <v>1</v>
      </c>
      <c r="BO204" s="804">
        <v>-1436715</v>
      </c>
      <c r="BP204" s="804">
        <v>-1407981</v>
      </c>
      <c r="BQ204" s="804">
        <v>0</v>
      </c>
      <c r="BR204" s="804">
        <v>-28734</v>
      </c>
      <c r="BS204" s="804">
        <v>-2873430</v>
      </c>
      <c r="BT204" s="804">
        <v>0</v>
      </c>
      <c r="BU204" s="804">
        <v>0.99</v>
      </c>
      <c r="BV204" s="804">
        <v>0</v>
      </c>
      <c r="BW204" s="804">
        <v>0.01</v>
      </c>
      <c r="BX204" s="804">
        <v>1</v>
      </c>
      <c r="BY204" s="804">
        <v>0.20000000298023224</v>
      </c>
      <c r="BZ204" s="804">
        <v>1058686</v>
      </c>
      <c r="CA204" s="804">
        <v>0</v>
      </c>
      <c r="CB204" s="804">
        <v>10694</v>
      </c>
      <c r="CC204" s="804">
        <v>1069380.200000003</v>
      </c>
      <c r="CD204" s="804">
        <v>-1436715</v>
      </c>
      <c r="CE204" s="804">
        <v>-349295</v>
      </c>
      <c r="CF204" s="804">
        <v>0</v>
      </c>
      <c r="CG204" s="804">
        <v>-18040</v>
      </c>
      <c r="CH204" s="804">
        <v>-1804049.799999997</v>
      </c>
      <c r="CI204" s="804">
        <v>43928618</v>
      </c>
      <c r="CJ204" s="804">
        <v>44663668</v>
      </c>
      <c r="CK204" s="804">
        <v>0</v>
      </c>
      <c r="CL204" s="804">
        <v>889484</v>
      </c>
      <c r="CM204" s="804">
        <v>89481770</v>
      </c>
      <c r="CN204" s="804">
        <v>1791653</v>
      </c>
      <c r="CO204" s="804">
        <v>0</v>
      </c>
      <c r="CP204" s="804">
        <v>36374</v>
      </c>
      <c r="CQ204" s="804">
        <v>1828027</v>
      </c>
      <c r="CR204" s="804">
        <v>2988429</v>
      </c>
      <c r="CS204" s="804">
        <v>0</v>
      </c>
      <c r="CT204" s="804">
        <v>60988</v>
      </c>
      <c r="CU204" s="804">
        <v>3049417</v>
      </c>
      <c r="CV204" s="804">
        <v>193031</v>
      </c>
      <c r="CW204" s="804">
        <v>0</v>
      </c>
      <c r="CX204" s="804">
        <v>3939</v>
      </c>
      <c r="CY204" s="804">
        <v>196970</v>
      </c>
      <c r="CZ204" s="804">
        <v>5740</v>
      </c>
      <c r="DA204" s="804">
        <v>0</v>
      </c>
      <c r="DB204" s="804">
        <v>117</v>
      </c>
      <c r="DC204" s="804">
        <v>5857</v>
      </c>
      <c r="DD204" s="804">
        <v>0</v>
      </c>
      <c r="DE204" s="804">
        <v>0</v>
      </c>
      <c r="DF204" s="804">
        <v>0</v>
      </c>
      <c r="DG204" s="804">
        <v>0</v>
      </c>
      <c r="DH204" s="804">
        <v>6584</v>
      </c>
      <c r="DI204" s="804">
        <v>0</v>
      </c>
      <c r="DJ204" s="804">
        <v>134</v>
      </c>
      <c r="DK204" s="804">
        <v>6718</v>
      </c>
      <c r="DL204" s="804">
        <v>6457</v>
      </c>
      <c r="DM204" s="804">
        <v>0</v>
      </c>
      <c r="DN204" s="804">
        <v>132</v>
      </c>
      <c r="DO204" s="804">
        <v>6589</v>
      </c>
      <c r="DP204" s="804">
        <v>0</v>
      </c>
      <c r="DQ204" s="804">
        <v>0</v>
      </c>
      <c r="DR204" s="804">
        <v>0</v>
      </c>
      <c r="DS204" s="804">
        <v>0</v>
      </c>
      <c r="DT204" s="804">
        <v>0</v>
      </c>
      <c r="DU204" s="804">
        <v>0</v>
      </c>
      <c r="DV204" s="804">
        <v>0</v>
      </c>
      <c r="DW204" s="804">
        <v>0</v>
      </c>
      <c r="DX204" s="804">
        <v>968734</v>
      </c>
      <c r="DY204" s="804">
        <v>0</v>
      </c>
      <c r="DZ204" s="804">
        <v>19770</v>
      </c>
      <c r="EA204" s="804">
        <v>988504</v>
      </c>
      <c r="EB204" s="804">
        <v>5960628</v>
      </c>
      <c r="EC204" s="804">
        <v>0</v>
      </c>
      <c r="ED204" s="804">
        <v>121454</v>
      </c>
      <c r="EE204" s="804">
        <v>6082082</v>
      </c>
      <c r="EF204" s="604" t="s">
        <v>557</v>
      </c>
      <c r="EG204" s="497" t="s">
        <v>524</v>
      </c>
      <c r="EH204" s="630" t="s">
        <v>558</v>
      </c>
      <c r="EI204" s="118" t="s">
        <v>1855</v>
      </c>
    </row>
    <row r="205" spans="1:139" ht="12.75" x14ac:dyDescent="0.2">
      <c r="A205" s="805">
        <v>198</v>
      </c>
      <c r="B205" s="606" t="s">
        <v>283</v>
      </c>
      <c r="C205" s="607" t="s">
        <v>524</v>
      </c>
      <c r="D205" s="608" t="s">
        <v>1186</v>
      </c>
      <c r="E205" s="609" t="s">
        <v>572</v>
      </c>
      <c r="F205" s="802">
        <v>85332468</v>
      </c>
      <c r="G205" s="804">
        <v>0</v>
      </c>
      <c r="H205" s="804">
        <v>0</v>
      </c>
      <c r="I205" s="804">
        <v>272658</v>
      </c>
      <c r="J205" s="804">
        <v>0</v>
      </c>
      <c r="K205" s="804">
        <v>272658</v>
      </c>
      <c r="L205" s="804">
        <v>0</v>
      </c>
      <c r="M205" s="804">
        <v>0</v>
      </c>
      <c r="N205" s="804">
        <v>0</v>
      </c>
      <c r="O205" s="804">
        <v>0</v>
      </c>
      <c r="P205" s="804">
        <v>0</v>
      </c>
      <c r="Q205" s="804">
        <v>0</v>
      </c>
      <c r="R205" s="804">
        <v>85059810</v>
      </c>
      <c r="S205" s="804">
        <v>0.5</v>
      </c>
      <c r="T205" s="804">
        <v>0.49</v>
      </c>
      <c r="U205" s="804">
        <v>0</v>
      </c>
      <c r="V205" s="804">
        <v>0.01</v>
      </c>
      <c r="W205" s="804">
        <v>1</v>
      </c>
      <c r="X205" s="804">
        <v>42529905</v>
      </c>
      <c r="Y205" s="804">
        <v>41679307</v>
      </c>
      <c r="Z205" s="804">
        <v>0</v>
      </c>
      <c r="AA205" s="804">
        <v>850598</v>
      </c>
      <c r="AB205" s="804">
        <v>85059810</v>
      </c>
      <c r="AC205" s="804">
        <v>0</v>
      </c>
      <c r="AD205" s="804">
        <v>0</v>
      </c>
      <c r="AE205" s="804">
        <v>0</v>
      </c>
      <c r="AF205" s="804">
        <v>0</v>
      </c>
      <c r="AG205" s="804">
        <v>0</v>
      </c>
      <c r="AH205" s="804">
        <v>42529905</v>
      </c>
      <c r="AI205" s="804">
        <v>41679307</v>
      </c>
      <c r="AJ205" s="804">
        <v>0</v>
      </c>
      <c r="AK205" s="804">
        <v>850598</v>
      </c>
      <c r="AL205" s="804">
        <v>85059810</v>
      </c>
      <c r="AM205" s="804">
        <v>272658</v>
      </c>
      <c r="AN205" s="804">
        <v>272658</v>
      </c>
      <c r="AO205" s="804">
        <v>0</v>
      </c>
      <c r="AP205" s="804">
        <v>0</v>
      </c>
      <c r="AQ205" s="804">
        <v>0</v>
      </c>
      <c r="AR205" s="804">
        <v>0</v>
      </c>
      <c r="AS205" s="804">
        <v>0</v>
      </c>
      <c r="AT205" s="804">
        <v>0</v>
      </c>
      <c r="AU205" s="804">
        <v>0</v>
      </c>
      <c r="AV205" s="804">
        <v>0</v>
      </c>
      <c r="AW205" s="804">
        <v>0</v>
      </c>
      <c r="AX205" s="804">
        <v>0</v>
      </c>
      <c r="AY205" s="804">
        <v>0</v>
      </c>
      <c r="AZ205" s="804">
        <v>0</v>
      </c>
      <c r="BA205" s="804">
        <v>0</v>
      </c>
      <c r="BB205" s="804">
        <v>0</v>
      </c>
      <c r="BC205" s="804">
        <v>0</v>
      </c>
      <c r="BD205" s="804">
        <v>0</v>
      </c>
      <c r="BE205" s="804">
        <v>0</v>
      </c>
      <c r="BF205" s="804">
        <v>0</v>
      </c>
      <c r="BG205" s="804">
        <v>0</v>
      </c>
      <c r="BH205" s="804">
        <v>0</v>
      </c>
      <c r="BI205" s="804">
        <v>0</v>
      </c>
      <c r="BJ205" s="804">
        <v>0.25</v>
      </c>
      <c r="BK205" s="804">
        <v>0.74</v>
      </c>
      <c r="BL205" s="804">
        <v>0</v>
      </c>
      <c r="BM205" s="804">
        <v>0.01</v>
      </c>
      <c r="BN205" s="804">
        <v>1</v>
      </c>
      <c r="BO205" s="804">
        <v>-59790</v>
      </c>
      <c r="BP205" s="804">
        <v>-176981</v>
      </c>
      <c r="BQ205" s="804">
        <v>0</v>
      </c>
      <c r="BR205" s="804">
        <v>-2392</v>
      </c>
      <c r="BS205" s="804">
        <v>-239163</v>
      </c>
      <c r="BT205" s="804">
        <v>0</v>
      </c>
      <c r="BU205" s="804">
        <v>0.99</v>
      </c>
      <c r="BV205" s="804">
        <v>0</v>
      </c>
      <c r="BW205" s="804">
        <v>0.01</v>
      </c>
      <c r="BX205" s="804">
        <v>1</v>
      </c>
      <c r="BY205" s="804">
        <v>0</v>
      </c>
      <c r="BZ205" s="804">
        <v>1463753</v>
      </c>
      <c r="CA205" s="804">
        <v>0</v>
      </c>
      <c r="CB205" s="804">
        <v>14785</v>
      </c>
      <c r="CC205" s="804">
        <v>1478538</v>
      </c>
      <c r="CD205" s="804">
        <v>-59790</v>
      </c>
      <c r="CE205" s="804">
        <v>1286772</v>
      </c>
      <c r="CF205" s="804">
        <v>0</v>
      </c>
      <c r="CG205" s="804">
        <v>12393</v>
      </c>
      <c r="CH205" s="804">
        <v>1239375</v>
      </c>
      <c r="CI205" s="804">
        <v>42470115</v>
      </c>
      <c r="CJ205" s="804">
        <v>43238737</v>
      </c>
      <c r="CK205" s="804">
        <v>0</v>
      </c>
      <c r="CL205" s="804">
        <v>862991</v>
      </c>
      <c r="CM205" s="804">
        <v>86571843</v>
      </c>
      <c r="CN205" s="804">
        <v>1670513</v>
      </c>
      <c r="CO205" s="804">
        <v>0</v>
      </c>
      <c r="CP205" s="804">
        <v>34092</v>
      </c>
      <c r="CQ205" s="804">
        <v>1704605</v>
      </c>
      <c r="CR205" s="804">
        <v>2390311</v>
      </c>
      <c r="CS205" s="804">
        <v>0</v>
      </c>
      <c r="CT205" s="804">
        <v>48782</v>
      </c>
      <c r="CU205" s="804">
        <v>2439093</v>
      </c>
      <c r="CV205" s="804">
        <v>186235</v>
      </c>
      <c r="CW205" s="804">
        <v>0</v>
      </c>
      <c r="CX205" s="804">
        <v>3801</v>
      </c>
      <c r="CY205" s="804">
        <v>190036</v>
      </c>
      <c r="CZ205" s="804">
        <v>0</v>
      </c>
      <c r="DA205" s="804">
        <v>0</v>
      </c>
      <c r="DB205" s="804">
        <v>0</v>
      </c>
      <c r="DC205" s="804">
        <v>0</v>
      </c>
      <c r="DD205" s="804">
        <v>0</v>
      </c>
      <c r="DE205" s="804">
        <v>0</v>
      </c>
      <c r="DF205" s="804">
        <v>0</v>
      </c>
      <c r="DG205" s="804">
        <v>0</v>
      </c>
      <c r="DH205" s="804">
        <v>7645</v>
      </c>
      <c r="DI205" s="804">
        <v>0</v>
      </c>
      <c r="DJ205" s="804">
        <v>156</v>
      </c>
      <c r="DK205" s="804">
        <v>7801</v>
      </c>
      <c r="DL205" s="804">
        <v>7594</v>
      </c>
      <c r="DM205" s="804">
        <v>0</v>
      </c>
      <c r="DN205" s="804">
        <v>155</v>
      </c>
      <c r="DO205" s="804">
        <v>7749</v>
      </c>
      <c r="DP205" s="804">
        <v>0</v>
      </c>
      <c r="DQ205" s="804">
        <v>0</v>
      </c>
      <c r="DR205" s="804">
        <v>0</v>
      </c>
      <c r="DS205" s="804">
        <v>0</v>
      </c>
      <c r="DT205" s="804">
        <v>0</v>
      </c>
      <c r="DU205" s="804">
        <v>0</v>
      </c>
      <c r="DV205" s="804">
        <v>0</v>
      </c>
      <c r="DW205" s="804">
        <v>0</v>
      </c>
      <c r="DX205" s="804">
        <v>932283</v>
      </c>
      <c r="DY205" s="804">
        <v>0</v>
      </c>
      <c r="DZ205" s="804">
        <v>19026</v>
      </c>
      <c r="EA205" s="804">
        <v>951309</v>
      </c>
      <c r="EB205" s="804">
        <v>5194581</v>
      </c>
      <c r="EC205" s="804">
        <v>0</v>
      </c>
      <c r="ED205" s="804">
        <v>106012</v>
      </c>
      <c r="EE205" s="804">
        <v>5300593</v>
      </c>
      <c r="EF205" s="604" t="s">
        <v>572</v>
      </c>
      <c r="EG205" s="497" t="s">
        <v>524</v>
      </c>
      <c r="EH205" s="630" t="s">
        <v>573</v>
      </c>
      <c r="EI205" s="118" t="s">
        <v>1856</v>
      </c>
    </row>
    <row r="206" spans="1:139" ht="12.75" x14ac:dyDescent="0.2">
      <c r="A206" s="805">
        <v>199</v>
      </c>
      <c r="B206" s="606" t="s">
        <v>285</v>
      </c>
      <c r="C206" s="607" t="s">
        <v>1185</v>
      </c>
      <c r="D206" s="608" t="s">
        <v>1187</v>
      </c>
      <c r="E206" s="609" t="s">
        <v>284</v>
      </c>
      <c r="F206" s="802">
        <v>56358852</v>
      </c>
      <c r="G206" s="804">
        <v>0</v>
      </c>
      <c r="H206" s="804">
        <v>2246730</v>
      </c>
      <c r="I206" s="804">
        <v>241520</v>
      </c>
      <c r="J206" s="804">
        <v>0</v>
      </c>
      <c r="K206" s="804">
        <v>241520</v>
      </c>
      <c r="L206" s="804">
        <v>0</v>
      </c>
      <c r="M206" s="804">
        <v>0</v>
      </c>
      <c r="N206" s="804">
        <v>22095</v>
      </c>
      <c r="O206" s="804">
        <v>22095</v>
      </c>
      <c r="P206" s="804">
        <v>0</v>
      </c>
      <c r="Q206" s="804">
        <v>0</v>
      </c>
      <c r="R206" s="804">
        <v>53848507</v>
      </c>
      <c r="S206" s="804">
        <v>0.5</v>
      </c>
      <c r="T206" s="804">
        <v>0.4</v>
      </c>
      <c r="U206" s="804">
        <v>0.09</v>
      </c>
      <c r="V206" s="804">
        <v>0.01</v>
      </c>
      <c r="W206" s="804">
        <v>1</v>
      </c>
      <c r="X206" s="804">
        <v>26924253</v>
      </c>
      <c r="Y206" s="804">
        <v>21539403</v>
      </c>
      <c r="Z206" s="804">
        <v>4846366</v>
      </c>
      <c r="AA206" s="804">
        <v>538485</v>
      </c>
      <c r="AB206" s="804">
        <v>53848507</v>
      </c>
      <c r="AC206" s="804">
        <v>0</v>
      </c>
      <c r="AD206" s="804">
        <v>0</v>
      </c>
      <c r="AE206" s="804">
        <v>0</v>
      </c>
      <c r="AF206" s="804">
        <v>0</v>
      </c>
      <c r="AG206" s="804">
        <v>0</v>
      </c>
      <c r="AH206" s="804">
        <v>26924253</v>
      </c>
      <c r="AI206" s="804">
        <v>21539403</v>
      </c>
      <c r="AJ206" s="804">
        <v>4846366</v>
      </c>
      <c r="AK206" s="804">
        <v>538485</v>
      </c>
      <c r="AL206" s="804">
        <v>53848507</v>
      </c>
      <c r="AM206" s="804">
        <v>241520</v>
      </c>
      <c r="AN206" s="804">
        <v>241520</v>
      </c>
      <c r="AO206" s="804">
        <v>0</v>
      </c>
      <c r="AP206" s="804">
        <v>0</v>
      </c>
      <c r="AQ206" s="804">
        <v>22095</v>
      </c>
      <c r="AR206" s="804">
        <v>0</v>
      </c>
      <c r="AS206" s="804">
        <v>22095</v>
      </c>
      <c r="AT206" s="804">
        <v>0</v>
      </c>
      <c r="AU206" s="804">
        <v>0</v>
      </c>
      <c r="AV206" s="804">
        <v>0</v>
      </c>
      <c r="AW206" s="804">
        <v>0</v>
      </c>
      <c r="AX206" s="804">
        <v>0</v>
      </c>
      <c r="AY206" s="804">
        <v>0</v>
      </c>
      <c r="AZ206" s="804">
        <v>0</v>
      </c>
      <c r="BA206" s="804">
        <v>0</v>
      </c>
      <c r="BB206" s="804">
        <v>0</v>
      </c>
      <c r="BC206" s="804">
        <v>0</v>
      </c>
      <c r="BD206" s="804">
        <v>0</v>
      </c>
      <c r="BE206" s="804">
        <v>0</v>
      </c>
      <c r="BF206" s="804">
        <v>0</v>
      </c>
      <c r="BG206" s="804">
        <v>0</v>
      </c>
      <c r="BH206" s="804">
        <v>0</v>
      </c>
      <c r="BI206" s="804">
        <v>0</v>
      </c>
      <c r="BJ206" s="804">
        <v>0.25</v>
      </c>
      <c r="BK206" s="804">
        <v>0.56000000000000005</v>
      </c>
      <c r="BL206" s="804">
        <v>0.17499999999999999</v>
      </c>
      <c r="BM206" s="804">
        <v>1.4999999999999999E-2</v>
      </c>
      <c r="BN206" s="804">
        <v>1</v>
      </c>
      <c r="BO206" s="804">
        <v>58382</v>
      </c>
      <c r="BP206" s="804">
        <v>130776</v>
      </c>
      <c r="BQ206" s="804">
        <v>40868</v>
      </c>
      <c r="BR206" s="804">
        <v>3503</v>
      </c>
      <c r="BS206" s="804">
        <v>233529</v>
      </c>
      <c r="BT206" s="804">
        <v>0.5</v>
      </c>
      <c r="BU206" s="804">
        <v>0.4</v>
      </c>
      <c r="BV206" s="804">
        <v>0.09</v>
      </c>
      <c r="BW206" s="804">
        <v>0.01</v>
      </c>
      <c r="BX206" s="804">
        <v>1</v>
      </c>
      <c r="BY206" s="804">
        <v>-174812.60000000149</v>
      </c>
      <c r="BZ206" s="804">
        <v>-139849</v>
      </c>
      <c r="CA206" s="804">
        <v>-31466</v>
      </c>
      <c r="CB206" s="804">
        <v>-3496</v>
      </c>
      <c r="CC206" s="804">
        <v>-349623.60000000149</v>
      </c>
      <c r="CD206" s="804">
        <v>-116431</v>
      </c>
      <c r="CE206" s="804">
        <v>-9073</v>
      </c>
      <c r="CF206" s="804">
        <v>9402</v>
      </c>
      <c r="CG206" s="804">
        <v>7</v>
      </c>
      <c r="CH206" s="804">
        <v>-116094.60000000149</v>
      </c>
      <c r="CI206" s="804">
        <v>26807822</v>
      </c>
      <c r="CJ206" s="804">
        <v>21793945</v>
      </c>
      <c r="CK206" s="804">
        <v>4855768</v>
      </c>
      <c r="CL206" s="804">
        <v>538492</v>
      </c>
      <c r="CM206" s="804">
        <v>53996027</v>
      </c>
      <c r="CN206" s="804">
        <v>864188</v>
      </c>
      <c r="CO206" s="804">
        <v>194243</v>
      </c>
      <c r="CP206" s="804">
        <v>21583</v>
      </c>
      <c r="CQ206" s="804">
        <v>1080014</v>
      </c>
      <c r="CR206" s="804">
        <v>1612757</v>
      </c>
      <c r="CS206" s="804">
        <v>362870</v>
      </c>
      <c r="CT206" s="804">
        <v>40319</v>
      </c>
      <c r="CU206" s="804">
        <v>2015946</v>
      </c>
      <c r="CV206" s="804">
        <v>106194</v>
      </c>
      <c r="CW206" s="804">
        <v>23894</v>
      </c>
      <c r="CX206" s="804">
        <v>2655</v>
      </c>
      <c r="CY206" s="804">
        <v>132743</v>
      </c>
      <c r="CZ206" s="804">
        <v>0</v>
      </c>
      <c r="DA206" s="804">
        <v>0</v>
      </c>
      <c r="DB206" s="804">
        <v>0</v>
      </c>
      <c r="DC206" s="804">
        <v>0</v>
      </c>
      <c r="DD206" s="804">
        <v>2096</v>
      </c>
      <c r="DE206" s="804">
        <v>471</v>
      </c>
      <c r="DF206" s="804">
        <v>52</v>
      </c>
      <c r="DG206" s="804">
        <v>2619</v>
      </c>
      <c r="DH206" s="804">
        <v>1319</v>
      </c>
      <c r="DI206" s="804">
        <v>297</v>
      </c>
      <c r="DJ206" s="804">
        <v>33</v>
      </c>
      <c r="DK206" s="804">
        <v>1649</v>
      </c>
      <c r="DL206" s="804">
        <v>1195</v>
      </c>
      <c r="DM206" s="804">
        <v>269</v>
      </c>
      <c r="DN206" s="804">
        <v>30</v>
      </c>
      <c r="DO206" s="804">
        <v>1494</v>
      </c>
      <c r="DP206" s="804">
        <v>0</v>
      </c>
      <c r="DQ206" s="804">
        <v>0</v>
      </c>
      <c r="DR206" s="804">
        <v>0</v>
      </c>
      <c r="DS206" s="804">
        <v>0</v>
      </c>
      <c r="DT206" s="804">
        <v>0</v>
      </c>
      <c r="DU206" s="804">
        <v>0</v>
      </c>
      <c r="DV206" s="804">
        <v>0</v>
      </c>
      <c r="DW206" s="804">
        <v>0</v>
      </c>
      <c r="DX206" s="804">
        <v>905958</v>
      </c>
      <c r="DY206" s="804">
        <v>203840</v>
      </c>
      <c r="DZ206" s="804">
        <v>22649</v>
      </c>
      <c r="EA206" s="804">
        <v>1132447</v>
      </c>
      <c r="EB206" s="804">
        <v>3493707</v>
      </c>
      <c r="EC206" s="804">
        <v>785884</v>
      </c>
      <c r="ED206" s="804">
        <v>87321</v>
      </c>
      <c r="EE206" s="804">
        <v>4366912</v>
      </c>
      <c r="EF206" s="604" t="s">
        <v>284</v>
      </c>
      <c r="EG206" s="497" t="s">
        <v>590</v>
      </c>
      <c r="EH206" s="630" t="s">
        <v>588</v>
      </c>
      <c r="EI206" s="118" t="s">
        <v>1857</v>
      </c>
    </row>
    <row r="207" spans="1:139" ht="12.75" x14ac:dyDescent="0.2">
      <c r="A207" s="805">
        <v>200</v>
      </c>
      <c r="B207" s="606" t="s">
        <v>287</v>
      </c>
      <c r="C207" s="607" t="s">
        <v>524</v>
      </c>
      <c r="D207" s="608" t="s">
        <v>1186</v>
      </c>
      <c r="E207" s="609" t="s">
        <v>534</v>
      </c>
      <c r="F207" s="802">
        <v>140011045</v>
      </c>
      <c r="G207" s="804">
        <v>116089</v>
      </c>
      <c r="H207" s="804">
        <v>0</v>
      </c>
      <c r="I207" s="804">
        <v>288133</v>
      </c>
      <c r="J207" s="804">
        <v>0</v>
      </c>
      <c r="K207" s="804">
        <v>288133</v>
      </c>
      <c r="L207" s="804">
        <v>0</v>
      </c>
      <c r="M207" s="804">
        <v>0</v>
      </c>
      <c r="N207" s="804">
        <v>0</v>
      </c>
      <c r="O207" s="804">
        <v>0</v>
      </c>
      <c r="P207" s="804">
        <v>0</v>
      </c>
      <c r="Q207" s="804">
        <v>0</v>
      </c>
      <c r="R207" s="804">
        <v>139839001</v>
      </c>
      <c r="S207" s="804">
        <v>0.5</v>
      </c>
      <c r="T207" s="804">
        <v>0.49</v>
      </c>
      <c r="U207" s="804">
        <v>0</v>
      </c>
      <c r="V207" s="804">
        <v>0.01</v>
      </c>
      <c r="W207" s="804">
        <v>1</v>
      </c>
      <c r="X207" s="804">
        <v>69919501</v>
      </c>
      <c r="Y207" s="804">
        <v>68521110</v>
      </c>
      <c r="Z207" s="804">
        <v>0</v>
      </c>
      <c r="AA207" s="804">
        <v>1398390</v>
      </c>
      <c r="AB207" s="804">
        <v>139839001</v>
      </c>
      <c r="AC207" s="804">
        <v>0</v>
      </c>
      <c r="AD207" s="804">
        <v>0</v>
      </c>
      <c r="AE207" s="804">
        <v>0</v>
      </c>
      <c r="AF207" s="804">
        <v>0</v>
      </c>
      <c r="AG207" s="804">
        <v>0</v>
      </c>
      <c r="AH207" s="804">
        <v>69919501</v>
      </c>
      <c r="AI207" s="804">
        <v>68521110</v>
      </c>
      <c r="AJ207" s="804">
        <v>0</v>
      </c>
      <c r="AK207" s="804">
        <v>1398390</v>
      </c>
      <c r="AL207" s="804">
        <v>139839001</v>
      </c>
      <c r="AM207" s="804">
        <v>288133</v>
      </c>
      <c r="AN207" s="804">
        <v>288133</v>
      </c>
      <c r="AO207" s="804">
        <v>0</v>
      </c>
      <c r="AP207" s="804">
        <v>0</v>
      </c>
      <c r="AQ207" s="804">
        <v>0</v>
      </c>
      <c r="AR207" s="804">
        <v>0</v>
      </c>
      <c r="AS207" s="804">
        <v>0</v>
      </c>
      <c r="AT207" s="804">
        <v>0</v>
      </c>
      <c r="AU207" s="804">
        <v>0</v>
      </c>
      <c r="AV207" s="804">
        <v>0</v>
      </c>
      <c r="AW207" s="804">
        <v>0</v>
      </c>
      <c r="AX207" s="804">
        <v>0</v>
      </c>
      <c r="AY207" s="804">
        <v>0</v>
      </c>
      <c r="AZ207" s="804">
        <v>0</v>
      </c>
      <c r="BA207" s="804">
        <v>0</v>
      </c>
      <c r="BB207" s="804">
        <v>0</v>
      </c>
      <c r="BC207" s="804">
        <v>0</v>
      </c>
      <c r="BD207" s="804">
        <v>0</v>
      </c>
      <c r="BE207" s="804">
        <v>0</v>
      </c>
      <c r="BF207" s="804">
        <v>0</v>
      </c>
      <c r="BG207" s="804">
        <v>0</v>
      </c>
      <c r="BH207" s="804">
        <v>0</v>
      </c>
      <c r="BI207" s="804">
        <v>0</v>
      </c>
      <c r="BJ207" s="804">
        <v>0.25</v>
      </c>
      <c r="BK207" s="804">
        <v>0.74</v>
      </c>
      <c r="BL207" s="804">
        <v>0</v>
      </c>
      <c r="BM207" s="804">
        <v>0.01</v>
      </c>
      <c r="BN207" s="804">
        <v>1</v>
      </c>
      <c r="BO207" s="804">
        <v>617531.99999999069</v>
      </c>
      <c r="BP207" s="804">
        <v>1827894</v>
      </c>
      <c r="BQ207" s="804">
        <v>0</v>
      </c>
      <c r="BR207" s="804">
        <v>24701</v>
      </c>
      <c r="BS207" s="804">
        <v>2470126.9999999907</v>
      </c>
      <c r="BT207" s="804">
        <v>0</v>
      </c>
      <c r="BU207" s="804">
        <v>0.99</v>
      </c>
      <c r="BV207" s="804">
        <v>0</v>
      </c>
      <c r="BW207" s="804">
        <v>0.01</v>
      </c>
      <c r="BX207" s="804">
        <v>1</v>
      </c>
      <c r="BY207" s="804">
        <v>-0.27999999187886715</v>
      </c>
      <c r="BZ207" s="804">
        <v>8471939</v>
      </c>
      <c r="CA207" s="804">
        <v>0</v>
      </c>
      <c r="CB207" s="804">
        <v>85575</v>
      </c>
      <c r="CC207" s="804">
        <v>8557513.7200000081</v>
      </c>
      <c r="CD207" s="804">
        <v>617532</v>
      </c>
      <c r="CE207" s="804">
        <v>10299833</v>
      </c>
      <c r="CF207" s="804">
        <v>0</v>
      </c>
      <c r="CG207" s="804">
        <v>110276</v>
      </c>
      <c r="CH207" s="804">
        <v>11027640.719999999</v>
      </c>
      <c r="CI207" s="804">
        <v>70537033</v>
      </c>
      <c r="CJ207" s="804">
        <v>79109076</v>
      </c>
      <c r="CK207" s="804">
        <v>0</v>
      </c>
      <c r="CL207" s="804">
        <v>1508666</v>
      </c>
      <c r="CM207" s="804">
        <v>151154775</v>
      </c>
      <c r="CN207" s="804">
        <v>2746337</v>
      </c>
      <c r="CO207" s="804">
        <v>0</v>
      </c>
      <c r="CP207" s="804">
        <v>56048</v>
      </c>
      <c r="CQ207" s="804">
        <v>2802385</v>
      </c>
      <c r="CR207" s="804">
        <v>1415621</v>
      </c>
      <c r="CS207" s="804">
        <v>0</v>
      </c>
      <c r="CT207" s="804">
        <v>28890</v>
      </c>
      <c r="CU207" s="804">
        <v>1444511</v>
      </c>
      <c r="CV207" s="804">
        <v>177640</v>
      </c>
      <c r="CW207" s="804">
        <v>0</v>
      </c>
      <c r="CX207" s="804">
        <v>3625</v>
      </c>
      <c r="CY207" s="804">
        <v>181265</v>
      </c>
      <c r="CZ207" s="804">
        <v>3103</v>
      </c>
      <c r="DA207" s="804">
        <v>0</v>
      </c>
      <c r="DB207" s="804">
        <v>63</v>
      </c>
      <c r="DC207" s="804">
        <v>3166</v>
      </c>
      <c r="DD207" s="804">
        <v>0</v>
      </c>
      <c r="DE207" s="804">
        <v>0</v>
      </c>
      <c r="DF207" s="804">
        <v>0</v>
      </c>
      <c r="DG207" s="804">
        <v>0</v>
      </c>
      <c r="DH207" s="804">
        <v>28284</v>
      </c>
      <c r="DI207" s="804">
        <v>0</v>
      </c>
      <c r="DJ207" s="804">
        <v>577</v>
      </c>
      <c r="DK207" s="804">
        <v>28861</v>
      </c>
      <c r="DL207" s="804">
        <v>14764</v>
      </c>
      <c r="DM207" s="804">
        <v>0</v>
      </c>
      <c r="DN207" s="804">
        <v>301</v>
      </c>
      <c r="DO207" s="804">
        <v>15065</v>
      </c>
      <c r="DP207" s="804">
        <v>0</v>
      </c>
      <c r="DQ207" s="804">
        <v>0</v>
      </c>
      <c r="DR207" s="804">
        <v>0</v>
      </c>
      <c r="DS207" s="804">
        <v>0</v>
      </c>
      <c r="DT207" s="804">
        <v>0</v>
      </c>
      <c r="DU207" s="804">
        <v>0</v>
      </c>
      <c r="DV207" s="804">
        <v>0</v>
      </c>
      <c r="DW207" s="804">
        <v>0</v>
      </c>
      <c r="DX207" s="804">
        <v>784870</v>
      </c>
      <c r="DY207" s="804">
        <v>0</v>
      </c>
      <c r="DZ207" s="804">
        <v>16018</v>
      </c>
      <c r="EA207" s="804">
        <v>800888</v>
      </c>
      <c r="EB207" s="804">
        <v>5170619</v>
      </c>
      <c r="EC207" s="804">
        <v>0</v>
      </c>
      <c r="ED207" s="804">
        <v>105522</v>
      </c>
      <c r="EE207" s="804">
        <v>5276141</v>
      </c>
      <c r="EF207" s="604" t="s">
        <v>534</v>
      </c>
      <c r="EG207" s="497" t="s">
        <v>524</v>
      </c>
      <c r="EH207" s="630" t="s">
        <v>532</v>
      </c>
      <c r="EI207" s="118" t="s">
        <v>1858</v>
      </c>
    </row>
    <row r="208" spans="1:139" ht="12.75" x14ac:dyDescent="0.2">
      <c r="A208" s="805">
        <v>201</v>
      </c>
      <c r="B208" s="606" t="s">
        <v>289</v>
      </c>
      <c r="C208" s="607" t="s">
        <v>1190</v>
      </c>
      <c r="D208" s="608" t="s">
        <v>1191</v>
      </c>
      <c r="E208" s="609" t="s">
        <v>288</v>
      </c>
      <c r="F208" s="802">
        <v>55332944</v>
      </c>
      <c r="G208" s="804">
        <v>830514</v>
      </c>
      <c r="H208" s="804">
        <v>0</v>
      </c>
      <c r="I208" s="804">
        <v>276494</v>
      </c>
      <c r="J208" s="804">
        <v>0</v>
      </c>
      <c r="K208" s="804">
        <v>276494</v>
      </c>
      <c r="L208" s="804">
        <v>0</v>
      </c>
      <c r="M208" s="804">
        <v>0</v>
      </c>
      <c r="N208" s="804">
        <v>0</v>
      </c>
      <c r="O208" s="804">
        <v>0</v>
      </c>
      <c r="P208" s="804">
        <v>0</v>
      </c>
      <c r="Q208" s="804">
        <v>0</v>
      </c>
      <c r="R208" s="804">
        <v>55886964</v>
      </c>
      <c r="S208" s="804">
        <v>0.33</v>
      </c>
      <c r="T208" s="804">
        <v>0.3</v>
      </c>
      <c r="U208" s="804">
        <v>0.37</v>
      </c>
      <c r="V208" s="804">
        <v>0</v>
      </c>
      <c r="W208" s="804">
        <v>1</v>
      </c>
      <c r="X208" s="804">
        <v>18442698</v>
      </c>
      <c r="Y208" s="804">
        <v>16766089</v>
      </c>
      <c r="Z208" s="804">
        <v>20678177</v>
      </c>
      <c r="AA208" s="804">
        <v>0</v>
      </c>
      <c r="AB208" s="804">
        <v>55886964</v>
      </c>
      <c r="AC208" s="804">
        <v>0</v>
      </c>
      <c r="AD208" s="804">
        <v>0</v>
      </c>
      <c r="AE208" s="804">
        <v>0</v>
      </c>
      <c r="AF208" s="804">
        <v>0</v>
      </c>
      <c r="AG208" s="804">
        <v>0</v>
      </c>
      <c r="AH208" s="804">
        <v>18442698</v>
      </c>
      <c r="AI208" s="804">
        <v>16766089</v>
      </c>
      <c r="AJ208" s="804">
        <v>20678177</v>
      </c>
      <c r="AK208" s="804">
        <v>0</v>
      </c>
      <c r="AL208" s="804">
        <v>55886964</v>
      </c>
      <c r="AM208" s="804">
        <v>276494</v>
      </c>
      <c r="AN208" s="804">
        <v>276494</v>
      </c>
      <c r="AO208" s="804">
        <v>0</v>
      </c>
      <c r="AP208" s="804">
        <v>0</v>
      </c>
      <c r="AQ208" s="804">
        <v>0</v>
      </c>
      <c r="AR208" s="804">
        <v>0</v>
      </c>
      <c r="AS208" s="804">
        <v>0</v>
      </c>
      <c r="AT208" s="804">
        <v>0</v>
      </c>
      <c r="AU208" s="804">
        <v>0</v>
      </c>
      <c r="AV208" s="804">
        <v>0</v>
      </c>
      <c r="AW208" s="804">
        <v>0</v>
      </c>
      <c r="AX208" s="804">
        <v>0</v>
      </c>
      <c r="AY208" s="804">
        <v>0</v>
      </c>
      <c r="AZ208" s="804">
        <v>0</v>
      </c>
      <c r="BA208" s="804">
        <v>0</v>
      </c>
      <c r="BB208" s="804">
        <v>0</v>
      </c>
      <c r="BC208" s="804">
        <v>0</v>
      </c>
      <c r="BD208" s="804">
        <v>0</v>
      </c>
      <c r="BE208" s="804">
        <v>0</v>
      </c>
      <c r="BF208" s="804">
        <v>0</v>
      </c>
      <c r="BG208" s="804">
        <v>0</v>
      </c>
      <c r="BH208" s="804">
        <v>0</v>
      </c>
      <c r="BI208" s="804">
        <v>0</v>
      </c>
      <c r="BJ208" s="804">
        <v>0.25</v>
      </c>
      <c r="BK208" s="804">
        <v>0.48</v>
      </c>
      <c r="BL208" s="804">
        <v>0.27</v>
      </c>
      <c r="BM208" s="804">
        <v>0</v>
      </c>
      <c r="BN208" s="804">
        <v>1</v>
      </c>
      <c r="BO208" s="804">
        <v>791953.99999999627</v>
      </c>
      <c r="BP208" s="804">
        <v>1520552</v>
      </c>
      <c r="BQ208" s="804">
        <v>855311</v>
      </c>
      <c r="BR208" s="804">
        <v>0</v>
      </c>
      <c r="BS208" s="804">
        <v>3167816.9999999963</v>
      </c>
      <c r="BT208" s="804">
        <v>0</v>
      </c>
      <c r="BU208" s="804">
        <v>0.64</v>
      </c>
      <c r="BV208" s="804">
        <v>0.36</v>
      </c>
      <c r="BW208" s="804">
        <v>0</v>
      </c>
      <c r="BX208" s="804">
        <v>1</v>
      </c>
      <c r="BY208" s="804">
        <v>0.51999999955296516</v>
      </c>
      <c r="BZ208" s="804">
        <v>327947</v>
      </c>
      <c r="CA208" s="804">
        <v>184470</v>
      </c>
      <c r="CB208" s="804">
        <v>0</v>
      </c>
      <c r="CC208" s="804">
        <v>512417.51999999955</v>
      </c>
      <c r="CD208" s="804">
        <v>791955</v>
      </c>
      <c r="CE208" s="804">
        <v>1848499</v>
      </c>
      <c r="CF208" s="804">
        <v>1039781</v>
      </c>
      <c r="CG208" s="804">
        <v>0</v>
      </c>
      <c r="CH208" s="804">
        <v>3680234.5199999958</v>
      </c>
      <c r="CI208" s="804">
        <v>19234653</v>
      </c>
      <c r="CJ208" s="804">
        <v>18891082</v>
      </c>
      <c r="CK208" s="804">
        <v>21717958</v>
      </c>
      <c r="CL208" s="804">
        <v>0</v>
      </c>
      <c r="CM208" s="804">
        <v>59843693</v>
      </c>
      <c r="CN208" s="804">
        <v>671988</v>
      </c>
      <c r="CO208" s="804">
        <v>828785</v>
      </c>
      <c r="CP208" s="804">
        <v>0</v>
      </c>
      <c r="CQ208" s="804">
        <v>1500773</v>
      </c>
      <c r="CR208" s="804">
        <v>1872214</v>
      </c>
      <c r="CS208" s="804">
        <v>2309063</v>
      </c>
      <c r="CT208" s="804">
        <v>0</v>
      </c>
      <c r="CU208" s="804">
        <v>4181277</v>
      </c>
      <c r="CV208" s="804">
        <v>89096</v>
      </c>
      <c r="CW208" s="804">
        <v>109885</v>
      </c>
      <c r="CX208" s="804">
        <v>0</v>
      </c>
      <c r="CY208" s="804">
        <v>198981</v>
      </c>
      <c r="CZ208" s="804">
        <v>6201</v>
      </c>
      <c r="DA208" s="804">
        <v>7648</v>
      </c>
      <c r="DB208" s="804">
        <v>0</v>
      </c>
      <c r="DC208" s="804">
        <v>13849</v>
      </c>
      <c r="DD208" s="804">
        <v>0</v>
      </c>
      <c r="DE208" s="804">
        <v>0</v>
      </c>
      <c r="DF208" s="804">
        <v>0</v>
      </c>
      <c r="DG208" s="804">
        <v>0</v>
      </c>
      <c r="DH208" s="804">
        <v>51327</v>
      </c>
      <c r="DI208" s="804">
        <v>63303</v>
      </c>
      <c r="DJ208" s="804">
        <v>0</v>
      </c>
      <c r="DK208" s="804">
        <v>114630</v>
      </c>
      <c r="DL208" s="804">
        <v>7488</v>
      </c>
      <c r="DM208" s="804">
        <v>9236</v>
      </c>
      <c r="DN208" s="804">
        <v>0</v>
      </c>
      <c r="DO208" s="804">
        <v>16724</v>
      </c>
      <c r="DP208" s="804">
        <v>0</v>
      </c>
      <c r="DQ208" s="804">
        <v>0</v>
      </c>
      <c r="DR208" s="804">
        <v>0</v>
      </c>
      <c r="DS208" s="804">
        <v>0</v>
      </c>
      <c r="DT208" s="804">
        <v>0</v>
      </c>
      <c r="DU208" s="804">
        <v>0</v>
      </c>
      <c r="DV208" s="804">
        <v>0</v>
      </c>
      <c r="DW208" s="804">
        <v>0</v>
      </c>
      <c r="DX208" s="804">
        <v>900602</v>
      </c>
      <c r="DY208" s="804">
        <v>1110743</v>
      </c>
      <c r="DZ208" s="804">
        <v>0</v>
      </c>
      <c r="EA208" s="804">
        <v>2011345</v>
      </c>
      <c r="EB208" s="804">
        <v>3598916</v>
      </c>
      <c r="EC208" s="804">
        <v>4438663</v>
      </c>
      <c r="ED208" s="804">
        <v>0</v>
      </c>
      <c r="EE208" s="804">
        <v>8037579</v>
      </c>
      <c r="EF208" s="604" t="s">
        <v>288</v>
      </c>
      <c r="EG208" s="497" t="s">
        <v>623</v>
      </c>
      <c r="EH208" s="243" t="s">
        <v>523</v>
      </c>
      <c r="EI208" s="118" t="s">
        <v>1859</v>
      </c>
    </row>
    <row r="209" spans="1:139" ht="12.75" x14ac:dyDescent="0.2">
      <c r="A209" s="805">
        <v>202</v>
      </c>
      <c r="B209" s="606" t="s">
        <v>291</v>
      </c>
      <c r="C209" s="607" t="s">
        <v>524</v>
      </c>
      <c r="D209" s="608" t="s">
        <v>1197</v>
      </c>
      <c r="E209" s="609" t="s">
        <v>910</v>
      </c>
      <c r="F209" s="802">
        <v>40513333</v>
      </c>
      <c r="G209" s="804">
        <v>0</v>
      </c>
      <c r="H209" s="804">
        <v>518856</v>
      </c>
      <c r="I209" s="804">
        <v>159425</v>
      </c>
      <c r="J209" s="804">
        <v>0</v>
      </c>
      <c r="K209" s="804">
        <v>159425</v>
      </c>
      <c r="L209" s="804">
        <v>0</v>
      </c>
      <c r="M209" s="804">
        <v>1771912</v>
      </c>
      <c r="N209" s="804">
        <v>320000</v>
      </c>
      <c r="O209" s="804">
        <v>320000</v>
      </c>
      <c r="P209" s="804">
        <v>0</v>
      </c>
      <c r="Q209" s="804">
        <v>0</v>
      </c>
      <c r="R209" s="804">
        <v>37743140</v>
      </c>
      <c r="S209" s="804">
        <v>0.5</v>
      </c>
      <c r="T209" s="804">
        <v>0.49</v>
      </c>
      <c r="U209" s="804">
        <v>0</v>
      </c>
      <c r="V209" s="804">
        <v>0.01</v>
      </c>
      <c r="W209" s="804">
        <v>1</v>
      </c>
      <c r="X209" s="804">
        <v>18871570</v>
      </c>
      <c r="Y209" s="804">
        <v>18494139</v>
      </c>
      <c r="Z209" s="804">
        <v>0</v>
      </c>
      <c r="AA209" s="804">
        <v>377431</v>
      </c>
      <c r="AB209" s="804">
        <v>37743140</v>
      </c>
      <c r="AC209" s="804">
        <v>3037231</v>
      </c>
      <c r="AD209" s="804">
        <v>0</v>
      </c>
      <c r="AE209" s="804">
        <v>0</v>
      </c>
      <c r="AF209" s="804">
        <v>0</v>
      </c>
      <c r="AG209" s="804">
        <v>3037231</v>
      </c>
      <c r="AH209" s="804">
        <v>15834339</v>
      </c>
      <c r="AI209" s="804">
        <v>18494139</v>
      </c>
      <c r="AJ209" s="804">
        <v>0</v>
      </c>
      <c r="AK209" s="804">
        <v>377431</v>
      </c>
      <c r="AL209" s="804">
        <v>34705909</v>
      </c>
      <c r="AM209" s="804">
        <v>159425</v>
      </c>
      <c r="AN209" s="804">
        <v>159425</v>
      </c>
      <c r="AO209" s="804">
        <v>1771912</v>
      </c>
      <c r="AP209" s="804">
        <v>1771912</v>
      </c>
      <c r="AQ209" s="804">
        <v>320000</v>
      </c>
      <c r="AR209" s="804">
        <v>0</v>
      </c>
      <c r="AS209" s="804">
        <v>320000</v>
      </c>
      <c r="AT209" s="804">
        <v>0</v>
      </c>
      <c r="AU209" s="804">
        <v>0</v>
      </c>
      <c r="AV209" s="804">
        <v>0</v>
      </c>
      <c r="AW209" s="804">
        <v>0</v>
      </c>
      <c r="AX209" s="804">
        <v>0</v>
      </c>
      <c r="AY209" s="804">
        <v>0</v>
      </c>
      <c r="AZ209" s="804">
        <v>0</v>
      </c>
      <c r="BA209" s="804">
        <v>0</v>
      </c>
      <c r="BB209" s="804">
        <v>0</v>
      </c>
      <c r="BC209" s="804">
        <v>0</v>
      </c>
      <c r="BD209" s="804">
        <v>3037231</v>
      </c>
      <c r="BE209" s="804">
        <v>0</v>
      </c>
      <c r="BF209" s="804">
        <v>0</v>
      </c>
      <c r="BG209" s="804">
        <v>3037231</v>
      </c>
      <c r="BH209" s="804">
        <v>0</v>
      </c>
      <c r="BI209" s="804">
        <v>0</v>
      </c>
      <c r="BJ209" s="804">
        <v>0.5</v>
      </c>
      <c r="BK209" s="804">
        <v>0.49</v>
      </c>
      <c r="BL209" s="804">
        <v>0</v>
      </c>
      <c r="BM209" s="804">
        <v>0.01</v>
      </c>
      <c r="BN209" s="804">
        <v>1</v>
      </c>
      <c r="BO209" s="804">
        <v>323512</v>
      </c>
      <c r="BP209" s="804">
        <v>317041</v>
      </c>
      <c r="BQ209" s="804">
        <v>0</v>
      </c>
      <c r="BR209" s="804">
        <v>6470</v>
      </c>
      <c r="BS209" s="804">
        <v>647023</v>
      </c>
      <c r="BT209" s="804">
        <v>0.5</v>
      </c>
      <c r="BU209" s="804">
        <v>0.49</v>
      </c>
      <c r="BV209" s="804">
        <v>0</v>
      </c>
      <c r="BW209" s="804">
        <v>0.01</v>
      </c>
      <c r="BX209" s="804">
        <v>1</v>
      </c>
      <c r="BY209" s="804">
        <v>-254550.39999999851</v>
      </c>
      <c r="BZ209" s="804">
        <v>-249460</v>
      </c>
      <c r="CA209" s="804">
        <v>0</v>
      </c>
      <c r="CB209" s="804">
        <v>-5091</v>
      </c>
      <c r="CC209" s="804">
        <v>-509101.39999999851</v>
      </c>
      <c r="CD209" s="804">
        <v>68962</v>
      </c>
      <c r="CE209" s="804">
        <v>67581</v>
      </c>
      <c r="CF209" s="804">
        <v>0</v>
      </c>
      <c r="CG209" s="804">
        <v>1379</v>
      </c>
      <c r="CH209" s="804">
        <v>137921.60000000149</v>
      </c>
      <c r="CI209" s="804">
        <v>15903301</v>
      </c>
      <c r="CJ209" s="804">
        <v>23850288</v>
      </c>
      <c r="CK209" s="804">
        <v>0</v>
      </c>
      <c r="CL209" s="804">
        <v>378810</v>
      </c>
      <c r="CM209" s="804">
        <v>40132399</v>
      </c>
      <c r="CN209" s="804">
        <v>946825</v>
      </c>
      <c r="CO209" s="804">
        <v>0</v>
      </c>
      <c r="CP209" s="804">
        <v>15127</v>
      </c>
      <c r="CQ209" s="804">
        <v>961952</v>
      </c>
      <c r="CR209" s="804">
        <v>1369709</v>
      </c>
      <c r="CS209" s="804">
        <v>0</v>
      </c>
      <c r="CT209" s="804">
        <v>27953</v>
      </c>
      <c r="CU209" s="804">
        <v>1397662</v>
      </c>
      <c r="CV209" s="804">
        <v>64774</v>
      </c>
      <c r="CW209" s="804">
        <v>0</v>
      </c>
      <c r="CX209" s="804">
        <v>1322</v>
      </c>
      <c r="CY209" s="804">
        <v>66096</v>
      </c>
      <c r="CZ209" s="804">
        <v>8144</v>
      </c>
      <c r="DA209" s="804">
        <v>0</v>
      </c>
      <c r="DB209" s="804">
        <v>166</v>
      </c>
      <c r="DC209" s="804">
        <v>8310</v>
      </c>
      <c r="DD209" s="804">
        <v>1274</v>
      </c>
      <c r="DE209" s="804">
        <v>0</v>
      </c>
      <c r="DF209" s="804">
        <v>26</v>
      </c>
      <c r="DG209" s="804">
        <v>1300</v>
      </c>
      <c r="DH209" s="804">
        <v>9503</v>
      </c>
      <c r="DI209" s="804">
        <v>0</v>
      </c>
      <c r="DJ209" s="804">
        <v>194</v>
      </c>
      <c r="DK209" s="804">
        <v>9697</v>
      </c>
      <c r="DL209" s="804">
        <v>2548</v>
      </c>
      <c r="DM209" s="804">
        <v>0</v>
      </c>
      <c r="DN209" s="804">
        <v>52</v>
      </c>
      <c r="DO209" s="804">
        <v>2600</v>
      </c>
      <c r="DP209" s="804">
        <v>0</v>
      </c>
      <c r="DQ209" s="804">
        <v>0</v>
      </c>
      <c r="DR209" s="804">
        <v>0</v>
      </c>
      <c r="DS209" s="804">
        <v>0</v>
      </c>
      <c r="DT209" s="804">
        <v>0</v>
      </c>
      <c r="DU209" s="804">
        <v>0</v>
      </c>
      <c r="DV209" s="804">
        <v>0</v>
      </c>
      <c r="DW209" s="804">
        <v>0</v>
      </c>
      <c r="DX209" s="804">
        <v>257950</v>
      </c>
      <c r="DY209" s="804">
        <v>0</v>
      </c>
      <c r="DZ209" s="804">
        <v>5264</v>
      </c>
      <c r="EA209" s="804">
        <v>263214</v>
      </c>
      <c r="EB209" s="804">
        <v>2660727</v>
      </c>
      <c r="EC209" s="804">
        <v>0</v>
      </c>
      <c r="ED209" s="804">
        <v>50104</v>
      </c>
      <c r="EE209" s="804">
        <v>2710831</v>
      </c>
      <c r="EF209" s="604" t="s">
        <v>910</v>
      </c>
      <c r="EG209" s="497" t="s">
        <v>524</v>
      </c>
      <c r="EH209" s="630" t="s">
        <v>548</v>
      </c>
      <c r="EI209" s="118" t="s">
        <v>1860</v>
      </c>
    </row>
    <row r="210" spans="1:139" ht="14.25" x14ac:dyDescent="0.2">
      <c r="A210" s="805">
        <v>203</v>
      </c>
      <c r="B210" s="606" t="s">
        <v>293</v>
      </c>
      <c r="C210" s="607" t="s">
        <v>1185</v>
      </c>
      <c r="D210" s="608" t="s">
        <v>1195</v>
      </c>
      <c r="E210" s="609" t="s">
        <v>1984</v>
      </c>
      <c r="F210" s="802">
        <v>33869402</v>
      </c>
      <c r="G210" s="804">
        <v>0</v>
      </c>
      <c r="H210" s="804">
        <v>319585</v>
      </c>
      <c r="I210" s="804">
        <v>105514</v>
      </c>
      <c r="J210" s="804">
        <v>0</v>
      </c>
      <c r="K210" s="804">
        <v>105514</v>
      </c>
      <c r="L210" s="804">
        <v>0</v>
      </c>
      <c r="M210" s="804">
        <v>0</v>
      </c>
      <c r="N210" s="804">
        <v>0</v>
      </c>
      <c r="O210" s="804">
        <v>0</v>
      </c>
      <c r="P210" s="804">
        <v>0</v>
      </c>
      <c r="Q210" s="804">
        <v>0</v>
      </c>
      <c r="R210" s="804">
        <v>33444303</v>
      </c>
      <c r="S210" s="804">
        <v>0.5</v>
      </c>
      <c r="T210" s="804">
        <v>0.4</v>
      </c>
      <c r="U210" s="804">
        <v>0.09</v>
      </c>
      <c r="V210" s="804">
        <v>0.01</v>
      </c>
      <c r="W210" s="804">
        <v>1</v>
      </c>
      <c r="X210" s="804">
        <v>16722152</v>
      </c>
      <c r="Y210" s="804">
        <v>13377721</v>
      </c>
      <c r="Z210" s="804">
        <v>3009987</v>
      </c>
      <c r="AA210" s="804">
        <v>334443</v>
      </c>
      <c r="AB210" s="804">
        <v>33444303</v>
      </c>
      <c r="AC210" s="804">
        <v>0</v>
      </c>
      <c r="AD210" s="804">
        <v>0</v>
      </c>
      <c r="AE210" s="804">
        <v>0</v>
      </c>
      <c r="AF210" s="804">
        <v>0</v>
      </c>
      <c r="AG210" s="804">
        <v>0</v>
      </c>
      <c r="AH210" s="804">
        <v>16722152</v>
      </c>
      <c r="AI210" s="804">
        <v>13377721</v>
      </c>
      <c r="AJ210" s="804">
        <v>3009987</v>
      </c>
      <c r="AK210" s="804">
        <v>334443</v>
      </c>
      <c r="AL210" s="804">
        <v>33444303</v>
      </c>
      <c r="AM210" s="804">
        <v>105514</v>
      </c>
      <c r="AN210" s="804">
        <v>105514</v>
      </c>
      <c r="AO210" s="804">
        <v>0</v>
      </c>
      <c r="AP210" s="804">
        <v>0</v>
      </c>
      <c r="AQ210" s="804">
        <v>0</v>
      </c>
      <c r="AR210" s="804">
        <v>0</v>
      </c>
      <c r="AS210" s="804">
        <v>0</v>
      </c>
      <c r="AT210" s="804">
        <v>0</v>
      </c>
      <c r="AU210" s="804">
        <v>0</v>
      </c>
      <c r="AV210" s="804">
        <v>0</v>
      </c>
      <c r="AW210" s="804">
        <v>0</v>
      </c>
      <c r="AX210" s="804">
        <v>0</v>
      </c>
      <c r="AY210" s="804">
        <v>0</v>
      </c>
      <c r="AZ210" s="804">
        <v>0</v>
      </c>
      <c r="BA210" s="804">
        <v>0</v>
      </c>
      <c r="BB210" s="804">
        <v>0</v>
      </c>
      <c r="BC210" s="804">
        <v>0</v>
      </c>
      <c r="BD210" s="804">
        <v>0</v>
      </c>
      <c r="BE210" s="804">
        <v>0</v>
      </c>
      <c r="BF210" s="804">
        <v>0</v>
      </c>
      <c r="BG210" s="804">
        <v>0</v>
      </c>
      <c r="BH210" s="804">
        <v>0</v>
      </c>
      <c r="BI210" s="804">
        <v>0</v>
      </c>
      <c r="BJ210" s="804">
        <v>0.25</v>
      </c>
      <c r="BK210" s="804">
        <v>0</v>
      </c>
      <c r="BL210" s="804">
        <v>0.74</v>
      </c>
      <c r="BM210" s="804">
        <v>0.01</v>
      </c>
      <c r="BN210" s="804">
        <v>1</v>
      </c>
      <c r="BO210" s="804">
        <v>379573.00000000186</v>
      </c>
      <c r="BP210" s="804">
        <v>0</v>
      </c>
      <c r="BQ210" s="804">
        <v>1123535</v>
      </c>
      <c r="BR210" s="804">
        <v>15183</v>
      </c>
      <c r="BS210" s="804">
        <v>1518291.0000000019</v>
      </c>
      <c r="BT210" s="804">
        <v>0.5</v>
      </c>
      <c r="BU210" s="804">
        <v>0.4</v>
      </c>
      <c r="BV210" s="804">
        <v>0.09</v>
      </c>
      <c r="BW210" s="804">
        <v>0.01</v>
      </c>
      <c r="BX210" s="804">
        <v>1</v>
      </c>
      <c r="BY210" s="804">
        <v>629974.80000000261</v>
      </c>
      <c r="BZ210" s="804">
        <v>503979</v>
      </c>
      <c r="CA210" s="804">
        <v>113395</v>
      </c>
      <c r="CB210" s="804">
        <v>12599</v>
      </c>
      <c r="CC210" s="804">
        <v>1259947.8000000026</v>
      </c>
      <c r="CD210" s="804">
        <v>1009548</v>
      </c>
      <c r="CE210" s="804">
        <v>503979</v>
      </c>
      <c r="CF210" s="804">
        <v>1236930</v>
      </c>
      <c r="CG210" s="804">
        <v>27782</v>
      </c>
      <c r="CH210" s="804">
        <v>2778238.8000000045</v>
      </c>
      <c r="CI210" s="804">
        <v>17731700</v>
      </c>
      <c r="CJ210" s="804">
        <v>13987214</v>
      </c>
      <c r="CK210" s="804">
        <v>4246917</v>
      </c>
      <c r="CL210" s="804">
        <v>362225</v>
      </c>
      <c r="CM210" s="804">
        <v>36328056</v>
      </c>
      <c r="CN210" s="804">
        <v>536181</v>
      </c>
      <c r="CO210" s="804">
        <v>120641</v>
      </c>
      <c r="CP210" s="804">
        <v>13405</v>
      </c>
      <c r="CQ210" s="804">
        <v>670227</v>
      </c>
      <c r="CR210" s="804">
        <v>819527</v>
      </c>
      <c r="CS210" s="804">
        <v>184394</v>
      </c>
      <c r="CT210" s="804">
        <v>20488</v>
      </c>
      <c r="CU210" s="804">
        <v>1024409</v>
      </c>
      <c r="CV210" s="804">
        <v>71324</v>
      </c>
      <c r="CW210" s="804">
        <v>16048</v>
      </c>
      <c r="CX210" s="804">
        <v>1783</v>
      </c>
      <c r="CY210" s="804">
        <v>89155</v>
      </c>
      <c r="CZ210" s="804">
        <v>0</v>
      </c>
      <c r="DA210" s="804">
        <v>0</v>
      </c>
      <c r="DB210" s="804">
        <v>0</v>
      </c>
      <c r="DC210" s="804">
        <v>0</v>
      </c>
      <c r="DD210" s="804">
        <v>703</v>
      </c>
      <c r="DE210" s="804">
        <v>158</v>
      </c>
      <c r="DF210" s="804">
        <v>18</v>
      </c>
      <c r="DG210" s="804">
        <v>879</v>
      </c>
      <c r="DH210" s="804">
        <v>3164</v>
      </c>
      <c r="DI210" s="804">
        <v>712</v>
      </c>
      <c r="DJ210" s="804">
        <v>79</v>
      </c>
      <c r="DK210" s="804">
        <v>3955</v>
      </c>
      <c r="DL210" s="804">
        <v>1468</v>
      </c>
      <c r="DM210" s="804">
        <v>331</v>
      </c>
      <c r="DN210" s="804">
        <v>37</v>
      </c>
      <c r="DO210" s="804">
        <v>1836</v>
      </c>
      <c r="DP210" s="804">
        <v>0</v>
      </c>
      <c r="DQ210" s="804">
        <v>0</v>
      </c>
      <c r="DR210" s="804">
        <v>0</v>
      </c>
      <c r="DS210" s="804">
        <v>0</v>
      </c>
      <c r="DT210" s="804">
        <v>0</v>
      </c>
      <c r="DU210" s="804">
        <v>0</v>
      </c>
      <c r="DV210" s="804">
        <v>0</v>
      </c>
      <c r="DW210" s="804">
        <v>0</v>
      </c>
      <c r="DX210" s="804">
        <v>288868</v>
      </c>
      <c r="DY210" s="804">
        <v>64996</v>
      </c>
      <c r="DZ210" s="804">
        <v>7222</v>
      </c>
      <c r="EA210" s="804">
        <v>361086</v>
      </c>
      <c r="EB210" s="804">
        <v>1721235</v>
      </c>
      <c r="EC210" s="804">
        <v>387280</v>
      </c>
      <c r="ED210" s="804">
        <v>43032</v>
      </c>
      <c r="EE210" s="804">
        <v>2151547</v>
      </c>
      <c r="EF210" s="604" t="s">
        <v>292</v>
      </c>
      <c r="EG210" s="497" t="s">
        <v>578</v>
      </c>
      <c r="EH210" s="630" t="s">
        <v>577</v>
      </c>
      <c r="EI210" s="118" t="s">
        <v>1861</v>
      </c>
    </row>
    <row r="211" spans="1:139" ht="12.75" x14ac:dyDescent="0.2">
      <c r="A211" s="805">
        <v>204</v>
      </c>
      <c r="B211" s="606" t="s">
        <v>295</v>
      </c>
      <c r="C211" s="607" t="s">
        <v>1185</v>
      </c>
      <c r="D211" s="608" t="s">
        <v>1186</v>
      </c>
      <c r="E211" s="609" t="s">
        <v>294</v>
      </c>
      <c r="F211" s="802">
        <v>52018331</v>
      </c>
      <c r="G211" s="804">
        <v>75830</v>
      </c>
      <c r="H211" s="804">
        <v>0</v>
      </c>
      <c r="I211" s="804">
        <v>171451</v>
      </c>
      <c r="J211" s="804">
        <v>0</v>
      </c>
      <c r="K211" s="804">
        <v>171451</v>
      </c>
      <c r="L211" s="804">
        <v>0</v>
      </c>
      <c r="M211" s="804">
        <v>0</v>
      </c>
      <c r="N211" s="804">
        <v>0</v>
      </c>
      <c r="O211" s="804">
        <v>0</v>
      </c>
      <c r="P211" s="804">
        <v>0</v>
      </c>
      <c r="Q211" s="804">
        <v>0</v>
      </c>
      <c r="R211" s="804">
        <v>51922710</v>
      </c>
      <c r="S211" s="804">
        <v>0.5</v>
      </c>
      <c r="T211" s="804">
        <v>0.4</v>
      </c>
      <c r="U211" s="804">
        <v>0.1</v>
      </c>
      <c r="V211" s="804">
        <v>0</v>
      </c>
      <c r="W211" s="804">
        <v>1</v>
      </c>
      <c r="X211" s="804">
        <v>25961355</v>
      </c>
      <c r="Y211" s="804">
        <v>20769084</v>
      </c>
      <c r="Z211" s="804">
        <v>5192271</v>
      </c>
      <c r="AA211" s="804">
        <v>0</v>
      </c>
      <c r="AB211" s="804">
        <v>51922710</v>
      </c>
      <c r="AC211" s="804">
        <v>0</v>
      </c>
      <c r="AD211" s="804">
        <v>0</v>
      </c>
      <c r="AE211" s="804">
        <v>0</v>
      </c>
      <c r="AF211" s="804">
        <v>0</v>
      </c>
      <c r="AG211" s="804">
        <v>0</v>
      </c>
      <c r="AH211" s="804">
        <v>25961355</v>
      </c>
      <c r="AI211" s="804">
        <v>20769084</v>
      </c>
      <c r="AJ211" s="804">
        <v>5192271</v>
      </c>
      <c r="AK211" s="804">
        <v>0</v>
      </c>
      <c r="AL211" s="804">
        <v>51922710</v>
      </c>
      <c r="AM211" s="804">
        <v>171451</v>
      </c>
      <c r="AN211" s="804">
        <v>171451</v>
      </c>
      <c r="AO211" s="804">
        <v>0</v>
      </c>
      <c r="AP211" s="804">
        <v>0</v>
      </c>
      <c r="AQ211" s="804">
        <v>0</v>
      </c>
      <c r="AR211" s="804">
        <v>0</v>
      </c>
      <c r="AS211" s="804">
        <v>0</v>
      </c>
      <c r="AT211" s="804">
        <v>0</v>
      </c>
      <c r="AU211" s="804">
        <v>0</v>
      </c>
      <c r="AV211" s="804">
        <v>0</v>
      </c>
      <c r="AW211" s="804">
        <v>0</v>
      </c>
      <c r="AX211" s="804">
        <v>0</v>
      </c>
      <c r="AY211" s="804">
        <v>0</v>
      </c>
      <c r="AZ211" s="804">
        <v>0</v>
      </c>
      <c r="BA211" s="804">
        <v>0</v>
      </c>
      <c r="BB211" s="804">
        <v>0</v>
      </c>
      <c r="BC211" s="804">
        <v>0</v>
      </c>
      <c r="BD211" s="804">
        <v>0</v>
      </c>
      <c r="BE211" s="804">
        <v>0</v>
      </c>
      <c r="BF211" s="804">
        <v>0</v>
      </c>
      <c r="BG211" s="804">
        <v>0</v>
      </c>
      <c r="BH211" s="804">
        <v>0</v>
      </c>
      <c r="BI211" s="804">
        <v>0</v>
      </c>
      <c r="BJ211" s="804">
        <v>0.5</v>
      </c>
      <c r="BK211" s="804">
        <v>0.4</v>
      </c>
      <c r="BL211" s="804">
        <v>0.1</v>
      </c>
      <c r="BM211" s="804">
        <v>0</v>
      </c>
      <c r="BN211" s="804">
        <v>1</v>
      </c>
      <c r="BO211" s="804">
        <v>-1441680.9999999991</v>
      </c>
      <c r="BP211" s="804">
        <v>-1153344</v>
      </c>
      <c r="BQ211" s="804">
        <v>-288336</v>
      </c>
      <c r="BR211" s="804">
        <v>0</v>
      </c>
      <c r="BS211" s="804">
        <v>-2883360.9999999991</v>
      </c>
      <c r="BT211" s="804">
        <v>0</v>
      </c>
      <c r="BU211" s="804">
        <v>0.3</v>
      </c>
      <c r="BV211" s="804">
        <v>0.7</v>
      </c>
      <c r="BW211" s="804">
        <v>0</v>
      </c>
      <c r="BX211" s="804">
        <v>1</v>
      </c>
      <c r="BY211" s="804">
        <v>3.0000000260770321E-2</v>
      </c>
      <c r="BZ211" s="804">
        <v>-256604</v>
      </c>
      <c r="CA211" s="804">
        <v>-598744</v>
      </c>
      <c r="CB211" s="804">
        <v>0</v>
      </c>
      <c r="CC211" s="804">
        <v>-855347.96999999974</v>
      </c>
      <c r="CD211" s="804">
        <v>-1441681</v>
      </c>
      <c r="CE211" s="804">
        <v>-1409948</v>
      </c>
      <c r="CF211" s="804">
        <v>-887080</v>
      </c>
      <c r="CG211" s="804">
        <v>0</v>
      </c>
      <c r="CH211" s="804">
        <v>-3738708.9699999988</v>
      </c>
      <c r="CI211" s="804">
        <v>24519674</v>
      </c>
      <c r="CJ211" s="804">
        <v>19530587</v>
      </c>
      <c r="CK211" s="804">
        <v>4305191</v>
      </c>
      <c r="CL211" s="804">
        <v>0</v>
      </c>
      <c r="CM211" s="804">
        <v>48355452</v>
      </c>
      <c r="CN211" s="804">
        <v>832428</v>
      </c>
      <c r="CO211" s="804">
        <v>208107</v>
      </c>
      <c r="CP211" s="804">
        <v>0</v>
      </c>
      <c r="CQ211" s="804">
        <v>1040535</v>
      </c>
      <c r="CR211" s="804">
        <v>1037527</v>
      </c>
      <c r="CS211" s="804">
        <v>259382</v>
      </c>
      <c r="CT211" s="804">
        <v>0</v>
      </c>
      <c r="CU211" s="804">
        <v>1296909</v>
      </c>
      <c r="CV211" s="804">
        <v>101469</v>
      </c>
      <c r="CW211" s="804">
        <v>25367</v>
      </c>
      <c r="CX211" s="804">
        <v>0</v>
      </c>
      <c r="CY211" s="804">
        <v>126836</v>
      </c>
      <c r="CZ211" s="804">
        <v>3245</v>
      </c>
      <c r="DA211" s="804">
        <v>811</v>
      </c>
      <c r="DB211" s="804">
        <v>0</v>
      </c>
      <c r="DC211" s="804">
        <v>4056</v>
      </c>
      <c r="DD211" s="804">
        <v>0</v>
      </c>
      <c r="DE211" s="804">
        <v>0</v>
      </c>
      <c r="DF211" s="804">
        <v>0</v>
      </c>
      <c r="DG211" s="804">
        <v>0</v>
      </c>
      <c r="DH211" s="804">
        <v>14295</v>
      </c>
      <c r="DI211" s="804">
        <v>3574</v>
      </c>
      <c r="DJ211" s="804">
        <v>0</v>
      </c>
      <c r="DK211" s="804">
        <v>17869</v>
      </c>
      <c r="DL211" s="804">
        <v>0</v>
      </c>
      <c r="DM211" s="804">
        <v>0</v>
      </c>
      <c r="DN211" s="804">
        <v>0</v>
      </c>
      <c r="DO211" s="804">
        <v>0</v>
      </c>
      <c r="DP211" s="804">
        <v>0</v>
      </c>
      <c r="DQ211" s="804">
        <v>0</v>
      </c>
      <c r="DR211" s="804">
        <v>0</v>
      </c>
      <c r="DS211" s="804">
        <v>0</v>
      </c>
      <c r="DT211" s="804">
        <v>0</v>
      </c>
      <c r="DU211" s="804">
        <v>0</v>
      </c>
      <c r="DV211" s="804">
        <v>0</v>
      </c>
      <c r="DW211" s="804">
        <v>0</v>
      </c>
      <c r="DX211" s="804">
        <v>365376</v>
      </c>
      <c r="DY211" s="804">
        <v>91344</v>
      </c>
      <c r="DZ211" s="804">
        <v>0</v>
      </c>
      <c r="EA211" s="804">
        <v>456720</v>
      </c>
      <c r="EB211" s="804">
        <v>2354340</v>
      </c>
      <c r="EC211" s="804">
        <v>588585</v>
      </c>
      <c r="ED211" s="804">
        <v>0</v>
      </c>
      <c r="EE211" s="804">
        <v>2942925</v>
      </c>
      <c r="EF211" s="604" t="s">
        <v>294</v>
      </c>
      <c r="EG211" s="497" t="s">
        <v>611</v>
      </c>
      <c r="EH211" s="630" t="s">
        <v>551</v>
      </c>
      <c r="EI211" s="118" t="s">
        <v>1862</v>
      </c>
    </row>
    <row r="212" spans="1:139" ht="12.75" x14ac:dyDescent="0.2">
      <c r="A212" s="805">
        <v>205</v>
      </c>
      <c r="B212" s="606" t="s">
        <v>297</v>
      </c>
      <c r="C212" s="607" t="s">
        <v>1185</v>
      </c>
      <c r="D212" s="608" t="s">
        <v>1187</v>
      </c>
      <c r="E212" s="609" t="s">
        <v>296</v>
      </c>
      <c r="F212" s="802">
        <v>15488943</v>
      </c>
      <c r="G212" s="804">
        <v>103920</v>
      </c>
      <c r="H212" s="804">
        <v>0</v>
      </c>
      <c r="I212" s="804">
        <v>90775</v>
      </c>
      <c r="J212" s="804">
        <v>0</v>
      </c>
      <c r="K212" s="804">
        <v>90775</v>
      </c>
      <c r="L212" s="804">
        <v>0</v>
      </c>
      <c r="M212" s="804">
        <v>123112</v>
      </c>
      <c r="N212" s="804">
        <v>96180</v>
      </c>
      <c r="O212" s="804">
        <v>96180</v>
      </c>
      <c r="P212" s="804">
        <v>0</v>
      </c>
      <c r="Q212" s="804">
        <v>0</v>
      </c>
      <c r="R212" s="804">
        <v>15282796</v>
      </c>
      <c r="S212" s="804">
        <v>0.5</v>
      </c>
      <c r="T212" s="804">
        <v>0.4</v>
      </c>
      <c r="U212" s="804">
        <v>0.09</v>
      </c>
      <c r="V212" s="804">
        <v>0.01</v>
      </c>
      <c r="W212" s="804">
        <v>1</v>
      </c>
      <c r="X212" s="804">
        <v>7641398</v>
      </c>
      <c r="Y212" s="804">
        <v>6113118</v>
      </c>
      <c r="Z212" s="804">
        <v>1375452</v>
      </c>
      <c r="AA212" s="804">
        <v>152828</v>
      </c>
      <c r="AB212" s="804">
        <v>15282796</v>
      </c>
      <c r="AC212" s="804">
        <v>0</v>
      </c>
      <c r="AD212" s="804">
        <v>0</v>
      </c>
      <c r="AE212" s="804">
        <v>0</v>
      </c>
      <c r="AF212" s="804">
        <v>0</v>
      </c>
      <c r="AG212" s="804">
        <v>0</v>
      </c>
      <c r="AH212" s="804">
        <v>7641398</v>
      </c>
      <c r="AI212" s="804">
        <v>6113118</v>
      </c>
      <c r="AJ212" s="804">
        <v>1375452</v>
      </c>
      <c r="AK212" s="804">
        <v>152828</v>
      </c>
      <c r="AL212" s="804">
        <v>15282796</v>
      </c>
      <c r="AM212" s="804">
        <v>90775</v>
      </c>
      <c r="AN212" s="804">
        <v>90775</v>
      </c>
      <c r="AO212" s="804">
        <v>123112</v>
      </c>
      <c r="AP212" s="804">
        <v>123112</v>
      </c>
      <c r="AQ212" s="804">
        <v>96180</v>
      </c>
      <c r="AR212" s="804">
        <v>0</v>
      </c>
      <c r="AS212" s="804">
        <v>96180</v>
      </c>
      <c r="AT212" s="804">
        <v>0</v>
      </c>
      <c r="AU212" s="804">
        <v>0</v>
      </c>
      <c r="AV212" s="804">
        <v>0</v>
      </c>
      <c r="AW212" s="804">
        <v>0</v>
      </c>
      <c r="AX212" s="804">
        <v>0</v>
      </c>
      <c r="AY212" s="804">
        <v>0</v>
      </c>
      <c r="AZ212" s="804">
        <v>0</v>
      </c>
      <c r="BA212" s="804">
        <v>0</v>
      </c>
      <c r="BB212" s="804">
        <v>0</v>
      </c>
      <c r="BC212" s="804">
        <v>0</v>
      </c>
      <c r="BD212" s="804">
        <v>0</v>
      </c>
      <c r="BE212" s="804">
        <v>0</v>
      </c>
      <c r="BF212" s="804">
        <v>0</v>
      </c>
      <c r="BG212" s="804">
        <v>0</v>
      </c>
      <c r="BH212" s="804">
        <v>0</v>
      </c>
      <c r="BI212" s="804">
        <v>0</v>
      </c>
      <c r="BJ212" s="804">
        <v>0.25</v>
      </c>
      <c r="BK212" s="804">
        <v>0.56000000000000005</v>
      </c>
      <c r="BL212" s="804">
        <v>0.17499999999999999</v>
      </c>
      <c r="BM212" s="804">
        <v>1.4999999999999999E-2</v>
      </c>
      <c r="BN212" s="804">
        <v>1</v>
      </c>
      <c r="BO212" s="804">
        <v>110155</v>
      </c>
      <c r="BP212" s="804">
        <v>246747</v>
      </c>
      <c r="BQ212" s="804">
        <v>77109</v>
      </c>
      <c r="BR212" s="804">
        <v>6609</v>
      </c>
      <c r="BS212" s="804">
        <v>440620</v>
      </c>
      <c r="BT212" s="804">
        <v>0.5</v>
      </c>
      <c r="BU212" s="804">
        <v>0.4</v>
      </c>
      <c r="BV212" s="804">
        <v>0.09</v>
      </c>
      <c r="BW212" s="804">
        <v>0.01</v>
      </c>
      <c r="BX212" s="804">
        <v>1</v>
      </c>
      <c r="BY212" s="804">
        <v>7681</v>
      </c>
      <c r="BZ212" s="804">
        <v>6146</v>
      </c>
      <c r="CA212" s="804">
        <v>1383</v>
      </c>
      <c r="CB212" s="804">
        <v>154</v>
      </c>
      <c r="CC212" s="804">
        <v>15364</v>
      </c>
      <c r="CD212" s="804">
        <v>117836</v>
      </c>
      <c r="CE212" s="804">
        <v>252893</v>
      </c>
      <c r="CF212" s="804">
        <v>78492</v>
      </c>
      <c r="CG212" s="804">
        <v>6763</v>
      </c>
      <c r="CH212" s="804">
        <v>455984</v>
      </c>
      <c r="CI212" s="804">
        <v>7759234</v>
      </c>
      <c r="CJ212" s="804">
        <v>6676078</v>
      </c>
      <c r="CK212" s="804">
        <v>1453944</v>
      </c>
      <c r="CL212" s="804">
        <v>159591</v>
      </c>
      <c r="CM212" s="804">
        <v>16048847</v>
      </c>
      <c r="CN212" s="804">
        <v>253804</v>
      </c>
      <c r="CO212" s="804">
        <v>55128</v>
      </c>
      <c r="CP212" s="804">
        <v>6125</v>
      </c>
      <c r="CQ212" s="804">
        <v>315057</v>
      </c>
      <c r="CR212" s="804">
        <v>921600</v>
      </c>
      <c r="CS212" s="804">
        <v>207360</v>
      </c>
      <c r="CT212" s="804">
        <v>23040</v>
      </c>
      <c r="CU212" s="804">
        <v>1152000</v>
      </c>
      <c r="CV212" s="804">
        <v>30362</v>
      </c>
      <c r="CW212" s="804">
        <v>6832</v>
      </c>
      <c r="CX212" s="804">
        <v>759</v>
      </c>
      <c r="CY212" s="804">
        <v>37953</v>
      </c>
      <c r="CZ212" s="804">
        <v>3943</v>
      </c>
      <c r="DA212" s="804">
        <v>887</v>
      </c>
      <c r="DB212" s="804">
        <v>99</v>
      </c>
      <c r="DC212" s="804">
        <v>4929</v>
      </c>
      <c r="DD212" s="804">
        <v>8535</v>
      </c>
      <c r="DE212" s="804">
        <v>1920</v>
      </c>
      <c r="DF212" s="804">
        <v>213</v>
      </c>
      <c r="DG212" s="804">
        <v>10668</v>
      </c>
      <c r="DH212" s="804">
        <v>8290</v>
      </c>
      <c r="DI212" s="804">
        <v>1865</v>
      </c>
      <c r="DJ212" s="804">
        <v>207</v>
      </c>
      <c r="DK212" s="804">
        <v>10362</v>
      </c>
      <c r="DL212" s="804">
        <v>1238</v>
      </c>
      <c r="DM212" s="804">
        <v>278</v>
      </c>
      <c r="DN212" s="804">
        <v>31</v>
      </c>
      <c r="DO212" s="804">
        <v>1547</v>
      </c>
      <c r="DP212" s="804">
        <v>0</v>
      </c>
      <c r="DQ212" s="804">
        <v>0</v>
      </c>
      <c r="DR212" s="804">
        <v>0</v>
      </c>
      <c r="DS212" s="804">
        <v>0</v>
      </c>
      <c r="DT212" s="804">
        <v>0</v>
      </c>
      <c r="DU212" s="804">
        <v>0</v>
      </c>
      <c r="DV212" s="804">
        <v>0</v>
      </c>
      <c r="DW212" s="804">
        <v>0</v>
      </c>
      <c r="DX212" s="804">
        <v>197074</v>
      </c>
      <c r="DY212" s="804">
        <v>44342</v>
      </c>
      <c r="DZ212" s="804">
        <v>4927</v>
      </c>
      <c r="EA212" s="804">
        <v>246343</v>
      </c>
      <c r="EB212" s="804">
        <v>1424846</v>
      </c>
      <c r="EC212" s="804">
        <v>318612</v>
      </c>
      <c r="ED212" s="804">
        <v>35401</v>
      </c>
      <c r="EE212" s="804">
        <v>1778859</v>
      </c>
      <c r="EF212" s="604" t="s">
        <v>296</v>
      </c>
      <c r="EG212" s="497" t="s">
        <v>590</v>
      </c>
      <c r="EH212" s="630" t="s">
        <v>588</v>
      </c>
      <c r="EI212" s="118" t="s">
        <v>1863</v>
      </c>
    </row>
    <row r="213" spans="1:139" ht="12.75" x14ac:dyDescent="0.2">
      <c r="A213" s="805">
        <v>206</v>
      </c>
      <c r="B213" s="606" t="s">
        <v>299</v>
      </c>
      <c r="C213" s="607" t="s">
        <v>1190</v>
      </c>
      <c r="D213" s="608" t="s">
        <v>1191</v>
      </c>
      <c r="E213" s="609" t="s">
        <v>298</v>
      </c>
      <c r="F213" s="802">
        <v>91527356</v>
      </c>
      <c r="G213" s="804">
        <v>191137</v>
      </c>
      <c r="H213" s="804">
        <v>0</v>
      </c>
      <c r="I213" s="804">
        <v>277381</v>
      </c>
      <c r="J213" s="804">
        <v>0</v>
      </c>
      <c r="K213" s="804">
        <v>277381</v>
      </c>
      <c r="L213" s="804">
        <v>0</v>
      </c>
      <c r="M213" s="804">
        <v>0</v>
      </c>
      <c r="N213" s="804">
        <v>0</v>
      </c>
      <c r="O213" s="804">
        <v>0</v>
      </c>
      <c r="P213" s="804">
        <v>0</v>
      </c>
      <c r="Q213" s="804">
        <v>0</v>
      </c>
      <c r="R213" s="804">
        <v>91441112</v>
      </c>
      <c r="S213" s="804">
        <v>0.33</v>
      </c>
      <c r="T213" s="804">
        <v>0.3</v>
      </c>
      <c r="U213" s="804">
        <v>0.37</v>
      </c>
      <c r="V213" s="804">
        <v>0</v>
      </c>
      <c r="W213" s="804">
        <v>1</v>
      </c>
      <c r="X213" s="804">
        <v>30175567</v>
      </c>
      <c r="Y213" s="804">
        <v>27432334</v>
      </c>
      <c r="Z213" s="804">
        <v>33833211</v>
      </c>
      <c r="AA213" s="804">
        <v>0</v>
      </c>
      <c r="AB213" s="804">
        <v>91441112</v>
      </c>
      <c r="AC213" s="804">
        <v>0</v>
      </c>
      <c r="AD213" s="804">
        <v>0</v>
      </c>
      <c r="AE213" s="804">
        <v>0</v>
      </c>
      <c r="AF213" s="804">
        <v>0</v>
      </c>
      <c r="AG213" s="804">
        <v>0</v>
      </c>
      <c r="AH213" s="804">
        <v>30175567</v>
      </c>
      <c r="AI213" s="804">
        <v>27432334</v>
      </c>
      <c r="AJ213" s="804">
        <v>33833211</v>
      </c>
      <c r="AK213" s="804">
        <v>0</v>
      </c>
      <c r="AL213" s="804">
        <v>91441112</v>
      </c>
      <c r="AM213" s="804">
        <v>277381</v>
      </c>
      <c r="AN213" s="804">
        <v>277381</v>
      </c>
      <c r="AO213" s="804">
        <v>0</v>
      </c>
      <c r="AP213" s="804">
        <v>0</v>
      </c>
      <c r="AQ213" s="804">
        <v>0</v>
      </c>
      <c r="AR213" s="804">
        <v>0</v>
      </c>
      <c r="AS213" s="804">
        <v>0</v>
      </c>
      <c r="AT213" s="804">
        <v>0</v>
      </c>
      <c r="AU213" s="804">
        <v>0</v>
      </c>
      <c r="AV213" s="804">
        <v>0</v>
      </c>
      <c r="AW213" s="804">
        <v>0</v>
      </c>
      <c r="AX213" s="804">
        <v>0</v>
      </c>
      <c r="AY213" s="804">
        <v>0</v>
      </c>
      <c r="AZ213" s="804">
        <v>0</v>
      </c>
      <c r="BA213" s="804">
        <v>0</v>
      </c>
      <c r="BB213" s="804">
        <v>0</v>
      </c>
      <c r="BC213" s="804">
        <v>0</v>
      </c>
      <c r="BD213" s="804">
        <v>0</v>
      </c>
      <c r="BE213" s="804">
        <v>0</v>
      </c>
      <c r="BF213" s="804">
        <v>0</v>
      </c>
      <c r="BG213" s="804">
        <v>0</v>
      </c>
      <c r="BH213" s="804">
        <v>0</v>
      </c>
      <c r="BI213" s="804">
        <v>0</v>
      </c>
      <c r="BJ213" s="804">
        <v>0.25</v>
      </c>
      <c r="BK213" s="804">
        <v>0.48</v>
      </c>
      <c r="BL213" s="804">
        <v>0.27</v>
      </c>
      <c r="BM213" s="804">
        <v>0</v>
      </c>
      <c r="BN213" s="804">
        <v>1</v>
      </c>
      <c r="BO213" s="804">
        <v>-455774</v>
      </c>
      <c r="BP213" s="804">
        <v>-875085</v>
      </c>
      <c r="BQ213" s="804">
        <v>-492235</v>
      </c>
      <c r="BR213" s="804">
        <v>0</v>
      </c>
      <c r="BS213" s="804">
        <v>-1823094</v>
      </c>
      <c r="BT213" s="804">
        <v>0</v>
      </c>
      <c r="BU213" s="804">
        <v>0.64</v>
      </c>
      <c r="BV213" s="804">
        <v>0.36</v>
      </c>
      <c r="BW213" s="804">
        <v>0</v>
      </c>
      <c r="BX213" s="804">
        <v>1</v>
      </c>
      <c r="BY213" s="804">
        <v>0</v>
      </c>
      <c r="BZ213" s="804">
        <v>594811</v>
      </c>
      <c r="CA213" s="804">
        <v>334581</v>
      </c>
      <c r="CB213" s="804">
        <v>0</v>
      </c>
      <c r="CC213" s="804">
        <v>929392</v>
      </c>
      <c r="CD213" s="804">
        <v>-455774</v>
      </c>
      <c r="CE213" s="804">
        <v>-280274</v>
      </c>
      <c r="CF213" s="804">
        <v>-157654</v>
      </c>
      <c r="CG213" s="804">
        <v>0</v>
      </c>
      <c r="CH213" s="804">
        <v>-893702</v>
      </c>
      <c r="CI213" s="804">
        <v>29719793</v>
      </c>
      <c r="CJ213" s="804">
        <v>27429441</v>
      </c>
      <c r="CK213" s="804">
        <v>33675557</v>
      </c>
      <c r="CL213" s="804">
        <v>0</v>
      </c>
      <c r="CM213" s="804">
        <v>90824791</v>
      </c>
      <c r="CN213" s="804">
        <v>1099492</v>
      </c>
      <c r="CO213" s="804">
        <v>1356041</v>
      </c>
      <c r="CP213" s="804">
        <v>0</v>
      </c>
      <c r="CQ213" s="804">
        <v>2455533</v>
      </c>
      <c r="CR213" s="804">
        <v>1261917</v>
      </c>
      <c r="CS213" s="804">
        <v>1556364</v>
      </c>
      <c r="CT213" s="804">
        <v>0</v>
      </c>
      <c r="CU213" s="804">
        <v>2818281</v>
      </c>
      <c r="CV213" s="804">
        <v>98527</v>
      </c>
      <c r="CW213" s="804">
        <v>121516</v>
      </c>
      <c r="CX213" s="804">
        <v>0</v>
      </c>
      <c r="CY213" s="804">
        <v>220043</v>
      </c>
      <c r="CZ213" s="804">
        <v>0</v>
      </c>
      <c r="DA213" s="804">
        <v>0</v>
      </c>
      <c r="DB213" s="804">
        <v>0</v>
      </c>
      <c r="DC213" s="804">
        <v>0</v>
      </c>
      <c r="DD213" s="804">
        <v>0</v>
      </c>
      <c r="DE213" s="804">
        <v>0</v>
      </c>
      <c r="DF213" s="804">
        <v>0</v>
      </c>
      <c r="DG213" s="804">
        <v>0</v>
      </c>
      <c r="DH213" s="804">
        <v>7136</v>
      </c>
      <c r="DI213" s="804">
        <v>8802</v>
      </c>
      <c r="DJ213" s="804">
        <v>0</v>
      </c>
      <c r="DK213" s="804">
        <v>15938</v>
      </c>
      <c r="DL213" s="804">
        <v>5928</v>
      </c>
      <c r="DM213" s="804">
        <v>7312</v>
      </c>
      <c r="DN213" s="804">
        <v>0</v>
      </c>
      <c r="DO213" s="804">
        <v>13240</v>
      </c>
      <c r="DP213" s="804">
        <v>0</v>
      </c>
      <c r="DQ213" s="804">
        <v>0</v>
      </c>
      <c r="DR213" s="804">
        <v>0</v>
      </c>
      <c r="DS213" s="804">
        <v>0</v>
      </c>
      <c r="DT213" s="804">
        <v>0</v>
      </c>
      <c r="DU213" s="804">
        <v>0</v>
      </c>
      <c r="DV213" s="804">
        <v>0</v>
      </c>
      <c r="DW213" s="804">
        <v>0</v>
      </c>
      <c r="DX213" s="804">
        <v>1013308</v>
      </c>
      <c r="DY213" s="804">
        <v>1249745</v>
      </c>
      <c r="DZ213" s="804">
        <v>0</v>
      </c>
      <c r="EA213" s="804">
        <v>2263053</v>
      </c>
      <c r="EB213" s="804">
        <v>3486308</v>
      </c>
      <c r="EC213" s="804">
        <v>4299780</v>
      </c>
      <c r="ED213" s="804">
        <v>0</v>
      </c>
      <c r="EE213" s="804">
        <v>7786088</v>
      </c>
      <c r="EF213" s="604" t="s">
        <v>298</v>
      </c>
      <c r="EG213" s="497" t="s">
        <v>623</v>
      </c>
      <c r="EH213" s="243" t="s">
        <v>523</v>
      </c>
      <c r="EI213" s="118" t="s">
        <v>1864</v>
      </c>
    </row>
    <row r="214" spans="1:139" ht="12.75" x14ac:dyDescent="0.2">
      <c r="A214" s="805">
        <v>207</v>
      </c>
      <c r="B214" s="606" t="s">
        <v>301</v>
      </c>
      <c r="C214" s="607" t="s">
        <v>1185</v>
      </c>
      <c r="D214" s="608" t="s">
        <v>1193</v>
      </c>
      <c r="E214" s="609" t="s">
        <v>300</v>
      </c>
      <c r="F214" s="802">
        <v>13467741</v>
      </c>
      <c r="G214" s="804">
        <v>140880</v>
      </c>
      <c r="H214" s="804">
        <v>0</v>
      </c>
      <c r="I214" s="804">
        <v>99032</v>
      </c>
      <c r="J214" s="804">
        <v>0</v>
      </c>
      <c r="K214" s="804">
        <v>99032</v>
      </c>
      <c r="L214" s="804">
        <v>0</v>
      </c>
      <c r="M214" s="804">
        <v>0</v>
      </c>
      <c r="N214" s="804">
        <v>0</v>
      </c>
      <c r="O214" s="804">
        <v>0</v>
      </c>
      <c r="P214" s="804">
        <v>0</v>
      </c>
      <c r="Q214" s="804">
        <v>0</v>
      </c>
      <c r="R214" s="804">
        <v>13509589</v>
      </c>
      <c r="S214" s="804">
        <v>0.5</v>
      </c>
      <c r="T214" s="804">
        <v>0.4</v>
      </c>
      <c r="U214" s="804">
        <v>0.09</v>
      </c>
      <c r="V214" s="804">
        <v>0.01</v>
      </c>
      <c r="W214" s="804">
        <v>1</v>
      </c>
      <c r="X214" s="804">
        <v>6754794</v>
      </c>
      <c r="Y214" s="804">
        <v>5403836</v>
      </c>
      <c r="Z214" s="804">
        <v>1215863</v>
      </c>
      <c r="AA214" s="804">
        <v>135096</v>
      </c>
      <c r="AB214" s="804">
        <v>13509589</v>
      </c>
      <c r="AC214" s="804">
        <v>0</v>
      </c>
      <c r="AD214" s="804">
        <v>0</v>
      </c>
      <c r="AE214" s="804">
        <v>0</v>
      </c>
      <c r="AF214" s="804">
        <v>0</v>
      </c>
      <c r="AG214" s="804">
        <v>0</v>
      </c>
      <c r="AH214" s="804">
        <v>6754794</v>
      </c>
      <c r="AI214" s="804">
        <v>5403836</v>
      </c>
      <c r="AJ214" s="804">
        <v>1215863</v>
      </c>
      <c r="AK214" s="804">
        <v>135096</v>
      </c>
      <c r="AL214" s="804">
        <v>13509589</v>
      </c>
      <c r="AM214" s="804">
        <v>99032</v>
      </c>
      <c r="AN214" s="804">
        <v>99032</v>
      </c>
      <c r="AO214" s="804">
        <v>0</v>
      </c>
      <c r="AP214" s="804">
        <v>0</v>
      </c>
      <c r="AQ214" s="804">
        <v>0</v>
      </c>
      <c r="AR214" s="804">
        <v>0</v>
      </c>
      <c r="AS214" s="804">
        <v>0</v>
      </c>
      <c r="AT214" s="804">
        <v>0</v>
      </c>
      <c r="AU214" s="804">
        <v>0</v>
      </c>
      <c r="AV214" s="804">
        <v>0</v>
      </c>
      <c r="AW214" s="804">
        <v>0</v>
      </c>
      <c r="AX214" s="804">
        <v>0</v>
      </c>
      <c r="AY214" s="804">
        <v>0</v>
      </c>
      <c r="AZ214" s="804">
        <v>0</v>
      </c>
      <c r="BA214" s="804">
        <v>0</v>
      </c>
      <c r="BB214" s="804">
        <v>0</v>
      </c>
      <c r="BC214" s="804">
        <v>0</v>
      </c>
      <c r="BD214" s="804">
        <v>0</v>
      </c>
      <c r="BE214" s="804">
        <v>0</v>
      </c>
      <c r="BF214" s="804">
        <v>0</v>
      </c>
      <c r="BG214" s="804">
        <v>0</v>
      </c>
      <c r="BH214" s="804">
        <v>0</v>
      </c>
      <c r="BI214" s="804">
        <v>0</v>
      </c>
      <c r="BJ214" s="804">
        <v>0.25</v>
      </c>
      <c r="BK214" s="804">
        <v>0.52500000000000002</v>
      </c>
      <c r="BL214" s="804">
        <v>0.215</v>
      </c>
      <c r="BM214" s="804">
        <v>0.01</v>
      </c>
      <c r="BN214" s="804">
        <v>1</v>
      </c>
      <c r="BO214" s="804">
        <v>-120045</v>
      </c>
      <c r="BP214" s="804">
        <v>-252095</v>
      </c>
      <c r="BQ214" s="804">
        <v>-103239</v>
      </c>
      <c r="BR214" s="804">
        <v>-4802</v>
      </c>
      <c r="BS214" s="804">
        <v>-480181</v>
      </c>
      <c r="BT214" s="804">
        <v>0.5</v>
      </c>
      <c r="BU214" s="804">
        <v>0.4</v>
      </c>
      <c r="BV214" s="804">
        <v>0.09</v>
      </c>
      <c r="BW214" s="804">
        <v>0.01</v>
      </c>
      <c r="BX214" s="804">
        <v>1</v>
      </c>
      <c r="BY214" s="804">
        <v>231458</v>
      </c>
      <c r="BZ214" s="804">
        <v>185166</v>
      </c>
      <c r="CA214" s="804">
        <v>41662</v>
      </c>
      <c r="CB214" s="804">
        <v>4629</v>
      </c>
      <c r="CC214" s="804">
        <v>462915</v>
      </c>
      <c r="CD214" s="804">
        <v>111413</v>
      </c>
      <c r="CE214" s="804">
        <v>-66929</v>
      </c>
      <c r="CF214" s="804">
        <v>-61577</v>
      </c>
      <c r="CG214" s="804">
        <v>-173</v>
      </c>
      <c r="CH214" s="804">
        <v>-17266</v>
      </c>
      <c r="CI214" s="804">
        <v>6866207</v>
      </c>
      <c r="CJ214" s="804">
        <v>5435939</v>
      </c>
      <c r="CK214" s="804">
        <v>1154286</v>
      </c>
      <c r="CL214" s="804">
        <v>134923</v>
      </c>
      <c r="CM214" s="804">
        <v>13591355</v>
      </c>
      <c r="CN214" s="804">
        <v>216587</v>
      </c>
      <c r="CO214" s="804">
        <v>48732</v>
      </c>
      <c r="CP214" s="804">
        <v>5415</v>
      </c>
      <c r="CQ214" s="804">
        <v>270734</v>
      </c>
      <c r="CR214" s="804">
        <v>900101</v>
      </c>
      <c r="CS214" s="804">
        <v>202523</v>
      </c>
      <c r="CT214" s="804">
        <v>22503</v>
      </c>
      <c r="CU214" s="804">
        <v>1125127</v>
      </c>
      <c r="CV214" s="804">
        <v>9499</v>
      </c>
      <c r="CW214" s="804">
        <v>2137</v>
      </c>
      <c r="CX214" s="804">
        <v>237</v>
      </c>
      <c r="CY214" s="804">
        <v>11873</v>
      </c>
      <c r="CZ214" s="804">
        <v>44064</v>
      </c>
      <c r="DA214" s="804">
        <v>9915</v>
      </c>
      <c r="DB214" s="804">
        <v>1102</v>
      </c>
      <c r="DC214" s="804">
        <v>55081</v>
      </c>
      <c r="DD214" s="804">
        <v>18531</v>
      </c>
      <c r="DE214" s="804">
        <v>4169</v>
      </c>
      <c r="DF214" s="804">
        <v>463</v>
      </c>
      <c r="DG214" s="804">
        <v>23163</v>
      </c>
      <c r="DH214" s="804">
        <v>15296</v>
      </c>
      <c r="DI214" s="804">
        <v>3442</v>
      </c>
      <c r="DJ214" s="804">
        <v>382</v>
      </c>
      <c r="DK214" s="804">
        <v>19120</v>
      </c>
      <c r="DL214" s="804">
        <v>2618</v>
      </c>
      <c r="DM214" s="804">
        <v>589</v>
      </c>
      <c r="DN214" s="804">
        <v>65</v>
      </c>
      <c r="DO214" s="804">
        <v>3272</v>
      </c>
      <c r="DP214" s="804">
        <v>0</v>
      </c>
      <c r="DQ214" s="804">
        <v>0</v>
      </c>
      <c r="DR214" s="804">
        <v>0</v>
      </c>
      <c r="DS214" s="804">
        <v>0</v>
      </c>
      <c r="DT214" s="804">
        <v>5409</v>
      </c>
      <c r="DU214" s="804">
        <v>1217</v>
      </c>
      <c r="DV214" s="804">
        <v>135</v>
      </c>
      <c r="DW214" s="804">
        <v>6761</v>
      </c>
      <c r="DX214" s="804">
        <v>264795</v>
      </c>
      <c r="DY214" s="804">
        <v>59579</v>
      </c>
      <c r="DZ214" s="804">
        <v>6620</v>
      </c>
      <c r="EA214" s="804">
        <v>330994</v>
      </c>
      <c r="EB214" s="804">
        <v>1476900</v>
      </c>
      <c r="EC214" s="804">
        <v>332303</v>
      </c>
      <c r="ED214" s="804">
        <v>36922</v>
      </c>
      <c r="EE214" s="804">
        <v>1846125</v>
      </c>
      <c r="EF214" s="604" t="s">
        <v>300</v>
      </c>
      <c r="EG214" s="497" t="s">
        <v>599</v>
      </c>
      <c r="EH214" s="630" t="s">
        <v>598</v>
      </c>
      <c r="EI214" s="118" t="s">
        <v>1865</v>
      </c>
    </row>
    <row r="215" spans="1:139" ht="12.75" x14ac:dyDescent="0.2">
      <c r="A215" s="805">
        <v>208</v>
      </c>
      <c r="B215" s="606" t="s">
        <v>303</v>
      </c>
      <c r="C215" s="607" t="s">
        <v>1192</v>
      </c>
      <c r="D215" s="608" t="s">
        <v>1187</v>
      </c>
      <c r="E215" s="609" t="s">
        <v>302</v>
      </c>
      <c r="F215" s="802">
        <v>64889794</v>
      </c>
      <c r="G215" s="804">
        <v>0</v>
      </c>
      <c r="H215" s="804">
        <v>65000</v>
      </c>
      <c r="I215" s="804">
        <v>308166</v>
      </c>
      <c r="J215" s="804">
        <v>0</v>
      </c>
      <c r="K215" s="804">
        <v>308166</v>
      </c>
      <c r="L215" s="804">
        <v>0</v>
      </c>
      <c r="M215" s="804">
        <v>0</v>
      </c>
      <c r="N215" s="804">
        <v>581628</v>
      </c>
      <c r="O215" s="804">
        <v>581628</v>
      </c>
      <c r="P215" s="804">
        <v>0</v>
      </c>
      <c r="Q215" s="804">
        <v>0</v>
      </c>
      <c r="R215" s="804">
        <v>63935000</v>
      </c>
      <c r="S215" s="804">
        <v>0</v>
      </c>
      <c r="T215" s="804">
        <v>0.99</v>
      </c>
      <c r="U215" s="804">
        <v>0</v>
      </c>
      <c r="V215" s="804">
        <v>0.01</v>
      </c>
      <c r="W215" s="804">
        <v>1</v>
      </c>
      <c r="X215" s="804">
        <v>0</v>
      </c>
      <c r="Y215" s="804">
        <v>63295650</v>
      </c>
      <c r="Z215" s="804">
        <v>0</v>
      </c>
      <c r="AA215" s="804">
        <v>639350</v>
      </c>
      <c r="AB215" s="804">
        <v>63935000</v>
      </c>
      <c r="AC215" s="804">
        <v>0</v>
      </c>
      <c r="AD215" s="804">
        <v>0</v>
      </c>
      <c r="AE215" s="804">
        <v>0</v>
      </c>
      <c r="AF215" s="804">
        <v>0</v>
      </c>
      <c r="AG215" s="804">
        <v>0</v>
      </c>
      <c r="AH215" s="804">
        <v>0</v>
      </c>
      <c r="AI215" s="804">
        <v>63295650</v>
      </c>
      <c r="AJ215" s="804">
        <v>0</v>
      </c>
      <c r="AK215" s="804">
        <v>639350</v>
      </c>
      <c r="AL215" s="804">
        <v>63935000</v>
      </c>
      <c r="AM215" s="804">
        <v>308166</v>
      </c>
      <c r="AN215" s="804">
        <v>308166</v>
      </c>
      <c r="AO215" s="804">
        <v>0</v>
      </c>
      <c r="AP215" s="804">
        <v>0</v>
      </c>
      <c r="AQ215" s="804">
        <v>581628</v>
      </c>
      <c r="AR215" s="804">
        <v>0</v>
      </c>
      <c r="AS215" s="804">
        <v>581628</v>
      </c>
      <c r="AT215" s="804">
        <v>0</v>
      </c>
      <c r="AU215" s="804">
        <v>0</v>
      </c>
      <c r="AV215" s="804">
        <v>0</v>
      </c>
      <c r="AW215" s="804">
        <v>0</v>
      </c>
      <c r="AX215" s="804">
        <v>0</v>
      </c>
      <c r="AY215" s="804">
        <v>0</v>
      </c>
      <c r="AZ215" s="804">
        <v>0</v>
      </c>
      <c r="BA215" s="804">
        <v>0</v>
      </c>
      <c r="BB215" s="804">
        <v>0</v>
      </c>
      <c r="BC215" s="804">
        <v>0</v>
      </c>
      <c r="BD215" s="804">
        <v>0</v>
      </c>
      <c r="BE215" s="804">
        <v>0</v>
      </c>
      <c r="BF215" s="804">
        <v>0</v>
      </c>
      <c r="BG215" s="804">
        <v>0</v>
      </c>
      <c r="BH215" s="804">
        <v>0</v>
      </c>
      <c r="BI215" s="804">
        <v>0</v>
      </c>
      <c r="BJ215" s="804">
        <v>0</v>
      </c>
      <c r="BK215" s="804">
        <v>0.99</v>
      </c>
      <c r="BL215" s="804">
        <v>0</v>
      </c>
      <c r="BM215" s="804">
        <v>0.01</v>
      </c>
      <c r="BN215" s="804">
        <v>1</v>
      </c>
      <c r="BO215" s="804">
        <v>0</v>
      </c>
      <c r="BP215" s="804">
        <v>1159742</v>
      </c>
      <c r="BQ215" s="804">
        <v>0</v>
      </c>
      <c r="BR215" s="804">
        <v>11715</v>
      </c>
      <c r="BS215" s="804">
        <v>1171457</v>
      </c>
      <c r="BT215" s="804">
        <v>0</v>
      </c>
      <c r="BU215" s="804">
        <v>0.99</v>
      </c>
      <c r="BV215" s="804">
        <v>0</v>
      </c>
      <c r="BW215" s="804">
        <v>0.01</v>
      </c>
      <c r="BX215" s="804">
        <v>1</v>
      </c>
      <c r="BY215" s="804">
        <v>0</v>
      </c>
      <c r="BZ215" s="804">
        <v>-67772</v>
      </c>
      <c r="CA215" s="804">
        <v>0</v>
      </c>
      <c r="CB215" s="804">
        <v>-685</v>
      </c>
      <c r="CC215" s="804">
        <v>-68457</v>
      </c>
      <c r="CD215" s="804">
        <v>0</v>
      </c>
      <c r="CE215" s="804">
        <v>1091970</v>
      </c>
      <c r="CF215" s="804">
        <v>0</v>
      </c>
      <c r="CG215" s="804">
        <v>11030</v>
      </c>
      <c r="CH215" s="804">
        <v>1103000</v>
      </c>
      <c r="CI215" s="804">
        <v>0</v>
      </c>
      <c r="CJ215" s="804">
        <v>65277414</v>
      </c>
      <c r="CK215" s="804">
        <v>0</v>
      </c>
      <c r="CL215" s="804">
        <v>650380</v>
      </c>
      <c r="CM215" s="804">
        <v>65927794</v>
      </c>
      <c r="CN215" s="804">
        <v>2560212</v>
      </c>
      <c r="CO215" s="804">
        <v>0</v>
      </c>
      <c r="CP215" s="804">
        <v>25625</v>
      </c>
      <c r="CQ215" s="804">
        <v>2585837</v>
      </c>
      <c r="CR215" s="804">
        <v>6219521</v>
      </c>
      <c r="CS215" s="804">
        <v>0</v>
      </c>
      <c r="CT215" s="804">
        <v>62823</v>
      </c>
      <c r="CU215" s="804">
        <v>6282344</v>
      </c>
      <c r="CV215" s="804">
        <v>301587</v>
      </c>
      <c r="CW215" s="804">
        <v>0</v>
      </c>
      <c r="CX215" s="804">
        <v>3046</v>
      </c>
      <c r="CY215" s="804">
        <v>304633</v>
      </c>
      <c r="CZ215" s="804">
        <v>2059</v>
      </c>
      <c r="DA215" s="804">
        <v>0</v>
      </c>
      <c r="DB215" s="804">
        <v>21</v>
      </c>
      <c r="DC215" s="804">
        <v>2080</v>
      </c>
      <c r="DD215" s="804">
        <v>0</v>
      </c>
      <c r="DE215" s="804">
        <v>0</v>
      </c>
      <c r="DF215" s="804">
        <v>0</v>
      </c>
      <c r="DG215" s="804">
        <v>0</v>
      </c>
      <c r="DH215" s="804">
        <v>36039</v>
      </c>
      <c r="DI215" s="804">
        <v>0</v>
      </c>
      <c r="DJ215" s="804">
        <v>364</v>
      </c>
      <c r="DK215" s="804">
        <v>36403</v>
      </c>
      <c r="DL215" s="804">
        <v>7614</v>
      </c>
      <c r="DM215" s="804">
        <v>0</v>
      </c>
      <c r="DN215" s="804">
        <v>77</v>
      </c>
      <c r="DO215" s="804">
        <v>7691</v>
      </c>
      <c r="DP215" s="804">
        <v>0</v>
      </c>
      <c r="DQ215" s="804">
        <v>0</v>
      </c>
      <c r="DR215" s="804">
        <v>0</v>
      </c>
      <c r="DS215" s="804">
        <v>0</v>
      </c>
      <c r="DT215" s="804">
        <v>0</v>
      </c>
      <c r="DU215" s="804">
        <v>0</v>
      </c>
      <c r="DV215" s="804">
        <v>0</v>
      </c>
      <c r="DW215" s="804">
        <v>0</v>
      </c>
      <c r="DX215" s="804">
        <v>875227</v>
      </c>
      <c r="DY215" s="804">
        <v>0</v>
      </c>
      <c r="DZ215" s="804">
        <v>8841</v>
      </c>
      <c r="EA215" s="804">
        <v>884068</v>
      </c>
      <c r="EB215" s="804">
        <v>10002259</v>
      </c>
      <c r="EC215" s="804">
        <v>0</v>
      </c>
      <c r="ED215" s="804">
        <v>100797</v>
      </c>
      <c r="EE215" s="804">
        <v>10103056</v>
      </c>
      <c r="EF215" s="604" t="s">
        <v>302</v>
      </c>
      <c r="EG215" s="497" t="s">
        <v>616</v>
      </c>
      <c r="EH215" s="630" t="s">
        <v>617</v>
      </c>
      <c r="EI215" s="118" t="s">
        <v>1866</v>
      </c>
    </row>
    <row r="216" spans="1:139" ht="12.75" x14ac:dyDescent="0.2">
      <c r="A216" s="805">
        <v>209</v>
      </c>
      <c r="B216" s="606" t="s">
        <v>305</v>
      </c>
      <c r="C216" s="607" t="s">
        <v>1185</v>
      </c>
      <c r="D216" s="608" t="s">
        <v>1189</v>
      </c>
      <c r="E216" s="609" t="s">
        <v>304</v>
      </c>
      <c r="F216" s="802">
        <v>16620467</v>
      </c>
      <c r="G216" s="804">
        <v>67548</v>
      </c>
      <c r="H216" s="804">
        <v>0</v>
      </c>
      <c r="I216" s="804">
        <v>95088</v>
      </c>
      <c r="J216" s="804">
        <v>0</v>
      </c>
      <c r="K216" s="804">
        <v>95088</v>
      </c>
      <c r="L216" s="804">
        <v>0</v>
      </c>
      <c r="M216" s="804">
        <v>0</v>
      </c>
      <c r="N216" s="804">
        <v>48920</v>
      </c>
      <c r="O216" s="804">
        <v>48920</v>
      </c>
      <c r="P216" s="804">
        <v>0</v>
      </c>
      <c r="Q216" s="804">
        <v>0</v>
      </c>
      <c r="R216" s="804">
        <v>16544007</v>
      </c>
      <c r="S216" s="804">
        <v>0.5</v>
      </c>
      <c r="T216" s="804">
        <v>0.4</v>
      </c>
      <c r="U216" s="804">
        <v>0.09</v>
      </c>
      <c r="V216" s="804">
        <v>0.01</v>
      </c>
      <c r="W216" s="804">
        <v>1</v>
      </c>
      <c r="X216" s="804">
        <v>8272003</v>
      </c>
      <c r="Y216" s="804">
        <v>6617603</v>
      </c>
      <c r="Z216" s="804">
        <v>1488961</v>
      </c>
      <c r="AA216" s="804">
        <v>165440</v>
      </c>
      <c r="AB216" s="804">
        <v>16544007</v>
      </c>
      <c r="AC216" s="804">
        <v>0</v>
      </c>
      <c r="AD216" s="804">
        <v>0</v>
      </c>
      <c r="AE216" s="804">
        <v>0</v>
      </c>
      <c r="AF216" s="804">
        <v>0</v>
      </c>
      <c r="AG216" s="804">
        <v>0</v>
      </c>
      <c r="AH216" s="804">
        <v>8272003</v>
      </c>
      <c r="AI216" s="804">
        <v>6617603</v>
      </c>
      <c r="AJ216" s="804">
        <v>1488961</v>
      </c>
      <c r="AK216" s="804">
        <v>165440</v>
      </c>
      <c r="AL216" s="804">
        <v>16544007</v>
      </c>
      <c r="AM216" s="804">
        <v>95088</v>
      </c>
      <c r="AN216" s="804">
        <v>95088</v>
      </c>
      <c r="AO216" s="804">
        <v>0</v>
      </c>
      <c r="AP216" s="804">
        <v>0</v>
      </c>
      <c r="AQ216" s="804">
        <v>48920</v>
      </c>
      <c r="AR216" s="804">
        <v>0</v>
      </c>
      <c r="AS216" s="804">
        <v>48920</v>
      </c>
      <c r="AT216" s="804">
        <v>0</v>
      </c>
      <c r="AU216" s="804">
        <v>0</v>
      </c>
      <c r="AV216" s="804">
        <v>0</v>
      </c>
      <c r="AW216" s="804">
        <v>0</v>
      </c>
      <c r="AX216" s="804">
        <v>0</v>
      </c>
      <c r="AY216" s="804">
        <v>0</v>
      </c>
      <c r="AZ216" s="804">
        <v>0</v>
      </c>
      <c r="BA216" s="804">
        <v>0</v>
      </c>
      <c r="BB216" s="804">
        <v>0</v>
      </c>
      <c r="BC216" s="804">
        <v>0</v>
      </c>
      <c r="BD216" s="804">
        <v>0</v>
      </c>
      <c r="BE216" s="804">
        <v>0</v>
      </c>
      <c r="BF216" s="804">
        <v>0</v>
      </c>
      <c r="BG216" s="804">
        <v>0</v>
      </c>
      <c r="BH216" s="804">
        <v>0</v>
      </c>
      <c r="BI216" s="804">
        <v>0</v>
      </c>
      <c r="BJ216" s="804">
        <v>0.5</v>
      </c>
      <c r="BK216" s="804">
        <v>0.4</v>
      </c>
      <c r="BL216" s="804">
        <v>0.09</v>
      </c>
      <c r="BM216" s="804">
        <v>0.01</v>
      </c>
      <c r="BN216" s="804">
        <v>1</v>
      </c>
      <c r="BO216" s="804">
        <v>81521</v>
      </c>
      <c r="BP216" s="804">
        <v>65217</v>
      </c>
      <c r="BQ216" s="804">
        <v>14674</v>
      </c>
      <c r="BR216" s="804">
        <v>1630</v>
      </c>
      <c r="BS216" s="804">
        <v>163042</v>
      </c>
      <c r="BT216" s="804">
        <v>0.5</v>
      </c>
      <c r="BU216" s="804">
        <v>0.4</v>
      </c>
      <c r="BV216" s="804">
        <v>0.09</v>
      </c>
      <c r="BW216" s="804">
        <v>0.01</v>
      </c>
      <c r="BX216" s="804">
        <v>1</v>
      </c>
      <c r="BY216" s="804">
        <v>-88313.859999999404</v>
      </c>
      <c r="BZ216" s="804">
        <v>-70651</v>
      </c>
      <c r="CA216" s="804">
        <v>-15897</v>
      </c>
      <c r="CB216" s="804">
        <v>-1766</v>
      </c>
      <c r="CC216" s="804">
        <v>-176627.8599999994</v>
      </c>
      <c r="CD216" s="804">
        <v>-6793</v>
      </c>
      <c r="CE216" s="804">
        <v>-5434</v>
      </c>
      <c r="CF216" s="804">
        <v>-1223</v>
      </c>
      <c r="CG216" s="804">
        <v>-136</v>
      </c>
      <c r="CH216" s="804">
        <v>-13585.859999999404</v>
      </c>
      <c r="CI216" s="804">
        <v>8265210</v>
      </c>
      <c r="CJ216" s="804">
        <v>6756177</v>
      </c>
      <c r="CK216" s="804">
        <v>1487738</v>
      </c>
      <c r="CL216" s="804">
        <v>165304</v>
      </c>
      <c r="CM216" s="804">
        <v>16674429</v>
      </c>
      <c r="CN216" s="804">
        <v>267195</v>
      </c>
      <c r="CO216" s="804">
        <v>59678</v>
      </c>
      <c r="CP216" s="804">
        <v>6631</v>
      </c>
      <c r="CQ216" s="804">
        <v>333504</v>
      </c>
      <c r="CR216" s="804">
        <v>1116162</v>
      </c>
      <c r="CS216" s="804">
        <v>251137</v>
      </c>
      <c r="CT216" s="804">
        <v>27904</v>
      </c>
      <c r="CU216" s="804">
        <v>1395203</v>
      </c>
      <c r="CV216" s="804">
        <v>49780</v>
      </c>
      <c r="CW216" s="804">
        <v>11201</v>
      </c>
      <c r="CX216" s="804">
        <v>1245</v>
      </c>
      <c r="CY216" s="804">
        <v>62226</v>
      </c>
      <c r="CZ216" s="804">
        <v>0</v>
      </c>
      <c r="DA216" s="804">
        <v>0</v>
      </c>
      <c r="DB216" s="804">
        <v>0</v>
      </c>
      <c r="DC216" s="804">
        <v>0</v>
      </c>
      <c r="DD216" s="804">
        <v>0</v>
      </c>
      <c r="DE216" s="804">
        <v>0</v>
      </c>
      <c r="DF216" s="804">
        <v>0</v>
      </c>
      <c r="DG216" s="804">
        <v>0</v>
      </c>
      <c r="DH216" s="804">
        <v>1414</v>
      </c>
      <c r="DI216" s="804">
        <v>318</v>
      </c>
      <c r="DJ216" s="804">
        <v>35</v>
      </c>
      <c r="DK216" s="804">
        <v>1767</v>
      </c>
      <c r="DL216" s="804">
        <v>1496</v>
      </c>
      <c r="DM216" s="804">
        <v>336</v>
      </c>
      <c r="DN216" s="804">
        <v>37</v>
      </c>
      <c r="DO216" s="804">
        <v>1869</v>
      </c>
      <c r="DP216" s="804">
        <v>0</v>
      </c>
      <c r="DQ216" s="804">
        <v>0</v>
      </c>
      <c r="DR216" s="804">
        <v>0</v>
      </c>
      <c r="DS216" s="804">
        <v>0</v>
      </c>
      <c r="DT216" s="804">
        <v>0</v>
      </c>
      <c r="DU216" s="804">
        <v>0</v>
      </c>
      <c r="DV216" s="804">
        <v>0</v>
      </c>
      <c r="DW216" s="804">
        <v>0</v>
      </c>
      <c r="DX216" s="804">
        <v>188479</v>
      </c>
      <c r="DY216" s="804">
        <v>42408</v>
      </c>
      <c r="DZ216" s="804">
        <v>4712</v>
      </c>
      <c r="EA216" s="804">
        <v>235599</v>
      </c>
      <c r="EB216" s="804">
        <v>1624526</v>
      </c>
      <c r="EC216" s="804">
        <v>365078</v>
      </c>
      <c r="ED216" s="804">
        <v>40564</v>
      </c>
      <c r="EE216" s="804">
        <v>2030168</v>
      </c>
      <c r="EF216" s="604" t="s">
        <v>304</v>
      </c>
      <c r="EG216" s="497" t="s">
        <v>570</v>
      </c>
      <c r="EH216" s="630" t="s">
        <v>568</v>
      </c>
      <c r="EI216" s="118" t="s">
        <v>1867</v>
      </c>
    </row>
    <row r="217" spans="1:139" ht="12.75" x14ac:dyDescent="0.2">
      <c r="A217" s="805">
        <v>210</v>
      </c>
      <c r="B217" s="606" t="s">
        <v>307</v>
      </c>
      <c r="C217" s="607" t="s">
        <v>1185</v>
      </c>
      <c r="D217" s="608" t="s">
        <v>1187</v>
      </c>
      <c r="E217" s="609" t="s">
        <v>306</v>
      </c>
      <c r="F217" s="802">
        <v>12490371</v>
      </c>
      <c r="G217" s="804">
        <v>15255</v>
      </c>
      <c r="H217" s="804">
        <v>0</v>
      </c>
      <c r="I217" s="804">
        <v>96697</v>
      </c>
      <c r="J217" s="804">
        <v>0</v>
      </c>
      <c r="K217" s="804">
        <v>96697</v>
      </c>
      <c r="L217" s="804">
        <v>0</v>
      </c>
      <c r="M217" s="804">
        <v>0</v>
      </c>
      <c r="N217" s="804">
        <v>173140</v>
      </c>
      <c r="O217" s="804">
        <v>173140</v>
      </c>
      <c r="P217" s="804">
        <v>0</v>
      </c>
      <c r="Q217" s="804">
        <v>0</v>
      </c>
      <c r="R217" s="804">
        <v>12235789</v>
      </c>
      <c r="S217" s="804">
        <v>0.5</v>
      </c>
      <c r="T217" s="804">
        <v>0.4</v>
      </c>
      <c r="U217" s="804">
        <v>0.09</v>
      </c>
      <c r="V217" s="804">
        <v>0.01</v>
      </c>
      <c r="W217" s="804">
        <v>1</v>
      </c>
      <c r="X217" s="804">
        <v>6117894</v>
      </c>
      <c r="Y217" s="804">
        <v>4894316</v>
      </c>
      <c r="Z217" s="804">
        <v>1101221</v>
      </c>
      <c r="AA217" s="804">
        <v>122358</v>
      </c>
      <c r="AB217" s="804">
        <v>12235789</v>
      </c>
      <c r="AC217" s="804">
        <v>0</v>
      </c>
      <c r="AD217" s="804">
        <v>0</v>
      </c>
      <c r="AE217" s="804">
        <v>0</v>
      </c>
      <c r="AF217" s="804">
        <v>0</v>
      </c>
      <c r="AG217" s="804">
        <v>0</v>
      </c>
      <c r="AH217" s="804">
        <v>6117894</v>
      </c>
      <c r="AI217" s="804">
        <v>4894316</v>
      </c>
      <c r="AJ217" s="804">
        <v>1101221</v>
      </c>
      <c r="AK217" s="804">
        <v>122358</v>
      </c>
      <c r="AL217" s="804">
        <v>12235789</v>
      </c>
      <c r="AM217" s="804">
        <v>96697</v>
      </c>
      <c r="AN217" s="804">
        <v>96697</v>
      </c>
      <c r="AO217" s="804">
        <v>0</v>
      </c>
      <c r="AP217" s="804">
        <v>0</v>
      </c>
      <c r="AQ217" s="804">
        <v>173140</v>
      </c>
      <c r="AR217" s="804">
        <v>0</v>
      </c>
      <c r="AS217" s="804">
        <v>173140</v>
      </c>
      <c r="AT217" s="804">
        <v>0</v>
      </c>
      <c r="AU217" s="804">
        <v>0</v>
      </c>
      <c r="AV217" s="804">
        <v>0</v>
      </c>
      <c r="AW217" s="804">
        <v>0</v>
      </c>
      <c r="AX217" s="804">
        <v>0</v>
      </c>
      <c r="AY217" s="804">
        <v>0</v>
      </c>
      <c r="AZ217" s="804">
        <v>0</v>
      </c>
      <c r="BA217" s="804">
        <v>0</v>
      </c>
      <c r="BB217" s="804">
        <v>0</v>
      </c>
      <c r="BC217" s="804">
        <v>0</v>
      </c>
      <c r="BD217" s="804">
        <v>0</v>
      </c>
      <c r="BE217" s="804">
        <v>0</v>
      </c>
      <c r="BF217" s="804">
        <v>0</v>
      </c>
      <c r="BG217" s="804">
        <v>0</v>
      </c>
      <c r="BH217" s="804">
        <v>0</v>
      </c>
      <c r="BI217" s="804">
        <v>0</v>
      </c>
      <c r="BJ217" s="804">
        <v>0.25</v>
      </c>
      <c r="BK217" s="804">
        <v>0.56000000000000005</v>
      </c>
      <c r="BL217" s="804">
        <v>0.17499999999999999</v>
      </c>
      <c r="BM217" s="804">
        <v>1.4999999999999999E-2</v>
      </c>
      <c r="BN217" s="804">
        <v>1</v>
      </c>
      <c r="BO217" s="804">
        <v>24362</v>
      </c>
      <c r="BP217" s="804">
        <v>54570</v>
      </c>
      <c r="BQ217" s="804">
        <v>17053</v>
      </c>
      <c r="BR217" s="804">
        <v>1462</v>
      </c>
      <c r="BS217" s="804">
        <v>97447</v>
      </c>
      <c r="BT217" s="804">
        <v>0.5</v>
      </c>
      <c r="BU217" s="804">
        <v>0.4</v>
      </c>
      <c r="BV217" s="804">
        <v>0.09</v>
      </c>
      <c r="BW217" s="804">
        <v>0.01</v>
      </c>
      <c r="BX217" s="804">
        <v>1</v>
      </c>
      <c r="BY217" s="804">
        <v>116075</v>
      </c>
      <c r="BZ217" s="804">
        <v>92860</v>
      </c>
      <c r="CA217" s="804">
        <v>20894</v>
      </c>
      <c r="CB217" s="804">
        <v>2322</v>
      </c>
      <c r="CC217" s="804">
        <v>232151</v>
      </c>
      <c r="CD217" s="804">
        <v>140437</v>
      </c>
      <c r="CE217" s="804">
        <v>147430</v>
      </c>
      <c r="CF217" s="804">
        <v>37947</v>
      </c>
      <c r="CG217" s="804">
        <v>3784</v>
      </c>
      <c r="CH217" s="804">
        <v>329598</v>
      </c>
      <c r="CI217" s="804">
        <v>6258331</v>
      </c>
      <c r="CJ217" s="804">
        <v>5311583</v>
      </c>
      <c r="CK217" s="804">
        <v>1139168</v>
      </c>
      <c r="CL217" s="804">
        <v>126142</v>
      </c>
      <c r="CM217" s="804">
        <v>12835224</v>
      </c>
      <c r="CN217" s="804">
        <v>203104</v>
      </c>
      <c r="CO217" s="804">
        <v>44137</v>
      </c>
      <c r="CP217" s="804">
        <v>4904</v>
      </c>
      <c r="CQ217" s="804">
        <v>252145</v>
      </c>
      <c r="CR217" s="804">
        <v>865863</v>
      </c>
      <c r="CS217" s="804">
        <v>194819</v>
      </c>
      <c r="CT217" s="804">
        <v>21647</v>
      </c>
      <c r="CU217" s="804">
        <v>1082329</v>
      </c>
      <c r="CV217" s="804">
        <v>26599</v>
      </c>
      <c r="CW217" s="804">
        <v>5985</v>
      </c>
      <c r="CX217" s="804">
        <v>665</v>
      </c>
      <c r="CY217" s="804">
        <v>33249</v>
      </c>
      <c r="CZ217" s="804">
        <v>2076</v>
      </c>
      <c r="DA217" s="804">
        <v>467</v>
      </c>
      <c r="DB217" s="804">
        <v>52</v>
      </c>
      <c r="DC217" s="804">
        <v>2595</v>
      </c>
      <c r="DD217" s="804">
        <v>437</v>
      </c>
      <c r="DE217" s="804">
        <v>98</v>
      </c>
      <c r="DF217" s="804">
        <v>11</v>
      </c>
      <c r="DG217" s="804">
        <v>546</v>
      </c>
      <c r="DH217" s="804">
        <v>2328</v>
      </c>
      <c r="DI217" s="804">
        <v>524</v>
      </c>
      <c r="DJ217" s="804">
        <v>58</v>
      </c>
      <c r="DK217" s="804">
        <v>2910</v>
      </c>
      <c r="DL217" s="804">
        <v>1</v>
      </c>
      <c r="DM217" s="804">
        <v>0</v>
      </c>
      <c r="DN217" s="804">
        <v>0</v>
      </c>
      <c r="DO217" s="804">
        <v>1</v>
      </c>
      <c r="DP217" s="804">
        <v>0</v>
      </c>
      <c r="DQ217" s="804">
        <v>0</v>
      </c>
      <c r="DR217" s="804">
        <v>0</v>
      </c>
      <c r="DS217" s="804">
        <v>0</v>
      </c>
      <c r="DT217" s="804">
        <v>0</v>
      </c>
      <c r="DU217" s="804">
        <v>0</v>
      </c>
      <c r="DV217" s="804">
        <v>0</v>
      </c>
      <c r="DW217" s="804">
        <v>0</v>
      </c>
      <c r="DX217" s="804">
        <v>192673</v>
      </c>
      <c r="DY217" s="804">
        <v>43351</v>
      </c>
      <c r="DZ217" s="804">
        <v>4817</v>
      </c>
      <c r="EA217" s="804">
        <v>240841</v>
      </c>
      <c r="EB217" s="804">
        <v>1293081</v>
      </c>
      <c r="EC217" s="804">
        <v>289381</v>
      </c>
      <c r="ED217" s="804">
        <v>32154</v>
      </c>
      <c r="EE217" s="804">
        <v>1614616</v>
      </c>
      <c r="EF217" s="604" t="s">
        <v>306</v>
      </c>
      <c r="EG217" s="497" t="s">
        <v>590</v>
      </c>
      <c r="EH217" s="630" t="s">
        <v>588</v>
      </c>
      <c r="EI217" s="118" t="s">
        <v>1868</v>
      </c>
    </row>
    <row r="218" spans="1:139" ht="12.75" x14ac:dyDescent="0.2">
      <c r="A218" s="805">
        <v>211</v>
      </c>
      <c r="B218" s="606" t="s">
        <v>309</v>
      </c>
      <c r="C218" s="607" t="s">
        <v>1185</v>
      </c>
      <c r="D218" s="608" t="s">
        <v>1186</v>
      </c>
      <c r="E218" s="609" t="s">
        <v>308</v>
      </c>
      <c r="F218" s="802">
        <v>17814674</v>
      </c>
      <c r="G218" s="804">
        <v>230196</v>
      </c>
      <c r="H218" s="804">
        <v>0</v>
      </c>
      <c r="I218" s="804">
        <v>152709</v>
      </c>
      <c r="J218" s="804">
        <v>0</v>
      </c>
      <c r="K218" s="804">
        <v>152709</v>
      </c>
      <c r="L218" s="804">
        <v>0</v>
      </c>
      <c r="M218" s="804">
        <v>0</v>
      </c>
      <c r="N218" s="804">
        <v>0</v>
      </c>
      <c r="O218" s="804">
        <v>0</v>
      </c>
      <c r="P218" s="804">
        <v>0</v>
      </c>
      <c r="Q218" s="804">
        <v>0</v>
      </c>
      <c r="R218" s="804">
        <v>17892161</v>
      </c>
      <c r="S218" s="804">
        <v>0.5</v>
      </c>
      <c r="T218" s="804">
        <v>0.4</v>
      </c>
      <c r="U218" s="804">
        <v>0.09</v>
      </c>
      <c r="V218" s="804">
        <v>0.01</v>
      </c>
      <c r="W218" s="804">
        <v>1</v>
      </c>
      <c r="X218" s="804">
        <v>8946081</v>
      </c>
      <c r="Y218" s="804">
        <v>7156864</v>
      </c>
      <c r="Z218" s="804">
        <v>1610294</v>
      </c>
      <c r="AA218" s="804">
        <v>178922</v>
      </c>
      <c r="AB218" s="804">
        <v>17892161</v>
      </c>
      <c r="AC218" s="804">
        <v>0</v>
      </c>
      <c r="AD218" s="804">
        <v>0</v>
      </c>
      <c r="AE218" s="804">
        <v>0</v>
      </c>
      <c r="AF218" s="804">
        <v>0</v>
      </c>
      <c r="AG218" s="804">
        <v>0</v>
      </c>
      <c r="AH218" s="804">
        <v>8946081</v>
      </c>
      <c r="AI218" s="804">
        <v>7156864</v>
      </c>
      <c r="AJ218" s="804">
        <v>1610294</v>
      </c>
      <c r="AK218" s="804">
        <v>178922</v>
      </c>
      <c r="AL218" s="804">
        <v>17892161</v>
      </c>
      <c r="AM218" s="804">
        <v>152709</v>
      </c>
      <c r="AN218" s="804">
        <v>152709</v>
      </c>
      <c r="AO218" s="804">
        <v>0</v>
      </c>
      <c r="AP218" s="804">
        <v>0</v>
      </c>
      <c r="AQ218" s="804">
        <v>0</v>
      </c>
      <c r="AR218" s="804">
        <v>0</v>
      </c>
      <c r="AS218" s="804">
        <v>0</v>
      </c>
      <c r="AT218" s="804">
        <v>0</v>
      </c>
      <c r="AU218" s="804">
        <v>0</v>
      </c>
      <c r="AV218" s="804">
        <v>0</v>
      </c>
      <c r="AW218" s="804">
        <v>0</v>
      </c>
      <c r="AX218" s="804">
        <v>0</v>
      </c>
      <c r="AY218" s="804">
        <v>0</v>
      </c>
      <c r="AZ218" s="804">
        <v>0</v>
      </c>
      <c r="BA218" s="804">
        <v>0</v>
      </c>
      <c r="BB218" s="804">
        <v>0</v>
      </c>
      <c r="BC218" s="804">
        <v>0</v>
      </c>
      <c r="BD218" s="804">
        <v>0</v>
      </c>
      <c r="BE218" s="804">
        <v>0</v>
      </c>
      <c r="BF218" s="804">
        <v>0</v>
      </c>
      <c r="BG218" s="804">
        <v>0</v>
      </c>
      <c r="BH218" s="804">
        <v>0</v>
      </c>
      <c r="BI218" s="804">
        <v>0</v>
      </c>
      <c r="BJ218" s="804">
        <v>0.24999999999999994</v>
      </c>
      <c r="BK218" s="804">
        <v>0.44</v>
      </c>
      <c r="BL218" s="804">
        <v>0.26</v>
      </c>
      <c r="BM218" s="804">
        <v>0.05</v>
      </c>
      <c r="BN218" s="804">
        <v>1</v>
      </c>
      <c r="BO218" s="804">
        <v>144261</v>
      </c>
      <c r="BP218" s="804">
        <v>253899</v>
      </c>
      <c r="BQ218" s="804">
        <v>150031</v>
      </c>
      <c r="BR218" s="804">
        <v>28852</v>
      </c>
      <c r="BS218" s="804">
        <v>577043</v>
      </c>
      <c r="BT218" s="804">
        <v>0.5</v>
      </c>
      <c r="BU218" s="804">
        <v>0.4</v>
      </c>
      <c r="BV218" s="804">
        <v>0.09</v>
      </c>
      <c r="BW218" s="804">
        <v>0.01</v>
      </c>
      <c r="BX218" s="804">
        <v>1</v>
      </c>
      <c r="BY218" s="804">
        <v>630364.03999999911</v>
      </c>
      <c r="BZ218" s="804">
        <v>504291</v>
      </c>
      <c r="CA218" s="804">
        <v>113466</v>
      </c>
      <c r="CB218" s="804">
        <v>12607</v>
      </c>
      <c r="CC218" s="804">
        <v>1260728.0399999991</v>
      </c>
      <c r="CD218" s="804">
        <v>774625</v>
      </c>
      <c r="CE218" s="804">
        <v>758190</v>
      </c>
      <c r="CF218" s="804">
        <v>263497</v>
      </c>
      <c r="CG218" s="804">
        <v>41459</v>
      </c>
      <c r="CH218" s="804">
        <v>1837771.0399999991</v>
      </c>
      <c r="CI218" s="804">
        <v>9720706</v>
      </c>
      <c r="CJ218" s="804">
        <v>8067763</v>
      </c>
      <c r="CK218" s="804">
        <v>1873791</v>
      </c>
      <c r="CL218" s="804">
        <v>220381</v>
      </c>
      <c r="CM218" s="804">
        <v>19882641</v>
      </c>
      <c r="CN218" s="804">
        <v>286848</v>
      </c>
      <c r="CO218" s="804">
        <v>64541</v>
      </c>
      <c r="CP218" s="804">
        <v>7171</v>
      </c>
      <c r="CQ218" s="804">
        <v>358560</v>
      </c>
      <c r="CR218" s="804">
        <v>1444815</v>
      </c>
      <c r="CS218" s="804">
        <v>325083</v>
      </c>
      <c r="CT218" s="804">
        <v>36120</v>
      </c>
      <c r="CU218" s="804">
        <v>1806018</v>
      </c>
      <c r="CV218" s="804">
        <v>49442</v>
      </c>
      <c r="CW218" s="804">
        <v>11124</v>
      </c>
      <c r="CX218" s="804">
        <v>1236</v>
      </c>
      <c r="CY218" s="804">
        <v>61802</v>
      </c>
      <c r="CZ218" s="804">
        <v>0</v>
      </c>
      <c r="DA218" s="804">
        <v>0</v>
      </c>
      <c r="DB218" s="804">
        <v>0</v>
      </c>
      <c r="DC218" s="804">
        <v>0</v>
      </c>
      <c r="DD218" s="804">
        <v>14461</v>
      </c>
      <c r="DE218" s="804">
        <v>3254</v>
      </c>
      <c r="DF218" s="804">
        <v>362</v>
      </c>
      <c r="DG218" s="804">
        <v>18077</v>
      </c>
      <c r="DH218" s="804">
        <v>19906</v>
      </c>
      <c r="DI218" s="804">
        <v>4479</v>
      </c>
      <c r="DJ218" s="804">
        <v>498</v>
      </c>
      <c r="DK218" s="804">
        <v>24883</v>
      </c>
      <c r="DL218" s="804">
        <v>144</v>
      </c>
      <c r="DM218" s="804">
        <v>32</v>
      </c>
      <c r="DN218" s="804">
        <v>4</v>
      </c>
      <c r="DO218" s="804">
        <v>180</v>
      </c>
      <c r="DP218" s="804">
        <v>0</v>
      </c>
      <c r="DQ218" s="804">
        <v>0</v>
      </c>
      <c r="DR218" s="804">
        <v>0</v>
      </c>
      <c r="DS218" s="804">
        <v>0</v>
      </c>
      <c r="DT218" s="804">
        <v>0</v>
      </c>
      <c r="DU218" s="804">
        <v>0</v>
      </c>
      <c r="DV218" s="804">
        <v>0</v>
      </c>
      <c r="DW218" s="804">
        <v>0</v>
      </c>
      <c r="DX218" s="804">
        <v>262039</v>
      </c>
      <c r="DY218" s="804">
        <v>58959</v>
      </c>
      <c r="DZ218" s="804">
        <v>6551</v>
      </c>
      <c r="EA218" s="804">
        <v>327549</v>
      </c>
      <c r="EB218" s="804">
        <v>2077655</v>
      </c>
      <c r="EC218" s="804">
        <v>467472</v>
      </c>
      <c r="ED218" s="804">
        <v>51942</v>
      </c>
      <c r="EE218" s="804">
        <v>2597069</v>
      </c>
      <c r="EF218" s="604" t="s">
        <v>308</v>
      </c>
      <c r="EG218" s="497" t="s">
        <v>566</v>
      </c>
      <c r="EH218" s="630" t="s">
        <v>565</v>
      </c>
      <c r="EI218" s="118" t="s">
        <v>1869</v>
      </c>
    </row>
    <row r="219" spans="1:139" ht="12.75" x14ac:dyDescent="0.2">
      <c r="A219" s="805">
        <v>212</v>
      </c>
      <c r="B219" s="606" t="s">
        <v>311</v>
      </c>
      <c r="C219" s="607" t="s">
        <v>1192</v>
      </c>
      <c r="D219" s="608" t="s">
        <v>1193</v>
      </c>
      <c r="E219" s="609" t="s">
        <v>310</v>
      </c>
      <c r="F219" s="802">
        <v>76561770</v>
      </c>
      <c r="G219" s="804">
        <v>0</v>
      </c>
      <c r="H219" s="804">
        <v>1304078</v>
      </c>
      <c r="I219" s="804">
        <v>293453</v>
      </c>
      <c r="J219" s="804">
        <v>0</v>
      </c>
      <c r="K219" s="804">
        <v>293453</v>
      </c>
      <c r="L219" s="804">
        <v>0</v>
      </c>
      <c r="M219" s="804">
        <v>520164</v>
      </c>
      <c r="N219" s="804">
        <v>207102</v>
      </c>
      <c r="O219" s="804">
        <v>207102</v>
      </c>
      <c r="P219" s="804">
        <v>0</v>
      </c>
      <c r="Q219" s="804">
        <v>0</v>
      </c>
      <c r="R219" s="804">
        <v>74236973</v>
      </c>
      <c r="S219" s="804">
        <v>0.5</v>
      </c>
      <c r="T219" s="804">
        <v>0.49</v>
      </c>
      <c r="U219" s="804">
        <v>0</v>
      </c>
      <c r="V219" s="804">
        <v>0.01</v>
      </c>
      <c r="W219" s="804">
        <v>1</v>
      </c>
      <c r="X219" s="804">
        <v>37118486</v>
      </c>
      <c r="Y219" s="804">
        <v>36376117</v>
      </c>
      <c r="Z219" s="804">
        <v>0</v>
      </c>
      <c r="AA219" s="804">
        <v>742370</v>
      </c>
      <c r="AB219" s="804">
        <v>74236973</v>
      </c>
      <c r="AC219" s="804">
        <v>157410</v>
      </c>
      <c r="AD219" s="804">
        <v>0</v>
      </c>
      <c r="AE219" s="804">
        <v>0</v>
      </c>
      <c r="AF219" s="804">
        <v>0</v>
      </c>
      <c r="AG219" s="804">
        <v>157410</v>
      </c>
      <c r="AH219" s="804">
        <v>36961076</v>
      </c>
      <c r="AI219" s="804">
        <v>36376117</v>
      </c>
      <c r="AJ219" s="804">
        <v>0</v>
      </c>
      <c r="AK219" s="804">
        <v>742370</v>
      </c>
      <c r="AL219" s="804">
        <v>74079563</v>
      </c>
      <c r="AM219" s="804">
        <v>293453</v>
      </c>
      <c r="AN219" s="804">
        <v>293453</v>
      </c>
      <c r="AO219" s="804">
        <v>520164</v>
      </c>
      <c r="AP219" s="804">
        <v>520164</v>
      </c>
      <c r="AQ219" s="804">
        <v>207102</v>
      </c>
      <c r="AR219" s="804">
        <v>0</v>
      </c>
      <c r="AS219" s="804">
        <v>207102</v>
      </c>
      <c r="AT219" s="804">
        <v>0</v>
      </c>
      <c r="AU219" s="804">
        <v>0</v>
      </c>
      <c r="AV219" s="804">
        <v>0</v>
      </c>
      <c r="AW219" s="804">
        <v>0</v>
      </c>
      <c r="AX219" s="804">
        <v>157410</v>
      </c>
      <c r="AY219" s="804">
        <v>0</v>
      </c>
      <c r="AZ219" s="804">
        <v>0</v>
      </c>
      <c r="BA219" s="804">
        <v>157410</v>
      </c>
      <c r="BB219" s="804">
        <v>0</v>
      </c>
      <c r="BC219" s="804">
        <v>0</v>
      </c>
      <c r="BD219" s="804">
        <v>0</v>
      </c>
      <c r="BE219" s="804">
        <v>0</v>
      </c>
      <c r="BF219" s="804">
        <v>0</v>
      </c>
      <c r="BG219" s="804">
        <v>0</v>
      </c>
      <c r="BH219" s="804">
        <v>0</v>
      </c>
      <c r="BI219" s="804">
        <v>0</v>
      </c>
      <c r="BJ219" s="804">
        <v>0.5</v>
      </c>
      <c r="BK219" s="804">
        <v>0.49</v>
      </c>
      <c r="BL219" s="804">
        <v>0</v>
      </c>
      <c r="BM219" s="804">
        <v>0.01</v>
      </c>
      <c r="BN219" s="804">
        <v>1</v>
      </c>
      <c r="BO219" s="804">
        <v>911259</v>
      </c>
      <c r="BP219" s="804">
        <v>893033</v>
      </c>
      <c r="BQ219" s="804">
        <v>0</v>
      </c>
      <c r="BR219" s="804">
        <v>18225</v>
      </c>
      <c r="BS219" s="804">
        <v>1822517</v>
      </c>
      <c r="BT219" s="804">
        <v>0.5</v>
      </c>
      <c r="BU219" s="804">
        <v>0.49</v>
      </c>
      <c r="BV219" s="804">
        <v>0</v>
      </c>
      <c r="BW219" s="804">
        <v>0.01</v>
      </c>
      <c r="BX219" s="804">
        <v>1</v>
      </c>
      <c r="BY219" s="804">
        <v>-18756.09999999404</v>
      </c>
      <c r="BZ219" s="804">
        <v>-18381</v>
      </c>
      <c r="CA219" s="804">
        <v>0</v>
      </c>
      <c r="CB219" s="804">
        <v>-375</v>
      </c>
      <c r="CC219" s="804">
        <v>-37512.09999999404</v>
      </c>
      <c r="CD219" s="804">
        <v>892503</v>
      </c>
      <c r="CE219" s="804">
        <v>874652</v>
      </c>
      <c r="CF219" s="804">
        <v>0</v>
      </c>
      <c r="CG219" s="804">
        <v>17850</v>
      </c>
      <c r="CH219" s="804">
        <v>1785004.900000006</v>
      </c>
      <c r="CI219" s="804">
        <v>37853579</v>
      </c>
      <c r="CJ219" s="804">
        <v>38428898</v>
      </c>
      <c r="CK219" s="804">
        <v>0</v>
      </c>
      <c r="CL219" s="804">
        <v>760220</v>
      </c>
      <c r="CM219" s="804">
        <v>77042697</v>
      </c>
      <c r="CN219" s="804">
        <v>1493419</v>
      </c>
      <c r="CO219" s="804">
        <v>0</v>
      </c>
      <c r="CP219" s="804">
        <v>29754</v>
      </c>
      <c r="CQ219" s="804">
        <v>1523173</v>
      </c>
      <c r="CR219" s="804">
        <v>3094242</v>
      </c>
      <c r="CS219" s="804">
        <v>0</v>
      </c>
      <c r="CT219" s="804">
        <v>62661</v>
      </c>
      <c r="CU219" s="804">
        <v>3156903</v>
      </c>
      <c r="CV219" s="804">
        <v>137188</v>
      </c>
      <c r="CW219" s="804">
        <v>0</v>
      </c>
      <c r="CX219" s="804">
        <v>2631</v>
      </c>
      <c r="CY219" s="804">
        <v>139819</v>
      </c>
      <c r="CZ219" s="804">
        <v>17181</v>
      </c>
      <c r="DA219" s="804">
        <v>0</v>
      </c>
      <c r="DB219" s="804">
        <v>351</v>
      </c>
      <c r="DC219" s="804">
        <v>17532</v>
      </c>
      <c r="DD219" s="804">
        <v>6470</v>
      </c>
      <c r="DE219" s="804">
        <v>0</v>
      </c>
      <c r="DF219" s="804">
        <v>132</v>
      </c>
      <c r="DG219" s="804">
        <v>6602</v>
      </c>
      <c r="DH219" s="804">
        <v>11743</v>
      </c>
      <c r="DI219" s="804">
        <v>0</v>
      </c>
      <c r="DJ219" s="804">
        <v>240</v>
      </c>
      <c r="DK219" s="804">
        <v>11983</v>
      </c>
      <c r="DL219" s="804">
        <v>0</v>
      </c>
      <c r="DM219" s="804">
        <v>0</v>
      </c>
      <c r="DN219" s="804">
        <v>0</v>
      </c>
      <c r="DO219" s="804">
        <v>0</v>
      </c>
      <c r="DP219" s="804">
        <v>0</v>
      </c>
      <c r="DQ219" s="804">
        <v>0</v>
      </c>
      <c r="DR219" s="804">
        <v>0</v>
      </c>
      <c r="DS219" s="804">
        <v>0</v>
      </c>
      <c r="DT219" s="804">
        <v>0</v>
      </c>
      <c r="DU219" s="804">
        <v>0</v>
      </c>
      <c r="DV219" s="804">
        <v>0</v>
      </c>
      <c r="DW219" s="804">
        <v>0</v>
      </c>
      <c r="DX219" s="804">
        <v>413225</v>
      </c>
      <c r="DY219" s="804">
        <v>0</v>
      </c>
      <c r="DZ219" s="804">
        <v>8433</v>
      </c>
      <c r="EA219" s="804">
        <v>421658</v>
      </c>
      <c r="EB219" s="804">
        <v>5173468</v>
      </c>
      <c r="EC219" s="804">
        <v>0</v>
      </c>
      <c r="ED219" s="804">
        <v>104202</v>
      </c>
      <c r="EE219" s="804">
        <v>5277670</v>
      </c>
      <c r="EF219" s="604" t="s">
        <v>310</v>
      </c>
      <c r="EG219" s="497" t="s">
        <v>616</v>
      </c>
      <c r="EH219" s="630" t="s">
        <v>619</v>
      </c>
      <c r="EI219" s="118" t="s">
        <v>1870</v>
      </c>
    </row>
    <row r="220" spans="1:139" ht="12.75" x14ac:dyDescent="0.2">
      <c r="A220" s="805">
        <v>213</v>
      </c>
      <c r="B220" s="606" t="s">
        <v>313</v>
      </c>
      <c r="C220" s="607" t="s">
        <v>1185</v>
      </c>
      <c r="D220" s="608" t="s">
        <v>1195</v>
      </c>
      <c r="E220" s="609" t="s">
        <v>312</v>
      </c>
      <c r="F220" s="802">
        <v>52109862</v>
      </c>
      <c r="G220" s="804">
        <v>0</v>
      </c>
      <c r="H220" s="804">
        <v>198085</v>
      </c>
      <c r="I220" s="804">
        <v>134284</v>
      </c>
      <c r="J220" s="804">
        <v>0</v>
      </c>
      <c r="K220" s="804">
        <v>134284</v>
      </c>
      <c r="L220" s="804">
        <v>0</v>
      </c>
      <c r="M220" s="804">
        <v>0</v>
      </c>
      <c r="N220" s="804">
        <v>0</v>
      </c>
      <c r="O220" s="804">
        <v>0</v>
      </c>
      <c r="P220" s="804">
        <v>0</v>
      </c>
      <c r="Q220" s="804">
        <v>0</v>
      </c>
      <c r="R220" s="804">
        <v>51777493</v>
      </c>
      <c r="S220" s="804">
        <v>0.5</v>
      </c>
      <c r="T220" s="804">
        <v>0.4</v>
      </c>
      <c r="U220" s="804">
        <v>0.1</v>
      </c>
      <c r="V220" s="804">
        <v>0</v>
      </c>
      <c r="W220" s="804">
        <v>1</v>
      </c>
      <c r="X220" s="804">
        <v>25888747</v>
      </c>
      <c r="Y220" s="804">
        <v>20710997</v>
      </c>
      <c r="Z220" s="804">
        <v>5177749</v>
      </c>
      <c r="AA220" s="804">
        <v>0</v>
      </c>
      <c r="AB220" s="804">
        <v>51777493</v>
      </c>
      <c r="AC220" s="804">
        <v>0</v>
      </c>
      <c r="AD220" s="804">
        <v>0</v>
      </c>
      <c r="AE220" s="804">
        <v>0</v>
      </c>
      <c r="AF220" s="804">
        <v>0</v>
      </c>
      <c r="AG220" s="804">
        <v>0</v>
      </c>
      <c r="AH220" s="804">
        <v>25888747</v>
      </c>
      <c r="AI220" s="804">
        <v>20710997</v>
      </c>
      <c r="AJ220" s="804">
        <v>5177749</v>
      </c>
      <c r="AK220" s="804">
        <v>0</v>
      </c>
      <c r="AL220" s="804">
        <v>51777493</v>
      </c>
      <c r="AM220" s="804">
        <v>134284</v>
      </c>
      <c r="AN220" s="804">
        <v>134284</v>
      </c>
      <c r="AO220" s="804">
        <v>0</v>
      </c>
      <c r="AP220" s="804">
        <v>0</v>
      </c>
      <c r="AQ220" s="804">
        <v>0</v>
      </c>
      <c r="AR220" s="804">
        <v>0</v>
      </c>
      <c r="AS220" s="804">
        <v>0</v>
      </c>
      <c r="AT220" s="804">
        <v>0</v>
      </c>
      <c r="AU220" s="804">
        <v>0</v>
      </c>
      <c r="AV220" s="804">
        <v>0</v>
      </c>
      <c r="AW220" s="804">
        <v>0</v>
      </c>
      <c r="AX220" s="804">
        <v>0</v>
      </c>
      <c r="AY220" s="804">
        <v>0</v>
      </c>
      <c r="AZ220" s="804">
        <v>0</v>
      </c>
      <c r="BA220" s="804">
        <v>0</v>
      </c>
      <c r="BB220" s="804">
        <v>0</v>
      </c>
      <c r="BC220" s="804">
        <v>0</v>
      </c>
      <c r="BD220" s="804">
        <v>0</v>
      </c>
      <c r="BE220" s="804">
        <v>0</v>
      </c>
      <c r="BF220" s="804">
        <v>0</v>
      </c>
      <c r="BG220" s="804">
        <v>0</v>
      </c>
      <c r="BH220" s="804">
        <v>0</v>
      </c>
      <c r="BI220" s="804">
        <v>0</v>
      </c>
      <c r="BJ220" s="804">
        <v>0.5</v>
      </c>
      <c r="BK220" s="804">
        <v>0.4</v>
      </c>
      <c r="BL220" s="804">
        <v>0.1</v>
      </c>
      <c r="BM220" s="804">
        <v>0</v>
      </c>
      <c r="BN220" s="804">
        <v>1</v>
      </c>
      <c r="BO220" s="804">
        <v>-564702</v>
      </c>
      <c r="BP220" s="804">
        <v>-451761</v>
      </c>
      <c r="BQ220" s="804">
        <v>-112940</v>
      </c>
      <c r="BR220" s="804">
        <v>0</v>
      </c>
      <c r="BS220" s="804">
        <v>-1129403</v>
      </c>
      <c r="BT220" s="804">
        <v>0.5</v>
      </c>
      <c r="BU220" s="804">
        <v>0.4</v>
      </c>
      <c r="BV220" s="804">
        <v>0.1</v>
      </c>
      <c r="BW220" s="804">
        <v>0</v>
      </c>
      <c r="BX220" s="804">
        <v>1</v>
      </c>
      <c r="BY220" s="804">
        <v>-352746</v>
      </c>
      <c r="BZ220" s="804">
        <v>-282196</v>
      </c>
      <c r="CA220" s="804">
        <v>-70549</v>
      </c>
      <c r="CB220" s="804">
        <v>0</v>
      </c>
      <c r="CC220" s="804">
        <v>-705491</v>
      </c>
      <c r="CD220" s="804">
        <v>-917447</v>
      </c>
      <c r="CE220" s="804">
        <v>-733958</v>
      </c>
      <c r="CF220" s="804">
        <v>-183489</v>
      </c>
      <c r="CG220" s="804">
        <v>0</v>
      </c>
      <c r="CH220" s="804">
        <v>-1834894</v>
      </c>
      <c r="CI220" s="804">
        <v>24971300</v>
      </c>
      <c r="CJ220" s="804">
        <v>20111323</v>
      </c>
      <c r="CK220" s="804">
        <v>4994260</v>
      </c>
      <c r="CL220" s="804">
        <v>0</v>
      </c>
      <c r="CM220" s="804">
        <v>50076883</v>
      </c>
      <c r="CN220" s="804">
        <v>830100</v>
      </c>
      <c r="CO220" s="804">
        <v>207525</v>
      </c>
      <c r="CP220" s="804">
        <v>0</v>
      </c>
      <c r="CQ220" s="804">
        <v>1037625</v>
      </c>
      <c r="CR220" s="804">
        <v>1023418</v>
      </c>
      <c r="CS220" s="804">
        <v>255854</v>
      </c>
      <c r="CT220" s="804">
        <v>0</v>
      </c>
      <c r="CU220" s="804">
        <v>1279272</v>
      </c>
      <c r="CV220" s="804">
        <v>81373</v>
      </c>
      <c r="CW220" s="804">
        <v>20343</v>
      </c>
      <c r="CX220" s="804">
        <v>0</v>
      </c>
      <c r="CY220" s="804">
        <v>101716</v>
      </c>
      <c r="CZ220" s="804">
        <v>0</v>
      </c>
      <c r="DA220" s="804">
        <v>0</v>
      </c>
      <c r="DB220" s="804">
        <v>0</v>
      </c>
      <c r="DC220" s="804">
        <v>0</v>
      </c>
      <c r="DD220" s="804">
        <v>3310</v>
      </c>
      <c r="DE220" s="804">
        <v>827</v>
      </c>
      <c r="DF220" s="804">
        <v>0</v>
      </c>
      <c r="DG220" s="804">
        <v>4137</v>
      </c>
      <c r="DH220" s="804">
        <v>10194</v>
      </c>
      <c r="DI220" s="804">
        <v>2549</v>
      </c>
      <c r="DJ220" s="804">
        <v>0</v>
      </c>
      <c r="DK220" s="804">
        <v>12743</v>
      </c>
      <c r="DL220" s="804">
        <v>3307</v>
      </c>
      <c r="DM220" s="804">
        <v>827</v>
      </c>
      <c r="DN220" s="804">
        <v>0</v>
      </c>
      <c r="DO220" s="804">
        <v>4134</v>
      </c>
      <c r="DP220" s="804">
        <v>0</v>
      </c>
      <c r="DQ220" s="804">
        <v>0</v>
      </c>
      <c r="DR220" s="804">
        <v>0</v>
      </c>
      <c r="DS220" s="804">
        <v>0</v>
      </c>
      <c r="DT220" s="804">
        <v>0</v>
      </c>
      <c r="DU220" s="804">
        <v>0</v>
      </c>
      <c r="DV220" s="804">
        <v>0</v>
      </c>
      <c r="DW220" s="804">
        <v>0</v>
      </c>
      <c r="DX220" s="804">
        <v>302966</v>
      </c>
      <c r="DY220" s="804">
        <v>75741</v>
      </c>
      <c r="DZ220" s="804">
        <v>0</v>
      </c>
      <c r="EA220" s="804">
        <v>378707</v>
      </c>
      <c r="EB220" s="804">
        <v>2254668</v>
      </c>
      <c r="EC220" s="804">
        <v>563666</v>
      </c>
      <c r="ED220" s="804">
        <v>0</v>
      </c>
      <c r="EE220" s="804">
        <v>2818334</v>
      </c>
      <c r="EF220" s="604" t="s">
        <v>312</v>
      </c>
      <c r="EG220" s="497" t="s">
        <v>612</v>
      </c>
      <c r="EH220" s="630" t="s">
        <v>551</v>
      </c>
      <c r="EI220" s="118" t="s">
        <v>1871</v>
      </c>
    </row>
    <row r="221" spans="1:139" ht="12.75" x14ac:dyDescent="0.2">
      <c r="A221" s="805">
        <v>214</v>
      </c>
      <c r="B221" s="606" t="s">
        <v>315</v>
      </c>
      <c r="C221" s="607" t="s">
        <v>1185</v>
      </c>
      <c r="D221" s="608" t="s">
        <v>1186</v>
      </c>
      <c r="E221" s="609" t="s">
        <v>314</v>
      </c>
      <c r="F221" s="802">
        <v>59722630</v>
      </c>
      <c r="G221" s="804">
        <v>397585</v>
      </c>
      <c r="H221" s="804">
        <v>0</v>
      </c>
      <c r="I221" s="804">
        <v>136412</v>
      </c>
      <c r="J221" s="804">
        <v>1200</v>
      </c>
      <c r="K221" s="804">
        <v>137612</v>
      </c>
      <c r="L221" s="804">
        <v>0</v>
      </c>
      <c r="M221" s="804">
        <v>169757</v>
      </c>
      <c r="N221" s="804">
        <v>0</v>
      </c>
      <c r="O221" s="804">
        <v>0</v>
      </c>
      <c r="P221" s="804">
        <v>0</v>
      </c>
      <c r="Q221" s="804">
        <v>0</v>
      </c>
      <c r="R221" s="804">
        <v>59812846</v>
      </c>
      <c r="S221" s="804">
        <v>0.5</v>
      </c>
      <c r="T221" s="804">
        <v>0.4</v>
      </c>
      <c r="U221" s="804">
        <v>0.1</v>
      </c>
      <c r="V221" s="804">
        <v>0</v>
      </c>
      <c r="W221" s="804">
        <v>1</v>
      </c>
      <c r="X221" s="804">
        <v>29906423</v>
      </c>
      <c r="Y221" s="804">
        <v>23925138</v>
      </c>
      <c r="Z221" s="804">
        <v>5981285</v>
      </c>
      <c r="AA221" s="804">
        <v>0</v>
      </c>
      <c r="AB221" s="804">
        <v>59812846</v>
      </c>
      <c r="AC221" s="804">
        <v>0</v>
      </c>
      <c r="AD221" s="804">
        <v>0</v>
      </c>
      <c r="AE221" s="804">
        <v>0</v>
      </c>
      <c r="AF221" s="804">
        <v>0</v>
      </c>
      <c r="AG221" s="804">
        <v>0</v>
      </c>
      <c r="AH221" s="804">
        <v>29906423</v>
      </c>
      <c r="AI221" s="804">
        <v>23925138</v>
      </c>
      <c r="AJ221" s="804">
        <v>5981285</v>
      </c>
      <c r="AK221" s="804">
        <v>0</v>
      </c>
      <c r="AL221" s="804">
        <v>59812846</v>
      </c>
      <c r="AM221" s="804">
        <v>137612</v>
      </c>
      <c r="AN221" s="804">
        <v>137612</v>
      </c>
      <c r="AO221" s="804">
        <v>169757</v>
      </c>
      <c r="AP221" s="804">
        <v>169757</v>
      </c>
      <c r="AQ221" s="804">
        <v>0</v>
      </c>
      <c r="AR221" s="804">
        <v>0</v>
      </c>
      <c r="AS221" s="804">
        <v>0</v>
      </c>
      <c r="AT221" s="804">
        <v>0</v>
      </c>
      <c r="AU221" s="804">
        <v>0</v>
      </c>
      <c r="AV221" s="804">
        <v>0</v>
      </c>
      <c r="AW221" s="804">
        <v>0</v>
      </c>
      <c r="AX221" s="804">
        <v>0</v>
      </c>
      <c r="AY221" s="804">
        <v>0</v>
      </c>
      <c r="AZ221" s="804">
        <v>0</v>
      </c>
      <c r="BA221" s="804">
        <v>0</v>
      </c>
      <c r="BB221" s="804">
        <v>0</v>
      </c>
      <c r="BC221" s="804">
        <v>0</v>
      </c>
      <c r="BD221" s="804">
        <v>0</v>
      </c>
      <c r="BE221" s="804">
        <v>0</v>
      </c>
      <c r="BF221" s="804">
        <v>0</v>
      </c>
      <c r="BG221" s="804">
        <v>0</v>
      </c>
      <c r="BH221" s="804">
        <v>0</v>
      </c>
      <c r="BI221" s="804">
        <v>0</v>
      </c>
      <c r="BJ221" s="804">
        <v>0.5</v>
      </c>
      <c r="BK221" s="804">
        <v>0.4</v>
      </c>
      <c r="BL221" s="804">
        <v>0.1</v>
      </c>
      <c r="BM221" s="804">
        <v>0</v>
      </c>
      <c r="BN221" s="804">
        <v>1</v>
      </c>
      <c r="BO221" s="804">
        <v>-4521705.0000000019</v>
      </c>
      <c r="BP221" s="804">
        <v>-3617364</v>
      </c>
      <c r="BQ221" s="804">
        <v>-904341</v>
      </c>
      <c r="BR221" s="804">
        <v>0</v>
      </c>
      <c r="BS221" s="804">
        <v>-9043410.0000000019</v>
      </c>
      <c r="BT221" s="804">
        <v>0</v>
      </c>
      <c r="BU221" s="804">
        <v>0.3</v>
      </c>
      <c r="BV221" s="804">
        <v>0.7</v>
      </c>
      <c r="BW221" s="804">
        <v>0</v>
      </c>
      <c r="BX221" s="804">
        <v>1</v>
      </c>
      <c r="BY221" s="804">
        <v>-0.5800000037997961</v>
      </c>
      <c r="BZ221" s="804">
        <v>1371892</v>
      </c>
      <c r="CA221" s="804">
        <v>3201081</v>
      </c>
      <c r="CB221" s="804">
        <v>0</v>
      </c>
      <c r="CC221" s="804">
        <v>4572972.4199999962</v>
      </c>
      <c r="CD221" s="804">
        <v>-4521706</v>
      </c>
      <c r="CE221" s="804">
        <v>-2245472</v>
      </c>
      <c r="CF221" s="804">
        <v>2296740</v>
      </c>
      <c r="CG221" s="804">
        <v>0</v>
      </c>
      <c r="CH221" s="804">
        <v>-4470437.5800000057</v>
      </c>
      <c r="CI221" s="804">
        <v>25384717</v>
      </c>
      <c r="CJ221" s="804">
        <v>21987035</v>
      </c>
      <c r="CK221" s="804">
        <v>8278025</v>
      </c>
      <c r="CL221" s="804">
        <v>0</v>
      </c>
      <c r="CM221" s="804">
        <v>55649777</v>
      </c>
      <c r="CN221" s="804">
        <v>965727</v>
      </c>
      <c r="CO221" s="804">
        <v>239731</v>
      </c>
      <c r="CP221" s="804">
        <v>0</v>
      </c>
      <c r="CQ221" s="804">
        <v>1205458</v>
      </c>
      <c r="CR221" s="804">
        <v>729657</v>
      </c>
      <c r="CS221" s="804">
        <v>182414</v>
      </c>
      <c r="CT221" s="804">
        <v>0</v>
      </c>
      <c r="CU221" s="804">
        <v>912071</v>
      </c>
      <c r="CV221" s="804">
        <v>70118</v>
      </c>
      <c r="CW221" s="804">
        <v>16934</v>
      </c>
      <c r="CX221" s="804">
        <v>0</v>
      </c>
      <c r="CY221" s="804">
        <v>87052</v>
      </c>
      <c r="CZ221" s="804">
        <v>2569</v>
      </c>
      <c r="DA221" s="804">
        <v>642</v>
      </c>
      <c r="DB221" s="804">
        <v>0</v>
      </c>
      <c r="DC221" s="804">
        <v>3211</v>
      </c>
      <c r="DD221" s="804">
        <v>0</v>
      </c>
      <c r="DE221" s="804">
        <v>0</v>
      </c>
      <c r="DF221" s="804">
        <v>0</v>
      </c>
      <c r="DG221" s="804">
        <v>0</v>
      </c>
      <c r="DH221" s="804">
        <v>13726</v>
      </c>
      <c r="DI221" s="804">
        <v>3431</v>
      </c>
      <c r="DJ221" s="804">
        <v>0</v>
      </c>
      <c r="DK221" s="804">
        <v>17157</v>
      </c>
      <c r="DL221" s="804">
        <v>4928</v>
      </c>
      <c r="DM221" s="804">
        <v>1232</v>
      </c>
      <c r="DN221" s="804">
        <v>0</v>
      </c>
      <c r="DO221" s="804">
        <v>6160</v>
      </c>
      <c r="DP221" s="804">
        <v>0</v>
      </c>
      <c r="DQ221" s="804">
        <v>0</v>
      </c>
      <c r="DR221" s="804">
        <v>0</v>
      </c>
      <c r="DS221" s="804">
        <v>0</v>
      </c>
      <c r="DT221" s="804">
        <v>0</v>
      </c>
      <c r="DU221" s="804">
        <v>0</v>
      </c>
      <c r="DV221" s="804">
        <v>0</v>
      </c>
      <c r="DW221" s="804">
        <v>0</v>
      </c>
      <c r="DX221" s="804">
        <v>251101</v>
      </c>
      <c r="DY221" s="804">
        <v>62775</v>
      </c>
      <c r="DZ221" s="804">
        <v>0</v>
      </c>
      <c r="EA221" s="804">
        <v>313876</v>
      </c>
      <c r="EB221" s="804">
        <v>2037826</v>
      </c>
      <c r="EC221" s="804">
        <v>507159</v>
      </c>
      <c r="ED221" s="804">
        <v>0</v>
      </c>
      <c r="EE221" s="804">
        <v>2544985</v>
      </c>
      <c r="EF221" s="604" t="s">
        <v>314</v>
      </c>
      <c r="EG221" s="497" t="s">
        <v>611</v>
      </c>
      <c r="EH221" s="630" t="s">
        <v>551</v>
      </c>
      <c r="EI221" s="118" t="s">
        <v>1872</v>
      </c>
    </row>
    <row r="222" spans="1:139" ht="12.75" x14ac:dyDescent="0.2">
      <c r="A222" s="805">
        <v>215</v>
      </c>
      <c r="B222" s="606" t="s">
        <v>317</v>
      </c>
      <c r="C222" s="607" t="s">
        <v>1185</v>
      </c>
      <c r="D222" s="608" t="s">
        <v>1188</v>
      </c>
      <c r="E222" s="609" t="s">
        <v>316</v>
      </c>
      <c r="F222" s="802">
        <v>29793991</v>
      </c>
      <c r="G222" s="804">
        <v>0</v>
      </c>
      <c r="H222" s="804">
        <v>1954977</v>
      </c>
      <c r="I222" s="804">
        <v>112000</v>
      </c>
      <c r="J222" s="804">
        <v>0</v>
      </c>
      <c r="K222" s="804">
        <v>112000</v>
      </c>
      <c r="L222" s="804">
        <v>0</v>
      </c>
      <c r="M222" s="804">
        <v>0</v>
      </c>
      <c r="N222" s="804">
        <v>461315</v>
      </c>
      <c r="O222" s="804">
        <v>461315</v>
      </c>
      <c r="P222" s="804">
        <v>0</v>
      </c>
      <c r="Q222" s="804">
        <v>0</v>
      </c>
      <c r="R222" s="804">
        <v>27265699</v>
      </c>
      <c r="S222" s="804">
        <v>0.5</v>
      </c>
      <c r="T222" s="804">
        <v>0.4</v>
      </c>
      <c r="U222" s="804">
        <v>0.09</v>
      </c>
      <c r="V222" s="804">
        <v>0.01</v>
      </c>
      <c r="W222" s="804">
        <v>1</v>
      </c>
      <c r="X222" s="804">
        <v>13632849</v>
      </c>
      <c r="Y222" s="804">
        <v>10906280</v>
      </c>
      <c r="Z222" s="804">
        <v>2453913</v>
      </c>
      <c r="AA222" s="804">
        <v>272657</v>
      </c>
      <c r="AB222" s="804">
        <v>27265699</v>
      </c>
      <c r="AC222" s="804">
        <v>0</v>
      </c>
      <c r="AD222" s="804">
        <v>0</v>
      </c>
      <c r="AE222" s="804">
        <v>0</v>
      </c>
      <c r="AF222" s="804">
        <v>0</v>
      </c>
      <c r="AG222" s="804">
        <v>0</v>
      </c>
      <c r="AH222" s="804">
        <v>13632849</v>
      </c>
      <c r="AI222" s="804">
        <v>10906280</v>
      </c>
      <c r="AJ222" s="804">
        <v>2453913</v>
      </c>
      <c r="AK222" s="804">
        <v>272657</v>
      </c>
      <c r="AL222" s="804">
        <v>27265699</v>
      </c>
      <c r="AM222" s="804">
        <v>112000</v>
      </c>
      <c r="AN222" s="804">
        <v>112000</v>
      </c>
      <c r="AO222" s="804">
        <v>0</v>
      </c>
      <c r="AP222" s="804">
        <v>0</v>
      </c>
      <c r="AQ222" s="804">
        <v>461315</v>
      </c>
      <c r="AR222" s="804">
        <v>0</v>
      </c>
      <c r="AS222" s="804">
        <v>461315</v>
      </c>
      <c r="AT222" s="804">
        <v>0</v>
      </c>
      <c r="AU222" s="804">
        <v>0</v>
      </c>
      <c r="AV222" s="804">
        <v>0</v>
      </c>
      <c r="AW222" s="804">
        <v>0</v>
      </c>
      <c r="AX222" s="804">
        <v>0</v>
      </c>
      <c r="AY222" s="804">
        <v>0</v>
      </c>
      <c r="AZ222" s="804">
        <v>0</v>
      </c>
      <c r="BA222" s="804">
        <v>0</v>
      </c>
      <c r="BB222" s="804">
        <v>0</v>
      </c>
      <c r="BC222" s="804">
        <v>0</v>
      </c>
      <c r="BD222" s="804">
        <v>0</v>
      </c>
      <c r="BE222" s="804">
        <v>0</v>
      </c>
      <c r="BF222" s="804">
        <v>0</v>
      </c>
      <c r="BG222" s="804">
        <v>0</v>
      </c>
      <c r="BH222" s="804">
        <v>0</v>
      </c>
      <c r="BI222" s="804">
        <v>0</v>
      </c>
      <c r="BJ222" s="804">
        <v>0.5</v>
      </c>
      <c r="BK222" s="804">
        <v>0.4</v>
      </c>
      <c r="BL222" s="804">
        <v>0.09</v>
      </c>
      <c r="BM222" s="804">
        <v>0.01</v>
      </c>
      <c r="BN222" s="804">
        <v>1</v>
      </c>
      <c r="BO222" s="804">
        <v>285725</v>
      </c>
      <c r="BP222" s="804">
        <v>228579</v>
      </c>
      <c r="BQ222" s="804">
        <v>51430</v>
      </c>
      <c r="BR222" s="804">
        <v>5714</v>
      </c>
      <c r="BS222" s="804">
        <v>571448</v>
      </c>
      <c r="BT222" s="804">
        <v>0.5</v>
      </c>
      <c r="BU222" s="804">
        <v>0.4</v>
      </c>
      <c r="BV222" s="804">
        <v>0.09</v>
      </c>
      <c r="BW222" s="804">
        <v>0.01</v>
      </c>
      <c r="BX222" s="804">
        <v>1</v>
      </c>
      <c r="BY222" s="804">
        <v>-107816</v>
      </c>
      <c r="BZ222" s="804">
        <v>-86252</v>
      </c>
      <c r="CA222" s="804">
        <v>-19407</v>
      </c>
      <c r="CB222" s="804">
        <v>-2156</v>
      </c>
      <c r="CC222" s="804">
        <v>-215631</v>
      </c>
      <c r="CD222" s="804">
        <v>177909</v>
      </c>
      <c r="CE222" s="804">
        <v>142327</v>
      </c>
      <c r="CF222" s="804">
        <v>32023</v>
      </c>
      <c r="CG222" s="804">
        <v>3558</v>
      </c>
      <c r="CH222" s="804">
        <v>355817</v>
      </c>
      <c r="CI222" s="804">
        <v>13810758</v>
      </c>
      <c r="CJ222" s="804">
        <v>11621922</v>
      </c>
      <c r="CK222" s="804">
        <v>2485936</v>
      </c>
      <c r="CL222" s="804">
        <v>276215</v>
      </c>
      <c r="CM222" s="804">
        <v>28194831</v>
      </c>
      <c r="CN222" s="804">
        <v>455615</v>
      </c>
      <c r="CO222" s="804">
        <v>98353</v>
      </c>
      <c r="CP222" s="804">
        <v>10928</v>
      </c>
      <c r="CQ222" s="804">
        <v>564896</v>
      </c>
      <c r="CR222" s="804">
        <v>957987</v>
      </c>
      <c r="CS222" s="804">
        <v>215547</v>
      </c>
      <c r="CT222" s="804">
        <v>23950</v>
      </c>
      <c r="CU222" s="804">
        <v>1197484</v>
      </c>
      <c r="CV222" s="804">
        <v>56715</v>
      </c>
      <c r="CW222" s="804">
        <v>12761</v>
      </c>
      <c r="CX222" s="804">
        <v>1418</v>
      </c>
      <c r="CY222" s="804">
        <v>70894</v>
      </c>
      <c r="CZ222" s="804">
        <v>3192</v>
      </c>
      <c r="DA222" s="804">
        <v>718</v>
      </c>
      <c r="DB222" s="804">
        <v>80</v>
      </c>
      <c r="DC222" s="804">
        <v>3990</v>
      </c>
      <c r="DD222" s="804">
        <v>2854</v>
      </c>
      <c r="DE222" s="804">
        <v>642</v>
      </c>
      <c r="DF222" s="804">
        <v>71</v>
      </c>
      <c r="DG222" s="804">
        <v>3567</v>
      </c>
      <c r="DH222" s="804">
        <v>14131</v>
      </c>
      <c r="DI222" s="804">
        <v>3180</v>
      </c>
      <c r="DJ222" s="804">
        <v>353</v>
      </c>
      <c r="DK222" s="804">
        <v>17664</v>
      </c>
      <c r="DL222" s="804">
        <v>3162</v>
      </c>
      <c r="DM222" s="804">
        <v>711</v>
      </c>
      <c r="DN222" s="804">
        <v>79</v>
      </c>
      <c r="DO222" s="804">
        <v>3952</v>
      </c>
      <c r="DP222" s="804">
        <v>0</v>
      </c>
      <c r="DQ222" s="804">
        <v>0</v>
      </c>
      <c r="DR222" s="804">
        <v>0</v>
      </c>
      <c r="DS222" s="804">
        <v>0</v>
      </c>
      <c r="DT222" s="804">
        <v>0</v>
      </c>
      <c r="DU222" s="804">
        <v>0</v>
      </c>
      <c r="DV222" s="804">
        <v>0</v>
      </c>
      <c r="DW222" s="804">
        <v>0</v>
      </c>
      <c r="DX222" s="804">
        <v>388357</v>
      </c>
      <c r="DY222" s="804">
        <v>87380</v>
      </c>
      <c r="DZ222" s="804">
        <v>9709</v>
      </c>
      <c r="EA222" s="804">
        <v>485446</v>
      </c>
      <c r="EB222" s="804">
        <v>1882013</v>
      </c>
      <c r="EC222" s="804">
        <v>419292</v>
      </c>
      <c r="ED222" s="804">
        <v>46588</v>
      </c>
      <c r="EE222" s="804">
        <v>2347893</v>
      </c>
      <c r="EF222" s="604" t="s">
        <v>316</v>
      </c>
      <c r="EG222" s="497" t="s">
        <v>603</v>
      </c>
      <c r="EH222" s="630" t="s">
        <v>602</v>
      </c>
      <c r="EI222" s="118" t="s">
        <v>1873</v>
      </c>
    </row>
    <row r="223" spans="1:139" ht="12.75" x14ac:dyDescent="0.2">
      <c r="A223" s="805">
        <v>216</v>
      </c>
      <c r="B223" s="606" t="s">
        <v>319</v>
      </c>
      <c r="C223" s="607" t="s">
        <v>1185</v>
      </c>
      <c r="D223" s="608" t="s">
        <v>1186</v>
      </c>
      <c r="E223" s="609" t="s">
        <v>318</v>
      </c>
      <c r="F223" s="802">
        <v>50189330</v>
      </c>
      <c r="G223" s="804">
        <v>0</v>
      </c>
      <c r="H223" s="804">
        <v>82070</v>
      </c>
      <c r="I223" s="804">
        <v>121930</v>
      </c>
      <c r="J223" s="804">
        <v>0</v>
      </c>
      <c r="K223" s="804">
        <v>121930</v>
      </c>
      <c r="L223" s="804">
        <v>0</v>
      </c>
      <c r="M223" s="804">
        <v>0</v>
      </c>
      <c r="N223" s="804">
        <v>0</v>
      </c>
      <c r="O223" s="804">
        <v>0</v>
      </c>
      <c r="P223" s="804">
        <v>0</v>
      </c>
      <c r="Q223" s="804">
        <v>0</v>
      </c>
      <c r="R223" s="804">
        <v>49985330</v>
      </c>
      <c r="S223" s="804">
        <v>0.5</v>
      </c>
      <c r="T223" s="804">
        <v>0.4</v>
      </c>
      <c r="U223" s="804">
        <v>0.09</v>
      </c>
      <c r="V223" s="804">
        <v>0.01</v>
      </c>
      <c r="W223" s="804">
        <v>1</v>
      </c>
      <c r="X223" s="804">
        <v>24992665</v>
      </c>
      <c r="Y223" s="804">
        <v>19994132</v>
      </c>
      <c r="Z223" s="804">
        <v>4498680</v>
      </c>
      <c r="AA223" s="804">
        <v>499853</v>
      </c>
      <c r="AB223" s="804">
        <v>49985330</v>
      </c>
      <c r="AC223" s="804">
        <v>0</v>
      </c>
      <c r="AD223" s="804">
        <v>0</v>
      </c>
      <c r="AE223" s="804">
        <v>0</v>
      </c>
      <c r="AF223" s="804">
        <v>0</v>
      </c>
      <c r="AG223" s="804">
        <v>0</v>
      </c>
      <c r="AH223" s="804">
        <v>24992665</v>
      </c>
      <c r="AI223" s="804">
        <v>19994132</v>
      </c>
      <c r="AJ223" s="804">
        <v>4498680</v>
      </c>
      <c r="AK223" s="804">
        <v>499853</v>
      </c>
      <c r="AL223" s="804">
        <v>49985330</v>
      </c>
      <c r="AM223" s="804">
        <v>121930</v>
      </c>
      <c r="AN223" s="804">
        <v>121930</v>
      </c>
      <c r="AO223" s="804">
        <v>0</v>
      </c>
      <c r="AP223" s="804">
        <v>0</v>
      </c>
      <c r="AQ223" s="804">
        <v>0</v>
      </c>
      <c r="AR223" s="804">
        <v>0</v>
      </c>
      <c r="AS223" s="804">
        <v>0</v>
      </c>
      <c r="AT223" s="804">
        <v>0</v>
      </c>
      <c r="AU223" s="804">
        <v>0</v>
      </c>
      <c r="AV223" s="804">
        <v>0</v>
      </c>
      <c r="AW223" s="804">
        <v>0</v>
      </c>
      <c r="AX223" s="804">
        <v>0</v>
      </c>
      <c r="AY223" s="804">
        <v>0</v>
      </c>
      <c r="AZ223" s="804">
        <v>0</v>
      </c>
      <c r="BA223" s="804">
        <v>0</v>
      </c>
      <c r="BB223" s="804">
        <v>0</v>
      </c>
      <c r="BC223" s="804">
        <v>0</v>
      </c>
      <c r="BD223" s="804">
        <v>0</v>
      </c>
      <c r="BE223" s="804">
        <v>0</v>
      </c>
      <c r="BF223" s="804">
        <v>0</v>
      </c>
      <c r="BG223" s="804">
        <v>0</v>
      </c>
      <c r="BH223" s="804">
        <v>0</v>
      </c>
      <c r="BI223" s="804">
        <v>0</v>
      </c>
      <c r="BJ223" s="804">
        <v>0.5</v>
      </c>
      <c r="BK223" s="804">
        <v>0.4</v>
      </c>
      <c r="BL223" s="804">
        <v>0.09</v>
      </c>
      <c r="BM223" s="804">
        <v>0.01</v>
      </c>
      <c r="BN223" s="804">
        <v>1</v>
      </c>
      <c r="BO223" s="804">
        <v>869767</v>
      </c>
      <c r="BP223" s="804">
        <v>695814</v>
      </c>
      <c r="BQ223" s="804">
        <v>156558</v>
      </c>
      <c r="BR223" s="804">
        <v>17395</v>
      </c>
      <c r="BS223" s="804">
        <v>1739534</v>
      </c>
      <c r="BT223" s="804">
        <v>0.5</v>
      </c>
      <c r="BU223" s="804">
        <v>0.4</v>
      </c>
      <c r="BV223" s="804">
        <v>0.09</v>
      </c>
      <c r="BW223" s="804">
        <v>0.01</v>
      </c>
      <c r="BX223" s="804">
        <v>1</v>
      </c>
      <c r="BY223" s="804">
        <v>-1332652.3999999985</v>
      </c>
      <c r="BZ223" s="804">
        <v>-1066123</v>
      </c>
      <c r="CA223" s="804">
        <v>-239878</v>
      </c>
      <c r="CB223" s="804">
        <v>-26653</v>
      </c>
      <c r="CC223" s="804">
        <v>-2665306.3999999985</v>
      </c>
      <c r="CD223" s="804">
        <v>-462885</v>
      </c>
      <c r="CE223" s="804">
        <v>-370309</v>
      </c>
      <c r="CF223" s="804">
        <v>-83320</v>
      </c>
      <c r="CG223" s="804">
        <v>-9258</v>
      </c>
      <c r="CH223" s="804">
        <v>-925772.39999999851</v>
      </c>
      <c r="CI223" s="804">
        <v>24529780</v>
      </c>
      <c r="CJ223" s="804">
        <v>19745753</v>
      </c>
      <c r="CK223" s="804">
        <v>4415360</v>
      </c>
      <c r="CL223" s="804">
        <v>490595</v>
      </c>
      <c r="CM223" s="804">
        <v>49181488</v>
      </c>
      <c r="CN223" s="804">
        <v>801368</v>
      </c>
      <c r="CO223" s="804">
        <v>180308</v>
      </c>
      <c r="CP223" s="804">
        <v>20034</v>
      </c>
      <c r="CQ223" s="804">
        <v>1001710</v>
      </c>
      <c r="CR223" s="804">
        <v>730995</v>
      </c>
      <c r="CS223" s="804">
        <v>164474</v>
      </c>
      <c r="CT223" s="804">
        <v>18275</v>
      </c>
      <c r="CU223" s="804">
        <v>913744</v>
      </c>
      <c r="CV223" s="804">
        <v>69543</v>
      </c>
      <c r="CW223" s="804">
        <v>15647</v>
      </c>
      <c r="CX223" s="804">
        <v>1739</v>
      </c>
      <c r="CY223" s="804">
        <v>86929</v>
      </c>
      <c r="CZ223" s="804">
        <v>2646</v>
      </c>
      <c r="DA223" s="804">
        <v>596</v>
      </c>
      <c r="DB223" s="804">
        <v>66</v>
      </c>
      <c r="DC223" s="804">
        <v>3308</v>
      </c>
      <c r="DD223" s="804">
        <v>0</v>
      </c>
      <c r="DE223" s="804">
        <v>0</v>
      </c>
      <c r="DF223" s="804">
        <v>0</v>
      </c>
      <c r="DG223" s="804">
        <v>0</v>
      </c>
      <c r="DH223" s="804">
        <v>17950</v>
      </c>
      <c r="DI223" s="804">
        <v>4039</v>
      </c>
      <c r="DJ223" s="804">
        <v>449</v>
      </c>
      <c r="DK223" s="804">
        <v>22438</v>
      </c>
      <c r="DL223" s="804">
        <v>3701</v>
      </c>
      <c r="DM223" s="804">
        <v>833</v>
      </c>
      <c r="DN223" s="804">
        <v>93</v>
      </c>
      <c r="DO223" s="804">
        <v>4627</v>
      </c>
      <c r="DP223" s="804">
        <v>0</v>
      </c>
      <c r="DQ223" s="804">
        <v>0</v>
      </c>
      <c r="DR223" s="804">
        <v>0</v>
      </c>
      <c r="DS223" s="804">
        <v>0</v>
      </c>
      <c r="DT223" s="804">
        <v>0</v>
      </c>
      <c r="DU223" s="804">
        <v>0</v>
      </c>
      <c r="DV223" s="804">
        <v>0</v>
      </c>
      <c r="DW223" s="804">
        <v>0</v>
      </c>
      <c r="DX223" s="804">
        <v>262753</v>
      </c>
      <c r="DY223" s="804">
        <v>59120</v>
      </c>
      <c r="DZ223" s="804">
        <v>6569</v>
      </c>
      <c r="EA223" s="804">
        <v>328442</v>
      </c>
      <c r="EB223" s="804">
        <v>1888956</v>
      </c>
      <c r="EC223" s="804">
        <v>425017</v>
      </c>
      <c r="ED223" s="804">
        <v>47225</v>
      </c>
      <c r="EE223" s="804">
        <v>2361198</v>
      </c>
      <c r="EF223" s="604" t="s">
        <v>318</v>
      </c>
      <c r="EG223" s="497" t="s">
        <v>575</v>
      </c>
      <c r="EH223" s="630" t="s">
        <v>573</v>
      </c>
      <c r="EI223" s="118" t="s">
        <v>1874</v>
      </c>
    </row>
    <row r="224" spans="1:139" ht="12.75" x14ac:dyDescent="0.2">
      <c r="A224" s="805">
        <v>217</v>
      </c>
      <c r="B224" s="606" t="s">
        <v>321</v>
      </c>
      <c r="C224" s="607" t="s">
        <v>524</v>
      </c>
      <c r="D224" s="608" t="s">
        <v>1188</v>
      </c>
      <c r="E224" s="609" t="s">
        <v>593</v>
      </c>
      <c r="F224" s="802">
        <v>11184244</v>
      </c>
      <c r="G224" s="804">
        <v>256107</v>
      </c>
      <c r="H224" s="804">
        <v>0</v>
      </c>
      <c r="I224" s="804">
        <v>60925</v>
      </c>
      <c r="J224" s="804">
        <v>0</v>
      </c>
      <c r="K224" s="804">
        <v>60925</v>
      </c>
      <c r="L224" s="804">
        <v>0</v>
      </c>
      <c r="M224" s="804">
        <v>0</v>
      </c>
      <c r="N224" s="804">
        <v>35968</v>
      </c>
      <c r="O224" s="804">
        <v>35968</v>
      </c>
      <c r="P224" s="804">
        <v>0</v>
      </c>
      <c r="Q224" s="804">
        <v>0</v>
      </c>
      <c r="R224" s="804">
        <v>11343458</v>
      </c>
      <c r="S224" s="804">
        <v>0.5</v>
      </c>
      <c r="T224" s="804">
        <v>0.49</v>
      </c>
      <c r="U224" s="804">
        <v>0</v>
      </c>
      <c r="V224" s="804">
        <v>0.01</v>
      </c>
      <c r="W224" s="804">
        <v>1</v>
      </c>
      <c r="X224" s="804">
        <v>5671729</v>
      </c>
      <c r="Y224" s="804">
        <v>5558294</v>
      </c>
      <c r="Z224" s="804">
        <v>0</v>
      </c>
      <c r="AA224" s="804">
        <v>113435</v>
      </c>
      <c r="AB224" s="804">
        <v>11343458</v>
      </c>
      <c r="AC224" s="804">
        <v>0</v>
      </c>
      <c r="AD224" s="804">
        <v>0</v>
      </c>
      <c r="AE224" s="804">
        <v>0</v>
      </c>
      <c r="AF224" s="804">
        <v>0</v>
      </c>
      <c r="AG224" s="804">
        <v>0</v>
      </c>
      <c r="AH224" s="804">
        <v>5671729</v>
      </c>
      <c r="AI224" s="804">
        <v>5558294</v>
      </c>
      <c r="AJ224" s="804">
        <v>0</v>
      </c>
      <c r="AK224" s="804">
        <v>113435</v>
      </c>
      <c r="AL224" s="804">
        <v>11343458</v>
      </c>
      <c r="AM224" s="804">
        <v>60925</v>
      </c>
      <c r="AN224" s="804">
        <v>60925</v>
      </c>
      <c r="AO224" s="804">
        <v>0</v>
      </c>
      <c r="AP224" s="804">
        <v>0</v>
      </c>
      <c r="AQ224" s="804">
        <v>35968</v>
      </c>
      <c r="AR224" s="804">
        <v>0</v>
      </c>
      <c r="AS224" s="804">
        <v>35968</v>
      </c>
      <c r="AT224" s="804">
        <v>0</v>
      </c>
      <c r="AU224" s="804">
        <v>0</v>
      </c>
      <c r="AV224" s="804">
        <v>0</v>
      </c>
      <c r="AW224" s="804">
        <v>0</v>
      </c>
      <c r="AX224" s="804">
        <v>0</v>
      </c>
      <c r="AY224" s="804">
        <v>0</v>
      </c>
      <c r="AZ224" s="804">
        <v>0</v>
      </c>
      <c r="BA224" s="804">
        <v>0</v>
      </c>
      <c r="BB224" s="804">
        <v>0</v>
      </c>
      <c r="BC224" s="804">
        <v>0</v>
      </c>
      <c r="BD224" s="804">
        <v>0</v>
      </c>
      <c r="BE224" s="804">
        <v>0</v>
      </c>
      <c r="BF224" s="804">
        <v>0</v>
      </c>
      <c r="BG224" s="804">
        <v>0</v>
      </c>
      <c r="BH224" s="804">
        <v>0</v>
      </c>
      <c r="BI224" s="804">
        <v>0</v>
      </c>
      <c r="BJ224" s="804">
        <v>0.5</v>
      </c>
      <c r="BK224" s="804">
        <v>0.49</v>
      </c>
      <c r="BL224" s="804">
        <v>0</v>
      </c>
      <c r="BM224" s="804">
        <v>0.01</v>
      </c>
      <c r="BN224" s="804">
        <v>1</v>
      </c>
      <c r="BO224" s="804">
        <v>-62102.000000000116</v>
      </c>
      <c r="BP224" s="804">
        <v>-60859</v>
      </c>
      <c r="BQ224" s="804">
        <v>0</v>
      </c>
      <c r="BR224" s="804">
        <v>-1242</v>
      </c>
      <c r="BS224" s="804">
        <v>-124203.00000000012</v>
      </c>
      <c r="BT224" s="804">
        <v>0.5</v>
      </c>
      <c r="BU224" s="804">
        <v>0.49</v>
      </c>
      <c r="BV224" s="804">
        <v>0</v>
      </c>
      <c r="BW224" s="804">
        <v>0.01</v>
      </c>
      <c r="BX224" s="804">
        <v>1</v>
      </c>
      <c r="BY224" s="804">
        <v>-64776.329999999958</v>
      </c>
      <c r="BZ224" s="804">
        <v>-63481</v>
      </c>
      <c r="CA224" s="804">
        <v>0</v>
      </c>
      <c r="CB224" s="804">
        <v>-1296</v>
      </c>
      <c r="CC224" s="804">
        <v>-129553.32999999996</v>
      </c>
      <c r="CD224" s="804">
        <v>-126878</v>
      </c>
      <c r="CE224" s="804">
        <v>-124340</v>
      </c>
      <c r="CF224" s="804">
        <v>0</v>
      </c>
      <c r="CG224" s="804">
        <v>-2538</v>
      </c>
      <c r="CH224" s="804">
        <v>-253756.33000000007</v>
      </c>
      <c r="CI224" s="804">
        <v>5544851</v>
      </c>
      <c r="CJ224" s="804">
        <v>5530847</v>
      </c>
      <c r="CK224" s="804">
        <v>0</v>
      </c>
      <c r="CL224" s="804">
        <v>110897</v>
      </c>
      <c r="CM224" s="804">
        <v>11186595</v>
      </c>
      <c r="CN224" s="804">
        <v>224219</v>
      </c>
      <c r="CO224" s="804">
        <v>0</v>
      </c>
      <c r="CP224" s="804">
        <v>4546</v>
      </c>
      <c r="CQ224" s="804">
        <v>228765</v>
      </c>
      <c r="CR224" s="804">
        <v>710868</v>
      </c>
      <c r="CS224" s="804">
        <v>0</v>
      </c>
      <c r="CT224" s="804">
        <v>14507</v>
      </c>
      <c r="CU224" s="804">
        <v>725375</v>
      </c>
      <c r="CV224" s="804">
        <v>27777</v>
      </c>
      <c r="CW224" s="804">
        <v>0</v>
      </c>
      <c r="CX224" s="804">
        <v>567</v>
      </c>
      <c r="CY224" s="804">
        <v>28344</v>
      </c>
      <c r="CZ224" s="804">
        <v>1807</v>
      </c>
      <c r="DA224" s="804">
        <v>0</v>
      </c>
      <c r="DB224" s="804">
        <v>37</v>
      </c>
      <c r="DC224" s="804">
        <v>1844</v>
      </c>
      <c r="DD224" s="804">
        <v>5777</v>
      </c>
      <c r="DE224" s="804">
        <v>0</v>
      </c>
      <c r="DF224" s="804">
        <v>118</v>
      </c>
      <c r="DG224" s="804">
        <v>5895</v>
      </c>
      <c r="DH224" s="804">
        <v>8521</v>
      </c>
      <c r="DI224" s="804">
        <v>0</v>
      </c>
      <c r="DJ224" s="804">
        <v>174</v>
      </c>
      <c r="DK224" s="804">
        <v>8695</v>
      </c>
      <c r="DL224" s="804">
        <v>2548</v>
      </c>
      <c r="DM224" s="804">
        <v>0</v>
      </c>
      <c r="DN224" s="804">
        <v>52</v>
      </c>
      <c r="DO224" s="804">
        <v>2600</v>
      </c>
      <c r="DP224" s="804">
        <v>0</v>
      </c>
      <c r="DQ224" s="804">
        <v>0</v>
      </c>
      <c r="DR224" s="804">
        <v>0</v>
      </c>
      <c r="DS224" s="804">
        <v>0</v>
      </c>
      <c r="DT224" s="804">
        <v>0</v>
      </c>
      <c r="DU224" s="804">
        <v>0</v>
      </c>
      <c r="DV224" s="804">
        <v>0</v>
      </c>
      <c r="DW224" s="804">
        <v>0</v>
      </c>
      <c r="DX224" s="804">
        <v>164897</v>
      </c>
      <c r="DY224" s="804">
        <v>0</v>
      </c>
      <c r="DZ224" s="804">
        <v>3365</v>
      </c>
      <c r="EA224" s="804">
        <v>168262</v>
      </c>
      <c r="EB224" s="804">
        <v>1146414</v>
      </c>
      <c r="EC224" s="804">
        <v>0</v>
      </c>
      <c r="ED224" s="804">
        <v>23366</v>
      </c>
      <c r="EE224" s="804">
        <v>1169780</v>
      </c>
      <c r="EF224" s="604" t="s">
        <v>593</v>
      </c>
      <c r="EG224" s="497" t="s">
        <v>524</v>
      </c>
      <c r="EH224" s="630" t="s">
        <v>592</v>
      </c>
      <c r="EI224" s="118" t="s">
        <v>1875</v>
      </c>
    </row>
    <row r="225" spans="1:139" ht="12.75" x14ac:dyDescent="0.2">
      <c r="A225" s="805">
        <v>218</v>
      </c>
      <c r="B225" s="606" t="s">
        <v>323</v>
      </c>
      <c r="C225" s="607" t="s">
        <v>1185</v>
      </c>
      <c r="D225" s="608" t="s">
        <v>1193</v>
      </c>
      <c r="E225" s="609" t="s">
        <v>322</v>
      </c>
      <c r="F225" s="802">
        <v>17455913</v>
      </c>
      <c r="G225" s="804">
        <v>303750</v>
      </c>
      <c r="H225" s="804">
        <v>0</v>
      </c>
      <c r="I225" s="804">
        <v>108996</v>
      </c>
      <c r="J225" s="804">
        <v>0</v>
      </c>
      <c r="K225" s="804">
        <v>108996</v>
      </c>
      <c r="L225" s="804">
        <v>0</v>
      </c>
      <c r="M225" s="804">
        <v>0</v>
      </c>
      <c r="N225" s="804">
        <v>22455</v>
      </c>
      <c r="O225" s="804">
        <v>22455</v>
      </c>
      <c r="P225" s="804">
        <v>0</v>
      </c>
      <c r="Q225" s="804">
        <v>0</v>
      </c>
      <c r="R225" s="804">
        <v>17628212</v>
      </c>
      <c r="S225" s="804">
        <v>0.5</v>
      </c>
      <c r="T225" s="804">
        <v>0.4</v>
      </c>
      <c r="U225" s="804">
        <v>0.09</v>
      </c>
      <c r="V225" s="804">
        <v>0.01</v>
      </c>
      <c r="W225" s="804">
        <v>1</v>
      </c>
      <c r="X225" s="804">
        <v>8814106</v>
      </c>
      <c r="Y225" s="804">
        <v>7051285</v>
      </c>
      <c r="Z225" s="804">
        <v>1586539</v>
      </c>
      <c r="AA225" s="804">
        <v>176282</v>
      </c>
      <c r="AB225" s="804">
        <v>17628212</v>
      </c>
      <c r="AC225" s="804">
        <v>0</v>
      </c>
      <c r="AD225" s="804">
        <v>0</v>
      </c>
      <c r="AE225" s="804">
        <v>0</v>
      </c>
      <c r="AF225" s="804">
        <v>0</v>
      </c>
      <c r="AG225" s="804">
        <v>0</v>
      </c>
      <c r="AH225" s="804">
        <v>8814106</v>
      </c>
      <c r="AI225" s="804">
        <v>7051285</v>
      </c>
      <c r="AJ225" s="804">
        <v>1586539</v>
      </c>
      <c r="AK225" s="804">
        <v>176282</v>
      </c>
      <c r="AL225" s="804">
        <v>17628212</v>
      </c>
      <c r="AM225" s="804">
        <v>108996</v>
      </c>
      <c r="AN225" s="804">
        <v>108996</v>
      </c>
      <c r="AO225" s="804">
        <v>0</v>
      </c>
      <c r="AP225" s="804">
        <v>0</v>
      </c>
      <c r="AQ225" s="804">
        <v>22455</v>
      </c>
      <c r="AR225" s="804">
        <v>0</v>
      </c>
      <c r="AS225" s="804">
        <v>22455</v>
      </c>
      <c r="AT225" s="804">
        <v>0</v>
      </c>
      <c r="AU225" s="804">
        <v>0</v>
      </c>
      <c r="AV225" s="804">
        <v>0</v>
      </c>
      <c r="AW225" s="804">
        <v>0</v>
      </c>
      <c r="AX225" s="804">
        <v>0</v>
      </c>
      <c r="AY225" s="804">
        <v>0</v>
      </c>
      <c r="AZ225" s="804">
        <v>0</v>
      </c>
      <c r="BA225" s="804">
        <v>0</v>
      </c>
      <c r="BB225" s="804">
        <v>0</v>
      </c>
      <c r="BC225" s="804">
        <v>0</v>
      </c>
      <c r="BD225" s="804">
        <v>0</v>
      </c>
      <c r="BE225" s="804">
        <v>0</v>
      </c>
      <c r="BF225" s="804">
        <v>0</v>
      </c>
      <c r="BG225" s="804">
        <v>0</v>
      </c>
      <c r="BH225" s="804">
        <v>0</v>
      </c>
      <c r="BI225" s="804">
        <v>0</v>
      </c>
      <c r="BJ225" s="804">
        <v>0.25</v>
      </c>
      <c r="BK225" s="804">
        <v>0.52500000000000002</v>
      </c>
      <c r="BL225" s="804">
        <v>0.215</v>
      </c>
      <c r="BM225" s="804">
        <v>0.01</v>
      </c>
      <c r="BN225" s="804">
        <v>1</v>
      </c>
      <c r="BO225" s="804">
        <v>99437</v>
      </c>
      <c r="BP225" s="804">
        <v>208818</v>
      </c>
      <c r="BQ225" s="804">
        <v>85516</v>
      </c>
      <c r="BR225" s="804">
        <v>3977</v>
      </c>
      <c r="BS225" s="804">
        <v>397748</v>
      </c>
      <c r="BT225" s="804">
        <v>0.5</v>
      </c>
      <c r="BU225" s="804">
        <v>0.4</v>
      </c>
      <c r="BV225" s="804">
        <v>0.09</v>
      </c>
      <c r="BW225" s="804">
        <v>0.01</v>
      </c>
      <c r="BX225" s="804">
        <v>1</v>
      </c>
      <c r="BY225" s="804">
        <v>214910</v>
      </c>
      <c r="BZ225" s="804">
        <v>171928</v>
      </c>
      <c r="CA225" s="804">
        <v>38684</v>
      </c>
      <c r="CB225" s="804">
        <v>4298</v>
      </c>
      <c r="CC225" s="804">
        <v>429820</v>
      </c>
      <c r="CD225" s="804">
        <v>314347</v>
      </c>
      <c r="CE225" s="804">
        <v>380746</v>
      </c>
      <c r="CF225" s="804">
        <v>124200</v>
      </c>
      <c r="CG225" s="804">
        <v>8275</v>
      </c>
      <c r="CH225" s="804">
        <v>827568</v>
      </c>
      <c r="CI225" s="804">
        <v>9128453</v>
      </c>
      <c r="CJ225" s="804">
        <v>7563482</v>
      </c>
      <c r="CK225" s="804">
        <v>1710739</v>
      </c>
      <c r="CL225" s="804">
        <v>184557</v>
      </c>
      <c r="CM225" s="804">
        <v>18587231</v>
      </c>
      <c r="CN225" s="804">
        <v>283517</v>
      </c>
      <c r="CO225" s="804">
        <v>63589</v>
      </c>
      <c r="CP225" s="804">
        <v>7065</v>
      </c>
      <c r="CQ225" s="804">
        <v>354171</v>
      </c>
      <c r="CR225" s="804">
        <v>1129464</v>
      </c>
      <c r="CS225" s="804">
        <v>254130</v>
      </c>
      <c r="CT225" s="804">
        <v>28237</v>
      </c>
      <c r="CU225" s="804">
        <v>1411831</v>
      </c>
      <c r="CV225" s="804">
        <v>47075</v>
      </c>
      <c r="CW225" s="804">
        <v>10592</v>
      </c>
      <c r="CX225" s="804">
        <v>1177</v>
      </c>
      <c r="CY225" s="804">
        <v>58844</v>
      </c>
      <c r="CZ225" s="804">
        <v>7489</v>
      </c>
      <c r="DA225" s="804">
        <v>1685</v>
      </c>
      <c r="DB225" s="804">
        <v>187</v>
      </c>
      <c r="DC225" s="804">
        <v>9361</v>
      </c>
      <c r="DD225" s="804">
        <v>13729</v>
      </c>
      <c r="DE225" s="804">
        <v>3089</v>
      </c>
      <c r="DF225" s="804">
        <v>343</v>
      </c>
      <c r="DG225" s="804">
        <v>17161</v>
      </c>
      <c r="DH225" s="804">
        <v>16113</v>
      </c>
      <c r="DI225" s="804">
        <v>3625</v>
      </c>
      <c r="DJ225" s="804">
        <v>403</v>
      </c>
      <c r="DK225" s="804">
        <v>20141</v>
      </c>
      <c r="DL225" s="804">
        <v>2745</v>
      </c>
      <c r="DM225" s="804">
        <v>618</v>
      </c>
      <c r="DN225" s="804">
        <v>69</v>
      </c>
      <c r="DO225" s="804">
        <v>3432</v>
      </c>
      <c r="DP225" s="804">
        <v>0</v>
      </c>
      <c r="DQ225" s="804">
        <v>0</v>
      </c>
      <c r="DR225" s="804">
        <v>0</v>
      </c>
      <c r="DS225" s="804">
        <v>0</v>
      </c>
      <c r="DT225" s="804">
        <v>0</v>
      </c>
      <c r="DU225" s="804">
        <v>0</v>
      </c>
      <c r="DV225" s="804">
        <v>0</v>
      </c>
      <c r="DW225" s="804">
        <v>0</v>
      </c>
      <c r="DX225" s="804">
        <v>278741</v>
      </c>
      <c r="DY225" s="804">
        <v>62717</v>
      </c>
      <c r="DZ225" s="804">
        <v>6969</v>
      </c>
      <c r="EA225" s="804">
        <v>348427</v>
      </c>
      <c r="EB225" s="804">
        <v>1778873</v>
      </c>
      <c r="EC225" s="804">
        <v>400045</v>
      </c>
      <c r="ED225" s="804">
        <v>44450</v>
      </c>
      <c r="EE225" s="804">
        <v>2223368</v>
      </c>
      <c r="EF225" s="604" t="s">
        <v>322</v>
      </c>
      <c r="EG225" s="497" t="s">
        <v>599</v>
      </c>
      <c r="EH225" s="630" t="s">
        <v>598</v>
      </c>
      <c r="EI225" s="118" t="s">
        <v>1876</v>
      </c>
    </row>
    <row r="226" spans="1:139" ht="12.75" x14ac:dyDescent="0.2">
      <c r="A226" s="805">
        <v>219</v>
      </c>
      <c r="B226" s="606" t="s">
        <v>325</v>
      </c>
      <c r="C226" s="607" t="s">
        <v>1192</v>
      </c>
      <c r="D226" s="608" t="s">
        <v>1187</v>
      </c>
      <c r="E226" s="609" t="s">
        <v>324</v>
      </c>
      <c r="F226" s="802">
        <v>91711164</v>
      </c>
      <c r="G226" s="804">
        <v>0</v>
      </c>
      <c r="H226" s="804">
        <v>309983</v>
      </c>
      <c r="I226" s="804">
        <v>441676</v>
      </c>
      <c r="J226" s="804">
        <v>0</v>
      </c>
      <c r="K226" s="804">
        <v>441676</v>
      </c>
      <c r="L226" s="804">
        <v>0</v>
      </c>
      <c r="M226" s="804">
        <v>0</v>
      </c>
      <c r="N226" s="804">
        <v>0</v>
      </c>
      <c r="O226" s="804">
        <v>0</v>
      </c>
      <c r="P226" s="804">
        <v>0</v>
      </c>
      <c r="Q226" s="804">
        <v>0</v>
      </c>
      <c r="R226" s="804">
        <v>90959505</v>
      </c>
      <c r="S226" s="804">
        <v>0</v>
      </c>
      <c r="T226" s="804">
        <v>0.99</v>
      </c>
      <c r="U226" s="804">
        <v>0</v>
      </c>
      <c r="V226" s="804">
        <v>0.01</v>
      </c>
      <c r="W226" s="804">
        <v>1</v>
      </c>
      <c r="X226" s="804">
        <v>0</v>
      </c>
      <c r="Y226" s="804">
        <v>90049910</v>
      </c>
      <c r="Z226" s="804">
        <v>0</v>
      </c>
      <c r="AA226" s="804">
        <v>909595</v>
      </c>
      <c r="AB226" s="804">
        <v>90959505</v>
      </c>
      <c r="AC226" s="804">
        <v>0</v>
      </c>
      <c r="AD226" s="804">
        <v>0</v>
      </c>
      <c r="AE226" s="804">
        <v>0</v>
      </c>
      <c r="AF226" s="804">
        <v>0</v>
      </c>
      <c r="AG226" s="804">
        <v>0</v>
      </c>
      <c r="AH226" s="804">
        <v>0</v>
      </c>
      <c r="AI226" s="804">
        <v>90049910</v>
      </c>
      <c r="AJ226" s="804">
        <v>0</v>
      </c>
      <c r="AK226" s="804">
        <v>909595</v>
      </c>
      <c r="AL226" s="804">
        <v>90959505</v>
      </c>
      <c r="AM226" s="804">
        <v>441676</v>
      </c>
      <c r="AN226" s="804">
        <v>441676</v>
      </c>
      <c r="AO226" s="804">
        <v>0</v>
      </c>
      <c r="AP226" s="804">
        <v>0</v>
      </c>
      <c r="AQ226" s="804">
        <v>0</v>
      </c>
      <c r="AR226" s="804">
        <v>0</v>
      </c>
      <c r="AS226" s="804">
        <v>0</v>
      </c>
      <c r="AT226" s="804">
        <v>0</v>
      </c>
      <c r="AU226" s="804">
        <v>0</v>
      </c>
      <c r="AV226" s="804">
        <v>0</v>
      </c>
      <c r="AW226" s="804">
        <v>0</v>
      </c>
      <c r="AX226" s="804">
        <v>0</v>
      </c>
      <c r="AY226" s="804">
        <v>0</v>
      </c>
      <c r="AZ226" s="804">
        <v>0</v>
      </c>
      <c r="BA226" s="804">
        <v>0</v>
      </c>
      <c r="BB226" s="804">
        <v>0</v>
      </c>
      <c r="BC226" s="804">
        <v>0</v>
      </c>
      <c r="BD226" s="804">
        <v>0</v>
      </c>
      <c r="BE226" s="804">
        <v>0</v>
      </c>
      <c r="BF226" s="804">
        <v>0</v>
      </c>
      <c r="BG226" s="804">
        <v>0</v>
      </c>
      <c r="BH226" s="804">
        <v>0</v>
      </c>
      <c r="BI226" s="804">
        <v>0</v>
      </c>
      <c r="BJ226" s="804">
        <v>0</v>
      </c>
      <c r="BK226" s="804">
        <v>0.99</v>
      </c>
      <c r="BL226" s="804">
        <v>0</v>
      </c>
      <c r="BM226" s="804">
        <v>0.01</v>
      </c>
      <c r="BN226" s="804">
        <v>1</v>
      </c>
      <c r="BO226" s="804">
        <v>0</v>
      </c>
      <c r="BP226" s="804">
        <v>725121</v>
      </c>
      <c r="BQ226" s="804">
        <v>0</v>
      </c>
      <c r="BR226" s="804">
        <v>7324</v>
      </c>
      <c r="BS226" s="804">
        <v>732445</v>
      </c>
      <c r="BT226" s="804">
        <v>0</v>
      </c>
      <c r="BU226" s="804">
        <v>0.99</v>
      </c>
      <c r="BV226" s="804">
        <v>0</v>
      </c>
      <c r="BW226" s="804">
        <v>0.01</v>
      </c>
      <c r="BX226" s="804">
        <v>1</v>
      </c>
      <c r="BY226" s="804">
        <v>0</v>
      </c>
      <c r="BZ226" s="804">
        <v>1256718</v>
      </c>
      <c r="CA226" s="804">
        <v>0</v>
      </c>
      <c r="CB226" s="804">
        <v>12694</v>
      </c>
      <c r="CC226" s="804">
        <v>1269412</v>
      </c>
      <c r="CD226" s="804">
        <v>0</v>
      </c>
      <c r="CE226" s="804">
        <v>1981839</v>
      </c>
      <c r="CF226" s="804">
        <v>0</v>
      </c>
      <c r="CG226" s="804">
        <v>20018</v>
      </c>
      <c r="CH226" s="804">
        <v>2001857</v>
      </c>
      <c r="CI226" s="804">
        <v>0</v>
      </c>
      <c r="CJ226" s="804">
        <v>92473425</v>
      </c>
      <c r="CK226" s="804">
        <v>0</v>
      </c>
      <c r="CL226" s="804">
        <v>929613</v>
      </c>
      <c r="CM226" s="804">
        <v>93403038</v>
      </c>
      <c r="CN226" s="804">
        <v>3609215</v>
      </c>
      <c r="CO226" s="804">
        <v>0</v>
      </c>
      <c r="CP226" s="804">
        <v>36457</v>
      </c>
      <c r="CQ226" s="804">
        <v>3645672</v>
      </c>
      <c r="CR226" s="804">
        <v>6167359</v>
      </c>
      <c r="CS226" s="804">
        <v>0</v>
      </c>
      <c r="CT226" s="804">
        <v>62297</v>
      </c>
      <c r="CU226" s="804">
        <v>6229656</v>
      </c>
      <c r="CV226" s="804">
        <v>405730</v>
      </c>
      <c r="CW226" s="804">
        <v>0</v>
      </c>
      <c r="CX226" s="804">
        <v>4098</v>
      </c>
      <c r="CY226" s="804">
        <v>409828</v>
      </c>
      <c r="CZ226" s="804">
        <v>9031</v>
      </c>
      <c r="DA226" s="804">
        <v>0</v>
      </c>
      <c r="DB226" s="804">
        <v>91</v>
      </c>
      <c r="DC226" s="804">
        <v>9122</v>
      </c>
      <c r="DD226" s="804">
        <v>0</v>
      </c>
      <c r="DE226" s="804">
        <v>0</v>
      </c>
      <c r="DF226" s="804">
        <v>0</v>
      </c>
      <c r="DG226" s="804">
        <v>0</v>
      </c>
      <c r="DH226" s="804">
        <v>6766</v>
      </c>
      <c r="DI226" s="804">
        <v>0</v>
      </c>
      <c r="DJ226" s="804">
        <v>68</v>
      </c>
      <c r="DK226" s="804">
        <v>6834</v>
      </c>
      <c r="DL226" s="804">
        <v>6351</v>
      </c>
      <c r="DM226" s="804">
        <v>0</v>
      </c>
      <c r="DN226" s="804">
        <v>64</v>
      </c>
      <c r="DO226" s="804">
        <v>6415</v>
      </c>
      <c r="DP226" s="804">
        <v>0</v>
      </c>
      <c r="DQ226" s="804">
        <v>0</v>
      </c>
      <c r="DR226" s="804">
        <v>0</v>
      </c>
      <c r="DS226" s="804">
        <v>0</v>
      </c>
      <c r="DT226" s="804">
        <v>0</v>
      </c>
      <c r="DU226" s="804">
        <v>0</v>
      </c>
      <c r="DV226" s="804">
        <v>0</v>
      </c>
      <c r="DW226" s="804">
        <v>0</v>
      </c>
      <c r="DX226" s="804">
        <v>1383542</v>
      </c>
      <c r="DY226" s="804">
        <v>0</v>
      </c>
      <c r="DZ226" s="804">
        <v>13975</v>
      </c>
      <c r="EA226" s="804">
        <v>1397517</v>
      </c>
      <c r="EB226" s="804">
        <v>11587994</v>
      </c>
      <c r="EC226" s="804">
        <v>0</v>
      </c>
      <c r="ED226" s="804">
        <v>117050</v>
      </c>
      <c r="EE226" s="804">
        <v>11705044</v>
      </c>
      <c r="EF226" s="604" t="s">
        <v>324</v>
      </c>
      <c r="EG226" s="497" t="s">
        <v>616</v>
      </c>
      <c r="EH226" s="630" t="s">
        <v>617</v>
      </c>
      <c r="EI226" s="118" t="s">
        <v>1877</v>
      </c>
    </row>
    <row r="227" spans="1:139" ht="12.75" x14ac:dyDescent="0.2">
      <c r="A227" s="805">
        <v>220</v>
      </c>
      <c r="B227" s="606" t="s">
        <v>327</v>
      </c>
      <c r="C227" s="607" t="s">
        <v>1192</v>
      </c>
      <c r="D227" s="608" t="s">
        <v>1195</v>
      </c>
      <c r="E227" s="609" t="s">
        <v>326</v>
      </c>
      <c r="F227" s="802">
        <v>101403812</v>
      </c>
      <c r="G227" s="804">
        <v>0</v>
      </c>
      <c r="H227" s="804">
        <v>160000</v>
      </c>
      <c r="I227" s="804">
        <v>429531</v>
      </c>
      <c r="J227" s="804">
        <v>0</v>
      </c>
      <c r="K227" s="804">
        <v>429531</v>
      </c>
      <c r="L227" s="804">
        <v>0</v>
      </c>
      <c r="M227" s="804">
        <v>0</v>
      </c>
      <c r="N227" s="804">
        <v>0</v>
      </c>
      <c r="O227" s="804">
        <v>0</v>
      </c>
      <c r="P227" s="804">
        <v>0</v>
      </c>
      <c r="Q227" s="804">
        <v>0</v>
      </c>
      <c r="R227" s="804">
        <v>100814281</v>
      </c>
      <c r="S227" s="804">
        <v>0</v>
      </c>
      <c r="T227" s="804">
        <v>0.99</v>
      </c>
      <c r="U227" s="804">
        <v>0</v>
      </c>
      <c r="V227" s="804">
        <v>0.01</v>
      </c>
      <c r="W227" s="804">
        <v>1</v>
      </c>
      <c r="X227" s="804">
        <v>0</v>
      </c>
      <c r="Y227" s="804">
        <v>99806138</v>
      </c>
      <c r="Z227" s="804">
        <v>0</v>
      </c>
      <c r="AA227" s="804">
        <v>1008143</v>
      </c>
      <c r="AB227" s="804">
        <v>100814281</v>
      </c>
      <c r="AC227" s="804">
        <v>0</v>
      </c>
      <c r="AD227" s="804">
        <v>0</v>
      </c>
      <c r="AE227" s="804">
        <v>0</v>
      </c>
      <c r="AF227" s="804">
        <v>0</v>
      </c>
      <c r="AG227" s="804">
        <v>0</v>
      </c>
      <c r="AH227" s="804">
        <v>0</v>
      </c>
      <c r="AI227" s="804">
        <v>99806138</v>
      </c>
      <c r="AJ227" s="804">
        <v>0</v>
      </c>
      <c r="AK227" s="804">
        <v>1008143</v>
      </c>
      <c r="AL227" s="804">
        <v>100814281</v>
      </c>
      <c r="AM227" s="804">
        <v>429531</v>
      </c>
      <c r="AN227" s="804">
        <v>429531</v>
      </c>
      <c r="AO227" s="804">
        <v>0</v>
      </c>
      <c r="AP227" s="804">
        <v>0</v>
      </c>
      <c r="AQ227" s="804">
        <v>0</v>
      </c>
      <c r="AR227" s="804">
        <v>0</v>
      </c>
      <c r="AS227" s="804">
        <v>0</v>
      </c>
      <c r="AT227" s="804">
        <v>0</v>
      </c>
      <c r="AU227" s="804">
        <v>0</v>
      </c>
      <c r="AV227" s="804">
        <v>0</v>
      </c>
      <c r="AW227" s="804">
        <v>0</v>
      </c>
      <c r="AX227" s="804">
        <v>0</v>
      </c>
      <c r="AY227" s="804">
        <v>0</v>
      </c>
      <c r="AZ227" s="804">
        <v>0</v>
      </c>
      <c r="BA227" s="804">
        <v>0</v>
      </c>
      <c r="BB227" s="804">
        <v>0</v>
      </c>
      <c r="BC227" s="804">
        <v>0</v>
      </c>
      <c r="BD227" s="804">
        <v>0</v>
      </c>
      <c r="BE227" s="804">
        <v>0</v>
      </c>
      <c r="BF227" s="804">
        <v>0</v>
      </c>
      <c r="BG227" s="804">
        <v>0</v>
      </c>
      <c r="BH227" s="804">
        <v>0</v>
      </c>
      <c r="BI227" s="804">
        <v>0</v>
      </c>
      <c r="BJ227" s="804">
        <v>0</v>
      </c>
      <c r="BK227" s="804">
        <v>0.99</v>
      </c>
      <c r="BL227" s="804">
        <v>0</v>
      </c>
      <c r="BM227" s="804">
        <v>0.01</v>
      </c>
      <c r="BN227" s="804">
        <v>1</v>
      </c>
      <c r="BO227" s="804">
        <v>0</v>
      </c>
      <c r="BP227" s="804">
        <v>1095773</v>
      </c>
      <c r="BQ227" s="804">
        <v>0</v>
      </c>
      <c r="BR227" s="804">
        <v>11068</v>
      </c>
      <c r="BS227" s="804">
        <v>1106841</v>
      </c>
      <c r="BT227" s="804">
        <v>0</v>
      </c>
      <c r="BU227" s="804">
        <v>0.99</v>
      </c>
      <c r="BV227" s="804">
        <v>0</v>
      </c>
      <c r="BW227" s="804">
        <v>0.01</v>
      </c>
      <c r="BX227" s="804">
        <v>1</v>
      </c>
      <c r="BY227" s="804">
        <v>0</v>
      </c>
      <c r="BZ227" s="804">
        <v>-1134115</v>
      </c>
      <c r="CA227" s="804">
        <v>0</v>
      </c>
      <c r="CB227" s="804">
        <v>-11456</v>
      </c>
      <c r="CC227" s="804">
        <v>-1145571</v>
      </c>
      <c r="CD227" s="804">
        <v>0</v>
      </c>
      <c r="CE227" s="804">
        <v>-38342</v>
      </c>
      <c r="CF227" s="804">
        <v>0</v>
      </c>
      <c r="CG227" s="804">
        <v>-388</v>
      </c>
      <c r="CH227" s="804">
        <v>-38730</v>
      </c>
      <c r="CI227" s="804">
        <v>0</v>
      </c>
      <c r="CJ227" s="804">
        <v>100197327</v>
      </c>
      <c r="CK227" s="804">
        <v>0</v>
      </c>
      <c r="CL227" s="804">
        <v>1007755</v>
      </c>
      <c r="CM227" s="804">
        <v>101205082</v>
      </c>
      <c r="CN227" s="804">
        <v>4000246</v>
      </c>
      <c r="CO227" s="804">
        <v>0</v>
      </c>
      <c r="CP227" s="804">
        <v>40407</v>
      </c>
      <c r="CQ227" s="804">
        <v>4040653</v>
      </c>
      <c r="CR227" s="804">
        <v>10201273</v>
      </c>
      <c r="CS227" s="804">
        <v>0</v>
      </c>
      <c r="CT227" s="804">
        <v>103043</v>
      </c>
      <c r="CU227" s="804">
        <v>10304316</v>
      </c>
      <c r="CV227" s="804">
        <v>500367</v>
      </c>
      <c r="CW227" s="804">
        <v>0</v>
      </c>
      <c r="CX227" s="804">
        <v>5054</v>
      </c>
      <c r="CY227" s="804">
        <v>505421</v>
      </c>
      <c r="CZ227" s="804">
        <v>29860</v>
      </c>
      <c r="DA227" s="804">
        <v>0</v>
      </c>
      <c r="DB227" s="804">
        <v>302</v>
      </c>
      <c r="DC227" s="804">
        <v>30162</v>
      </c>
      <c r="DD227" s="804">
        <v>0</v>
      </c>
      <c r="DE227" s="804">
        <v>0</v>
      </c>
      <c r="DF227" s="804">
        <v>0</v>
      </c>
      <c r="DG227" s="804">
        <v>0</v>
      </c>
      <c r="DH227" s="804">
        <v>54573</v>
      </c>
      <c r="DI227" s="804">
        <v>0</v>
      </c>
      <c r="DJ227" s="804">
        <v>551</v>
      </c>
      <c r="DK227" s="804">
        <v>55124</v>
      </c>
      <c r="DL227" s="804">
        <v>6693</v>
      </c>
      <c r="DM227" s="804">
        <v>0</v>
      </c>
      <c r="DN227" s="804">
        <v>68</v>
      </c>
      <c r="DO227" s="804">
        <v>6761</v>
      </c>
      <c r="DP227" s="804">
        <v>0</v>
      </c>
      <c r="DQ227" s="804">
        <v>0</v>
      </c>
      <c r="DR227" s="804">
        <v>0</v>
      </c>
      <c r="DS227" s="804">
        <v>0</v>
      </c>
      <c r="DT227" s="804">
        <v>0</v>
      </c>
      <c r="DU227" s="804">
        <v>0</v>
      </c>
      <c r="DV227" s="804">
        <v>0</v>
      </c>
      <c r="DW227" s="804">
        <v>0</v>
      </c>
      <c r="DX227" s="804">
        <v>1544519</v>
      </c>
      <c r="DY227" s="804">
        <v>0</v>
      </c>
      <c r="DZ227" s="804">
        <v>15601</v>
      </c>
      <c r="EA227" s="804">
        <v>1560120</v>
      </c>
      <c r="EB227" s="804">
        <v>16337531</v>
      </c>
      <c r="EC227" s="804">
        <v>0</v>
      </c>
      <c r="ED227" s="804">
        <v>165026</v>
      </c>
      <c r="EE227" s="804">
        <v>16502557</v>
      </c>
      <c r="EF227" s="604" t="s">
        <v>326</v>
      </c>
      <c r="EG227" s="497" t="s">
        <v>616</v>
      </c>
      <c r="EH227" s="630" t="s">
        <v>621</v>
      </c>
      <c r="EI227" s="118" t="s">
        <v>1878</v>
      </c>
    </row>
    <row r="228" spans="1:139" ht="12.75" x14ac:dyDescent="0.2">
      <c r="A228" s="805">
        <v>221</v>
      </c>
      <c r="B228" s="606" t="s">
        <v>329</v>
      </c>
      <c r="C228" s="607" t="s">
        <v>1185</v>
      </c>
      <c r="D228" s="608" t="s">
        <v>1193</v>
      </c>
      <c r="E228" s="609" t="s">
        <v>328</v>
      </c>
      <c r="F228" s="802">
        <v>34055776</v>
      </c>
      <c r="G228" s="804">
        <v>670650</v>
      </c>
      <c r="H228" s="804">
        <v>0</v>
      </c>
      <c r="I228" s="804">
        <v>266936</v>
      </c>
      <c r="J228" s="804">
        <v>0</v>
      </c>
      <c r="K228" s="804">
        <v>266936</v>
      </c>
      <c r="L228" s="804">
        <v>0</v>
      </c>
      <c r="M228" s="804">
        <v>0</v>
      </c>
      <c r="N228" s="804">
        <v>5863</v>
      </c>
      <c r="O228" s="804">
        <v>5863</v>
      </c>
      <c r="P228" s="804">
        <v>0</v>
      </c>
      <c r="Q228" s="804">
        <v>0</v>
      </c>
      <c r="R228" s="804">
        <v>34453627</v>
      </c>
      <c r="S228" s="804">
        <v>0.5</v>
      </c>
      <c r="T228" s="804">
        <v>0.4</v>
      </c>
      <c r="U228" s="804">
        <v>0.09</v>
      </c>
      <c r="V228" s="804">
        <v>0.01</v>
      </c>
      <c r="W228" s="804">
        <v>1</v>
      </c>
      <c r="X228" s="804">
        <v>17226814</v>
      </c>
      <c r="Y228" s="804">
        <v>13781451</v>
      </c>
      <c r="Z228" s="804">
        <v>3100826</v>
      </c>
      <c r="AA228" s="804">
        <v>344536</v>
      </c>
      <c r="AB228" s="804">
        <v>34453627</v>
      </c>
      <c r="AC228" s="804">
        <v>0</v>
      </c>
      <c r="AD228" s="804">
        <v>0</v>
      </c>
      <c r="AE228" s="804">
        <v>0</v>
      </c>
      <c r="AF228" s="804">
        <v>0</v>
      </c>
      <c r="AG228" s="804">
        <v>0</v>
      </c>
      <c r="AH228" s="804">
        <v>17226814</v>
      </c>
      <c r="AI228" s="804">
        <v>13781451</v>
      </c>
      <c r="AJ228" s="804">
        <v>3100826</v>
      </c>
      <c r="AK228" s="804">
        <v>344536</v>
      </c>
      <c r="AL228" s="804">
        <v>34453627</v>
      </c>
      <c r="AM228" s="804">
        <v>266936</v>
      </c>
      <c r="AN228" s="804">
        <v>266936</v>
      </c>
      <c r="AO228" s="804">
        <v>0</v>
      </c>
      <c r="AP228" s="804">
        <v>0</v>
      </c>
      <c r="AQ228" s="804">
        <v>5863</v>
      </c>
      <c r="AR228" s="804">
        <v>0</v>
      </c>
      <c r="AS228" s="804">
        <v>5863</v>
      </c>
      <c r="AT228" s="804">
        <v>0</v>
      </c>
      <c r="AU228" s="804">
        <v>0</v>
      </c>
      <c r="AV228" s="804">
        <v>0</v>
      </c>
      <c r="AW228" s="804">
        <v>0</v>
      </c>
      <c r="AX228" s="804">
        <v>0</v>
      </c>
      <c r="AY228" s="804">
        <v>0</v>
      </c>
      <c r="AZ228" s="804">
        <v>0</v>
      </c>
      <c r="BA228" s="804">
        <v>0</v>
      </c>
      <c r="BB228" s="804">
        <v>0</v>
      </c>
      <c r="BC228" s="804">
        <v>0</v>
      </c>
      <c r="BD228" s="804">
        <v>0</v>
      </c>
      <c r="BE228" s="804">
        <v>0</v>
      </c>
      <c r="BF228" s="804">
        <v>0</v>
      </c>
      <c r="BG228" s="804">
        <v>0</v>
      </c>
      <c r="BH228" s="804">
        <v>0</v>
      </c>
      <c r="BI228" s="804">
        <v>0</v>
      </c>
      <c r="BJ228" s="804">
        <v>0.25</v>
      </c>
      <c r="BK228" s="804">
        <v>0.52500000000000002</v>
      </c>
      <c r="BL228" s="804">
        <v>0.215</v>
      </c>
      <c r="BM228" s="804">
        <v>0.01</v>
      </c>
      <c r="BN228" s="804">
        <v>1</v>
      </c>
      <c r="BO228" s="804">
        <v>298500</v>
      </c>
      <c r="BP228" s="804">
        <v>626850</v>
      </c>
      <c r="BQ228" s="804">
        <v>256710</v>
      </c>
      <c r="BR228" s="804">
        <v>11940</v>
      </c>
      <c r="BS228" s="804">
        <v>1194000</v>
      </c>
      <c r="BT228" s="804">
        <v>0.5</v>
      </c>
      <c r="BU228" s="804">
        <v>0.4</v>
      </c>
      <c r="BV228" s="804">
        <v>0.09</v>
      </c>
      <c r="BW228" s="804">
        <v>0.01</v>
      </c>
      <c r="BX228" s="804">
        <v>1</v>
      </c>
      <c r="BY228" s="804">
        <v>201704.71000000089</v>
      </c>
      <c r="BZ228" s="804">
        <v>161364</v>
      </c>
      <c r="CA228" s="804">
        <v>36307</v>
      </c>
      <c r="CB228" s="804">
        <v>4034</v>
      </c>
      <c r="CC228" s="804">
        <v>403409.71000000089</v>
      </c>
      <c r="CD228" s="804">
        <v>500205</v>
      </c>
      <c r="CE228" s="804">
        <v>788214</v>
      </c>
      <c r="CF228" s="804">
        <v>293017</v>
      </c>
      <c r="CG228" s="804">
        <v>15974</v>
      </c>
      <c r="CH228" s="804">
        <v>1597409.7100000009</v>
      </c>
      <c r="CI228" s="804">
        <v>17727019</v>
      </c>
      <c r="CJ228" s="804">
        <v>14842464</v>
      </c>
      <c r="CK228" s="804">
        <v>3393843</v>
      </c>
      <c r="CL228" s="804">
        <v>360510</v>
      </c>
      <c r="CM228" s="804">
        <v>36323836</v>
      </c>
      <c r="CN228" s="804">
        <v>552598</v>
      </c>
      <c r="CO228" s="804">
        <v>124282</v>
      </c>
      <c r="CP228" s="804">
        <v>13809</v>
      </c>
      <c r="CQ228" s="804">
        <v>690689</v>
      </c>
      <c r="CR228" s="804">
        <v>2829206</v>
      </c>
      <c r="CS228" s="804">
        <v>636571</v>
      </c>
      <c r="CT228" s="804">
        <v>70730</v>
      </c>
      <c r="CU228" s="804">
        <v>3536507</v>
      </c>
      <c r="CV228" s="804">
        <v>94836</v>
      </c>
      <c r="CW228" s="804">
        <v>21338</v>
      </c>
      <c r="CX228" s="804">
        <v>2371</v>
      </c>
      <c r="CY228" s="804">
        <v>118545</v>
      </c>
      <c r="CZ228" s="804">
        <v>23628</v>
      </c>
      <c r="DA228" s="804">
        <v>5317</v>
      </c>
      <c r="DB228" s="804">
        <v>591</v>
      </c>
      <c r="DC228" s="804">
        <v>29536</v>
      </c>
      <c r="DD228" s="804">
        <v>11646</v>
      </c>
      <c r="DE228" s="804">
        <v>2620</v>
      </c>
      <c r="DF228" s="804">
        <v>291</v>
      </c>
      <c r="DG228" s="804">
        <v>14557</v>
      </c>
      <c r="DH228" s="804">
        <v>28865</v>
      </c>
      <c r="DI228" s="804">
        <v>6495</v>
      </c>
      <c r="DJ228" s="804">
        <v>722</v>
      </c>
      <c r="DK228" s="804">
        <v>36082</v>
      </c>
      <c r="DL228" s="804">
        <v>7704</v>
      </c>
      <c r="DM228" s="804">
        <v>1733</v>
      </c>
      <c r="DN228" s="804">
        <v>193</v>
      </c>
      <c r="DO228" s="804">
        <v>9630</v>
      </c>
      <c r="DP228" s="804">
        <v>0</v>
      </c>
      <c r="DQ228" s="804">
        <v>0</v>
      </c>
      <c r="DR228" s="804">
        <v>0</v>
      </c>
      <c r="DS228" s="804">
        <v>0</v>
      </c>
      <c r="DT228" s="804">
        <v>0</v>
      </c>
      <c r="DU228" s="804">
        <v>0</v>
      </c>
      <c r="DV228" s="804">
        <v>0</v>
      </c>
      <c r="DW228" s="804">
        <v>0</v>
      </c>
      <c r="DX228" s="804">
        <v>637815</v>
      </c>
      <c r="DY228" s="804">
        <v>143508</v>
      </c>
      <c r="DZ228" s="804">
        <v>15945</v>
      </c>
      <c r="EA228" s="804">
        <v>797268</v>
      </c>
      <c r="EB228" s="804">
        <v>4186298</v>
      </c>
      <c r="EC228" s="804">
        <v>941864</v>
      </c>
      <c r="ED228" s="804">
        <v>104652</v>
      </c>
      <c r="EE228" s="804">
        <v>5232814</v>
      </c>
      <c r="EF228" s="604" t="s">
        <v>328</v>
      </c>
      <c r="EG228" s="497" t="s">
        <v>599</v>
      </c>
      <c r="EH228" s="630" t="s">
        <v>598</v>
      </c>
      <c r="EI228" s="118" t="s">
        <v>1879</v>
      </c>
    </row>
    <row r="229" spans="1:139" ht="12.75" x14ac:dyDescent="0.2">
      <c r="A229" s="805">
        <v>222</v>
      </c>
      <c r="B229" s="606" t="s">
        <v>331</v>
      </c>
      <c r="C229" s="607" t="s">
        <v>1185</v>
      </c>
      <c r="D229" s="608" t="s">
        <v>1194</v>
      </c>
      <c r="E229" s="609" t="s">
        <v>330</v>
      </c>
      <c r="F229" s="802">
        <v>43854580</v>
      </c>
      <c r="G229" s="804">
        <v>33723</v>
      </c>
      <c r="H229" s="804">
        <v>0</v>
      </c>
      <c r="I229" s="804">
        <v>168151</v>
      </c>
      <c r="J229" s="804">
        <v>0</v>
      </c>
      <c r="K229" s="804">
        <v>168151</v>
      </c>
      <c r="L229" s="804">
        <v>0</v>
      </c>
      <c r="M229" s="804">
        <v>0</v>
      </c>
      <c r="N229" s="804">
        <v>231218</v>
      </c>
      <c r="O229" s="804">
        <v>231218</v>
      </c>
      <c r="P229" s="804">
        <v>0</v>
      </c>
      <c r="Q229" s="804">
        <v>0</v>
      </c>
      <c r="R229" s="804">
        <v>43488934</v>
      </c>
      <c r="S229" s="804">
        <v>0.5</v>
      </c>
      <c r="T229" s="804">
        <v>0.4</v>
      </c>
      <c r="U229" s="804">
        <v>0.09</v>
      </c>
      <c r="V229" s="804">
        <v>0.01</v>
      </c>
      <c r="W229" s="804">
        <v>1</v>
      </c>
      <c r="X229" s="804">
        <v>21744467</v>
      </c>
      <c r="Y229" s="804">
        <v>17395574</v>
      </c>
      <c r="Z229" s="804">
        <v>3914004</v>
      </c>
      <c r="AA229" s="804">
        <v>434889</v>
      </c>
      <c r="AB229" s="804">
        <v>43488934</v>
      </c>
      <c r="AC229" s="804">
        <v>0</v>
      </c>
      <c r="AD229" s="804">
        <v>0</v>
      </c>
      <c r="AE229" s="804">
        <v>0</v>
      </c>
      <c r="AF229" s="804">
        <v>0</v>
      </c>
      <c r="AG229" s="804">
        <v>0</v>
      </c>
      <c r="AH229" s="804">
        <v>21744467</v>
      </c>
      <c r="AI229" s="804">
        <v>17395574</v>
      </c>
      <c r="AJ229" s="804">
        <v>3914004</v>
      </c>
      <c r="AK229" s="804">
        <v>434889</v>
      </c>
      <c r="AL229" s="804">
        <v>43488934</v>
      </c>
      <c r="AM229" s="804">
        <v>168151</v>
      </c>
      <c r="AN229" s="804">
        <v>168151</v>
      </c>
      <c r="AO229" s="804">
        <v>0</v>
      </c>
      <c r="AP229" s="804">
        <v>0</v>
      </c>
      <c r="AQ229" s="804">
        <v>231218</v>
      </c>
      <c r="AR229" s="804">
        <v>0</v>
      </c>
      <c r="AS229" s="804">
        <v>231218</v>
      </c>
      <c r="AT229" s="804">
        <v>0</v>
      </c>
      <c r="AU229" s="804">
        <v>0</v>
      </c>
      <c r="AV229" s="804">
        <v>0</v>
      </c>
      <c r="AW229" s="804">
        <v>0</v>
      </c>
      <c r="AX229" s="804">
        <v>0</v>
      </c>
      <c r="AY229" s="804">
        <v>0</v>
      </c>
      <c r="AZ229" s="804">
        <v>0</v>
      </c>
      <c r="BA229" s="804">
        <v>0</v>
      </c>
      <c r="BB229" s="804">
        <v>0</v>
      </c>
      <c r="BC229" s="804">
        <v>0</v>
      </c>
      <c r="BD229" s="804">
        <v>0</v>
      </c>
      <c r="BE229" s="804">
        <v>0</v>
      </c>
      <c r="BF229" s="804">
        <v>0</v>
      </c>
      <c r="BG229" s="804">
        <v>0</v>
      </c>
      <c r="BH229" s="804">
        <v>0</v>
      </c>
      <c r="BI229" s="804">
        <v>0</v>
      </c>
      <c r="BJ229" s="804">
        <v>0.24999999999999994</v>
      </c>
      <c r="BK229" s="804">
        <v>0.44</v>
      </c>
      <c r="BL229" s="804">
        <v>0.3</v>
      </c>
      <c r="BM229" s="804">
        <v>0.01</v>
      </c>
      <c r="BN229" s="804">
        <v>1</v>
      </c>
      <c r="BO229" s="804">
        <v>707602</v>
      </c>
      <c r="BP229" s="804">
        <v>1245380</v>
      </c>
      <c r="BQ229" s="804">
        <v>849122</v>
      </c>
      <c r="BR229" s="804">
        <v>28304</v>
      </c>
      <c r="BS229" s="804">
        <v>2830408</v>
      </c>
      <c r="BT229" s="804">
        <v>0.5</v>
      </c>
      <c r="BU229" s="804">
        <v>0.4</v>
      </c>
      <c r="BV229" s="804">
        <v>0.09</v>
      </c>
      <c r="BW229" s="804">
        <v>0.01</v>
      </c>
      <c r="BX229" s="804">
        <v>1</v>
      </c>
      <c r="BY229" s="804">
        <v>488084</v>
      </c>
      <c r="BZ229" s="804">
        <v>390468</v>
      </c>
      <c r="CA229" s="804">
        <v>87855</v>
      </c>
      <c r="CB229" s="804">
        <v>9762</v>
      </c>
      <c r="CC229" s="804">
        <v>976169</v>
      </c>
      <c r="CD229" s="804">
        <v>1195686</v>
      </c>
      <c r="CE229" s="804">
        <v>1635848</v>
      </c>
      <c r="CF229" s="804">
        <v>936977</v>
      </c>
      <c r="CG229" s="804">
        <v>38066</v>
      </c>
      <c r="CH229" s="804">
        <v>3806577</v>
      </c>
      <c r="CI229" s="804">
        <v>22940153</v>
      </c>
      <c r="CJ229" s="804">
        <v>19430791</v>
      </c>
      <c r="CK229" s="804">
        <v>4850981</v>
      </c>
      <c r="CL229" s="804">
        <v>472955</v>
      </c>
      <c r="CM229" s="804">
        <v>47694880</v>
      </c>
      <c r="CN229" s="804">
        <v>706485</v>
      </c>
      <c r="CO229" s="804">
        <v>156874</v>
      </c>
      <c r="CP229" s="804">
        <v>17430</v>
      </c>
      <c r="CQ229" s="804">
        <v>880789</v>
      </c>
      <c r="CR229" s="804">
        <v>1413436</v>
      </c>
      <c r="CS229" s="804">
        <v>317198</v>
      </c>
      <c r="CT229" s="804">
        <v>35244</v>
      </c>
      <c r="CU229" s="804">
        <v>1765878</v>
      </c>
      <c r="CV229" s="804">
        <v>83408</v>
      </c>
      <c r="CW229" s="804">
        <v>18767</v>
      </c>
      <c r="CX229" s="804">
        <v>2085</v>
      </c>
      <c r="CY229" s="804">
        <v>104260</v>
      </c>
      <c r="CZ229" s="804">
        <v>0</v>
      </c>
      <c r="DA229" s="804">
        <v>0</v>
      </c>
      <c r="DB229" s="804">
        <v>0</v>
      </c>
      <c r="DC229" s="804">
        <v>0</v>
      </c>
      <c r="DD229" s="804">
        <v>24793</v>
      </c>
      <c r="DE229" s="804">
        <v>5578</v>
      </c>
      <c r="DF229" s="804">
        <v>620</v>
      </c>
      <c r="DG229" s="804">
        <v>30991</v>
      </c>
      <c r="DH229" s="804">
        <v>27241</v>
      </c>
      <c r="DI229" s="804">
        <v>6129</v>
      </c>
      <c r="DJ229" s="804">
        <v>681</v>
      </c>
      <c r="DK229" s="804">
        <v>34051</v>
      </c>
      <c r="DL229" s="804">
        <v>0</v>
      </c>
      <c r="DM229" s="804">
        <v>0</v>
      </c>
      <c r="DN229" s="804">
        <v>0</v>
      </c>
      <c r="DO229" s="804">
        <v>0</v>
      </c>
      <c r="DP229" s="804">
        <v>0</v>
      </c>
      <c r="DQ229" s="804">
        <v>0</v>
      </c>
      <c r="DR229" s="804">
        <v>0</v>
      </c>
      <c r="DS229" s="804">
        <v>0</v>
      </c>
      <c r="DT229" s="804">
        <v>0</v>
      </c>
      <c r="DU229" s="804">
        <v>0</v>
      </c>
      <c r="DV229" s="804">
        <v>0</v>
      </c>
      <c r="DW229" s="804">
        <v>0</v>
      </c>
      <c r="DX229" s="804">
        <v>305258</v>
      </c>
      <c r="DY229" s="804">
        <v>68683</v>
      </c>
      <c r="DZ229" s="804">
        <v>7631</v>
      </c>
      <c r="EA229" s="804">
        <v>381572</v>
      </c>
      <c r="EB229" s="804">
        <v>2560621</v>
      </c>
      <c r="EC229" s="804">
        <v>573229</v>
      </c>
      <c r="ED229" s="804">
        <v>63691</v>
      </c>
      <c r="EE229" s="804">
        <v>3197541</v>
      </c>
      <c r="EF229" s="604" t="s">
        <v>330</v>
      </c>
      <c r="EG229" s="497" t="s">
        <v>606</v>
      </c>
      <c r="EH229" s="630" t="s">
        <v>558</v>
      </c>
      <c r="EI229" s="118" t="s">
        <v>1880</v>
      </c>
    </row>
    <row r="230" spans="1:139" ht="12.75" x14ac:dyDescent="0.2">
      <c r="A230" s="805">
        <v>223</v>
      </c>
      <c r="B230" s="606" t="s">
        <v>333</v>
      </c>
      <c r="C230" s="607" t="s">
        <v>1192</v>
      </c>
      <c r="D230" s="608" t="s">
        <v>1187</v>
      </c>
      <c r="E230" s="609" t="s">
        <v>332</v>
      </c>
      <c r="F230" s="802">
        <v>67061433</v>
      </c>
      <c r="G230" s="804">
        <v>81660</v>
      </c>
      <c r="H230" s="804">
        <v>0</v>
      </c>
      <c r="I230" s="804">
        <v>305270</v>
      </c>
      <c r="J230" s="804">
        <v>0</v>
      </c>
      <c r="K230" s="804">
        <v>305270</v>
      </c>
      <c r="L230" s="804">
        <v>0</v>
      </c>
      <c r="M230" s="804">
        <v>0</v>
      </c>
      <c r="N230" s="804">
        <v>0</v>
      </c>
      <c r="O230" s="804">
        <v>0</v>
      </c>
      <c r="P230" s="804">
        <v>0</v>
      </c>
      <c r="Q230" s="804">
        <v>0</v>
      </c>
      <c r="R230" s="804">
        <v>66837823</v>
      </c>
      <c r="S230" s="804">
        <v>0</v>
      </c>
      <c r="T230" s="804">
        <v>0.99</v>
      </c>
      <c r="U230" s="804">
        <v>0</v>
      </c>
      <c r="V230" s="804">
        <v>0.01</v>
      </c>
      <c r="W230" s="804">
        <v>1</v>
      </c>
      <c r="X230" s="804">
        <v>0</v>
      </c>
      <c r="Y230" s="804">
        <v>66169445</v>
      </c>
      <c r="Z230" s="804">
        <v>0</v>
      </c>
      <c r="AA230" s="804">
        <v>668378</v>
      </c>
      <c r="AB230" s="804">
        <v>66837823</v>
      </c>
      <c r="AC230" s="804">
        <v>0</v>
      </c>
      <c r="AD230" s="804">
        <v>0</v>
      </c>
      <c r="AE230" s="804">
        <v>0</v>
      </c>
      <c r="AF230" s="804">
        <v>0</v>
      </c>
      <c r="AG230" s="804">
        <v>0</v>
      </c>
      <c r="AH230" s="804">
        <v>0</v>
      </c>
      <c r="AI230" s="804">
        <v>66169445</v>
      </c>
      <c r="AJ230" s="804">
        <v>0</v>
      </c>
      <c r="AK230" s="804">
        <v>668378</v>
      </c>
      <c r="AL230" s="804">
        <v>66837823</v>
      </c>
      <c r="AM230" s="804">
        <v>305270</v>
      </c>
      <c r="AN230" s="804">
        <v>305270</v>
      </c>
      <c r="AO230" s="804">
        <v>0</v>
      </c>
      <c r="AP230" s="804">
        <v>0</v>
      </c>
      <c r="AQ230" s="804">
        <v>0</v>
      </c>
      <c r="AR230" s="804">
        <v>0</v>
      </c>
      <c r="AS230" s="804">
        <v>0</v>
      </c>
      <c r="AT230" s="804">
        <v>0</v>
      </c>
      <c r="AU230" s="804">
        <v>0</v>
      </c>
      <c r="AV230" s="804">
        <v>0</v>
      </c>
      <c r="AW230" s="804">
        <v>0</v>
      </c>
      <c r="AX230" s="804">
        <v>0</v>
      </c>
      <c r="AY230" s="804">
        <v>0</v>
      </c>
      <c r="AZ230" s="804">
        <v>0</v>
      </c>
      <c r="BA230" s="804">
        <v>0</v>
      </c>
      <c r="BB230" s="804">
        <v>0</v>
      </c>
      <c r="BC230" s="804">
        <v>0</v>
      </c>
      <c r="BD230" s="804">
        <v>0</v>
      </c>
      <c r="BE230" s="804">
        <v>0</v>
      </c>
      <c r="BF230" s="804">
        <v>0</v>
      </c>
      <c r="BG230" s="804">
        <v>0</v>
      </c>
      <c r="BH230" s="804">
        <v>0</v>
      </c>
      <c r="BI230" s="804">
        <v>0</v>
      </c>
      <c r="BJ230" s="804">
        <v>0</v>
      </c>
      <c r="BK230" s="804">
        <v>0.99</v>
      </c>
      <c r="BL230" s="804">
        <v>0</v>
      </c>
      <c r="BM230" s="804">
        <v>0.01</v>
      </c>
      <c r="BN230" s="804">
        <v>1</v>
      </c>
      <c r="BO230" s="804">
        <v>0</v>
      </c>
      <c r="BP230" s="804">
        <v>517778</v>
      </c>
      <c r="BQ230" s="804">
        <v>0</v>
      </c>
      <c r="BR230" s="804">
        <v>5230</v>
      </c>
      <c r="BS230" s="804">
        <v>523008</v>
      </c>
      <c r="BT230" s="804">
        <v>0</v>
      </c>
      <c r="BU230" s="804">
        <v>0.99</v>
      </c>
      <c r="BV230" s="804">
        <v>0</v>
      </c>
      <c r="BW230" s="804">
        <v>0.01</v>
      </c>
      <c r="BX230" s="804">
        <v>1</v>
      </c>
      <c r="BY230" s="804">
        <v>0</v>
      </c>
      <c r="BZ230" s="804">
        <v>92141</v>
      </c>
      <c r="CA230" s="804">
        <v>0</v>
      </c>
      <c r="CB230" s="804">
        <v>931</v>
      </c>
      <c r="CC230" s="804">
        <v>93072</v>
      </c>
      <c r="CD230" s="804">
        <v>0</v>
      </c>
      <c r="CE230" s="804">
        <v>609919</v>
      </c>
      <c r="CF230" s="804">
        <v>0</v>
      </c>
      <c r="CG230" s="804">
        <v>6161</v>
      </c>
      <c r="CH230" s="804">
        <v>616080</v>
      </c>
      <c r="CI230" s="804">
        <v>0</v>
      </c>
      <c r="CJ230" s="804">
        <v>67084634</v>
      </c>
      <c r="CK230" s="804">
        <v>0</v>
      </c>
      <c r="CL230" s="804">
        <v>674539</v>
      </c>
      <c r="CM230" s="804">
        <v>67759173</v>
      </c>
      <c r="CN230" s="804">
        <v>2652082</v>
      </c>
      <c r="CO230" s="804">
        <v>0</v>
      </c>
      <c r="CP230" s="804">
        <v>26789</v>
      </c>
      <c r="CQ230" s="804">
        <v>2678871</v>
      </c>
      <c r="CR230" s="804">
        <v>6681257</v>
      </c>
      <c r="CS230" s="804">
        <v>0</v>
      </c>
      <c r="CT230" s="804">
        <v>67487</v>
      </c>
      <c r="CU230" s="804">
        <v>6748744</v>
      </c>
      <c r="CV230" s="804">
        <v>330401</v>
      </c>
      <c r="CW230" s="804">
        <v>0</v>
      </c>
      <c r="CX230" s="804">
        <v>3337</v>
      </c>
      <c r="CY230" s="804">
        <v>333738</v>
      </c>
      <c r="CZ230" s="804">
        <v>17504</v>
      </c>
      <c r="DA230" s="804">
        <v>0</v>
      </c>
      <c r="DB230" s="804">
        <v>177</v>
      </c>
      <c r="DC230" s="804">
        <v>17681</v>
      </c>
      <c r="DD230" s="804">
        <v>643</v>
      </c>
      <c r="DE230" s="804">
        <v>0</v>
      </c>
      <c r="DF230" s="804">
        <v>6</v>
      </c>
      <c r="DG230" s="804">
        <v>649</v>
      </c>
      <c r="DH230" s="804">
        <v>42214</v>
      </c>
      <c r="DI230" s="804">
        <v>0</v>
      </c>
      <c r="DJ230" s="804">
        <v>426</v>
      </c>
      <c r="DK230" s="804">
        <v>42640</v>
      </c>
      <c r="DL230" s="804">
        <v>16232</v>
      </c>
      <c r="DM230" s="804">
        <v>0</v>
      </c>
      <c r="DN230" s="804">
        <v>164</v>
      </c>
      <c r="DO230" s="804">
        <v>16396</v>
      </c>
      <c r="DP230" s="804">
        <v>0</v>
      </c>
      <c r="DQ230" s="804">
        <v>0</v>
      </c>
      <c r="DR230" s="804">
        <v>0</v>
      </c>
      <c r="DS230" s="804">
        <v>0</v>
      </c>
      <c r="DT230" s="804">
        <v>0</v>
      </c>
      <c r="DU230" s="804">
        <v>0</v>
      </c>
      <c r="DV230" s="804">
        <v>0</v>
      </c>
      <c r="DW230" s="804">
        <v>0</v>
      </c>
      <c r="DX230" s="804">
        <v>2829237</v>
      </c>
      <c r="DY230" s="804">
        <v>0</v>
      </c>
      <c r="DZ230" s="804">
        <v>28578</v>
      </c>
      <c r="EA230" s="804">
        <v>2857815</v>
      </c>
      <c r="EB230" s="804">
        <v>12569570</v>
      </c>
      <c r="EC230" s="804">
        <v>0</v>
      </c>
      <c r="ED230" s="804">
        <v>126964</v>
      </c>
      <c r="EE230" s="804">
        <v>12696534</v>
      </c>
      <c r="EF230" s="604" t="s">
        <v>332</v>
      </c>
      <c r="EG230" s="497" t="s">
        <v>616</v>
      </c>
      <c r="EH230" s="630" t="s">
        <v>618</v>
      </c>
      <c r="EI230" s="118" t="s">
        <v>1881</v>
      </c>
    </row>
    <row r="231" spans="1:139" ht="12.75" x14ac:dyDescent="0.2">
      <c r="A231" s="805">
        <v>224</v>
      </c>
      <c r="B231" s="606" t="s">
        <v>335</v>
      </c>
      <c r="C231" s="607" t="s">
        <v>1185</v>
      </c>
      <c r="D231" s="608" t="s">
        <v>1193</v>
      </c>
      <c r="E231" s="609" t="s">
        <v>334</v>
      </c>
      <c r="F231" s="802">
        <v>37855405</v>
      </c>
      <c r="G231" s="804">
        <v>0</v>
      </c>
      <c r="H231" s="804">
        <v>379615</v>
      </c>
      <c r="I231" s="804">
        <v>110500</v>
      </c>
      <c r="J231" s="804">
        <v>0</v>
      </c>
      <c r="K231" s="804">
        <v>110500</v>
      </c>
      <c r="L231" s="804">
        <v>0</v>
      </c>
      <c r="M231" s="804">
        <v>0</v>
      </c>
      <c r="N231" s="804">
        <v>9019112</v>
      </c>
      <c r="O231" s="804">
        <v>9019112</v>
      </c>
      <c r="P231" s="804">
        <v>0</v>
      </c>
      <c r="Q231" s="804">
        <v>0</v>
      </c>
      <c r="R231" s="804">
        <v>28346178</v>
      </c>
      <c r="S231" s="804">
        <v>0.5</v>
      </c>
      <c r="T231" s="804">
        <v>0.4</v>
      </c>
      <c r="U231" s="804">
        <v>0.09</v>
      </c>
      <c r="V231" s="804">
        <v>0.01</v>
      </c>
      <c r="W231" s="804">
        <v>1</v>
      </c>
      <c r="X231" s="804">
        <v>14173089</v>
      </c>
      <c r="Y231" s="804">
        <v>11338471</v>
      </c>
      <c r="Z231" s="804">
        <v>2551156</v>
      </c>
      <c r="AA231" s="804">
        <v>283462</v>
      </c>
      <c r="AB231" s="804">
        <v>28346178</v>
      </c>
      <c r="AC231" s="804">
        <v>0</v>
      </c>
      <c r="AD231" s="804">
        <v>0</v>
      </c>
      <c r="AE231" s="804">
        <v>0</v>
      </c>
      <c r="AF231" s="804">
        <v>0</v>
      </c>
      <c r="AG231" s="804">
        <v>0</v>
      </c>
      <c r="AH231" s="804">
        <v>14173089</v>
      </c>
      <c r="AI231" s="804">
        <v>11338471</v>
      </c>
      <c r="AJ231" s="804">
        <v>2551156</v>
      </c>
      <c r="AK231" s="804">
        <v>283462</v>
      </c>
      <c r="AL231" s="804">
        <v>28346178</v>
      </c>
      <c r="AM231" s="804">
        <v>110500</v>
      </c>
      <c r="AN231" s="804">
        <v>110500</v>
      </c>
      <c r="AO231" s="804">
        <v>0</v>
      </c>
      <c r="AP231" s="804">
        <v>0</v>
      </c>
      <c r="AQ231" s="804">
        <v>9019112</v>
      </c>
      <c r="AR231" s="804">
        <v>0</v>
      </c>
      <c r="AS231" s="804">
        <v>9019112</v>
      </c>
      <c r="AT231" s="804">
        <v>0</v>
      </c>
      <c r="AU231" s="804">
        <v>0</v>
      </c>
      <c r="AV231" s="804">
        <v>0</v>
      </c>
      <c r="AW231" s="804">
        <v>0</v>
      </c>
      <c r="AX231" s="804">
        <v>0</v>
      </c>
      <c r="AY231" s="804">
        <v>0</v>
      </c>
      <c r="AZ231" s="804">
        <v>0</v>
      </c>
      <c r="BA231" s="804">
        <v>0</v>
      </c>
      <c r="BB231" s="804">
        <v>0</v>
      </c>
      <c r="BC231" s="804">
        <v>0</v>
      </c>
      <c r="BD231" s="804">
        <v>0</v>
      </c>
      <c r="BE231" s="804">
        <v>0</v>
      </c>
      <c r="BF231" s="804">
        <v>0</v>
      </c>
      <c r="BG231" s="804">
        <v>0</v>
      </c>
      <c r="BH231" s="804">
        <v>0</v>
      </c>
      <c r="BI231" s="804">
        <v>0</v>
      </c>
      <c r="BJ231" s="804">
        <v>0.25</v>
      </c>
      <c r="BK231" s="804">
        <v>0.52500000000000002</v>
      </c>
      <c r="BL231" s="804">
        <v>0.215</v>
      </c>
      <c r="BM231" s="804">
        <v>0.01</v>
      </c>
      <c r="BN231" s="804">
        <v>1</v>
      </c>
      <c r="BO231" s="804">
        <v>50650</v>
      </c>
      <c r="BP231" s="804">
        <v>106367</v>
      </c>
      <c r="BQ231" s="804">
        <v>43560</v>
      </c>
      <c r="BR231" s="804">
        <v>2026</v>
      </c>
      <c r="BS231" s="804">
        <v>202603</v>
      </c>
      <c r="BT231" s="804">
        <v>0.5</v>
      </c>
      <c r="BU231" s="804">
        <v>0.4</v>
      </c>
      <c r="BV231" s="804">
        <v>0.09</v>
      </c>
      <c r="BW231" s="804">
        <v>0.01</v>
      </c>
      <c r="BX231" s="804">
        <v>1</v>
      </c>
      <c r="BY231" s="804">
        <v>-99591.60000000149</v>
      </c>
      <c r="BZ231" s="804">
        <v>-79674</v>
      </c>
      <c r="CA231" s="804">
        <v>-17927</v>
      </c>
      <c r="CB231" s="804">
        <v>-1992</v>
      </c>
      <c r="CC231" s="804">
        <v>-199184.60000000149</v>
      </c>
      <c r="CD231" s="804">
        <v>-48942</v>
      </c>
      <c r="CE231" s="804">
        <v>26693</v>
      </c>
      <c r="CF231" s="804">
        <v>25633</v>
      </c>
      <c r="CG231" s="804">
        <v>34</v>
      </c>
      <c r="CH231" s="804">
        <v>3418.3999999985099</v>
      </c>
      <c r="CI231" s="804">
        <v>14124147</v>
      </c>
      <c r="CJ231" s="804">
        <v>20494776</v>
      </c>
      <c r="CK231" s="804">
        <v>2576789</v>
      </c>
      <c r="CL231" s="804">
        <v>283496</v>
      </c>
      <c r="CM231" s="804">
        <v>37479208</v>
      </c>
      <c r="CN231" s="804">
        <v>815935</v>
      </c>
      <c r="CO231" s="804">
        <v>102251</v>
      </c>
      <c r="CP231" s="804">
        <v>11361</v>
      </c>
      <c r="CQ231" s="804">
        <v>929547</v>
      </c>
      <c r="CR231" s="804">
        <v>912513</v>
      </c>
      <c r="CS231" s="804">
        <v>205316</v>
      </c>
      <c r="CT231" s="804">
        <v>22813</v>
      </c>
      <c r="CU231" s="804">
        <v>1140642</v>
      </c>
      <c r="CV231" s="804">
        <v>51949</v>
      </c>
      <c r="CW231" s="804">
        <v>11689</v>
      </c>
      <c r="CX231" s="804">
        <v>1299</v>
      </c>
      <c r="CY231" s="804">
        <v>64937</v>
      </c>
      <c r="CZ231" s="804">
        <v>3664</v>
      </c>
      <c r="DA231" s="804">
        <v>824</v>
      </c>
      <c r="DB231" s="804">
        <v>92</v>
      </c>
      <c r="DC231" s="804">
        <v>4580</v>
      </c>
      <c r="DD231" s="804">
        <v>4695</v>
      </c>
      <c r="DE231" s="804">
        <v>1056</v>
      </c>
      <c r="DF231" s="804">
        <v>117</v>
      </c>
      <c r="DG231" s="804">
        <v>5868</v>
      </c>
      <c r="DH231" s="804">
        <v>16213</v>
      </c>
      <c r="DI231" s="804">
        <v>3648</v>
      </c>
      <c r="DJ231" s="804">
        <v>405</v>
      </c>
      <c r="DK231" s="804">
        <v>20266</v>
      </c>
      <c r="DL231" s="804">
        <v>2080</v>
      </c>
      <c r="DM231" s="804">
        <v>468</v>
      </c>
      <c r="DN231" s="804">
        <v>52</v>
      </c>
      <c r="DO231" s="804">
        <v>2600</v>
      </c>
      <c r="DP231" s="804">
        <v>0</v>
      </c>
      <c r="DQ231" s="804">
        <v>0</v>
      </c>
      <c r="DR231" s="804">
        <v>0</v>
      </c>
      <c r="DS231" s="804">
        <v>0</v>
      </c>
      <c r="DT231" s="804">
        <v>0</v>
      </c>
      <c r="DU231" s="804">
        <v>0</v>
      </c>
      <c r="DV231" s="804">
        <v>0</v>
      </c>
      <c r="DW231" s="804">
        <v>0</v>
      </c>
      <c r="DX231" s="804">
        <v>212904</v>
      </c>
      <c r="DY231" s="804">
        <v>47903</v>
      </c>
      <c r="DZ231" s="804">
        <v>5323</v>
      </c>
      <c r="EA231" s="804">
        <v>266130</v>
      </c>
      <c r="EB231" s="804">
        <v>2019953</v>
      </c>
      <c r="EC231" s="804">
        <v>373155</v>
      </c>
      <c r="ED231" s="804">
        <v>41462</v>
      </c>
      <c r="EE231" s="804">
        <v>2434570</v>
      </c>
      <c r="EF231" s="604" t="s">
        <v>334</v>
      </c>
      <c r="EG231" s="497" t="s">
        <v>599</v>
      </c>
      <c r="EH231" s="630" t="s">
        <v>598</v>
      </c>
      <c r="EI231" s="118" t="s">
        <v>1882</v>
      </c>
    </row>
    <row r="232" spans="1:139" ht="12.75" x14ac:dyDescent="0.2">
      <c r="A232" s="805">
        <v>225</v>
      </c>
      <c r="B232" s="606" t="s">
        <v>337</v>
      </c>
      <c r="C232" s="607" t="s">
        <v>1185</v>
      </c>
      <c r="D232" s="608" t="s">
        <v>1186</v>
      </c>
      <c r="E232" s="609" t="s">
        <v>336</v>
      </c>
      <c r="F232" s="802">
        <v>35957782</v>
      </c>
      <c r="G232" s="804">
        <v>161994</v>
      </c>
      <c r="H232" s="804">
        <v>0</v>
      </c>
      <c r="I232" s="804">
        <v>162528</v>
      </c>
      <c r="J232" s="804">
        <v>0</v>
      </c>
      <c r="K232" s="804">
        <v>162528</v>
      </c>
      <c r="L232" s="804">
        <v>0</v>
      </c>
      <c r="M232" s="804">
        <v>0</v>
      </c>
      <c r="N232" s="804">
        <v>0</v>
      </c>
      <c r="O232" s="804">
        <v>0</v>
      </c>
      <c r="P232" s="804">
        <v>0</v>
      </c>
      <c r="Q232" s="804">
        <v>0</v>
      </c>
      <c r="R232" s="804">
        <v>35957248</v>
      </c>
      <c r="S232" s="804">
        <v>0.5</v>
      </c>
      <c r="T232" s="804">
        <v>0.4</v>
      </c>
      <c r="U232" s="804">
        <v>0.09</v>
      </c>
      <c r="V232" s="804">
        <v>0.01</v>
      </c>
      <c r="W232" s="804">
        <v>1</v>
      </c>
      <c r="X232" s="804">
        <v>17978625</v>
      </c>
      <c r="Y232" s="804">
        <v>14382899</v>
      </c>
      <c r="Z232" s="804">
        <v>3236152</v>
      </c>
      <c r="AA232" s="804">
        <v>359572</v>
      </c>
      <c r="AB232" s="804">
        <v>35957248</v>
      </c>
      <c r="AC232" s="804">
        <v>0</v>
      </c>
      <c r="AD232" s="804">
        <v>0</v>
      </c>
      <c r="AE232" s="804">
        <v>0</v>
      </c>
      <c r="AF232" s="804">
        <v>0</v>
      </c>
      <c r="AG232" s="804">
        <v>0</v>
      </c>
      <c r="AH232" s="804">
        <v>17978625</v>
      </c>
      <c r="AI232" s="804">
        <v>14382899</v>
      </c>
      <c r="AJ232" s="804">
        <v>3236152</v>
      </c>
      <c r="AK232" s="804">
        <v>359572</v>
      </c>
      <c r="AL232" s="804">
        <v>35957248</v>
      </c>
      <c r="AM232" s="804">
        <v>162528</v>
      </c>
      <c r="AN232" s="804">
        <v>162528</v>
      </c>
      <c r="AO232" s="804">
        <v>0</v>
      </c>
      <c r="AP232" s="804">
        <v>0</v>
      </c>
      <c r="AQ232" s="804">
        <v>0</v>
      </c>
      <c r="AR232" s="804">
        <v>0</v>
      </c>
      <c r="AS232" s="804">
        <v>0</v>
      </c>
      <c r="AT232" s="804">
        <v>0</v>
      </c>
      <c r="AU232" s="804">
        <v>0</v>
      </c>
      <c r="AV232" s="804">
        <v>0</v>
      </c>
      <c r="AW232" s="804">
        <v>0</v>
      </c>
      <c r="AX232" s="804">
        <v>0</v>
      </c>
      <c r="AY232" s="804">
        <v>0</v>
      </c>
      <c r="AZ232" s="804">
        <v>0</v>
      </c>
      <c r="BA232" s="804">
        <v>0</v>
      </c>
      <c r="BB232" s="804">
        <v>0</v>
      </c>
      <c r="BC232" s="804">
        <v>0</v>
      </c>
      <c r="BD232" s="804">
        <v>0</v>
      </c>
      <c r="BE232" s="804">
        <v>0</v>
      </c>
      <c r="BF232" s="804">
        <v>0</v>
      </c>
      <c r="BG232" s="804">
        <v>0</v>
      </c>
      <c r="BH232" s="804">
        <v>0</v>
      </c>
      <c r="BI232" s="804">
        <v>0</v>
      </c>
      <c r="BJ232" s="804">
        <v>0.5</v>
      </c>
      <c r="BK232" s="804">
        <v>0.4</v>
      </c>
      <c r="BL232" s="804">
        <v>0.09</v>
      </c>
      <c r="BM232" s="804">
        <v>0.01</v>
      </c>
      <c r="BN232" s="804">
        <v>1</v>
      </c>
      <c r="BO232" s="804">
        <v>100233.99999999627</v>
      </c>
      <c r="BP232" s="804">
        <v>80187</v>
      </c>
      <c r="BQ232" s="804">
        <v>18042</v>
      </c>
      <c r="BR232" s="804">
        <v>2005</v>
      </c>
      <c r="BS232" s="804">
        <v>200467.99999999627</v>
      </c>
      <c r="BT232" s="804">
        <v>0</v>
      </c>
      <c r="BU232" s="804">
        <v>0.4</v>
      </c>
      <c r="BV232" s="804">
        <v>0.59</v>
      </c>
      <c r="BW232" s="804">
        <v>0.01</v>
      </c>
      <c r="BX232" s="804">
        <v>1</v>
      </c>
      <c r="BY232" s="804">
        <v>-0.69999999925494194</v>
      </c>
      <c r="BZ232" s="804">
        <v>153791</v>
      </c>
      <c r="CA232" s="804">
        <v>226842</v>
      </c>
      <c r="CB232" s="804">
        <v>3845</v>
      </c>
      <c r="CC232" s="804">
        <v>384477.30000000075</v>
      </c>
      <c r="CD232" s="804">
        <v>100233</v>
      </c>
      <c r="CE232" s="804">
        <v>233978</v>
      </c>
      <c r="CF232" s="804">
        <v>244884</v>
      </c>
      <c r="CG232" s="804">
        <v>5850</v>
      </c>
      <c r="CH232" s="804">
        <v>584945.29999999702</v>
      </c>
      <c r="CI232" s="804">
        <v>18078858</v>
      </c>
      <c r="CJ232" s="804">
        <v>14779405</v>
      </c>
      <c r="CK232" s="804">
        <v>3481036</v>
      </c>
      <c r="CL232" s="804">
        <v>365422</v>
      </c>
      <c r="CM232" s="804">
        <v>36704721</v>
      </c>
      <c r="CN232" s="804">
        <v>576469</v>
      </c>
      <c r="CO232" s="804">
        <v>129705</v>
      </c>
      <c r="CP232" s="804">
        <v>14412</v>
      </c>
      <c r="CQ232" s="804">
        <v>720586</v>
      </c>
      <c r="CR232" s="804">
        <v>1355460</v>
      </c>
      <c r="CS232" s="804">
        <v>304979</v>
      </c>
      <c r="CT232" s="804">
        <v>33887</v>
      </c>
      <c r="CU232" s="804">
        <v>1694326</v>
      </c>
      <c r="CV232" s="804">
        <v>90929</v>
      </c>
      <c r="CW232" s="804">
        <v>20459</v>
      </c>
      <c r="CX232" s="804">
        <v>2273</v>
      </c>
      <c r="CY232" s="804">
        <v>113661</v>
      </c>
      <c r="CZ232" s="804">
        <v>0</v>
      </c>
      <c r="DA232" s="804">
        <v>0</v>
      </c>
      <c r="DB232" s="804">
        <v>0</v>
      </c>
      <c r="DC232" s="804">
        <v>0</v>
      </c>
      <c r="DD232" s="804">
        <v>5134</v>
      </c>
      <c r="DE232" s="804">
        <v>1155</v>
      </c>
      <c r="DF232" s="804">
        <v>128</v>
      </c>
      <c r="DG232" s="804">
        <v>6417</v>
      </c>
      <c r="DH232" s="804">
        <v>14571</v>
      </c>
      <c r="DI232" s="804">
        <v>3279</v>
      </c>
      <c r="DJ232" s="804">
        <v>364</v>
      </c>
      <c r="DK232" s="804">
        <v>18214</v>
      </c>
      <c r="DL232" s="804">
        <v>2427</v>
      </c>
      <c r="DM232" s="804">
        <v>546</v>
      </c>
      <c r="DN232" s="804">
        <v>61</v>
      </c>
      <c r="DO232" s="804">
        <v>3034</v>
      </c>
      <c r="DP232" s="804">
        <v>0</v>
      </c>
      <c r="DQ232" s="804">
        <v>0</v>
      </c>
      <c r="DR232" s="804">
        <v>0</v>
      </c>
      <c r="DS232" s="804">
        <v>0</v>
      </c>
      <c r="DT232" s="804">
        <v>0</v>
      </c>
      <c r="DU232" s="804">
        <v>0</v>
      </c>
      <c r="DV232" s="804">
        <v>0</v>
      </c>
      <c r="DW232" s="804">
        <v>0</v>
      </c>
      <c r="DX232" s="804">
        <v>413365</v>
      </c>
      <c r="DY232" s="804">
        <v>93007</v>
      </c>
      <c r="DZ232" s="804">
        <v>10334</v>
      </c>
      <c r="EA232" s="804">
        <v>516706</v>
      </c>
      <c r="EB232" s="804">
        <v>2458355</v>
      </c>
      <c r="EC232" s="804">
        <v>553130</v>
      </c>
      <c r="ED232" s="804">
        <v>61459</v>
      </c>
      <c r="EE232" s="804">
        <v>3072944</v>
      </c>
      <c r="EF232" s="604" t="s">
        <v>336</v>
      </c>
      <c r="EG232" s="497" t="s">
        <v>586</v>
      </c>
      <c r="EH232" s="630" t="s">
        <v>585</v>
      </c>
      <c r="EI232" s="118" t="s">
        <v>1883</v>
      </c>
    </row>
    <row r="233" spans="1:139" ht="12.75" x14ac:dyDescent="0.2">
      <c r="A233" s="805">
        <v>226</v>
      </c>
      <c r="B233" s="606" t="s">
        <v>339</v>
      </c>
      <c r="C233" s="607" t="s">
        <v>1192</v>
      </c>
      <c r="D233" s="608" t="s">
        <v>1193</v>
      </c>
      <c r="E233" s="609" t="s">
        <v>338</v>
      </c>
      <c r="F233" s="802">
        <v>214123735</v>
      </c>
      <c r="G233" s="804">
        <v>0</v>
      </c>
      <c r="H233" s="804">
        <v>3335432</v>
      </c>
      <c r="I233" s="804">
        <v>751939</v>
      </c>
      <c r="J233" s="804">
        <v>0</v>
      </c>
      <c r="K233" s="804">
        <v>751939</v>
      </c>
      <c r="L233" s="804">
        <v>0</v>
      </c>
      <c r="M233" s="804">
        <v>1604109</v>
      </c>
      <c r="N233" s="804">
        <v>1395777</v>
      </c>
      <c r="O233" s="804">
        <v>1395777</v>
      </c>
      <c r="P233" s="804">
        <v>0</v>
      </c>
      <c r="Q233" s="804">
        <v>0</v>
      </c>
      <c r="R233" s="804">
        <v>207036478</v>
      </c>
      <c r="S233" s="804">
        <v>0.5</v>
      </c>
      <c r="T233" s="804">
        <v>0.49</v>
      </c>
      <c r="U233" s="804">
        <v>0</v>
      </c>
      <c r="V233" s="804">
        <v>0.01</v>
      </c>
      <c r="W233" s="804">
        <v>1</v>
      </c>
      <c r="X233" s="804">
        <v>103518239</v>
      </c>
      <c r="Y233" s="804">
        <v>101447874</v>
      </c>
      <c r="Z233" s="804">
        <v>0</v>
      </c>
      <c r="AA233" s="804">
        <v>2070365</v>
      </c>
      <c r="AB233" s="804">
        <v>207036478</v>
      </c>
      <c r="AC233" s="804">
        <v>0</v>
      </c>
      <c r="AD233" s="804">
        <v>0</v>
      </c>
      <c r="AE233" s="804">
        <v>0</v>
      </c>
      <c r="AF233" s="804">
        <v>0</v>
      </c>
      <c r="AG233" s="804">
        <v>0</v>
      </c>
      <c r="AH233" s="804">
        <v>103518239</v>
      </c>
      <c r="AI233" s="804">
        <v>101447874</v>
      </c>
      <c r="AJ233" s="804">
        <v>0</v>
      </c>
      <c r="AK233" s="804">
        <v>2070365</v>
      </c>
      <c r="AL233" s="804">
        <v>207036478</v>
      </c>
      <c r="AM233" s="804">
        <v>751939</v>
      </c>
      <c r="AN233" s="804">
        <v>751939</v>
      </c>
      <c r="AO233" s="804">
        <v>1604109</v>
      </c>
      <c r="AP233" s="804">
        <v>1604109</v>
      </c>
      <c r="AQ233" s="804">
        <v>1395777</v>
      </c>
      <c r="AR233" s="804">
        <v>0</v>
      </c>
      <c r="AS233" s="804">
        <v>1395777</v>
      </c>
      <c r="AT233" s="804">
        <v>0</v>
      </c>
      <c r="AU233" s="804">
        <v>0</v>
      </c>
      <c r="AV233" s="804">
        <v>0</v>
      </c>
      <c r="AW233" s="804">
        <v>0</v>
      </c>
      <c r="AX233" s="804">
        <v>0</v>
      </c>
      <c r="AY233" s="804">
        <v>0</v>
      </c>
      <c r="AZ233" s="804">
        <v>0</v>
      </c>
      <c r="BA233" s="804">
        <v>0</v>
      </c>
      <c r="BB233" s="804">
        <v>0</v>
      </c>
      <c r="BC233" s="804">
        <v>0</v>
      </c>
      <c r="BD233" s="804">
        <v>0</v>
      </c>
      <c r="BE233" s="804">
        <v>0</v>
      </c>
      <c r="BF233" s="804">
        <v>0</v>
      </c>
      <c r="BG233" s="804">
        <v>0</v>
      </c>
      <c r="BH233" s="804">
        <v>0</v>
      </c>
      <c r="BI233" s="804">
        <v>0</v>
      </c>
      <c r="BJ233" s="804">
        <v>0.5</v>
      </c>
      <c r="BK233" s="804">
        <v>0.49</v>
      </c>
      <c r="BL233" s="804">
        <v>0</v>
      </c>
      <c r="BM233" s="804">
        <v>0.01</v>
      </c>
      <c r="BN233" s="804">
        <v>1</v>
      </c>
      <c r="BO233" s="804">
        <v>2672</v>
      </c>
      <c r="BP233" s="804">
        <v>2619</v>
      </c>
      <c r="BQ233" s="804">
        <v>0</v>
      </c>
      <c r="BR233" s="804">
        <v>53</v>
      </c>
      <c r="BS233" s="804">
        <v>5344</v>
      </c>
      <c r="BT233" s="804">
        <v>0.5</v>
      </c>
      <c r="BU233" s="804">
        <v>0.49</v>
      </c>
      <c r="BV233" s="804">
        <v>0</v>
      </c>
      <c r="BW233" s="804">
        <v>0.01</v>
      </c>
      <c r="BX233" s="804">
        <v>1</v>
      </c>
      <c r="BY233" s="804">
        <v>4529129</v>
      </c>
      <c r="BZ233" s="804">
        <v>4438546</v>
      </c>
      <c r="CA233" s="804">
        <v>0</v>
      </c>
      <c r="CB233" s="804">
        <v>90583</v>
      </c>
      <c r="CC233" s="804">
        <v>9058258</v>
      </c>
      <c r="CD233" s="804">
        <v>4531801</v>
      </c>
      <c r="CE233" s="804">
        <v>4441165</v>
      </c>
      <c r="CF233" s="804">
        <v>0</v>
      </c>
      <c r="CG233" s="804">
        <v>90636</v>
      </c>
      <c r="CH233" s="804">
        <v>9063602</v>
      </c>
      <c r="CI233" s="804">
        <v>108050040</v>
      </c>
      <c r="CJ233" s="804">
        <v>109640864</v>
      </c>
      <c r="CK233" s="804">
        <v>0</v>
      </c>
      <c r="CL233" s="804">
        <v>2161001</v>
      </c>
      <c r="CM233" s="804">
        <v>219851905</v>
      </c>
      <c r="CN233" s="804">
        <v>4186283</v>
      </c>
      <c r="CO233" s="804">
        <v>0</v>
      </c>
      <c r="CP233" s="804">
        <v>82981</v>
      </c>
      <c r="CQ233" s="804">
        <v>4269264</v>
      </c>
      <c r="CR233" s="804">
        <v>6454970</v>
      </c>
      <c r="CS233" s="804">
        <v>0</v>
      </c>
      <c r="CT233" s="804">
        <v>131443</v>
      </c>
      <c r="CU233" s="804">
        <v>6586413</v>
      </c>
      <c r="CV233" s="804">
        <v>397407</v>
      </c>
      <c r="CW233" s="804">
        <v>0</v>
      </c>
      <c r="CX233" s="804">
        <v>8078</v>
      </c>
      <c r="CY233" s="804">
        <v>405485</v>
      </c>
      <c r="CZ233" s="804">
        <v>0</v>
      </c>
      <c r="DA233" s="804">
        <v>0</v>
      </c>
      <c r="DB233" s="804">
        <v>0</v>
      </c>
      <c r="DC233" s="804">
        <v>0</v>
      </c>
      <c r="DD233" s="804">
        <v>0</v>
      </c>
      <c r="DE233" s="804">
        <v>0</v>
      </c>
      <c r="DF233" s="804">
        <v>0</v>
      </c>
      <c r="DG233" s="804">
        <v>0</v>
      </c>
      <c r="DH233" s="804">
        <v>28284</v>
      </c>
      <c r="DI233" s="804">
        <v>0</v>
      </c>
      <c r="DJ233" s="804">
        <v>577</v>
      </c>
      <c r="DK233" s="804">
        <v>28861</v>
      </c>
      <c r="DL233" s="804">
        <v>8192</v>
      </c>
      <c r="DM233" s="804">
        <v>0</v>
      </c>
      <c r="DN233" s="804">
        <v>167</v>
      </c>
      <c r="DO233" s="804">
        <v>8359</v>
      </c>
      <c r="DP233" s="804">
        <v>0</v>
      </c>
      <c r="DQ233" s="804">
        <v>0</v>
      </c>
      <c r="DR233" s="804">
        <v>0</v>
      </c>
      <c r="DS233" s="804">
        <v>0</v>
      </c>
      <c r="DT233" s="804">
        <v>0</v>
      </c>
      <c r="DU233" s="804">
        <v>0</v>
      </c>
      <c r="DV233" s="804">
        <v>0</v>
      </c>
      <c r="DW233" s="804">
        <v>0</v>
      </c>
      <c r="DX233" s="804">
        <v>2311672</v>
      </c>
      <c r="DY233" s="804">
        <v>0</v>
      </c>
      <c r="DZ233" s="804">
        <v>47177</v>
      </c>
      <c r="EA233" s="804">
        <v>2358849</v>
      </c>
      <c r="EB233" s="804">
        <v>13386808</v>
      </c>
      <c r="EC233" s="804">
        <v>0</v>
      </c>
      <c r="ED233" s="804">
        <v>270423</v>
      </c>
      <c r="EE233" s="804">
        <v>13657231</v>
      </c>
      <c r="EF233" s="604" t="s">
        <v>338</v>
      </c>
      <c r="EG233" s="497" t="s">
        <v>616</v>
      </c>
      <c r="EH233" s="630" t="s">
        <v>619</v>
      </c>
      <c r="EI233" s="118" t="s">
        <v>1884</v>
      </c>
    </row>
    <row r="234" spans="1:139" ht="12.75" x14ac:dyDescent="0.2">
      <c r="A234" s="805">
        <v>227</v>
      </c>
      <c r="B234" s="606" t="s">
        <v>343</v>
      </c>
      <c r="C234" s="607" t="s">
        <v>524</v>
      </c>
      <c r="D234" s="608" t="s">
        <v>1195</v>
      </c>
      <c r="E234" s="609" t="s">
        <v>342</v>
      </c>
      <c r="F234" s="802">
        <v>83314079</v>
      </c>
      <c r="G234" s="804">
        <v>1215236</v>
      </c>
      <c r="H234" s="804">
        <v>0</v>
      </c>
      <c r="I234" s="804">
        <v>449357</v>
      </c>
      <c r="J234" s="804">
        <v>0</v>
      </c>
      <c r="K234" s="804">
        <v>449357</v>
      </c>
      <c r="L234" s="804">
        <v>0</v>
      </c>
      <c r="M234" s="804">
        <v>0</v>
      </c>
      <c r="N234" s="804">
        <v>960474</v>
      </c>
      <c r="O234" s="804">
        <v>960474</v>
      </c>
      <c r="P234" s="804">
        <v>0</v>
      </c>
      <c r="Q234" s="804">
        <v>0</v>
      </c>
      <c r="R234" s="804">
        <v>83119484</v>
      </c>
      <c r="S234" s="804">
        <v>0.5</v>
      </c>
      <c r="T234" s="804">
        <v>0.49</v>
      </c>
      <c r="U234" s="804">
        <v>0</v>
      </c>
      <c r="V234" s="804">
        <v>0.01</v>
      </c>
      <c r="W234" s="804">
        <v>1</v>
      </c>
      <c r="X234" s="804">
        <v>41559742</v>
      </c>
      <c r="Y234" s="804">
        <v>40728547</v>
      </c>
      <c r="Z234" s="804">
        <v>0</v>
      </c>
      <c r="AA234" s="804">
        <v>831195</v>
      </c>
      <c r="AB234" s="804">
        <v>83119484</v>
      </c>
      <c r="AC234" s="804">
        <v>0</v>
      </c>
      <c r="AD234" s="804">
        <v>0</v>
      </c>
      <c r="AE234" s="804">
        <v>0</v>
      </c>
      <c r="AF234" s="804">
        <v>0</v>
      </c>
      <c r="AG234" s="804">
        <v>0</v>
      </c>
      <c r="AH234" s="804">
        <v>41559742</v>
      </c>
      <c r="AI234" s="804">
        <v>40728547</v>
      </c>
      <c r="AJ234" s="804">
        <v>0</v>
      </c>
      <c r="AK234" s="804">
        <v>831195</v>
      </c>
      <c r="AL234" s="804">
        <v>83119484</v>
      </c>
      <c r="AM234" s="804">
        <v>449357</v>
      </c>
      <c r="AN234" s="804">
        <v>449357</v>
      </c>
      <c r="AO234" s="804">
        <v>0</v>
      </c>
      <c r="AP234" s="804">
        <v>0</v>
      </c>
      <c r="AQ234" s="804">
        <v>960474</v>
      </c>
      <c r="AR234" s="804">
        <v>0</v>
      </c>
      <c r="AS234" s="804">
        <v>960474</v>
      </c>
      <c r="AT234" s="804">
        <v>0</v>
      </c>
      <c r="AU234" s="804">
        <v>0</v>
      </c>
      <c r="AV234" s="804">
        <v>0</v>
      </c>
      <c r="AW234" s="804">
        <v>0</v>
      </c>
      <c r="AX234" s="804">
        <v>0</v>
      </c>
      <c r="AY234" s="804">
        <v>0</v>
      </c>
      <c r="AZ234" s="804">
        <v>0</v>
      </c>
      <c r="BA234" s="804">
        <v>0</v>
      </c>
      <c r="BB234" s="804">
        <v>0</v>
      </c>
      <c r="BC234" s="804">
        <v>0</v>
      </c>
      <c r="BD234" s="804">
        <v>0</v>
      </c>
      <c r="BE234" s="804">
        <v>0</v>
      </c>
      <c r="BF234" s="804">
        <v>0</v>
      </c>
      <c r="BG234" s="804">
        <v>0</v>
      </c>
      <c r="BH234" s="804">
        <v>0</v>
      </c>
      <c r="BI234" s="804">
        <v>0</v>
      </c>
      <c r="BJ234" s="804">
        <v>0.5</v>
      </c>
      <c r="BK234" s="804">
        <v>0.49</v>
      </c>
      <c r="BL234" s="804">
        <v>0</v>
      </c>
      <c r="BM234" s="804">
        <v>0.01</v>
      </c>
      <c r="BN234" s="804">
        <v>1</v>
      </c>
      <c r="BO234" s="804">
        <v>450232</v>
      </c>
      <c r="BP234" s="804">
        <v>441228</v>
      </c>
      <c r="BQ234" s="804">
        <v>0</v>
      </c>
      <c r="BR234" s="804">
        <v>9005</v>
      </c>
      <c r="BS234" s="804">
        <v>900465</v>
      </c>
      <c r="BT234" s="804">
        <v>0.5</v>
      </c>
      <c r="BU234" s="804">
        <v>0.49</v>
      </c>
      <c r="BV234" s="804">
        <v>0</v>
      </c>
      <c r="BW234" s="804">
        <v>0.01</v>
      </c>
      <c r="BX234" s="804">
        <v>1</v>
      </c>
      <c r="BY234" s="804">
        <v>-227237</v>
      </c>
      <c r="BZ234" s="804">
        <v>-222693</v>
      </c>
      <c r="CA234" s="804">
        <v>0</v>
      </c>
      <c r="CB234" s="804">
        <v>-4545</v>
      </c>
      <c r="CC234" s="804">
        <v>-454475</v>
      </c>
      <c r="CD234" s="804">
        <v>222995</v>
      </c>
      <c r="CE234" s="804">
        <v>218535</v>
      </c>
      <c r="CF234" s="804">
        <v>0</v>
      </c>
      <c r="CG234" s="804">
        <v>4460</v>
      </c>
      <c r="CH234" s="804">
        <v>445990</v>
      </c>
      <c r="CI234" s="804">
        <v>41782737</v>
      </c>
      <c r="CJ234" s="804">
        <v>42356913</v>
      </c>
      <c r="CK234" s="804">
        <v>0</v>
      </c>
      <c r="CL234" s="804">
        <v>835655</v>
      </c>
      <c r="CM234" s="804">
        <v>84975305</v>
      </c>
      <c r="CN234" s="804">
        <v>1670903</v>
      </c>
      <c r="CO234" s="804">
        <v>0</v>
      </c>
      <c r="CP234" s="804">
        <v>33314</v>
      </c>
      <c r="CQ234" s="804">
        <v>1704217</v>
      </c>
      <c r="CR234" s="804">
        <v>5075651</v>
      </c>
      <c r="CS234" s="804">
        <v>0</v>
      </c>
      <c r="CT234" s="804">
        <v>103585</v>
      </c>
      <c r="CU234" s="804">
        <v>5179236</v>
      </c>
      <c r="CV234" s="804">
        <v>251476</v>
      </c>
      <c r="CW234" s="804">
        <v>0</v>
      </c>
      <c r="CX234" s="804">
        <v>5132</v>
      </c>
      <c r="CY234" s="804">
        <v>256608</v>
      </c>
      <c r="CZ234" s="804">
        <v>20295</v>
      </c>
      <c r="DA234" s="804">
        <v>0</v>
      </c>
      <c r="DB234" s="804">
        <v>414</v>
      </c>
      <c r="DC234" s="804">
        <v>20709</v>
      </c>
      <c r="DD234" s="804">
        <v>18172</v>
      </c>
      <c r="DE234" s="804">
        <v>0</v>
      </c>
      <c r="DF234" s="804">
        <v>371</v>
      </c>
      <c r="DG234" s="804">
        <v>18543</v>
      </c>
      <c r="DH234" s="804">
        <v>124745</v>
      </c>
      <c r="DI234" s="804">
        <v>0</v>
      </c>
      <c r="DJ234" s="804">
        <v>2546</v>
      </c>
      <c r="DK234" s="804">
        <v>127291</v>
      </c>
      <c r="DL234" s="804">
        <v>19050</v>
      </c>
      <c r="DM234" s="804">
        <v>0</v>
      </c>
      <c r="DN234" s="804">
        <v>389</v>
      </c>
      <c r="DO234" s="804">
        <v>19439</v>
      </c>
      <c r="DP234" s="804">
        <v>0</v>
      </c>
      <c r="DQ234" s="804">
        <v>0</v>
      </c>
      <c r="DR234" s="804">
        <v>0</v>
      </c>
      <c r="DS234" s="804">
        <v>0</v>
      </c>
      <c r="DT234" s="804">
        <v>0</v>
      </c>
      <c r="DU234" s="804">
        <v>0</v>
      </c>
      <c r="DV234" s="804">
        <v>0</v>
      </c>
      <c r="DW234" s="804">
        <v>0</v>
      </c>
      <c r="DX234" s="804">
        <v>1042705</v>
      </c>
      <c r="DY234" s="804">
        <v>0</v>
      </c>
      <c r="DZ234" s="804">
        <v>21280</v>
      </c>
      <c r="EA234" s="804">
        <v>1063985</v>
      </c>
      <c r="EB234" s="804">
        <v>8222997</v>
      </c>
      <c r="EC234" s="804">
        <v>0</v>
      </c>
      <c r="ED234" s="804">
        <v>167031</v>
      </c>
      <c r="EE234" s="804">
        <v>8390028</v>
      </c>
      <c r="EF234" s="604" t="s">
        <v>342</v>
      </c>
      <c r="EG234" s="497" t="s">
        <v>524</v>
      </c>
      <c r="EH234" s="630" t="s">
        <v>605</v>
      </c>
      <c r="EI234" s="118" t="s">
        <v>1885</v>
      </c>
    </row>
    <row r="235" spans="1:139" ht="12.75" x14ac:dyDescent="0.2">
      <c r="A235" s="805">
        <v>228</v>
      </c>
      <c r="B235" s="606" t="s">
        <v>345</v>
      </c>
      <c r="C235" s="607" t="s">
        <v>524</v>
      </c>
      <c r="D235" s="608" t="s">
        <v>1186</v>
      </c>
      <c r="E235" s="609" t="s">
        <v>535</v>
      </c>
      <c r="F235" s="802">
        <v>107473243</v>
      </c>
      <c r="G235" s="804">
        <v>0</v>
      </c>
      <c r="H235" s="804">
        <v>898269</v>
      </c>
      <c r="I235" s="804">
        <v>212735</v>
      </c>
      <c r="J235" s="804">
        <v>0</v>
      </c>
      <c r="K235" s="804">
        <v>212735</v>
      </c>
      <c r="L235" s="804">
        <v>0</v>
      </c>
      <c r="M235" s="804">
        <v>0</v>
      </c>
      <c r="N235" s="804">
        <v>0</v>
      </c>
      <c r="O235" s="804">
        <v>0</v>
      </c>
      <c r="P235" s="804">
        <v>0</v>
      </c>
      <c r="Q235" s="804">
        <v>0</v>
      </c>
      <c r="R235" s="804">
        <v>106362239</v>
      </c>
      <c r="S235" s="804">
        <v>0.5</v>
      </c>
      <c r="T235" s="804">
        <v>0.49</v>
      </c>
      <c r="U235" s="804">
        <v>0</v>
      </c>
      <c r="V235" s="804">
        <v>0.01</v>
      </c>
      <c r="W235" s="804">
        <v>1</v>
      </c>
      <c r="X235" s="804">
        <v>53181120</v>
      </c>
      <c r="Y235" s="804">
        <v>52117497</v>
      </c>
      <c r="Z235" s="804">
        <v>0</v>
      </c>
      <c r="AA235" s="804">
        <v>1063622</v>
      </c>
      <c r="AB235" s="804">
        <v>106362239</v>
      </c>
      <c r="AC235" s="804">
        <v>0</v>
      </c>
      <c r="AD235" s="804">
        <v>0</v>
      </c>
      <c r="AE235" s="804">
        <v>0</v>
      </c>
      <c r="AF235" s="804">
        <v>0</v>
      </c>
      <c r="AG235" s="804">
        <v>0</v>
      </c>
      <c r="AH235" s="804">
        <v>53181120</v>
      </c>
      <c r="AI235" s="804">
        <v>52117497</v>
      </c>
      <c r="AJ235" s="804">
        <v>0</v>
      </c>
      <c r="AK235" s="804">
        <v>1063622</v>
      </c>
      <c r="AL235" s="804">
        <v>106362239</v>
      </c>
      <c r="AM235" s="804">
        <v>212735</v>
      </c>
      <c r="AN235" s="804">
        <v>212735</v>
      </c>
      <c r="AO235" s="804">
        <v>0</v>
      </c>
      <c r="AP235" s="804">
        <v>0</v>
      </c>
      <c r="AQ235" s="804">
        <v>0</v>
      </c>
      <c r="AR235" s="804">
        <v>0</v>
      </c>
      <c r="AS235" s="804">
        <v>0</v>
      </c>
      <c r="AT235" s="804">
        <v>0</v>
      </c>
      <c r="AU235" s="804">
        <v>0</v>
      </c>
      <c r="AV235" s="804">
        <v>0</v>
      </c>
      <c r="AW235" s="804">
        <v>0</v>
      </c>
      <c r="AX235" s="804">
        <v>0</v>
      </c>
      <c r="AY235" s="804">
        <v>0</v>
      </c>
      <c r="AZ235" s="804">
        <v>0</v>
      </c>
      <c r="BA235" s="804">
        <v>0</v>
      </c>
      <c r="BB235" s="804">
        <v>0</v>
      </c>
      <c r="BC235" s="804">
        <v>0</v>
      </c>
      <c r="BD235" s="804">
        <v>0</v>
      </c>
      <c r="BE235" s="804">
        <v>0</v>
      </c>
      <c r="BF235" s="804">
        <v>0</v>
      </c>
      <c r="BG235" s="804">
        <v>0</v>
      </c>
      <c r="BH235" s="804">
        <v>0</v>
      </c>
      <c r="BI235" s="804">
        <v>0</v>
      </c>
      <c r="BJ235" s="804">
        <v>0.25</v>
      </c>
      <c r="BK235" s="804">
        <v>0.74</v>
      </c>
      <c r="BL235" s="804">
        <v>0</v>
      </c>
      <c r="BM235" s="804">
        <v>0.01</v>
      </c>
      <c r="BN235" s="804">
        <v>1</v>
      </c>
      <c r="BO235" s="804">
        <v>-58955</v>
      </c>
      <c r="BP235" s="804">
        <v>-174506</v>
      </c>
      <c r="BQ235" s="804">
        <v>0</v>
      </c>
      <c r="BR235" s="804">
        <v>-2358</v>
      </c>
      <c r="BS235" s="804">
        <v>-235819</v>
      </c>
      <c r="BT235" s="804">
        <v>0</v>
      </c>
      <c r="BU235" s="804">
        <v>0.99</v>
      </c>
      <c r="BV235" s="804">
        <v>0</v>
      </c>
      <c r="BW235" s="804">
        <v>0.01</v>
      </c>
      <c r="BX235" s="804">
        <v>1</v>
      </c>
      <c r="BY235" s="804">
        <v>0</v>
      </c>
      <c r="BZ235" s="804">
        <v>2145054</v>
      </c>
      <c r="CA235" s="804">
        <v>0</v>
      </c>
      <c r="CB235" s="804">
        <v>21667</v>
      </c>
      <c r="CC235" s="804">
        <v>2166721</v>
      </c>
      <c r="CD235" s="804">
        <v>-58955</v>
      </c>
      <c r="CE235" s="804">
        <v>1970548</v>
      </c>
      <c r="CF235" s="804">
        <v>0</v>
      </c>
      <c r="CG235" s="804">
        <v>19309</v>
      </c>
      <c r="CH235" s="804">
        <v>1930902</v>
      </c>
      <c r="CI235" s="804">
        <v>53122165</v>
      </c>
      <c r="CJ235" s="804">
        <v>54300780</v>
      </c>
      <c r="CK235" s="804">
        <v>0</v>
      </c>
      <c r="CL235" s="804">
        <v>1082931</v>
      </c>
      <c r="CM235" s="804">
        <v>108505876</v>
      </c>
      <c r="CN235" s="804">
        <v>2088878</v>
      </c>
      <c r="CO235" s="804">
        <v>0</v>
      </c>
      <c r="CP235" s="804">
        <v>42630</v>
      </c>
      <c r="CQ235" s="804">
        <v>2131508</v>
      </c>
      <c r="CR235" s="804">
        <v>1249391</v>
      </c>
      <c r="CS235" s="804">
        <v>0</v>
      </c>
      <c r="CT235" s="804">
        <v>25498</v>
      </c>
      <c r="CU235" s="804">
        <v>1274889</v>
      </c>
      <c r="CV235" s="804">
        <v>136598</v>
      </c>
      <c r="CW235" s="804">
        <v>0</v>
      </c>
      <c r="CX235" s="804">
        <v>2788</v>
      </c>
      <c r="CY235" s="804">
        <v>139386</v>
      </c>
      <c r="CZ235" s="804">
        <v>0</v>
      </c>
      <c r="DA235" s="804">
        <v>0</v>
      </c>
      <c r="DB235" s="804">
        <v>0</v>
      </c>
      <c r="DC235" s="804">
        <v>0</v>
      </c>
      <c r="DD235" s="804">
        <v>0</v>
      </c>
      <c r="DE235" s="804">
        <v>0</v>
      </c>
      <c r="DF235" s="804">
        <v>0</v>
      </c>
      <c r="DG235" s="804">
        <v>0</v>
      </c>
      <c r="DH235" s="804">
        <v>11332</v>
      </c>
      <c r="DI235" s="804">
        <v>0</v>
      </c>
      <c r="DJ235" s="804">
        <v>231</v>
      </c>
      <c r="DK235" s="804">
        <v>11563</v>
      </c>
      <c r="DL235" s="804">
        <v>5095</v>
      </c>
      <c r="DM235" s="804">
        <v>0</v>
      </c>
      <c r="DN235" s="804">
        <v>104</v>
      </c>
      <c r="DO235" s="804">
        <v>5199</v>
      </c>
      <c r="DP235" s="804">
        <v>0</v>
      </c>
      <c r="DQ235" s="804">
        <v>0</v>
      </c>
      <c r="DR235" s="804">
        <v>0</v>
      </c>
      <c r="DS235" s="804">
        <v>0</v>
      </c>
      <c r="DT235" s="804">
        <v>0</v>
      </c>
      <c r="DU235" s="804">
        <v>0</v>
      </c>
      <c r="DV235" s="804">
        <v>0</v>
      </c>
      <c r="DW235" s="804">
        <v>0</v>
      </c>
      <c r="DX235" s="804">
        <v>709190</v>
      </c>
      <c r="DY235" s="804">
        <v>0</v>
      </c>
      <c r="DZ235" s="804">
        <v>14473</v>
      </c>
      <c r="EA235" s="804">
        <v>723663</v>
      </c>
      <c r="EB235" s="804">
        <v>4200484</v>
      </c>
      <c r="EC235" s="804">
        <v>0</v>
      </c>
      <c r="ED235" s="804">
        <v>85724</v>
      </c>
      <c r="EE235" s="804">
        <v>4286208</v>
      </c>
      <c r="EF235" s="604" t="s">
        <v>535</v>
      </c>
      <c r="EG235" s="497" t="s">
        <v>524</v>
      </c>
      <c r="EH235" s="630" t="s">
        <v>532</v>
      </c>
      <c r="EI235" s="118" t="s">
        <v>1886</v>
      </c>
    </row>
    <row r="236" spans="1:139" ht="12.75" x14ac:dyDescent="0.2">
      <c r="A236" s="805">
        <v>229</v>
      </c>
      <c r="B236" s="606" t="s">
        <v>347</v>
      </c>
      <c r="C236" s="607" t="s">
        <v>1192</v>
      </c>
      <c r="D236" s="608" t="s">
        <v>1195</v>
      </c>
      <c r="E236" s="609" t="s">
        <v>346</v>
      </c>
      <c r="F236" s="802">
        <v>120635943</v>
      </c>
      <c r="G236" s="804">
        <v>0</v>
      </c>
      <c r="H236" s="804">
        <v>551853</v>
      </c>
      <c r="I236" s="804">
        <v>251048</v>
      </c>
      <c r="J236" s="804">
        <v>0</v>
      </c>
      <c r="K236" s="804">
        <v>251048</v>
      </c>
      <c r="L236" s="804">
        <v>0</v>
      </c>
      <c r="M236" s="804">
        <v>0</v>
      </c>
      <c r="N236" s="804">
        <v>0</v>
      </c>
      <c r="O236" s="804">
        <v>0</v>
      </c>
      <c r="P236" s="804">
        <v>0</v>
      </c>
      <c r="Q236" s="804">
        <v>0</v>
      </c>
      <c r="R236" s="804">
        <v>119833042</v>
      </c>
      <c r="S236" s="804">
        <v>0</v>
      </c>
      <c r="T236" s="804">
        <v>0.99</v>
      </c>
      <c r="U236" s="804">
        <v>0</v>
      </c>
      <c r="V236" s="804">
        <v>0.01</v>
      </c>
      <c r="W236" s="804">
        <v>1</v>
      </c>
      <c r="X236" s="804">
        <v>0</v>
      </c>
      <c r="Y236" s="804">
        <v>118634712</v>
      </c>
      <c r="Z236" s="804">
        <v>0</v>
      </c>
      <c r="AA236" s="804">
        <v>1198330</v>
      </c>
      <c r="AB236" s="804">
        <v>119833042</v>
      </c>
      <c r="AC236" s="804">
        <v>0</v>
      </c>
      <c r="AD236" s="804">
        <v>0</v>
      </c>
      <c r="AE236" s="804">
        <v>0</v>
      </c>
      <c r="AF236" s="804">
        <v>0</v>
      </c>
      <c r="AG236" s="804">
        <v>0</v>
      </c>
      <c r="AH236" s="804">
        <v>0</v>
      </c>
      <c r="AI236" s="804">
        <v>118634712</v>
      </c>
      <c r="AJ236" s="804">
        <v>0</v>
      </c>
      <c r="AK236" s="804">
        <v>1198330</v>
      </c>
      <c r="AL236" s="804">
        <v>119833042</v>
      </c>
      <c r="AM236" s="804">
        <v>251048</v>
      </c>
      <c r="AN236" s="804">
        <v>251048</v>
      </c>
      <c r="AO236" s="804">
        <v>0</v>
      </c>
      <c r="AP236" s="804">
        <v>0</v>
      </c>
      <c r="AQ236" s="804">
        <v>0</v>
      </c>
      <c r="AR236" s="804">
        <v>0</v>
      </c>
      <c r="AS236" s="804">
        <v>0</v>
      </c>
      <c r="AT236" s="804">
        <v>0</v>
      </c>
      <c r="AU236" s="804">
        <v>0</v>
      </c>
      <c r="AV236" s="804">
        <v>0</v>
      </c>
      <c r="AW236" s="804">
        <v>0</v>
      </c>
      <c r="AX236" s="804">
        <v>0</v>
      </c>
      <c r="AY236" s="804">
        <v>0</v>
      </c>
      <c r="AZ236" s="804">
        <v>0</v>
      </c>
      <c r="BA236" s="804">
        <v>0</v>
      </c>
      <c r="BB236" s="804">
        <v>0</v>
      </c>
      <c r="BC236" s="804">
        <v>0</v>
      </c>
      <c r="BD236" s="804">
        <v>0</v>
      </c>
      <c r="BE236" s="804">
        <v>0</v>
      </c>
      <c r="BF236" s="804">
        <v>0</v>
      </c>
      <c r="BG236" s="804">
        <v>0</v>
      </c>
      <c r="BH236" s="804">
        <v>0</v>
      </c>
      <c r="BI236" s="804">
        <v>0</v>
      </c>
      <c r="BJ236" s="804">
        <v>0</v>
      </c>
      <c r="BK236" s="804">
        <v>0.99</v>
      </c>
      <c r="BL236" s="804">
        <v>0</v>
      </c>
      <c r="BM236" s="804">
        <v>0.01</v>
      </c>
      <c r="BN236" s="804">
        <v>1</v>
      </c>
      <c r="BO236" s="804">
        <v>0</v>
      </c>
      <c r="BP236" s="804">
        <v>4017647</v>
      </c>
      <c r="BQ236" s="804">
        <v>0</v>
      </c>
      <c r="BR236" s="804">
        <v>40582</v>
      </c>
      <c r="BS236" s="804">
        <v>4058229</v>
      </c>
      <c r="BT236" s="804">
        <v>0</v>
      </c>
      <c r="BU236" s="804">
        <v>0.99</v>
      </c>
      <c r="BV236" s="804">
        <v>0</v>
      </c>
      <c r="BW236" s="804">
        <v>0.01</v>
      </c>
      <c r="BX236" s="804">
        <v>1</v>
      </c>
      <c r="BY236" s="804">
        <v>0.5</v>
      </c>
      <c r="BZ236" s="804">
        <v>1057322</v>
      </c>
      <c r="CA236" s="804">
        <v>0</v>
      </c>
      <c r="CB236" s="804">
        <v>10680</v>
      </c>
      <c r="CC236" s="804">
        <v>1068002.5</v>
      </c>
      <c r="CD236" s="804">
        <v>1</v>
      </c>
      <c r="CE236" s="804">
        <v>5074969</v>
      </c>
      <c r="CF236" s="804">
        <v>0</v>
      </c>
      <c r="CG236" s="804">
        <v>51262</v>
      </c>
      <c r="CH236" s="804">
        <v>5126231.5</v>
      </c>
      <c r="CI236" s="804">
        <v>1</v>
      </c>
      <c r="CJ236" s="804">
        <v>123960729</v>
      </c>
      <c r="CK236" s="804">
        <v>0</v>
      </c>
      <c r="CL236" s="804">
        <v>1249592</v>
      </c>
      <c r="CM236" s="804">
        <v>125210322</v>
      </c>
      <c r="CN236" s="804">
        <v>4754898</v>
      </c>
      <c r="CO236" s="804">
        <v>0</v>
      </c>
      <c r="CP236" s="804">
        <v>48029</v>
      </c>
      <c r="CQ236" s="804">
        <v>4802927</v>
      </c>
      <c r="CR236" s="804">
        <v>3093127</v>
      </c>
      <c r="CS236" s="804">
        <v>0</v>
      </c>
      <c r="CT236" s="804">
        <v>31244</v>
      </c>
      <c r="CU236" s="804">
        <v>3124371</v>
      </c>
      <c r="CV236" s="804">
        <v>346589</v>
      </c>
      <c r="CW236" s="804">
        <v>0</v>
      </c>
      <c r="CX236" s="804">
        <v>3501</v>
      </c>
      <c r="CY236" s="804">
        <v>350090</v>
      </c>
      <c r="CZ236" s="804">
        <v>0</v>
      </c>
      <c r="DA236" s="804">
        <v>0</v>
      </c>
      <c r="DB236" s="804">
        <v>0</v>
      </c>
      <c r="DC236" s="804">
        <v>0</v>
      </c>
      <c r="DD236" s="804">
        <v>1530</v>
      </c>
      <c r="DE236" s="804">
        <v>0</v>
      </c>
      <c r="DF236" s="804">
        <v>15</v>
      </c>
      <c r="DG236" s="804">
        <v>1545</v>
      </c>
      <c r="DH236" s="804">
        <v>21408</v>
      </c>
      <c r="DI236" s="804">
        <v>0</v>
      </c>
      <c r="DJ236" s="804">
        <v>216</v>
      </c>
      <c r="DK236" s="804">
        <v>21624</v>
      </c>
      <c r="DL236" s="804">
        <v>6695</v>
      </c>
      <c r="DM236" s="804">
        <v>0</v>
      </c>
      <c r="DN236" s="804">
        <v>68</v>
      </c>
      <c r="DO236" s="804">
        <v>6763</v>
      </c>
      <c r="DP236" s="804">
        <v>0</v>
      </c>
      <c r="DQ236" s="804">
        <v>0</v>
      </c>
      <c r="DR236" s="804">
        <v>0</v>
      </c>
      <c r="DS236" s="804">
        <v>0</v>
      </c>
      <c r="DT236" s="804">
        <v>0</v>
      </c>
      <c r="DU236" s="804">
        <v>0</v>
      </c>
      <c r="DV236" s="804">
        <v>0</v>
      </c>
      <c r="DW236" s="804">
        <v>0</v>
      </c>
      <c r="DX236" s="804">
        <v>1468222</v>
      </c>
      <c r="DY236" s="804">
        <v>0</v>
      </c>
      <c r="DZ236" s="804">
        <v>14831</v>
      </c>
      <c r="EA236" s="804">
        <v>1483053</v>
      </c>
      <c r="EB236" s="804">
        <v>9692469</v>
      </c>
      <c r="EC236" s="804">
        <v>0</v>
      </c>
      <c r="ED236" s="804">
        <v>97904</v>
      </c>
      <c r="EE236" s="804">
        <v>9790373</v>
      </c>
      <c r="EF236" s="604" t="s">
        <v>346</v>
      </c>
      <c r="EG236" s="497" t="s">
        <v>616</v>
      </c>
      <c r="EH236" s="630" t="s">
        <v>621</v>
      </c>
      <c r="EI236" s="118" t="s">
        <v>1887</v>
      </c>
    </row>
    <row r="237" spans="1:139" ht="12.75" x14ac:dyDescent="0.2">
      <c r="A237" s="805">
        <v>230</v>
      </c>
      <c r="B237" s="606" t="s">
        <v>1130</v>
      </c>
      <c r="C237" s="607" t="s">
        <v>1185</v>
      </c>
      <c r="D237" s="608" t="s">
        <v>1194</v>
      </c>
      <c r="E237" s="609" t="s">
        <v>1129</v>
      </c>
      <c r="F237" s="802">
        <v>60510360</v>
      </c>
      <c r="G237" s="804">
        <v>0</v>
      </c>
      <c r="H237" s="804">
        <v>283485</v>
      </c>
      <c r="I237" s="804">
        <v>248792</v>
      </c>
      <c r="J237" s="804">
        <v>0</v>
      </c>
      <c r="K237" s="804">
        <v>248792</v>
      </c>
      <c r="L237" s="804">
        <v>0</v>
      </c>
      <c r="M237" s="804">
        <v>0</v>
      </c>
      <c r="N237" s="804">
        <v>206288</v>
      </c>
      <c r="O237" s="804">
        <v>206288</v>
      </c>
      <c r="P237" s="804">
        <v>0</v>
      </c>
      <c r="Q237" s="804">
        <v>0</v>
      </c>
      <c r="R237" s="804">
        <v>59771795</v>
      </c>
      <c r="S237" s="804">
        <v>0.5</v>
      </c>
      <c r="T237" s="804">
        <v>0.4</v>
      </c>
      <c r="U237" s="804">
        <v>0.09</v>
      </c>
      <c r="V237" s="804">
        <v>0.01</v>
      </c>
      <c r="W237" s="804">
        <v>1</v>
      </c>
      <c r="X237" s="804">
        <v>29885897</v>
      </c>
      <c r="Y237" s="804">
        <v>23908718</v>
      </c>
      <c r="Z237" s="804">
        <v>5379462</v>
      </c>
      <c r="AA237" s="804">
        <v>597718</v>
      </c>
      <c r="AB237" s="804">
        <v>59771795</v>
      </c>
      <c r="AC237" s="804">
        <v>0</v>
      </c>
      <c r="AD237" s="804">
        <v>0</v>
      </c>
      <c r="AE237" s="804">
        <v>0</v>
      </c>
      <c r="AF237" s="804">
        <v>0</v>
      </c>
      <c r="AG237" s="804">
        <v>0</v>
      </c>
      <c r="AH237" s="804">
        <v>29885897</v>
      </c>
      <c r="AI237" s="804">
        <v>23908718</v>
      </c>
      <c r="AJ237" s="804">
        <v>5379462</v>
      </c>
      <c r="AK237" s="804">
        <v>597718</v>
      </c>
      <c r="AL237" s="804">
        <v>59771795</v>
      </c>
      <c r="AM237" s="804">
        <v>248792</v>
      </c>
      <c r="AN237" s="804">
        <v>248792</v>
      </c>
      <c r="AO237" s="804">
        <v>0</v>
      </c>
      <c r="AP237" s="804">
        <v>0</v>
      </c>
      <c r="AQ237" s="804">
        <v>206288</v>
      </c>
      <c r="AR237" s="804">
        <v>0</v>
      </c>
      <c r="AS237" s="804">
        <v>206288</v>
      </c>
      <c r="AT237" s="804">
        <v>0</v>
      </c>
      <c r="AU237" s="804">
        <v>0</v>
      </c>
      <c r="AV237" s="804">
        <v>0</v>
      </c>
      <c r="AW237" s="804">
        <v>0</v>
      </c>
      <c r="AX237" s="804">
        <v>0</v>
      </c>
      <c r="AY237" s="804">
        <v>0</v>
      </c>
      <c r="AZ237" s="804">
        <v>0</v>
      </c>
      <c r="BA237" s="804">
        <v>0</v>
      </c>
      <c r="BB237" s="804">
        <v>0</v>
      </c>
      <c r="BC237" s="804">
        <v>0</v>
      </c>
      <c r="BD237" s="804">
        <v>0</v>
      </c>
      <c r="BE237" s="804">
        <v>0</v>
      </c>
      <c r="BF237" s="804">
        <v>0</v>
      </c>
      <c r="BG237" s="804">
        <v>0</v>
      </c>
      <c r="BH237" s="804">
        <v>0</v>
      </c>
      <c r="BI237" s="804">
        <v>0</v>
      </c>
      <c r="BJ237" s="804">
        <v>0.24999999999999994</v>
      </c>
      <c r="BK237" s="804">
        <v>0.44</v>
      </c>
      <c r="BL237" s="804">
        <v>0.3</v>
      </c>
      <c r="BM237" s="804">
        <v>0.01</v>
      </c>
      <c r="BN237" s="804">
        <v>1</v>
      </c>
      <c r="BO237" s="804">
        <v>491601.99999999627</v>
      </c>
      <c r="BP237" s="804">
        <v>865218</v>
      </c>
      <c r="BQ237" s="804">
        <v>589921</v>
      </c>
      <c r="BR237" s="804">
        <v>19664</v>
      </c>
      <c r="BS237" s="804">
        <v>1966404.9999999963</v>
      </c>
      <c r="BT237" s="804">
        <v>0.5</v>
      </c>
      <c r="BU237" s="804">
        <v>0.4</v>
      </c>
      <c r="BV237" s="804">
        <v>0.09</v>
      </c>
      <c r="BW237" s="804">
        <v>0.01</v>
      </c>
      <c r="BX237" s="804">
        <v>1</v>
      </c>
      <c r="BY237" s="804">
        <v>-646717.48000000045</v>
      </c>
      <c r="BZ237" s="804">
        <v>-517373</v>
      </c>
      <c r="CA237" s="804">
        <v>-116409</v>
      </c>
      <c r="CB237" s="804">
        <v>-12934</v>
      </c>
      <c r="CC237" s="804">
        <v>-1293433.4800000004</v>
      </c>
      <c r="CD237" s="804">
        <v>-155115</v>
      </c>
      <c r="CE237" s="804">
        <v>347845</v>
      </c>
      <c r="CF237" s="804">
        <v>473512</v>
      </c>
      <c r="CG237" s="804">
        <v>6730</v>
      </c>
      <c r="CH237" s="804">
        <v>672971.51999999583</v>
      </c>
      <c r="CI237" s="804">
        <v>29730782</v>
      </c>
      <c r="CJ237" s="804">
        <v>24711643</v>
      </c>
      <c r="CK237" s="804">
        <v>5852974</v>
      </c>
      <c r="CL237" s="804">
        <v>604448</v>
      </c>
      <c r="CM237" s="804">
        <v>60899847</v>
      </c>
      <c r="CN237" s="804">
        <v>966533</v>
      </c>
      <c r="CO237" s="804">
        <v>215610</v>
      </c>
      <c r="CP237" s="804">
        <v>23957</v>
      </c>
      <c r="CQ237" s="804">
        <v>1206100</v>
      </c>
      <c r="CR237" s="804">
        <v>2032780</v>
      </c>
      <c r="CS237" s="804">
        <v>457376</v>
      </c>
      <c r="CT237" s="804">
        <v>50820</v>
      </c>
      <c r="CU237" s="804">
        <v>2540976</v>
      </c>
      <c r="CV237" s="804">
        <v>114124</v>
      </c>
      <c r="CW237" s="804">
        <v>25678</v>
      </c>
      <c r="CX237" s="804">
        <v>2853</v>
      </c>
      <c r="CY237" s="804">
        <v>142655</v>
      </c>
      <c r="CZ237" s="804">
        <v>19764</v>
      </c>
      <c r="DA237" s="804">
        <v>4447</v>
      </c>
      <c r="DB237" s="804">
        <v>494</v>
      </c>
      <c r="DC237" s="804">
        <v>24705</v>
      </c>
      <c r="DD237" s="804">
        <v>30164</v>
      </c>
      <c r="DE237" s="804">
        <v>6787</v>
      </c>
      <c r="DF237" s="804">
        <v>754</v>
      </c>
      <c r="DG237" s="804">
        <v>37705</v>
      </c>
      <c r="DH237" s="804">
        <v>14890</v>
      </c>
      <c r="DI237" s="804">
        <v>3350</v>
      </c>
      <c r="DJ237" s="804">
        <v>372</v>
      </c>
      <c r="DK237" s="804">
        <v>18612</v>
      </c>
      <c r="DL237" s="804">
        <v>4992</v>
      </c>
      <c r="DM237" s="804">
        <v>1123</v>
      </c>
      <c r="DN237" s="804">
        <v>125</v>
      </c>
      <c r="DO237" s="804">
        <v>6240</v>
      </c>
      <c r="DP237" s="804">
        <v>0</v>
      </c>
      <c r="DQ237" s="804">
        <v>0</v>
      </c>
      <c r="DR237" s="804">
        <v>0</v>
      </c>
      <c r="DS237" s="804">
        <v>0</v>
      </c>
      <c r="DT237" s="804">
        <v>0</v>
      </c>
      <c r="DU237" s="804">
        <v>0</v>
      </c>
      <c r="DV237" s="804">
        <v>0</v>
      </c>
      <c r="DW237" s="804">
        <v>0</v>
      </c>
      <c r="DX237" s="804">
        <v>413275</v>
      </c>
      <c r="DY237" s="804">
        <v>92987</v>
      </c>
      <c r="DZ237" s="804">
        <v>10332</v>
      </c>
      <c r="EA237" s="804">
        <v>516594</v>
      </c>
      <c r="EB237" s="804">
        <v>3596522</v>
      </c>
      <c r="EC237" s="804">
        <v>807358</v>
      </c>
      <c r="ED237" s="804">
        <v>89707</v>
      </c>
      <c r="EE237" s="804">
        <v>4493587</v>
      </c>
      <c r="EF237" s="604" t="s">
        <v>1129</v>
      </c>
      <c r="EG237" s="497" t="s">
        <v>606</v>
      </c>
      <c r="EH237" s="630" t="s">
        <v>558</v>
      </c>
      <c r="EI237" s="118" t="s">
        <v>1888</v>
      </c>
    </row>
    <row r="238" spans="1:139" ht="12.75" x14ac:dyDescent="0.2">
      <c r="A238" s="805">
        <v>231</v>
      </c>
      <c r="B238" s="606" t="s">
        <v>351</v>
      </c>
      <c r="C238" s="607" t="s">
        <v>1185</v>
      </c>
      <c r="D238" s="608" t="s">
        <v>1189</v>
      </c>
      <c r="E238" s="609" t="s">
        <v>350</v>
      </c>
      <c r="F238" s="802">
        <v>91318167</v>
      </c>
      <c r="G238" s="804">
        <v>30785</v>
      </c>
      <c r="H238" s="804">
        <v>0</v>
      </c>
      <c r="I238" s="804">
        <v>241886</v>
      </c>
      <c r="J238" s="804">
        <v>0</v>
      </c>
      <c r="K238" s="804">
        <v>241886</v>
      </c>
      <c r="L238" s="804">
        <v>0</v>
      </c>
      <c r="M238" s="804">
        <v>955945</v>
      </c>
      <c r="N238" s="804">
        <v>782087</v>
      </c>
      <c r="O238" s="804">
        <v>782087</v>
      </c>
      <c r="P238" s="804">
        <v>0</v>
      </c>
      <c r="Q238" s="804">
        <v>0</v>
      </c>
      <c r="R238" s="804">
        <v>89369034</v>
      </c>
      <c r="S238" s="804">
        <v>0.5</v>
      </c>
      <c r="T238" s="804">
        <v>0.4</v>
      </c>
      <c r="U238" s="804">
        <v>0.09</v>
      </c>
      <c r="V238" s="804">
        <v>0.01</v>
      </c>
      <c r="W238" s="804">
        <v>1</v>
      </c>
      <c r="X238" s="804">
        <v>44684517</v>
      </c>
      <c r="Y238" s="804">
        <v>35747614</v>
      </c>
      <c r="Z238" s="804">
        <v>8043213</v>
      </c>
      <c r="AA238" s="804">
        <v>893690</v>
      </c>
      <c r="AB238" s="804">
        <v>89369034</v>
      </c>
      <c r="AC238" s="804">
        <v>172760</v>
      </c>
      <c r="AD238" s="804">
        <v>0</v>
      </c>
      <c r="AE238" s="804">
        <v>0</v>
      </c>
      <c r="AF238" s="804">
        <v>0</v>
      </c>
      <c r="AG238" s="804">
        <v>172760</v>
      </c>
      <c r="AH238" s="804">
        <v>44511757</v>
      </c>
      <c r="AI238" s="804">
        <v>35747614</v>
      </c>
      <c r="AJ238" s="804">
        <v>8043213</v>
      </c>
      <c r="AK238" s="804">
        <v>893690</v>
      </c>
      <c r="AL238" s="804">
        <v>89196274</v>
      </c>
      <c r="AM238" s="804">
        <v>241886</v>
      </c>
      <c r="AN238" s="804">
        <v>241886</v>
      </c>
      <c r="AO238" s="804">
        <v>955945</v>
      </c>
      <c r="AP238" s="804">
        <v>955945</v>
      </c>
      <c r="AQ238" s="804">
        <v>782087</v>
      </c>
      <c r="AR238" s="804">
        <v>0</v>
      </c>
      <c r="AS238" s="804">
        <v>782087</v>
      </c>
      <c r="AT238" s="804">
        <v>0</v>
      </c>
      <c r="AU238" s="804">
        <v>0</v>
      </c>
      <c r="AV238" s="804">
        <v>0</v>
      </c>
      <c r="AW238" s="804">
        <v>0</v>
      </c>
      <c r="AX238" s="804">
        <v>172760</v>
      </c>
      <c r="AY238" s="804">
        <v>0</v>
      </c>
      <c r="AZ238" s="804">
        <v>0</v>
      </c>
      <c r="BA238" s="804">
        <v>172760</v>
      </c>
      <c r="BB238" s="804">
        <v>0</v>
      </c>
      <c r="BC238" s="804">
        <v>0</v>
      </c>
      <c r="BD238" s="804">
        <v>0</v>
      </c>
      <c r="BE238" s="804">
        <v>0</v>
      </c>
      <c r="BF238" s="804">
        <v>0</v>
      </c>
      <c r="BG238" s="804">
        <v>0</v>
      </c>
      <c r="BH238" s="804">
        <v>0</v>
      </c>
      <c r="BI238" s="804">
        <v>0</v>
      </c>
      <c r="BJ238" s="804">
        <v>0.5</v>
      </c>
      <c r="BK238" s="804">
        <v>0.4</v>
      </c>
      <c r="BL238" s="804">
        <v>0.09</v>
      </c>
      <c r="BM238" s="804">
        <v>0.01</v>
      </c>
      <c r="BN238" s="804">
        <v>1</v>
      </c>
      <c r="BO238" s="804">
        <v>2050521</v>
      </c>
      <c r="BP238" s="804">
        <v>1640416</v>
      </c>
      <c r="BQ238" s="804">
        <v>369094</v>
      </c>
      <c r="BR238" s="804">
        <v>41010</v>
      </c>
      <c r="BS238" s="804">
        <v>4101041</v>
      </c>
      <c r="BT238" s="804">
        <v>0.5</v>
      </c>
      <c r="BU238" s="804">
        <v>0.4</v>
      </c>
      <c r="BV238" s="804">
        <v>0.09</v>
      </c>
      <c r="BW238" s="804">
        <v>0.01</v>
      </c>
      <c r="BX238" s="804">
        <v>1</v>
      </c>
      <c r="BY238" s="804">
        <v>-1667229</v>
      </c>
      <c r="BZ238" s="804">
        <v>-1333784</v>
      </c>
      <c r="CA238" s="804">
        <v>-300101</v>
      </c>
      <c r="CB238" s="804">
        <v>-33345</v>
      </c>
      <c r="CC238" s="804">
        <v>-3334459</v>
      </c>
      <c r="CD238" s="804">
        <v>383291</v>
      </c>
      <c r="CE238" s="804">
        <v>306633</v>
      </c>
      <c r="CF238" s="804">
        <v>68992</v>
      </c>
      <c r="CG238" s="804">
        <v>7666</v>
      </c>
      <c r="CH238" s="804">
        <v>766582</v>
      </c>
      <c r="CI238" s="804">
        <v>44895048</v>
      </c>
      <c r="CJ238" s="804">
        <v>38206925</v>
      </c>
      <c r="CK238" s="804">
        <v>8112205</v>
      </c>
      <c r="CL238" s="804">
        <v>901356</v>
      </c>
      <c r="CM238" s="804">
        <v>92115534</v>
      </c>
      <c r="CN238" s="804">
        <v>1509355</v>
      </c>
      <c r="CO238" s="804">
        <v>322373</v>
      </c>
      <c r="CP238" s="804">
        <v>35819</v>
      </c>
      <c r="CQ238" s="804">
        <v>1867547</v>
      </c>
      <c r="CR238" s="804">
        <v>1429571</v>
      </c>
      <c r="CS238" s="804">
        <v>321654</v>
      </c>
      <c r="CT238" s="804">
        <v>35739</v>
      </c>
      <c r="CU238" s="804">
        <v>1786964</v>
      </c>
      <c r="CV238" s="804">
        <v>141741</v>
      </c>
      <c r="CW238" s="804">
        <v>31523</v>
      </c>
      <c r="CX238" s="804">
        <v>3503</v>
      </c>
      <c r="CY238" s="804">
        <v>176767</v>
      </c>
      <c r="CZ238" s="804">
        <v>10640</v>
      </c>
      <c r="DA238" s="804">
        <v>2394</v>
      </c>
      <c r="DB238" s="804">
        <v>266</v>
      </c>
      <c r="DC238" s="804">
        <v>13300</v>
      </c>
      <c r="DD238" s="804">
        <v>18877</v>
      </c>
      <c r="DE238" s="804">
        <v>4248</v>
      </c>
      <c r="DF238" s="804">
        <v>472</v>
      </c>
      <c r="DG238" s="804">
        <v>23597</v>
      </c>
      <c r="DH238" s="804">
        <v>17663</v>
      </c>
      <c r="DI238" s="804">
        <v>3974</v>
      </c>
      <c r="DJ238" s="804">
        <v>442</v>
      </c>
      <c r="DK238" s="804">
        <v>22079</v>
      </c>
      <c r="DL238" s="804">
        <v>5824</v>
      </c>
      <c r="DM238" s="804">
        <v>1311</v>
      </c>
      <c r="DN238" s="804">
        <v>146</v>
      </c>
      <c r="DO238" s="804">
        <v>7281</v>
      </c>
      <c r="DP238" s="804">
        <v>0</v>
      </c>
      <c r="DQ238" s="804">
        <v>0</v>
      </c>
      <c r="DR238" s="804">
        <v>0</v>
      </c>
      <c r="DS238" s="804">
        <v>0</v>
      </c>
      <c r="DT238" s="804">
        <v>0</v>
      </c>
      <c r="DU238" s="804">
        <v>0</v>
      </c>
      <c r="DV238" s="804">
        <v>0</v>
      </c>
      <c r="DW238" s="804">
        <v>0</v>
      </c>
      <c r="DX238" s="804">
        <v>328154</v>
      </c>
      <c r="DY238" s="804">
        <v>73835</v>
      </c>
      <c r="DZ238" s="804">
        <v>8204</v>
      </c>
      <c r="EA238" s="804">
        <v>410193</v>
      </c>
      <c r="EB238" s="804">
        <v>3461825</v>
      </c>
      <c r="EC238" s="804">
        <v>761312</v>
      </c>
      <c r="ED238" s="804">
        <v>84591</v>
      </c>
      <c r="EE238" s="804">
        <v>4307728</v>
      </c>
      <c r="EF238" s="604" t="s">
        <v>350</v>
      </c>
      <c r="EG238" s="497" t="s">
        <v>542</v>
      </c>
      <c r="EH238" s="630" t="s">
        <v>541</v>
      </c>
      <c r="EI238" s="118" t="s">
        <v>1889</v>
      </c>
    </row>
    <row r="239" spans="1:139" ht="12.75" x14ac:dyDescent="0.2">
      <c r="A239" s="805">
        <v>232</v>
      </c>
      <c r="B239" s="606" t="s">
        <v>353</v>
      </c>
      <c r="C239" s="607" t="s">
        <v>1185</v>
      </c>
      <c r="D239" s="608" t="s">
        <v>1188</v>
      </c>
      <c r="E239" s="609" t="s">
        <v>352</v>
      </c>
      <c r="F239" s="802">
        <v>27360217</v>
      </c>
      <c r="G239" s="804">
        <v>456026</v>
      </c>
      <c r="H239" s="804">
        <v>0</v>
      </c>
      <c r="I239" s="804">
        <v>92542</v>
      </c>
      <c r="J239" s="804">
        <v>0</v>
      </c>
      <c r="K239" s="804">
        <v>92542</v>
      </c>
      <c r="L239" s="804">
        <v>0</v>
      </c>
      <c r="M239" s="804">
        <v>0</v>
      </c>
      <c r="N239" s="804">
        <v>0</v>
      </c>
      <c r="O239" s="804">
        <v>0</v>
      </c>
      <c r="P239" s="804">
        <v>0</v>
      </c>
      <c r="Q239" s="804">
        <v>0</v>
      </c>
      <c r="R239" s="804">
        <v>27723701</v>
      </c>
      <c r="S239" s="804">
        <v>0.5</v>
      </c>
      <c r="T239" s="804">
        <v>0.4</v>
      </c>
      <c r="U239" s="804">
        <v>0.09</v>
      </c>
      <c r="V239" s="804">
        <v>0.01</v>
      </c>
      <c r="W239" s="804">
        <v>1</v>
      </c>
      <c r="X239" s="804">
        <v>13861851</v>
      </c>
      <c r="Y239" s="804">
        <v>11089480</v>
      </c>
      <c r="Z239" s="804">
        <v>2495133</v>
      </c>
      <c r="AA239" s="804">
        <v>277237</v>
      </c>
      <c r="AB239" s="804">
        <v>27723701</v>
      </c>
      <c r="AC239" s="804">
        <v>0</v>
      </c>
      <c r="AD239" s="804">
        <v>0</v>
      </c>
      <c r="AE239" s="804">
        <v>0</v>
      </c>
      <c r="AF239" s="804">
        <v>0</v>
      </c>
      <c r="AG239" s="804">
        <v>0</v>
      </c>
      <c r="AH239" s="804">
        <v>13861851</v>
      </c>
      <c r="AI239" s="804">
        <v>11089480</v>
      </c>
      <c r="AJ239" s="804">
        <v>2495133</v>
      </c>
      <c r="AK239" s="804">
        <v>277237</v>
      </c>
      <c r="AL239" s="804">
        <v>27723701</v>
      </c>
      <c r="AM239" s="804">
        <v>92542</v>
      </c>
      <c r="AN239" s="804">
        <v>92542</v>
      </c>
      <c r="AO239" s="804">
        <v>0</v>
      </c>
      <c r="AP239" s="804">
        <v>0</v>
      </c>
      <c r="AQ239" s="804">
        <v>0</v>
      </c>
      <c r="AR239" s="804">
        <v>0</v>
      </c>
      <c r="AS239" s="804">
        <v>0</v>
      </c>
      <c r="AT239" s="804">
        <v>0</v>
      </c>
      <c r="AU239" s="804">
        <v>0</v>
      </c>
      <c r="AV239" s="804">
        <v>0</v>
      </c>
      <c r="AW239" s="804">
        <v>0</v>
      </c>
      <c r="AX239" s="804">
        <v>0</v>
      </c>
      <c r="AY239" s="804">
        <v>0</v>
      </c>
      <c r="AZ239" s="804">
        <v>0</v>
      </c>
      <c r="BA239" s="804">
        <v>0</v>
      </c>
      <c r="BB239" s="804">
        <v>0</v>
      </c>
      <c r="BC239" s="804">
        <v>0</v>
      </c>
      <c r="BD239" s="804">
        <v>0</v>
      </c>
      <c r="BE239" s="804">
        <v>0</v>
      </c>
      <c r="BF239" s="804">
        <v>0</v>
      </c>
      <c r="BG239" s="804">
        <v>0</v>
      </c>
      <c r="BH239" s="804">
        <v>0</v>
      </c>
      <c r="BI239" s="804">
        <v>0</v>
      </c>
      <c r="BJ239" s="804">
        <v>0.5</v>
      </c>
      <c r="BK239" s="804">
        <v>0.4</v>
      </c>
      <c r="BL239" s="804">
        <v>0.09</v>
      </c>
      <c r="BM239" s="804">
        <v>0.01</v>
      </c>
      <c r="BN239" s="804">
        <v>1</v>
      </c>
      <c r="BO239" s="804">
        <v>-35970</v>
      </c>
      <c r="BP239" s="804">
        <v>-28776</v>
      </c>
      <c r="BQ239" s="804">
        <v>-6475</v>
      </c>
      <c r="BR239" s="804">
        <v>-719</v>
      </c>
      <c r="BS239" s="804">
        <v>-71940</v>
      </c>
      <c r="BT239" s="804">
        <v>0</v>
      </c>
      <c r="BU239" s="804">
        <v>0.5</v>
      </c>
      <c r="BV239" s="804">
        <v>0.49</v>
      </c>
      <c r="BW239" s="804">
        <v>0.01</v>
      </c>
      <c r="BX239" s="804">
        <v>1</v>
      </c>
      <c r="BY239" s="804">
        <v>-1</v>
      </c>
      <c r="BZ239" s="804">
        <v>47733</v>
      </c>
      <c r="CA239" s="804">
        <v>46778</v>
      </c>
      <c r="CB239" s="804">
        <v>955</v>
      </c>
      <c r="CC239" s="804">
        <v>95465</v>
      </c>
      <c r="CD239" s="804">
        <v>-35971</v>
      </c>
      <c r="CE239" s="804">
        <v>18957</v>
      </c>
      <c r="CF239" s="804">
        <v>40303</v>
      </c>
      <c r="CG239" s="804">
        <v>236</v>
      </c>
      <c r="CH239" s="804">
        <v>23525</v>
      </c>
      <c r="CI239" s="804">
        <v>13825880</v>
      </c>
      <c r="CJ239" s="804">
        <v>11200979</v>
      </c>
      <c r="CK239" s="804">
        <v>2535436</v>
      </c>
      <c r="CL239" s="804">
        <v>277473</v>
      </c>
      <c r="CM239" s="804">
        <v>27839768</v>
      </c>
      <c r="CN239" s="804">
        <v>444468</v>
      </c>
      <c r="CO239" s="804">
        <v>100005</v>
      </c>
      <c r="CP239" s="804">
        <v>11112</v>
      </c>
      <c r="CQ239" s="804">
        <v>555585</v>
      </c>
      <c r="CR239" s="804">
        <v>803707</v>
      </c>
      <c r="CS239" s="804">
        <v>180834</v>
      </c>
      <c r="CT239" s="804">
        <v>20093</v>
      </c>
      <c r="CU239" s="804">
        <v>1004634</v>
      </c>
      <c r="CV239" s="804">
        <v>40310</v>
      </c>
      <c r="CW239" s="804">
        <v>9070</v>
      </c>
      <c r="CX239" s="804">
        <v>1008</v>
      </c>
      <c r="CY239" s="804">
        <v>50388</v>
      </c>
      <c r="CZ239" s="804">
        <v>1027</v>
      </c>
      <c r="DA239" s="804">
        <v>231</v>
      </c>
      <c r="DB239" s="804">
        <v>26</v>
      </c>
      <c r="DC239" s="804">
        <v>1284</v>
      </c>
      <c r="DD239" s="804">
        <v>11945</v>
      </c>
      <c r="DE239" s="804">
        <v>2688</v>
      </c>
      <c r="DF239" s="804">
        <v>299</v>
      </c>
      <c r="DG239" s="804">
        <v>14932</v>
      </c>
      <c r="DH239" s="804">
        <v>12777</v>
      </c>
      <c r="DI239" s="804">
        <v>2875</v>
      </c>
      <c r="DJ239" s="804">
        <v>319</v>
      </c>
      <c r="DK239" s="804">
        <v>15971</v>
      </c>
      <c r="DL239" s="804">
        <v>2371</v>
      </c>
      <c r="DM239" s="804">
        <v>534</v>
      </c>
      <c r="DN239" s="804">
        <v>59</v>
      </c>
      <c r="DO239" s="804">
        <v>2964</v>
      </c>
      <c r="DP239" s="804">
        <v>0</v>
      </c>
      <c r="DQ239" s="804">
        <v>0</v>
      </c>
      <c r="DR239" s="804">
        <v>0</v>
      </c>
      <c r="DS239" s="804">
        <v>0</v>
      </c>
      <c r="DT239" s="804">
        <v>0</v>
      </c>
      <c r="DU239" s="804">
        <v>0</v>
      </c>
      <c r="DV239" s="804">
        <v>0</v>
      </c>
      <c r="DW239" s="804">
        <v>0</v>
      </c>
      <c r="DX239" s="804">
        <v>161537</v>
      </c>
      <c r="DY239" s="804">
        <v>36346</v>
      </c>
      <c r="DZ239" s="804">
        <v>4038</v>
      </c>
      <c r="EA239" s="804">
        <v>201921</v>
      </c>
      <c r="EB239" s="804">
        <v>1478142</v>
      </c>
      <c r="EC239" s="804">
        <v>332583</v>
      </c>
      <c r="ED239" s="804">
        <v>36954</v>
      </c>
      <c r="EE239" s="804">
        <v>1847679</v>
      </c>
      <c r="EF239" s="604" t="s">
        <v>352</v>
      </c>
      <c r="EG239" s="497" t="s">
        <v>555</v>
      </c>
      <c r="EH239" s="630" t="s">
        <v>554</v>
      </c>
      <c r="EI239" s="118" t="s">
        <v>1890</v>
      </c>
    </row>
    <row r="240" spans="1:139" ht="12.75" x14ac:dyDescent="0.2">
      <c r="A240" s="805">
        <v>233</v>
      </c>
      <c r="B240" s="606" t="s">
        <v>355</v>
      </c>
      <c r="C240" s="607" t="s">
        <v>524</v>
      </c>
      <c r="D240" s="608" t="s">
        <v>1194</v>
      </c>
      <c r="E240" s="609" t="s">
        <v>527</v>
      </c>
      <c r="F240" s="802">
        <v>146410357</v>
      </c>
      <c r="G240" s="804">
        <v>0</v>
      </c>
      <c r="H240" s="804">
        <v>1279638</v>
      </c>
      <c r="I240" s="804">
        <v>349870</v>
      </c>
      <c r="J240" s="804">
        <v>0</v>
      </c>
      <c r="K240" s="804">
        <v>349870</v>
      </c>
      <c r="L240" s="804">
        <v>0</v>
      </c>
      <c r="M240" s="804">
        <v>17023041</v>
      </c>
      <c r="N240" s="804">
        <v>511691</v>
      </c>
      <c r="O240" s="804">
        <v>511691</v>
      </c>
      <c r="P240" s="804">
        <v>0</v>
      </c>
      <c r="Q240" s="804">
        <v>0</v>
      </c>
      <c r="R240" s="804">
        <v>127246117</v>
      </c>
      <c r="S240" s="804">
        <v>0</v>
      </c>
      <c r="T240" s="804">
        <v>0.94</v>
      </c>
      <c r="U240" s="804">
        <v>0.05</v>
      </c>
      <c r="V240" s="804">
        <v>0.01</v>
      </c>
      <c r="W240" s="804">
        <v>1</v>
      </c>
      <c r="X240" s="804">
        <v>0</v>
      </c>
      <c r="Y240" s="804">
        <v>119611350</v>
      </c>
      <c r="Z240" s="804">
        <v>6362306</v>
      </c>
      <c r="AA240" s="804">
        <v>1272461</v>
      </c>
      <c r="AB240" s="804">
        <v>127246117</v>
      </c>
      <c r="AC240" s="804">
        <v>0</v>
      </c>
      <c r="AD240" s="804">
        <v>0</v>
      </c>
      <c r="AE240" s="804">
        <v>0</v>
      </c>
      <c r="AF240" s="804">
        <v>0</v>
      </c>
      <c r="AG240" s="804">
        <v>0</v>
      </c>
      <c r="AH240" s="804">
        <v>0</v>
      </c>
      <c r="AI240" s="804">
        <v>119611350</v>
      </c>
      <c r="AJ240" s="804">
        <v>6362306</v>
      </c>
      <c r="AK240" s="804">
        <v>1272461</v>
      </c>
      <c r="AL240" s="804">
        <v>127246117</v>
      </c>
      <c r="AM240" s="804">
        <v>349870</v>
      </c>
      <c r="AN240" s="804">
        <v>349870</v>
      </c>
      <c r="AO240" s="804">
        <v>17023041</v>
      </c>
      <c r="AP240" s="804">
        <v>17023041</v>
      </c>
      <c r="AQ240" s="804">
        <v>511691</v>
      </c>
      <c r="AR240" s="804">
        <v>0</v>
      </c>
      <c r="AS240" s="804">
        <v>511691</v>
      </c>
      <c r="AT240" s="804">
        <v>0</v>
      </c>
      <c r="AU240" s="804">
        <v>0</v>
      </c>
      <c r="AV240" s="804">
        <v>0</v>
      </c>
      <c r="AW240" s="804">
        <v>0</v>
      </c>
      <c r="AX240" s="804">
        <v>0</v>
      </c>
      <c r="AY240" s="804">
        <v>0</v>
      </c>
      <c r="AZ240" s="804">
        <v>0</v>
      </c>
      <c r="BA240" s="804">
        <v>0</v>
      </c>
      <c r="BB240" s="804">
        <v>0</v>
      </c>
      <c r="BC240" s="804">
        <v>0</v>
      </c>
      <c r="BD240" s="804">
        <v>0</v>
      </c>
      <c r="BE240" s="804">
        <v>0</v>
      </c>
      <c r="BF240" s="804">
        <v>0</v>
      </c>
      <c r="BG240" s="804">
        <v>0</v>
      </c>
      <c r="BH240" s="804">
        <v>0</v>
      </c>
      <c r="BI240" s="804">
        <v>0</v>
      </c>
      <c r="BJ240" s="804">
        <v>0</v>
      </c>
      <c r="BK240" s="804">
        <v>0.94</v>
      </c>
      <c r="BL240" s="804">
        <v>0.05</v>
      </c>
      <c r="BM240" s="804">
        <v>0.01</v>
      </c>
      <c r="BN240" s="804">
        <v>1</v>
      </c>
      <c r="BO240" s="804">
        <v>0</v>
      </c>
      <c r="BP240" s="804">
        <v>-2418785</v>
      </c>
      <c r="BQ240" s="804">
        <v>-128659</v>
      </c>
      <c r="BR240" s="804">
        <v>-25732</v>
      </c>
      <c r="BS240" s="804">
        <v>-2573176</v>
      </c>
      <c r="BT240" s="804">
        <v>0</v>
      </c>
      <c r="BU240" s="804">
        <v>0.94</v>
      </c>
      <c r="BV240" s="804">
        <v>0.05</v>
      </c>
      <c r="BW240" s="804">
        <v>0.01</v>
      </c>
      <c r="BX240" s="804">
        <v>1</v>
      </c>
      <c r="BY240" s="804">
        <v>0</v>
      </c>
      <c r="BZ240" s="804">
        <v>94396</v>
      </c>
      <c r="CA240" s="804">
        <v>5021</v>
      </c>
      <c r="CB240" s="804">
        <v>1004</v>
      </c>
      <c r="CC240" s="804">
        <v>100421</v>
      </c>
      <c r="CD240" s="804">
        <v>0</v>
      </c>
      <c r="CE240" s="804">
        <v>-2324389</v>
      </c>
      <c r="CF240" s="804">
        <v>-123638</v>
      </c>
      <c r="CG240" s="804">
        <v>-24728</v>
      </c>
      <c r="CH240" s="804">
        <v>-2472755</v>
      </c>
      <c r="CI240" s="804">
        <v>0</v>
      </c>
      <c r="CJ240" s="804">
        <v>135171563</v>
      </c>
      <c r="CK240" s="804">
        <v>6238668</v>
      </c>
      <c r="CL240" s="804">
        <v>1247733</v>
      </c>
      <c r="CM240" s="804">
        <v>142657964</v>
      </c>
      <c r="CN240" s="804">
        <v>5496837</v>
      </c>
      <c r="CO240" s="804">
        <v>255002</v>
      </c>
      <c r="CP240" s="804">
        <v>51000</v>
      </c>
      <c r="CQ240" s="804">
        <v>5802839</v>
      </c>
      <c r="CR240" s="804">
        <v>5388023</v>
      </c>
      <c r="CS240" s="804">
        <v>286032</v>
      </c>
      <c r="CT240" s="804">
        <v>57206</v>
      </c>
      <c r="CU240" s="804">
        <v>5731261</v>
      </c>
      <c r="CV240" s="804">
        <v>97221</v>
      </c>
      <c r="CW240" s="804">
        <v>5081</v>
      </c>
      <c r="CX240" s="804">
        <v>1016</v>
      </c>
      <c r="CY240" s="804">
        <v>103318</v>
      </c>
      <c r="CZ240" s="804">
        <v>15608</v>
      </c>
      <c r="DA240" s="804">
        <v>830</v>
      </c>
      <c r="DB240" s="804">
        <v>166</v>
      </c>
      <c r="DC240" s="804">
        <v>16604</v>
      </c>
      <c r="DD240" s="804">
        <v>18132</v>
      </c>
      <c r="DE240" s="804">
        <v>965</v>
      </c>
      <c r="DF240" s="804">
        <v>193</v>
      </c>
      <c r="DG240" s="804">
        <v>19290</v>
      </c>
      <c r="DH240" s="804">
        <v>20562</v>
      </c>
      <c r="DI240" s="804">
        <v>1094</v>
      </c>
      <c r="DJ240" s="804">
        <v>219</v>
      </c>
      <c r="DK240" s="804">
        <v>21875</v>
      </c>
      <c r="DL240" s="804">
        <v>12222</v>
      </c>
      <c r="DM240" s="804">
        <v>650</v>
      </c>
      <c r="DN240" s="804">
        <v>130</v>
      </c>
      <c r="DO240" s="804">
        <v>13002</v>
      </c>
      <c r="DP240" s="804">
        <v>0</v>
      </c>
      <c r="DQ240" s="804">
        <v>0</v>
      </c>
      <c r="DR240" s="804">
        <v>0</v>
      </c>
      <c r="DS240" s="804">
        <v>0</v>
      </c>
      <c r="DT240" s="804">
        <v>0</v>
      </c>
      <c r="DU240" s="804">
        <v>0</v>
      </c>
      <c r="DV240" s="804">
        <v>0</v>
      </c>
      <c r="DW240" s="804">
        <v>0</v>
      </c>
      <c r="DX240" s="804">
        <v>960803</v>
      </c>
      <c r="DY240" s="804">
        <v>50658</v>
      </c>
      <c r="DZ240" s="804">
        <v>10132</v>
      </c>
      <c r="EA240" s="804">
        <v>1021593</v>
      </c>
      <c r="EB240" s="804">
        <v>12009408</v>
      </c>
      <c r="EC240" s="804">
        <v>600312</v>
      </c>
      <c r="ED240" s="804">
        <v>120062</v>
      </c>
      <c r="EE240" s="804">
        <v>12729782</v>
      </c>
      <c r="EF240" s="604" t="s">
        <v>527</v>
      </c>
      <c r="EG240" s="497" t="s">
        <v>524</v>
      </c>
      <c r="EH240" s="630" t="s">
        <v>525</v>
      </c>
      <c r="EI240" s="118" t="s">
        <v>1891</v>
      </c>
    </row>
    <row r="241" spans="1:139" ht="12.75" x14ac:dyDescent="0.2">
      <c r="A241" s="805">
        <v>234</v>
      </c>
      <c r="B241" s="606" t="s">
        <v>357</v>
      </c>
      <c r="C241" s="607" t="s">
        <v>1185</v>
      </c>
      <c r="D241" s="608" t="s">
        <v>1194</v>
      </c>
      <c r="E241" s="609" t="s">
        <v>356</v>
      </c>
      <c r="F241" s="802">
        <v>28402025</v>
      </c>
      <c r="G241" s="804">
        <v>291552</v>
      </c>
      <c r="H241" s="804">
        <v>0</v>
      </c>
      <c r="I241" s="804">
        <v>206320</v>
      </c>
      <c r="J241" s="804">
        <v>0</v>
      </c>
      <c r="K241" s="804">
        <v>206320</v>
      </c>
      <c r="L241" s="804">
        <v>0</v>
      </c>
      <c r="M241" s="804">
        <v>0</v>
      </c>
      <c r="N241" s="804">
        <v>0</v>
      </c>
      <c r="O241" s="804">
        <v>0</v>
      </c>
      <c r="P241" s="804">
        <v>0</v>
      </c>
      <c r="Q241" s="804">
        <v>0</v>
      </c>
      <c r="R241" s="804">
        <v>28487257</v>
      </c>
      <c r="S241" s="804">
        <v>0.5</v>
      </c>
      <c r="T241" s="804">
        <v>0.4</v>
      </c>
      <c r="U241" s="804">
        <v>0.09</v>
      </c>
      <c r="V241" s="804">
        <v>0.01</v>
      </c>
      <c r="W241" s="804">
        <v>1</v>
      </c>
      <c r="X241" s="804">
        <v>14243628</v>
      </c>
      <c r="Y241" s="804">
        <v>11394903</v>
      </c>
      <c r="Z241" s="804">
        <v>2563853</v>
      </c>
      <c r="AA241" s="804">
        <v>284873</v>
      </c>
      <c r="AB241" s="804">
        <v>28487257</v>
      </c>
      <c r="AC241" s="804">
        <v>0</v>
      </c>
      <c r="AD241" s="804">
        <v>0</v>
      </c>
      <c r="AE241" s="804">
        <v>0</v>
      </c>
      <c r="AF241" s="804">
        <v>0</v>
      </c>
      <c r="AG241" s="804">
        <v>0</v>
      </c>
      <c r="AH241" s="804">
        <v>14243628</v>
      </c>
      <c r="AI241" s="804">
        <v>11394903</v>
      </c>
      <c r="AJ241" s="804">
        <v>2563853</v>
      </c>
      <c r="AK241" s="804">
        <v>284873</v>
      </c>
      <c r="AL241" s="804">
        <v>28487257</v>
      </c>
      <c r="AM241" s="804">
        <v>206320</v>
      </c>
      <c r="AN241" s="804">
        <v>206320</v>
      </c>
      <c r="AO241" s="804">
        <v>0</v>
      </c>
      <c r="AP241" s="804">
        <v>0</v>
      </c>
      <c r="AQ241" s="804">
        <v>0</v>
      </c>
      <c r="AR241" s="804">
        <v>0</v>
      </c>
      <c r="AS241" s="804">
        <v>0</v>
      </c>
      <c r="AT241" s="804">
        <v>0</v>
      </c>
      <c r="AU241" s="804">
        <v>0</v>
      </c>
      <c r="AV241" s="804">
        <v>0</v>
      </c>
      <c r="AW241" s="804">
        <v>0</v>
      </c>
      <c r="AX241" s="804">
        <v>0</v>
      </c>
      <c r="AY241" s="804">
        <v>0</v>
      </c>
      <c r="AZ241" s="804">
        <v>0</v>
      </c>
      <c r="BA241" s="804">
        <v>0</v>
      </c>
      <c r="BB241" s="804">
        <v>0</v>
      </c>
      <c r="BC241" s="804">
        <v>0</v>
      </c>
      <c r="BD241" s="804">
        <v>0</v>
      </c>
      <c r="BE241" s="804">
        <v>0</v>
      </c>
      <c r="BF241" s="804">
        <v>0</v>
      </c>
      <c r="BG241" s="804">
        <v>0</v>
      </c>
      <c r="BH241" s="804">
        <v>0</v>
      </c>
      <c r="BI241" s="804">
        <v>0</v>
      </c>
      <c r="BJ241" s="804">
        <v>0.5</v>
      </c>
      <c r="BK241" s="804">
        <v>0.4</v>
      </c>
      <c r="BL241" s="804">
        <v>0.09</v>
      </c>
      <c r="BM241" s="804">
        <v>0.01</v>
      </c>
      <c r="BN241" s="804">
        <v>1</v>
      </c>
      <c r="BO241" s="804">
        <v>744097</v>
      </c>
      <c r="BP241" s="804">
        <v>595277</v>
      </c>
      <c r="BQ241" s="804">
        <v>133937</v>
      </c>
      <c r="BR241" s="804">
        <v>14882</v>
      </c>
      <c r="BS241" s="804">
        <v>1488193</v>
      </c>
      <c r="BT241" s="804">
        <v>0</v>
      </c>
      <c r="BU241" s="804">
        <v>0.4</v>
      </c>
      <c r="BV241" s="804">
        <v>0.59</v>
      </c>
      <c r="BW241" s="804">
        <v>0.01</v>
      </c>
      <c r="BX241" s="804">
        <v>1</v>
      </c>
      <c r="BY241" s="804">
        <v>-1</v>
      </c>
      <c r="BZ241" s="804">
        <v>218750</v>
      </c>
      <c r="CA241" s="804">
        <v>322656</v>
      </c>
      <c r="CB241" s="804">
        <v>5469</v>
      </c>
      <c r="CC241" s="804">
        <v>546874</v>
      </c>
      <c r="CD241" s="804">
        <v>744096</v>
      </c>
      <c r="CE241" s="804">
        <v>814027</v>
      </c>
      <c r="CF241" s="804">
        <v>456593</v>
      </c>
      <c r="CG241" s="804">
        <v>20351</v>
      </c>
      <c r="CH241" s="804">
        <v>2035067</v>
      </c>
      <c r="CI241" s="804">
        <v>14987724</v>
      </c>
      <c r="CJ241" s="804">
        <v>12415250</v>
      </c>
      <c r="CK241" s="804">
        <v>3020446</v>
      </c>
      <c r="CL241" s="804">
        <v>305224</v>
      </c>
      <c r="CM241" s="804">
        <v>30728644</v>
      </c>
      <c r="CN241" s="804">
        <v>456710</v>
      </c>
      <c r="CO241" s="804">
        <v>102760</v>
      </c>
      <c r="CP241" s="804">
        <v>11418</v>
      </c>
      <c r="CQ241" s="804">
        <v>570888</v>
      </c>
      <c r="CR241" s="804">
        <v>2337710</v>
      </c>
      <c r="CS241" s="804">
        <v>525985</v>
      </c>
      <c r="CT241" s="804">
        <v>58443</v>
      </c>
      <c r="CU241" s="804">
        <v>2922138</v>
      </c>
      <c r="CV241" s="804">
        <v>89160</v>
      </c>
      <c r="CW241" s="804">
        <v>20061</v>
      </c>
      <c r="CX241" s="804">
        <v>2229</v>
      </c>
      <c r="CY241" s="804">
        <v>111450</v>
      </c>
      <c r="CZ241" s="804">
        <v>0</v>
      </c>
      <c r="DA241" s="804">
        <v>0</v>
      </c>
      <c r="DB241" s="804">
        <v>0</v>
      </c>
      <c r="DC241" s="804">
        <v>0</v>
      </c>
      <c r="DD241" s="804">
        <v>16336</v>
      </c>
      <c r="DE241" s="804">
        <v>3675</v>
      </c>
      <c r="DF241" s="804">
        <v>408</v>
      </c>
      <c r="DG241" s="804">
        <v>20419</v>
      </c>
      <c r="DH241" s="804">
        <v>12488</v>
      </c>
      <c r="DI241" s="804">
        <v>2810</v>
      </c>
      <c r="DJ241" s="804">
        <v>312</v>
      </c>
      <c r="DK241" s="804">
        <v>15610</v>
      </c>
      <c r="DL241" s="804">
        <v>3648</v>
      </c>
      <c r="DM241" s="804">
        <v>821</v>
      </c>
      <c r="DN241" s="804">
        <v>91</v>
      </c>
      <c r="DO241" s="804">
        <v>4560</v>
      </c>
      <c r="DP241" s="804">
        <v>0</v>
      </c>
      <c r="DQ241" s="804">
        <v>0</v>
      </c>
      <c r="DR241" s="804">
        <v>0</v>
      </c>
      <c r="DS241" s="804">
        <v>0</v>
      </c>
      <c r="DT241" s="804">
        <v>0</v>
      </c>
      <c r="DU241" s="804">
        <v>0</v>
      </c>
      <c r="DV241" s="804">
        <v>0</v>
      </c>
      <c r="DW241" s="804">
        <v>0</v>
      </c>
      <c r="DX241" s="804">
        <v>484799</v>
      </c>
      <c r="DY241" s="804">
        <v>109080</v>
      </c>
      <c r="DZ241" s="804">
        <v>12120</v>
      </c>
      <c r="EA241" s="804">
        <v>605999</v>
      </c>
      <c r="EB241" s="804">
        <v>3400851</v>
      </c>
      <c r="EC241" s="804">
        <v>765192</v>
      </c>
      <c r="ED241" s="804">
        <v>85021</v>
      </c>
      <c r="EE241" s="804">
        <v>4251064</v>
      </c>
      <c r="EF241" s="604" t="s">
        <v>356</v>
      </c>
      <c r="EG241" s="497" t="s">
        <v>560</v>
      </c>
      <c r="EH241" s="630" t="s">
        <v>558</v>
      </c>
      <c r="EI241" s="118" t="s">
        <v>1892</v>
      </c>
    </row>
    <row r="242" spans="1:139" ht="12.75" x14ac:dyDescent="0.2">
      <c r="A242" s="805">
        <v>235</v>
      </c>
      <c r="B242" s="606" t="s">
        <v>359</v>
      </c>
      <c r="C242" s="607" t="s">
        <v>1185</v>
      </c>
      <c r="D242" s="608" t="s">
        <v>1188</v>
      </c>
      <c r="E242" s="609" t="s">
        <v>358</v>
      </c>
      <c r="F242" s="802">
        <v>27140574</v>
      </c>
      <c r="G242" s="804">
        <v>0</v>
      </c>
      <c r="H242" s="804">
        <v>2182951</v>
      </c>
      <c r="I242" s="804">
        <v>104386</v>
      </c>
      <c r="J242" s="804">
        <v>0</v>
      </c>
      <c r="K242" s="804">
        <v>104386</v>
      </c>
      <c r="L242" s="804">
        <v>0</v>
      </c>
      <c r="M242" s="804">
        <v>0</v>
      </c>
      <c r="N242" s="804">
        <v>356532</v>
      </c>
      <c r="O242" s="804">
        <v>302260</v>
      </c>
      <c r="P242" s="804">
        <v>54272</v>
      </c>
      <c r="Q242" s="804">
        <v>0</v>
      </c>
      <c r="R242" s="804">
        <v>24496705</v>
      </c>
      <c r="S242" s="804">
        <v>0.5</v>
      </c>
      <c r="T242" s="804">
        <v>0.4</v>
      </c>
      <c r="U242" s="804">
        <v>0.1</v>
      </c>
      <c r="V242" s="804">
        <v>0</v>
      </c>
      <c r="W242" s="804">
        <v>1</v>
      </c>
      <c r="X242" s="804">
        <v>12248352</v>
      </c>
      <c r="Y242" s="804">
        <v>9798682</v>
      </c>
      <c r="Z242" s="804">
        <v>2449671</v>
      </c>
      <c r="AA242" s="804">
        <v>0</v>
      </c>
      <c r="AB242" s="804">
        <v>24496705</v>
      </c>
      <c r="AC242" s="804">
        <v>0</v>
      </c>
      <c r="AD242" s="804">
        <v>0</v>
      </c>
      <c r="AE242" s="804">
        <v>0</v>
      </c>
      <c r="AF242" s="804">
        <v>0</v>
      </c>
      <c r="AG242" s="804">
        <v>0</v>
      </c>
      <c r="AH242" s="804">
        <v>12248352</v>
      </c>
      <c r="AI242" s="804">
        <v>9798682</v>
      </c>
      <c r="AJ242" s="804">
        <v>2449671</v>
      </c>
      <c r="AK242" s="804">
        <v>0</v>
      </c>
      <c r="AL242" s="804">
        <v>24496705</v>
      </c>
      <c r="AM242" s="804">
        <v>104386</v>
      </c>
      <c r="AN242" s="804">
        <v>104386</v>
      </c>
      <c r="AO242" s="804">
        <v>0</v>
      </c>
      <c r="AP242" s="804">
        <v>0</v>
      </c>
      <c r="AQ242" s="804">
        <v>302260</v>
      </c>
      <c r="AR242" s="804">
        <v>54272</v>
      </c>
      <c r="AS242" s="804">
        <v>356532</v>
      </c>
      <c r="AT242" s="804">
        <v>0</v>
      </c>
      <c r="AU242" s="804">
        <v>0</v>
      </c>
      <c r="AV242" s="804">
        <v>0</v>
      </c>
      <c r="AW242" s="804">
        <v>0</v>
      </c>
      <c r="AX242" s="804">
        <v>0</v>
      </c>
      <c r="AY242" s="804">
        <v>0</v>
      </c>
      <c r="AZ242" s="804">
        <v>0</v>
      </c>
      <c r="BA242" s="804">
        <v>0</v>
      </c>
      <c r="BB242" s="804">
        <v>0</v>
      </c>
      <c r="BC242" s="804">
        <v>0</v>
      </c>
      <c r="BD242" s="804">
        <v>0</v>
      </c>
      <c r="BE242" s="804">
        <v>0</v>
      </c>
      <c r="BF242" s="804">
        <v>0</v>
      </c>
      <c r="BG242" s="804">
        <v>0</v>
      </c>
      <c r="BH242" s="804">
        <v>0</v>
      </c>
      <c r="BI242" s="804">
        <v>0</v>
      </c>
      <c r="BJ242" s="804">
        <v>0.5</v>
      </c>
      <c r="BK242" s="804">
        <v>0.4</v>
      </c>
      <c r="BL242" s="804">
        <v>0.1</v>
      </c>
      <c r="BM242" s="804">
        <v>0</v>
      </c>
      <c r="BN242" s="804">
        <v>1</v>
      </c>
      <c r="BO242" s="804">
        <v>-519585</v>
      </c>
      <c r="BP242" s="804">
        <v>-415668</v>
      </c>
      <c r="BQ242" s="804">
        <v>-103917</v>
      </c>
      <c r="BR242" s="804">
        <v>0</v>
      </c>
      <c r="BS242" s="804">
        <v>-1039170</v>
      </c>
      <c r="BT242" s="804">
        <v>0</v>
      </c>
      <c r="BU242" s="804">
        <v>0.6</v>
      </c>
      <c r="BV242" s="804">
        <v>0.4</v>
      </c>
      <c r="BW242" s="804">
        <v>0</v>
      </c>
      <c r="BX242" s="804">
        <v>1</v>
      </c>
      <c r="BY242" s="804">
        <v>0</v>
      </c>
      <c r="BZ242" s="804">
        <v>-14209</v>
      </c>
      <c r="CA242" s="804">
        <v>-9472</v>
      </c>
      <c r="CB242" s="804">
        <v>0</v>
      </c>
      <c r="CC242" s="804">
        <v>-23681</v>
      </c>
      <c r="CD242" s="804">
        <v>-519585</v>
      </c>
      <c r="CE242" s="804">
        <v>-429877</v>
      </c>
      <c r="CF242" s="804">
        <v>-113389</v>
      </c>
      <c r="CG242" s="804">
        <v>0</v>
      </c>
      <c r="CH242" s="804">
        <v>-1062851</v>
      </c>
      <c r="CI242" s="804">
        <v>11728767</v>
      </c>
      <c r="CJ242" s="804">
        <v>9775451</v>
      </c>
      <c r="CK242" s="804">
        <v>2390554</v>
      </c>
      <c r="CL242" s="804">
        <v>0</v>
      </c>
      <c r="CM242" s="804">
        <v>23894772</v>
      </c>
      <c r="CN242" s="804">
        <v>404847</v>
      </c>
      <c r="CO242" s="804">
        <v>100358</v>
      </c>
      <c r="CP242" s="804">
        <v>0</v>
      </c>
      <c r="CQ242" s="804">
        <v>505205</v>
      </c>
      <c r="CR242" s="804">
        <v>803654</v>
      </c>
      <c r="CS242" s="804">
        <v>200913</v>
      </c>
      <c r="CT242" s="804">
        <v>0</v>
      </c>
      <c r="CU242" s="804">
        <v>1004567</v>
      </c>
      <c r="CV242" s="804">
        <v>50692</v>
      </c>
      <c r="CW242" s="804">
        <v>12673</v>
      </c>
      <c r="CX242" s="804">
        <v>0</v>
      </c>
      <c r="CY242" s="804">
        <v>63365</v>
      </c>
      <c r="CZ242" s="804">
        <v>0</v>
      </c>
      <c r="DA242" s="804">
        <v>0</v>
      </c>
      <c r="DB242" s="804">
        <v>0</v>
      </c>
      <c r="DC242" s="804">
        <v>0</v>
      </c>
      <c r="DD242" s="804">
        <v>12987</v>
      </c>
      <c r="DE242" s="804">
        <v>3247</v>
      </c>
      <c r="DF242" s="804">
        <v>0</v>
      </c>
      <c r="DG242" s="804">
        <v>16234</v>
      </c>
      <c r="DH242" s="804">
        <v>12825</v>
      </c>
      <c r="DI242" s="804">
        <v>3206</v>
      </c>
      <c r="DJ242" s="804">
        <v>0</v>
      </c>
      <c r="DK242" s="804">
        <v>16031</v>
      </c>
      <c r="DL242" s="804">
        <v>2045</v>
      </c>
      <c r="DM242" s="804">
        <v>511</v>
      </c>
      <c r="DN242" s="804">
        <v>0</v>
      </c>
      <c r="DO242" s="804">
        <v>2556</v>
      </c>
      <c r="DP242" s="804">
        <v>0</v>
      </c>
      <c r="DQ242" s="804">
        <v>0</v>
      </c>
      <c r="DR242" s="804">
        <v>0</v>
      </c>
      <c r="DS242" s="804">
        <v>0</v>
      </c>
      <c r="DT242" s="804">
        <v>0</v>
      </c>
      <c r="DU242" s="804">
        <v>0</v>
      </c>
      <c r="DV242" s="804">
        <v>0</v>
      </c>
      <c r="DW242" s="804">
        <v>0</v>
      </c>
      <c r="DX242" s="804">
        <v>201056</v>
      </c>
      <c r="DY242" s="804">
        <v>50264</v>
      </c>
      <c r="DZ242" s="804">
        <v>0</v>
      </c>
      <c r="EA242" s="804">
        <v>251320</v>
      </c>
      <c r="EB242" s="804">
        <v>1488106</v>
      </c>
      <c r="EC242" s="804">
        <v>371172</v>
      </c>
      <c r="ED242" s="804">
        <v>0</v>
      </c>
      <c r="EE242" s="804">
        <v>1859278</v>
      </c>
      <c r="EF242" s="604" t="s">
        <v>358</v>
      </c>
      <c r="EG242" s="497" t="s">
        <v>595</v>
      </c>
      <c r="EH242" s="630" t="s">
        <v>551</v>
      </c>
      <c r="EI242" s="118" t="s">
        <v>1893</v>
      </c>
    </row>
    <row r="243" spans="1:139" ht="12.75" x14ac:dyDescent="0.2">
      <c r="A243" s="805">
        <v>236</v>
      </c>
      <c r="B243" s="606" t="s">
        <v>361</v>
      </c>
      <c r="C243" s="607" t="s">
        <v>1185</v>
      </c>
      <c r="D243" s="608" t="s">
        <v>1188</v>
      </c>
      <c r="E243" s="609" t="s">
        <v>360</v>
      </c>
      <c r="F243" s="802">
        <v>41951496</v>
      </c>
      <c r="G243" s="804">
        <v>176870</v>
      </c>
      <c r="H243" s="804">
        <v>0</v>
      </c>
      <c r="I243" s="804">
        <v>174362</v>
      </c>
      <c r="J243" s="804">
        <v>0</v>
      </c>
      <c r="K243" s="804">
        <v>174362</v>
      </c>
      <c r="L243" s="804">
        <v>0</v>
      </c>
      <c r="M243" s="804">
        <v>0</v>
      </c>
      <c r="N243" s="804">
        <v>230305</v>
      </c>
      <c r="O243" s="804">
        <v>230223</v>
      </c>
      <c r="P243" s="804">
        <v>82</v>
      </c>
      <c r="Q243" s="804">
        <v>0</v>
      </c>
      <c r="R243" s="804">
        <v>41723699</v>
      </c>
      <c r="S243" s="804">
        <v>0.5</v>
      </c>
      <c r="T243" s="804">
        <v>0.4</v>
      </c>
      <c r="U243" s="804">
        <v>0.1</v>
      </c>
      <c r="V243" s="804">
        <v>0</v>
      </c>
      <c r="W243" s="804">
        <v>1</v>
      </c>
      <c r="X243" s="804">
        <v>20861849</v>
      </c>
      <c r="Y243" s="804">
        <v>16689480</v>
      </c>
      <c r="Z243" s="804">
        <v>4172370</v>
      </c>
      <c r="AA243" s="804">
        <v>0</v>
      </c>
      <c r="AB243" s="804">
        <v>41723699</v>
      </c>
      <c r="AC243" s="804">
        <v>0</v>
      </c>
      <c r="AD243" s="804">
        <v>0</v>
      </c>
      <c r="AE243" s="804">
        <v>0</v>
      </c>
      <c r="AF243" s="804">
        <v>0</v>
      </c>
      <c r="AG243" s="804">
        <v>0</v>
      </c>
      <c r="AH243" s="804">
        <v>20861849</v>
      </c>
      <c r="AI243" s="804">
        <v>16689480</v>
      </c>
      <c r="AJ243" s="804">
        <v>4172370</v>
      </c>
      <c r="AK243" s="804">
        <v>0</v>
      </c>
      <c r="AL243" s="804">
        <v>41723699</v>
      </c>
      <c r="AM243" s="804">
        <v>174362</v>
      </c>
      <c r="AN243" s="804">
        <v>174362</v>
      </c>
      <c r="AO243" s="804">
        <v>0</v>
      </c>
      <c r="AP243" s="804">
        <v>0</v>
      </c>
      <c r="AQ243" s="804">
        <v>230223</v>
      </c>
      <c r="AR243" s="804">
        <v>82</v>
      </c>
      <c r="AS243" s="804">
        <v>230305</v>
      </c>
      <c r="AT243" s="804">
        <v>0</v>
      </c>
      <c r="AU243" s="804">
        <v>0</v>
      </c>
      <c r="AV243" s="804">
        <v>0</v>
      </c>
      <c r="AW243" s="804">
        <v>0</v>
      </c>
      <c r="AX243" s="804">
        <v>0</v>
      </c>
      <c r="AY243" s="804">
        <v>0</v>
      </c>
      <c r="AZ243" s="804">
        <v>0</v>
      </c>
      <c r="BA243" s="804">
        <v>0</v>
      </c>
      <c r="BB243" s="804">
        <v>0</v>
      </c>
      <c r="BC243" s="804">
        <v>0</v>
      </c>
      <c r="BD243" s="804">
        <v>0</v>
      </c>
      <c r="BE243" s="804">
        <v>0</v>
      </c>
      <c r="BF243" s="804">
        <v>0</v>
      </c>
      <c r="BG243" s="804">
        <v>0</v>
      </c>
      <c r="BH243" s="804">
        <v>0</v>
      </c>
      <c r="BI243" s="804">
        <v>0</v>
      </c>
      <c r="BJ243" s="804">
        <v>0.5</v>
      </c>
      <c r="BK243" s="804">
        <v>0.4</v>
      </c>
      <c r="BL243" s="804">
        <v>0.1</v>
      </c>
      <c r="BM243" s="804">
        <v>0</v>
      </c>
      <c r="BN243" s="804">
        <v>1</v>
      </c>
      <c r="BO243" s="804">
        <v>829527.9999999986</v>
      </c>
      <c r="BP243" s="804">
        <v>663623</v>
      </c>
      <c r="BQ243" s="804">
        <v>165906</v>
      </c>
      <c r="BR243" s="804">
        <v>0</v>
      </c>
      <c r="BS243" s="804">
        <v>1659056.9999999986</v>
      </c>
      <c r="BT243" s="804">
        <v>0</v>
      </c>
      <c r="BU243" s="804">
        <v>0.6</v>
      </c>
      <c r="BV243" s="804">
        <v>0.4</v>
      </c>
      <c r="BW243" s="804">
        <v>0</v>
      </c>
      <c r="BX243" s="804">
        <v>1</v>
      </c>
      <c r="BY243" s="804">
        <v>1.3969838619232178E-9</v>
      </c>
      <c r="BZ243" s="804">
        <v>169927</v>
      </c>
      <c r="CA243" s="804">
        <v>113284</v>
      </c>
      <c r="CB243" s="804">
        <v>0</v>
      </c>
      <c r="CC243" s="804">
        <v>283211.0000000014</v>
      </c>
      <c r="CD243" s="804">
        <v>829528</v>
      </c>
      <c r="CE243" s="804">
        <v>833550</v>
      </c>
      <c r="CF243" s="804">
        <v>279190</v>
      </c>
      <c r="CG243" s="804">
        <v>0</v>
      </c>
      <c r="CH243" s="804">
        <v>1942268</v>
      </c>
      <c r="CI243" s="804">
        <v>21691377</v>
      </c>
      <c r="CJ243" s="804">
        <v>17927615</v>
      </c>
      <c r="CK243" s="804">
        <v>4451642</v>
      </c>
      <c r="CL243" s="804">
        <v>0</v>
      </c>
      <c r="CM243" s="804">
        <v>44070634</v>
      </c>
      <c r="CN243" s="804">
        <v>678144</v>
      </c>
      <c r="CO243" s="804">
        <v>167233</v>
      </c>
      <c r="CP243" s="804">
        <v>0</v>
      </c>
      <c r="CQ243" s="804">
        <v>845377</v>
      </c>
      <c r="CR243" s="804">
        <v>1458123</v>
      </c>
      <c r="CS243" s="804">
        <v>364531</v>
      </c>
      <c r="CT243" s="804">
        <v>0</v>
      </c>
      <c r="CU243" s="804">
        <v>1822654</v>
      </c>
      <c r="CV243" s="804">
        <v>106575</v>
      </c>
      <c r="CW243" s="804">
        <v>26644</v>
      </c>
      <c r="CX243" s="804">
        <v>0</v>
      </c>
      <c r="CY243" s="804">
        <v>133219</v>
      </c>
      <c r="CZ243" s="804">
        <v>0</v>
      </c>
      <c r="DA243" s="804">
        <v>0</v>
      </c>
      <c r="DB243" s="804">
        <v>0</v>
      </c>
      <c r="DC243" s="804">
        <v>0</v>
      </c>
      <c r="DD243" s="804">
        <v>21022</v>
      </c>
      <c r="DE243" s="804">
        <v>5255</v>
      </c>
      <c r="DF243" s="804">
        <v>0</v>
      </c>
      <c r="DG243" s="804">
        <v>26277</v>
      </c>
      <c r="DH243" s="804">
        <v>10266</v>
      </c>
      <c r="DI243" s="804">
        <v>2566</v>
      </c>
      <c r="DJ243" s="804">
        <v>0</v>
      </c>
      <c r="DK243" s="804">
        <v>12832</v>
      </c>
      <c r="DL243" s="804">
        <v>3744</v>
      </c>
      <c r="DM243" s="804">
        <v>936</v>
      </c>
      <c r="DN243" s="804">
        <v>0</v>
      </c>
      <c r="DO243" s="804">
        <v>4680</v>
      </c>
      <c r="DP243" s="804">
        <v>0</v>
      </c>
      <c r="DQ243" s="804">
        <v>0</v>
      </c>
      <c r="DR243" s="804">
        <v>0</v>
      </c>
      <c r="DS243" s="804">
        <v>0</v>
      </c>
      <c r="DT243" s="804">
        <v>0</v>
      </c>
      <c r="DU243" s="804">
        <v>0</v>
      </c>
      <c r="DV243" s="804">
        <v>0</v>
      </c>
      <c r="DW243" s="804">
        <v>0</v>
      </c>
      <c r="DX243" s="804">
        <v>420140</v>
      </c>
      <c r="DY243" s="804">
        <v>105035</v>
      </c>
      <c r="DZ243" s="804">
        <v>0</v>
      </c>
      <c r="EA243" s="804">
        <v>525175</v>
      </c>
      <c r="EB243" s="804">
        <v>2698014</v>
      </c>
      <c r="EC243" s="804">
        <v>672200</v>
      </c>
      <c r="ED243" s="804">
        <v>0</v>
      </c>
      <c r="EE243" s="804">
        <v>3370214</v>
      </c>
      <c r="EF243" s="604" t="s">
        <v>360</v>
      </c>
      <c r="EG243" s="497" t="s">
        <v>595</v>
      </c>
      <c r="EH243" s="630" t="s">
        <v>551</v>
      </c>
      <c r="EI243" s="118" t="s">
        <v>1894</v>
      </c>
    </row>
    <row r="244" spans="1:139" ht="12.75" x14ac:dyDescent="0.2">
      <c r="A244" s="805">
        <v>237</v>
      </c>
      <c r="B244" s="606" t="s">
        <v>363</v>
      </c>
      <c r="C244" s="607" t="s">
        <v>1185</v>
      </c>
      <c r="D244" s="608" t="s">
        <v>1187</v>
      </c>
      <c r="E244" s="609" t="s">
        <v>362</v>
      </c>
      <c r="F244" s="802">
        <v>42564238</v>
      </c>
      <c r="G244" s="804">
        <v>319935</v>
      </c>
      <c r="H244" s="804">
        <v>0</v>
      </c>
      <c r="I244" s="804">
        <v>300924</v>
      </c>
      <c r="J244" s="804">
        <v>0</v>
      </c>
      <c r="K244" s="804">
        <v>300924</v>
      </c>
      <c r="L244" s="804">
        <v>0</v>
      </c>
      <c r="M244" s="804">
        <v>0</v>
      </c>
      <c r="N244" s="804">
        <v>0</v>
      </c>
      <c r="O244" s="804">
        <v>0</v>
      </c>
      <c r="P244" s="804">
        <v>0</v>
      </c>
      <c r="Q244" s="804">
        <v>0</v>
      </c>
      <c r="R244" s="804">
        <v>42583249</v>
      </c>
      <c r="S244" s="804">
        <v>0.5</v>
      </c>
      <c r="T244" s="804">
        <v>0.4</v>
      </c>
      <c r="U244" s="804">
        <v>0.1</v>
      </c>
      <c r="V244" s="804">
        <v>0</v>
      </c>
      <c r="W244" s="804">
        <v>1</v>
      </c>
      <c r="X244" s="804">
        <v>21291624</v>
      </c>
      <c r="Y244" s="804">
        <v>17033300</v>
      </c>
      <c r="Z244" s="804">
        <v>4258325</v>
      </c>
      <c r="AA244" s="804">
        <v>0</v>
      </c>
      <c r="AB244" s="804">
        <v>42583249</v>
      </c>
      <c r="AC244" s="804">
        <v>0</v>
      </c>
      <c r="AD244" s="804">
        <v>0</v>
      </c>
      <c r="AE244" s="804">
        <v>0</v>
      </c>
      <c r="AF244" s="804">
        <v>0</v>
      </c>
      <c r="AG244" s="804">
        <v>0</v>
      </c>
      <c r="AH244" s="804">
        <v>21291624</v>
      </c>
      <c r="AI244" s="804">
        <v>17033300</v>
      </c>
      <c r="AJ244" s="804">
        <v>4258325</v>
      </c>
      <c r="AK244" s="804">
        <v>0</v>
      </c>
      <c r="AL244" s="804">
        <v>42583249</v>
      </c>
      <c r="AM244" s="804">
        <v>300924</v>
      </c>
      <c r="AN244" s="804">
        <v>300924</v>
      </c>
      <c r="AO244" s="804">
        <v>0</v>
      </c>
      <c r="AP244" s="804">
        <v>0</v>
      </c>
      <c r="AQ244" s="804">
        <v>0</v>
      </c>
      <c r="AR244" s="804">
        <v>0</v>
      </c>
      <c r="AS244" s="804">
        <v>0</v>
      </c>
      <c r="AT244" s="804">
        <v>0</v>
      </c>
      <c r="AU244" s="804">
        <v>0</v>
      </c>
      <c r="AV244" s="804">
        <v>0</v>
      </c>
      <c r="AW244" s="804">
        <v>0</v>
      </c>
      <c r="AX244" s="804">
        <v>0</v>
      </c>
      <c r="AY244" s="804">
        <v>0</v>
      </c>
      <c r="AZ244" s="804">
        <v>0</v>
      </c>
      <c r="BA244" s="804">
        <v>0</v>
      </c>
      <c r="BB244" s="804">
        <v>0</v>
      </c>
      <c r="BC244" s="804">
        <v>0</v>
      </c>
      <c r="BD244" s="804">
        <v>0</v>
      </c>
      <c r="BE244" s="804">
        <v>0</v>
      </c>
      <c r="BF244" s="804">
        <v>0</v>
      </c>
      <c r="BG244" s="804">
        <v>0</v>
      </c>
      <c r="BH244" s="804">
        <v>0</v>
      </c>
      <c r="BI244" s="804">
        <v>0</v>
      </c>
      <c r="BJ244" s="804">
        <v>0.5</v>
      </c>
      <c r="BK244" s="804">
        <v>0.4</v>
      </c>
      <c r="BL244" s="804">
        <v>0.1</v>
      </c>
      <c r="BM244" s="804">
        <v>0</v>
      </c>
      <c r="BN244" s="804">
        <v>1</v>
      </c>
      <c r="BO244" s="804">
        <v>201553</v>
      </c>
      <c r="BP244" s="804">
        <v>161243</v>
      </c>
      <c r="BQ244" s="804">
        <v>40311</v>
      </c>
      <c r="BR244" s="804">
        <v>0</v>
      </c>
      <c r="BS244" s="804">
        <v>403107</v>
      </c>
      <c r="BT244" s="804">
        <v>0.5</v>
      </c>
      <c r="BU244" s="804">
        <v>0.4</v>
      </c>
      <c r="BV244" s="804">
        <v>0.1</v>
      </c>
      <c r="BW244" s="804">
        <v>0</v>
      </c>
      <c r="BX244" s="804">
        <v>1</v>
      </c>
      <c r="BY244" s="804">
        <v>472413</v>
      </c>
      <c r="BZ244" s="804">
        <v>377930</v>
      </c>
      <c r="CA244" s="804">
        <v>94483</v>
      </c>
      <c r="CB244" s="804">
        <v>0</v>
      </c>
      <c r="CC244" s="804">
        <v>944826</v>
      </c>
      <c r="CD244" s="804">
        <v>673966</v>
      </c>
      <c r="CE244" s="804">
        <v>539173</v>
      </c>
      <c r="CF244" s="804">
        <v>134794</v>
      </c>
      <c r="CG244" s="804">
        <v>0</v>
      </c>
      <c r="CH244" s="804">
        <v>1347933</v>
      </c>
      <c r="CI244" s="804">
        <v>21965590</v>
      </c>
      <c r="CJ244" s="804">
        <v>17873397</v>
      </c>
      <c r="CK244" s="804">
        <v>4393119</v>
      </c>
      <c r="CL244" s="804">
        <v>0</v>
      </c>
      <c r="CM244" s="804">
        <v>44232106</v>
      </c>
      <c r="CN244" s="804">
        <v>682697</v>
      </c>
      <c r="CO244" s="804">
        <v>170674</v>
      </c>
      <c r="CP244" s="804">
        <v>0</v>
      </c>
      <c r="CQ244" s="804">
        <v>853371</v>
      </c>
      <c r="CR244" s="804">
        <v>2929658</v>
      </c>
      <c r="CS244" s="804">
        <v>732415</v>
      </c>
      <c r="CT244" s="804">
        <v>0</v>
      </c>
      <c r="CU244" s="804">
        <v>3662073</v>
      </c>
      <c r="CV244" s="804">
        <v>130578</v>
      </c>
      <c r="CW244" s="804">
        <v>32644</v>
      </c>
      <c r="CX244" s="804">
        <v>0</v>
      </c>
      <c r="CY244" s="804">
        <v>163222</v>
      </c>
      <c r="CZ244" s="804">
        <v>8044</v>
      </c>
      <c r="DA244" s="804">
        <v>2011</v>
      </c>
      <c r="DB244" s="804">
        <v>0</v>
      </c>
      <c r="DC244" s="804">
        <v>10055</v>
      </c>
      <c r="DD244" s="804">
        <v>9447</v>
      </c>
      <c r="DE244" s="804">
        <v>2362</v>
      </c>
      <c r="DF244" s="804">
        <v>0</v>
      </c>
      <c r="DG244" s="804">
        <v>11809</v>
      </c>
      <c r="DH244" s="804">
        <v>17375</v>
      </c>
      <c r="DI244" s="804">
        <v>4344</v>
      </c>
      <c r="DJ244" s="804">
        <v>0</v>
      </c>
      <c r="DK244" s="804">
        <v>21719</v>
      </c>
      <c r="DL244" s="804">
        <v>2410</v>
      </c>
      <c r="DM244" s="804">
        <v>603</v>
      </c>
      <c r="DN244" s="804">
        <v>0</v>
      </c>
      <c r="DO244" s="804">
        <v>3013</v>
      </c>
      <c r="DP244" s="804">
        <v>0</v>
      </c>
      <c r="DQ244" s="804">
        <v>0</v>
      </c>
      <c r="DR244" s="804">
        <v>0</v>
      </c>
      <c r="DS244" s="804">
        <v>0</v>
      </c>
      <c r="DT244" s="804">
        <v>0</v>
      </c>
      <c r="DU244" s="804">
        <v>0</v>
      </c>
      <c r="DV244" s="804">
        <v>0</v>
      </c>
      <c r="DW244" s="804">
        <v>0</v>
      </c>
      <c r="DX244" s="804">
        <v>1030243</v>
      </c>
      <c r="DY244" s="804">
        <v>257561</v>
      </c>
      <c r="DZ244" s="804">
        <v>0</v>
      </c>
      <c r="EA244" s="804">
        <v>1287804</v>
      </c>
      <c r="EB244" s="804">
        <v>4810452</v>
      </c>
      <c r="EC244" s="804">
        <v>1202614</v>
      </c>
      <c r="ED244" s="804">
        <v>0</v>
      </c>
      <c r="EE244" s="804">
        <v>6013066</v>
      </c>
      <c r="EF244" s="604" t="s">
        <v>362</v>
      </c>
      <c r="EG244" s="497" t="s">
        <v>552</v>
      </c>
      <c r="EH244" s="630" t="s">
        <v>551</v>
      </c>
      <c r="EI244" s="118" t="s">
        <v>1895</v>
      </c>
    </row>
    <row r="245" spans="1:139" ht="12.75" x14ac:dyDescent="0.2">
      <c r="A245" s="805">
        <v>238</v>
      </c>
      <c r="B245" s="606" t="s">
        <v>365</v>
      </c>
      <c r="C245" s="607" t="s">
        <v>1185</v>
      </c>
      <c r="D245" s="608" t="s">
        <v>1189</v>
      </c>
      <c r="E245" s="609" t="s">
        <v>364</v>
      </c>
      <c r="F245" s="802">
        <v>31787697</v>
      </c>
      <c r="G245" s="804">
        <v>47861</v>
      </c>
      <c r="H245" s="804">
        <v>0</v>
      </c>
      <c r="I245" s="804">
        <v>174890</v>
      </c>
      <c r="J245" s="804">
        <v>0</v>
      </c>
      <c r="K245" s="804">
        <v>174890</v>
      </c>
      <c r="L245" s="804">
        <v>0</v>
      </c>
      <c r="M245" s="804">
        <v>0</v>
      </c>
      <c r="N245" s="804">
        <v>154822</v>
      </c>
      <c r="O245" s="804">
        <v>154822</v>
      </c>
      <c r="P245" s="804">
        <v>0</v>
      </c>
      <c r="Q245" s="804">
        <v>0</v>
      </c>
      <c r="R245" s="804">
        <v>31505846</v>
      </c>
      <c r="S245" s="804">
        <v>0.5</v>
      </c>
      <c r="T245" s="804">
        <v>0.4</v>
      </c>
      <c r="U245" s="804">
        <v>0.1</v>
      </c>
      <c r="V245" s="804">
        <v>0</v>
      </c>
      <c r="W245" s="804">
        <v>1</v>
      </c>
      <c r="X245" s="804">
        <v>15752923</v>
      </c>
      <c r="Y245" s="804">
        <v>12602338</v>
      </c>
      <c r="Z245" s="804">
        <v>3150585</v>
      </c>
      <c r="AA245" s="804">
        <v>0</v>
      </c>
      <c r="AB245" s="804">
        <v>31505846</v>
      </c>
      <c r="AC245" s="804">
        <v>403523</v>
      </c>
      <c r="AD245" s="804">
        <v>0</v>
      </c>
      <c r="AE245" s="804">
        <v>0</v>
      </c>
      <c r="AF245" s="804">
        <v>0</v>
      </c>
      <c r="AG245" s="804">
        <v>403523</v>
      </c>
      <c r="AH245" s="804">
        <v>15349400</v>
      </c>
      <c r="AI245" s="804">
        <v>12602338</v>
      </c>
      <c r="AJ245" s="804">
        <v>3150585</v>
      </c>
      <c r="AK245" s="804">
        <v>0</v>
      </c>
      <c r="AL245" s="804">
        <v>31102323</v>
      </c>
      <c r="AM245" s="804">
        <v>174890</v>
      </c>
      <c r="AN245" s="804">
        <v>174890</v>
      </c>
      <c r="AO245" s="804">
        <v>0</v>
      </c>
      <c r="AP245" s="804">
        <v>0</v>
      </c>
      <c r="AQ245" s="804">
        <v>154822</v>
      </c>
      <c r="AR245" s="804">
        <v>0</v>
      </c>
      <c r="AS245" s="804">
        <v>154822</v>
      </c>
      <c r="AT245" s="804">
        <v>0</v>
      </c>
      <c r="AU245" s="804">
        <v>0</v>
      </c>
      <c r="AV245" s="804">
        <v>0</v>
      </c>
      <c r="AW245" s="804">
        <v>0</v>
      </c>
      <c r="AX245" s="804">
        <v>403523</v>
      </c>
      <c r="AY245" s="804">
        <v>0</v>
      </c>
      <c r="AZ245" s="804">
        <v>0</v>
      </c>
      <c r="BA245" s="804">
        <v>403523</v>
      </c>
      <c r="BB245" s="804">
        <v>0</v>
      </c>
      <c r="BC245" s="804">
        <v>0</v>
      </c>
      <c r="BD245" s="804">
        <v>0</v>
      </c>
      <c r="BE245" s="804">
        <v>0</v>
      </c>
      <c r="BF245" s="804">
        <v>0</v>
      </c>
      <c r="BG245" s="804">
        <v>0</v>
      </c>
      <c r="BH245" s="804">
        <v>0</v>
      </c>
      <c r="BI245" s="804">
        <v>0</v>
      </c>
      <c r="BJ245" s="804">
        <v>0.25000000000000006</v>
      </c>
      <c r="BK245" s="804">
        <v>0.42499999999999999</v>
      </c>
      <c r="BL245" s="804">
        <v>0.32500000000000001</v>
      </c>
      <c r="BM245" s="804">
        <v>0</v>
      </c>
      <c r="BN245" s="804">
        <v>1</v>
      </c>
      <c r="BO245" s="804">
        <v>422846</v>
      </c>
      <c r="BP245" s="804">
        <v>718838</v>
      </c>
      <c r="BQ245" s="804">
        <v>549699</v>
      </c>
      <c r="BR245" s="804">
        <v>0</v>
      </c>
      <c r="BS245" s="804">
        <v>1691383</v>
      </c>
      <c r="BT245" s="804">
        <v>0.5</v>
      </c>
      <c r="BU245" s="804">
        <v>0.4</v>
      </c>
      <c r="BV245" s="804">
        <v>0.1</v>
      </c>
      <c r="BW245" s="804">
        <v>0</v>
      </c>
      <c r="BX245" s="804">
        <v>1</v>
      </c>
      <c r="BY245" s="804">
        <v>-1002721</v>
      </c>
      <c r="BZ245" s="804">
        <v>-802176</v>
      </c>
      <c r="CA245" s="804">
        <v>-200544</v>
      </c>
      <c r="CB245" s="804">
        <v>0</v>
      </c>
      <c r="CC245" s="804">
        <v>-2005441</v>
      </c>
      <c r="CD245" s="804">
        <v>-579875</v>
      </c>
      <c r="CE245" s="804">
        <v>-83338</v>
      </c>
      <c r="CF245" s="804">
        <v>349155</v>
      </c>
      <c r="CG245" s="804">
        <v>0</v>
      </c>
      <c r="CH245" s="804">
        <v>-314058</v>
      </c>
      <c r="CI245" s="804">
        <v>14769525</v>
      </c>
      <c r="CJ245" s="804">
        <v>13252235</v>
      </c>
      <c r="CK245" s="804">
        <v>3499740</v>
      </c>
      <c r="CL245" s="804">
        <v>0</v>
      </c>
      <c r="CM245" s="804">
        <v>31521500</v>
      </c>
      <c r="CN245" s="804">
        <v>527482</v>
      </c>
      <c r="CO245" s="804">
        <v>126276</v>
      </c>
      <c r="CP245" s="804">
        <v>0</v>
      </c>
      <c r="CQ245" s="804">
        <v>653758</v>
      </c>
      <c r="CR245" s="804">
        <v>1406115</v>
      </c>
      <c r="CS245" s="804">
        <v>350620</v>
      </c>
      <c r="CT245" s="804">
        <v>0</v>
      </c>
      <c r="CU245" s="804">
        <v>1756735</v>
      </c>
      <c r="CV245" s="804">
        <v>71753</v>
      </c>
      <c r="CW245" s="804">
        <v>17702</v>
      </c>
      <c r="CX245" s="804">
        <v>0</v>
      </c>
      <c r="CY245" s="804">
        <v>89455</v>
      </c>
      <c r="CZ245" s="804">
        <v>0</v>
      </c>
      <c r="DA245" s="804">
        <v>0</v>
      </c>
      <c r="DB245" s="804">
        <v>0</v>
      </c>
      <c r="DC245" s="804">
        <v>0</v>
      </c>
      <c r="DD245" s="804">
        <v>28952</v>
      </c>
      <c r="DE245" s="804">
        <v>7238</v>
      </c>
      <c r="DF245" s="804">
        <v>0</v>
      </c>
      <c r="DG245" s="804">
        <v>36190</v>
      </c>
      <c r="DH245" s="804">
        <v>18574</v>
      </c>
      <c r="DI245" s="804">
        <v>4644</v>
      </c>
      <c r="DJ245" s="804">
        <v>0</v>
      </c>
      <c r="DK245" s="804">
        <v>23218</v>
      </c>
      <c r="DL245" s="804">
        <v>2884</v>
      </c>
      <c r="DM245" s="804">
        <v>721</v>
      </c>
      <c r="DN245" s="804">
        <v>0</v>
      </c>
      <c r="DO245" s="804">
        <v>3605</v>
      </c>
      <c r="DP245" s="804">
        <v>0</v>
      </c>
      <c r="DQ245" s="804">
        <v>0</v>
      </c>
      <c r="DR245" s="804">
        <v>0</v>
      </c>
      <c r="DS245" s="804">
        <v>0</v>
      </c>
      <c r="DT245" s="804">
        <v>0</v>
      </c>
      <c r="DU245" s="804">
        <v>0</v>
      </c>
      <c r="DV245" s="804">
        <v>0</v>
      </c>
      <c r="DW245" s="804">
        <v>0</v>
      </c>
      <c r="DX245" s="804">
        <v>260323</v>
      </c>
      <c r="DY245" s="804">
        <v>65081</v>
      </c>
      <c r="DZ245" s="804">
        <v>0</v>
      </c>
      <c r="EA245" s="804">
        <v>325404</v>
      </c>
      <c r="EB245" s="804">
        <v>2316083</v>
      </c>
      <c r="EC245" s="804">
        <v>572282</v>
      </c>
      <c r="ED245" s="804">
        <v>0</v>
      </c>
      <c r="EE245" s="804">
        <v>2888365</v>
      </c>
      <c r="EF245" s="604" t="s">
        <v>364</v>
      </c>
      <c r="EG245" s="497" t="s">
        <v>596</v>
      </c>
      <c r="EH245" s="630" t="s">
        <v>551</v>
      </c>
      <c r="EI245" s="118" t="s">
        <v>1896</v>
      </c>
    </row>
    <row r="246" spans="1:139" ht="12.75" x14ac:dyDescent="0.2">
      <c r="A246" s="805">
        <v>239</v>
      </c>
      <c r="B246" s="606" t="s">
        <v>367</v>
      </c>
      <c r="C246" s="607" t="s">
        <v>1185</v>
      </c>
      <c r="D246" s="608" t="s">
        <v>1188</v>
      </c>
      <c r="E246" s="609" t="s">
        <v>366</v>
      </c>
      <c r="F246" s="802">
        <v>24896214</v>
      </c>
      <c r="G246" s="804">
        <v>123950</v>
      </c>
      <c r="H246" s="804">
        <v>0</v>
      </c>
      <c r="I246" s="804">
        <v>106590</v>
      </c>
      <c r="J246" s="804">
        <v>0</v>
      </c>
      <c r="K246" s="804">
        <v>106590</v>
      </c>
      <c r="L246" s="804">
        <v>0</v>
      </c>
      <c r="M246" s="804">
        <v>0</v>
      </c>
      <c r="N246" s="804">
        <v>340711</v>
      </c>
      <c r="O246" s="804">
        <v>340711</v>
      </c>
      <c r="P246" s="804">
        <v>0</v>
      </c>
      <c r="Q246" s="804">
        <v>0</v>
      </c>
      <c r="R246" s="804">
        <v>24572863</v>
      </c>
      <c r="S246" s="804">
        <v>0.5</v>
      </c>
      <c r="T246" s="804">
        <v>0.4</v>
      </c>
      <c r="U246" s="804">
        <v>0.09</v>
      </c>
      <c r="V246" s="804">
        <v>0.01</v>
      </c>
      <c r="W246" s="804">
        <v>1</v>
      </c>
      <c r="X246" s="804">
        <v>12286431</v>
      </c>
      <c r="Y246" s="804">
        <v>9829145</v>
      </c>
      <c r="Z246" s="804">
        <v>2211558</v>
      </c>
      <c r="AA246" s="804">
        <v>245729</v>
      </c>
      <c r="AB246" s="804">
        <v>24572863</v>
      </c>
      <c r="AC246" s="804">
        <v>0</v>
      </c>
      <c r="AD246" s="804">
        <v>0</v>
      </c>
      <c r="AE246" s="804">
        <v>0</v>
      </c>
      <c r="AF246" s="804">
        <v>0</v>
      </c>
      <c r="AG246" s="804">
        <v>0</v>
      </c>
      <c r="AH246" s="804">
        <v>12286431</v>
      </c>
      <c r="AI246" s="804">
        <v>9829145</v>
      </c>
      <c r="AJ246" s="804">
        <v>2211558</v>
      </c>
      <c r="AK246" s="804">
        <v>245729</v>
      </c>
      <c r="AL246" s="804">
        <v>24572863</v>
      </c>
      <c r="AM246" s="804">
        <v>106590</v>
      </c>
      <c r="AN246" s="804">
        <v>106590</v>
      </c>
      <c r="AO246" s="804">
        <v>0</v>
      </c>
      <c r="AP246" s="804">
        <v>0</v>
      </c>
      <c r="AQ246" s="804">
        <v>340711</v>
      </c>
      <c r="AR246" s="804">
        <v>0</v>
      </c>
      <c r="AS246" s="804">
        <v>340711</v>
      </c>
      <c r="AT246" s="804">
        <v>0</v>
      </c>
      <c r="AU246" s="804">
        <v>0</v>
      </c>
      <c r="AV246" s="804">
        <v>0</v>
      </c>
      <c r="AW246" s="804">
        <v>0</v>
      </c>
      <c r="AX246" s="804">
        <v>0</v>
      </c>
      <c r="AY246" s="804">
        <v>0</v>
      </c>
      <c r="AZ246" s="804">
        <v>0</v>
      </c>
      <c r="BA246" s="804">
        <v>0</v>
      </c>
      <c r="BB246" s="804">
        <v>0</v>
      </c>
      <c r="BC246" s="804">
        <v>0</v>
      </c>
      <c r="BD246" s="804">
        <v>0</v>
      </c>
      <c r="BE246" s="804">
        <v>0</v>
      </c>
      <c r="BF246" s="804">
        <v>0</v>
      </c>
      <c r="BG246" s="804">
        <v>0</v>
      </c>
      <c r="BH246" s="804">
        <v>0</v>
      </c>
      <c r="BI246" s="804">
        <v>0</v>
      </c>
      <c r="BJ246" s="804">
        <v>0.25</v>
      </c>
      <c r="BK246" s="804">
        <v>0.4</v>
      </c>
      <c r="BL246" s="804">
        <v>0.33999999999999997</v>
      </c>
      <c r="BM246" s="804">
        <v>0.01</v>
      </c>
      <c r="BN246" s="804">
        <v>1</v>
      </c>
      <c r="BO246" s="804">
        <v>54296</v>
      </c>
      <c r="BP246" s="804">
        <v>86875</v>
      </c>
      <c r="BQ246" s="804">
        <v>73844</v>
      </c>
      <c r="BR246" s="804">
        <v>2172</v>
      </c>
      <c r="BS246" s="804">
        <v>217187</v>
      </c>
      <c r="BT246" s="804">
        <v>0.5</v>
      </c>
      <c r="BU246" s="804">
        <v>0.4</v>
      </c>
      <c r="BV246" s="804">
        <v>0.1</v>
      </c>
      <c r="BW246" s="804">
        <v>0</v>
      </c>
      <c r="BX246" s="804">
        <v>1</v>
      </c>
      <c r="BY246" s="804">
        <v>141351.10000000149</v>
      </c>
      <c r="BZ246" s="804">
        <v>113081</v>
      </c>
      <c r="CA246" s="804">
        <v>28270</v>
      </c>
      <c r="CB246" s="804">
        <v>0</v>
      </c>
      <c r="CC246" s="804">
        <v>282702.10000000149</v>
      </c>
      <c r="CD246" s="804">
        <v>195647</v>
      </c>
      <c r="CE246" s="804">
        <v>199956</v>
      </c>
      <c r="CF246" s="804">
        <v>102114</v>
      </c>
      <c r="CG246" s="804">
        <v>2172</v>
      </c>
      <c r="CH246" s="804">
        <v>499889.10000000149</v>
      </c>
      <c r="CI246" s="804">
        <v>12482078</v>
      </c>
      <c r="CJ246" s="804">
        <v>10476402</v>
      </c>
      <c r="CK246" s="804">
        <v>2313672</v>
      </c>
      <c r="CL246" s="804">
        <v>247901</v>
      </c>
      <c r="CM246" s="804">
        <v>25520053</v>
      </c>
      <c r="CN246" s="804">
        <v>407609</v>
      </c>
      <c r="CO246" s="804">
        <v>88640</v>
      </c>
      <c r="CP246" s="804">
        <v>9849</v>
      </c>
      <c r="CQ246" s="804">
        <v>506098</v>
      </c>
      <c r="CR246" s="804">
        <v>1006154</v>
      </c>
      <c r="CS246" s="804">
        <v>226385</v>
      </c>
      <c r="CT246" s="804">
        <v>25154</v>
      </c>
      <c r="CU246" s="804">
        <v>1257693</v>
      </c>
      <c r="CV246" s="804">
        <v>51983</v>
      </c>
      <c r="CW246" s="804">
        <v>11696</v>
      </c>
      <c r="CX246" s="804">
        <v>1300</v>
      </c>
      <c r="CY246" s="804">
        <v>64979</v>
      </c>
      <c r="CZ246" s="804">
        <v>0</v>
      </c>
      <c r="DA246" s="804">
        <v>0</v>
      </c>
      <c r="DB246" s="804">
        <v>0</v>
      </c>
      <c r="DC246" s="804">
        <v>0</v>
      </c>
      <c r="DD246" s="804">
        <v>37692</v>
      </c>
      <c r="DE246" s="804">
        <v>8481</v>
      </c>
      <c r="DF246" s="804">
        <v>942</v>
      </c>
      <c r="DG246" s="804">
        <v>47115</v>
      </c>
      <c r="DH246" s="804">
        <v>10919</v>
      </c>
      <c r="DI246" s="804">
        <v>2457</v>
      </c>
      <c r="DJ246" s="804">
        <v>273</v>
      </c>
      <c r="DK246" s="804">
        <v>13649</v>
      </c>
      <c r="DL246" s="804">
        <v>1398</v>
      </c>
      <c r="DM246" s="804">
        <v>314</v>
      </c>
      <c r="DN246" s="804">
        <v>35</v>
      </c>
      <c r="DO246" s="804">
        <v>1747</v>
      </c>
      <c r="DP246" s="804">
        <v>0</v>
      </c>
      <c r="DQ246" s="804">
        <v>0</v>
      </c>
      <c r="DR246" s="804">
        <v>0</v>
      </c>
      <c r="DS246" s="804">
        <v>0</v>
      </c>
      <c r="DT246" s="804">
        <v>0</v>
      </c>
      <c r="DU246" s="804">
        <v>0</v>
      </c>
      <c r="DV246" s="804">
        <v>0</v>
      </c>
      <c r="DW246" s="804">
        <v>0</v>
      </c>
      <c r="DX246" s="804">
        <v>145052</v>
      </c>
      <c r="DY246" s="804">
        <v>32636</v>
      </c>
      <c r="DZ246" s="804">
        <v>3626</v>
      </c>
      <c r="EA246" s="804">
        <v>181314</v>
      </c>
      <c r="EB246" s="804">
        <v>1660807</v>
      </c>
      <c r="EC246" s="804">
        <v>370609</v>
      </c>
      <c r="ED246" s="804">
        <v>41179</v>
      </c>
      <c r="EE246" s="804">
        <v>2072595</v>
      </c>
      <c r="EF246" s="604" t="s">
        <v>366</v>
      </c>
      <c r="EG246" s="497" t="s">
        <v>600</v>
      </c>
      <c r="EH246" s="630" t="s">
        <v>551</v>
      </c>
      <c r="EI246" s="118" t="s">
        <v>1897</v>
      </c>
    </row>
    <row r="247" spans="1:139" ht="12.75" x14ac:dyDescent="0.2">
      <c r="A247" s="805">
        <v>240</v>
      </c>
      <c r="B247" s="606" t="s">
        <v>369</v>
      </c>
      <c r="C247" s="607" t="s">
        <v>1185</v>
      </c>
      <c r="D247" s="608" t="s">
        <v>1186</v>
      </c>
      <c r="E247" s="609" t="s">
        <v>368</v>
      </c>
      <c r="F247" s="802">
        <v>43734861</v>
      </c>
      <c r="G247" s="804">
        <v>233760</v>
      </c>
      <c r="H247" s="804">
        <v>0</v>
      </c>
      <c r="I247" s="804">
        <v>175294</v>
      </c>
      <c r="J247" s="804">
        <v>0</v>
      </c>
      <c r="K247" s="804">
        <v>175294</v>
      </c>
      <c r="L247" s="804">
        <v>0</v>
      </c>
      <c r="M247" s="804">
        <v>39031</v>
      </c>
      <c r="N247" s="804">
        <v>76894</v>
      </c>
      <c r="O247" s="804">
        <v>76894</v>
      </c>
      <c r="P247" s="804">
        <v>0</v>
      </c>
      <c r="Q247" s="804">
        <v>0</v>
      </c>
      <c r="R247" s="804">
        <v>43677402</v>
      </c>
      <c r="S247" s="804">
        <v>0.5</v>
      </c>
      <c r="T247" s="804">
        <v>0.4</v>
      </c>
      <c r="U247" s="804">
        <v>0.1</v>
      </c>
      <c r="V247" s="804">
        <v>0</v>
      </c>
      <c r="W247" s="804">
        <v>1</v>
      </c>
      <c r="X247" s="804">
        <v>21838701</v>
      </c>
      <c r="Y247" s="804">
        <v>17470961</v>
      </c>
      <c r="Z247" s="804">
        <v>4367740</v>
      </c>
      <c r="AA247" s="804">
        <v>0</v>
      </c>
      <c r="AB247" s="804">
        <v>43677402</v>
      </c>
      <c r="AC247" s="804">
        <v>0</v>
      </c>
      <c r="AD247" s="804">
        <v>0</v>
      </c>
      <c r="AE247" s="804">
        <v>0</v>
      </c>
      <c r="AF247" s="804">
        <v>0</v>
      </c>
      <c r="AG247" s="804">
        <v>0</v>
      </c>
      <c r="AH247" s="804">
        <v>21838701</v>
      </c>
      <c r="AI247" s="804">
        <v>17470961</v>
      </c>
      <c r="AJ247" s="804">
        <v>4367740</v>
      </c>
      <c r="AK247" s="804">
        <v>0</v>
      </c>
      <c r="AL247" s="804">
        <v>43677402</v>
      </c>
      <c r="AM247" s="804">
        <v>175294</v>
      </c>
      <c r="AN247" s="804">
        <v>175294</v>
      </c>
      <c r="AO247" s="804">
        <v>39031</v>
      </c>
      <c r="AP247" s="804">
        <v>39031</v>
      </c>
      <c r="AQ247" s="804">
        <v>76894</v>
      </c>
      <c r="AR247" s="804">
        <v>0</v>
      </c>
      <c r="AS247" s="804">
        <v>76894</v>
      </c>
      <c r="AT247" s="804">
        <v>0</v>
      </c>
      <c r="AU247" s="804">
        <v>0</v>
      </c>
      <c r="AV247" s="804">
        <v>0</v>
      </c>
      <c r="AW247" s="804">
        <v>0</v>
      </c>
      <c r="AX247" s="804">
        <v>0</v>
      </c>
      <c r="AY247" s="804">
        <v>0</v>
      </c>
      <c r="AZ247" s="804">
        <v>0</v>
      </c>
      <c r="BA247" s="804">
        <v>0</v>
      </c>
      <c r="BB247" s="804">
        <v>0</v>
      </c>
      <c r="BC247" s="804">
        <v>0</v>
      </c>
      <c r="BD247" s="804">
        <v>0</v>
      </c>
      <c r="BE247" s="804">
        <v>0</v>
      </c>
      <c r="BF247" s="804">
        <v>0</v>
      </c>
      <c r="BG247" s="804">
        <v>0</v>
      </c>
      <c r="BH247" s="804">
        <v>0</v>
      </c>
      <c r="BI247" s="804">
        <v>0</v>
      </c>
      <c r="BJ247" s="804">
        <v>0.5</v>
      </c>
      <c r="BK247" s="804">
        <v>0.4</v>
      </c>
      <c r="BL247" s="804">
        <v>0.1</v>
      </c>
      <c r="BM247" s="804">
        <v>0</v>
      </c>
      <c r="BN247" s="804">
        <v>1</v>
      </c>
      <c r="BO247" s="804">
        <v>-76072</v>
      </c>
      <c r="BP247" s="804">
        <v>-60858</v>
      </c>
      <c r="BQ247" s="804">
        <v>-15214</v>
      </c>
      <c r="BR247" s="804">
        <v>0</v>
      </c>
      <c r="BS247" s="804">
        <v>-152144</v>
      </c>
      <c r="BT247" s="804">
        <v>0.5</v>
      </c>
      <c r="BU247" s="804">
        <v>0.4</v>
      </c>
      <c r="BV247" s="804">
        <v>0.1</v>
      </c>
      <c r="BW247" s="804">
        <v>0</v>
      </c>
      <c r="BX247" s="804">
        <v>1</v>
      </c>
      <c r="BY247" s="804">
        <v>-215607</v>
      </c>
      <c r="BZ247" s="804">
        <v>-172486</v>
      </c>
      <c r="CA247" s="804">
        <v>-43122</v>
      </c>
      <c r="CB247" s="804">
        <v>0</v>
      </c>
      <c r="CC247" s="804">
        <v>-431215</v>
      </c>
      <c r="CD247" s="804">
        <v>-291679</v>
      </c>
      <c r="CE247" s="804">
        <v>-233344</v>
      </c>
      <c r="CF247" s="804">
        <v>-58336</v>
      </c>
      <c r="CG247" s="804">
        <v>0</v>
      </c>
      <c r="CH247" s="804">
        <v>-583359</v>
      </c>
      <c r="CI247" s="804">
        <v>21547022</v>
      </c>
      <c r="CJ247" s="804">
        <v>17528836</v>
      </c>
      <c r="CK247" s="804">
        <v>4309404</v>
      </c>
      <c r="CL247" s="804">
        <v>0</v>
      </c>
      <c r="CM247" s="804">
        <v>43385262</v>
      </c>
      <c r="CN247" s="804">
        <v>704885</v>
      </c>
      <c r="CO247" s="804">
        <v>175060</v>
      </c>
      <c r="CP247" s="804">
        <v>0</v>
      </c>
      <c r="CQ247" s="804">
        <v>879945</v>
      </c>
      <c r="CR247" s="804">
        <v>1281190</v>
      </c>
      <c r="CS247" s="804">
        <v>320298</v>
      </c>
      <c r="CT247" s="804">
        <v>0</v>
      </c>
      <c r="CU247" s="804">
        <v>1601488</v>
      </c>
      <c r="CV247" s="804">
        <v>108341</v>
      </c>
      <c r="CW247" s="804">
        <v>27085</v>
      </c>
      <c r="CX247" s="804">
        <v>0</v>
      </c>
      <c r="CY247" s="804">
        <v>135426</v>
      </c>
      <c r="CZ247" s="804">
        <v>0</v>
      </c>
      <c r="DA247" s="804">
        <v>0</v>
      </c>
      <c r="DB247" s="804">
        <v>0</v>
      </c>
      <c r="DC247" s="804">
        <v>0</v>
      </c>
      <c r="DD247" s="804">
        <v>16678</v>
      </c>
      <c r="DE247" s="804">
        <v>4170</v>
      </c>
      <c r="DF247" s="804">
        <v>0</v>
      </c>
      <c r="DG247" s="804">
        <v>20848</v>
      </c>
      <c r="DH247" s="804">
        <v>22026</v>
      </c>
      <c r="DI247" s="804">
        <v>5507</v>
      </c>
      <c r="DJ247" s="804">
        <v>0</v>
      </c>
      <c r="DK247" s="804">
        <v>27533</v>
      </c>
      <c r="DL247" s="804">
        <v>4470</v>
      </c>
      <c r="DM247" s="804">
        <v>1117</v>
      </c>
      <c r="DN247" s="804">
        <v>0</v>
      </c>
      <c r="DO247" s="804">
        <v>5587</v>
      </c>
      <c r="DP247" s="804">
        <v>0</v>
      </c>
      <c r="DQ247" s="804">
        <v>0</v>
      </c>
      <c r="DR247" s="804">
        <v>0</v>
      </c>
      <c r="DS247" s="804">
        <v>0</v>
      </c>
      <c r="DT247" s="804">
        <v>0</v>
      </c>
      <c r="DU247" s="804">
        <v>0</v>
      </c>
      <c r="DV247" s="804">
        <v>0</v>
      </c>
      <c r="DW247" s="804">
        <v>0</v>
      </c>
      <c r="DX247" s="804">
        <v>517342</v>
      </c>
      <c r="DY247" s="804">
        <v>129336</v>
      </c>
      <c r="DZ247" s="804">
        <v>0</v>
      </c>
      <c r="EA247" s="804">
        <v>646678</v>
      </c>
      <c r="EB247" s="804">
        <v>2654932</v>
      </c>
      <c r="EC247" s="804">
        <v>662573</v>
      </c>
      <c r="ED247" s="804">
        <v>0</v>
      </c>
      <c r="EE247" s="804">
        <v>3317505</v>
      </c>
      <c r="EF247" s="604" t="s">
        <v>368</v>
      </c>
      <c r="EG247" s="497" t="s">
        <v>604</v>
      </c>
      <c r="EH247" s="630" t="s">
        <v>551</v>
      </c>
      <c r="EI247" s="118" t="s">
        <v>1898</v>
      </c>
    </row>
    <row r="248" spans="1:139" ht="12.75" x14ac:dyDescent="0.2">
      <c r="A248" s="805">
        <v>241</v>
      </c>
      <c r="B248" s="606" t="s">
        <v>371</v>
      </c>
      <c r="C248" s="607" t="s">
        <v>1185</v>
      </c>
      <c r="D248" s="608" t="s">
        <v>1187</v>
      </c>
      <c r="E248" s="609" t="s">
        <v>370</v>
      </c>
      <c r="F248" s="802">
        <v>35646484</v>
      </c>
      <c r="G248" s="804">
        <v>0</v>
      </c>
      <c r="H248" s="804">
        <v>21384</v>
      </c>
      <c r="I248" s="804">
        <v>127068</v>
      </c>
      <c r="J248" s="804">
        <v>0</v>
      </c>
      <c r="K248" s="804">
        <v>127068</v>
      </c>
      <c r="L248" s="804">
        <v>0</v>
      </c>
      <c r="M248" s="804">
        <v>170241</v>
      </c>
      <c r="N248" s="804">
        <v>78211</v>
      </c>
      <c r="O248" s="804">
        <v>78211</v>
      </c>
      <c r="P248" s="804">
        <v>0</v>
      </c>
      <c r="Q248" s="804">
        <v>0</v>
      </c>
      <c r="R248" s="804">
        <v>35249580</v>
      </c>
      <c r="S248" s="804">
        <v>0.5</v>
      </c>
      <c r="T248" s="804">
        <v>0.4</v>
      </c>
      <c r="U248" s="804">
        <v>0.09</v>
      </c>
      <c r="V248" s="804">
        <v>0.01</v>
      </c>
      <c r="W248" s="804">
        <v>1</v>
      </c>
      <c r="X248" s="804">
        <v>17624790</v>
      </c>
      <c r="Y248" s="804">
        <v>14099832</v>
      </c>
      <c r="Z248" s="804">
        <v>3172462</v>
      </c>
      <c r="AA248" s="804">
        <v>352496</v>
      </c>
      <c r="AB248" s="804">
        <v>35249580</v>
      </c>
      <c r="AC248" s="804">
        <v>0</v>
      </c>
      <c r="AD248" s="804">
        <v>0</v>
      </c>
      <c r="AE248" s="804">
        <v>0</v>
      </c>
      <c r="AF248" s="804">
        <v>0</v>
      </c>
      <c r="AG248" s="804">
        <v>0</v>
      </c>
      <c r="AH248" s="804">
        <v>17624790</v>
      </c>
      <c r="AI248" s="804">
        <v>14099832</v>
      </c>
      <c r="AJ248" s="804">
        <v>3172462</v>
      </c>
      <c r="AK248" s="804">
        <v>352496</v>
      </c>
      <c r="AL248" s="804">
        <v>35249580</v>
      </c>
      <c r="AM248" s="804">
        <v>127068</v>
      </c>
      <c r="AN248" s="804">
        <v>127068</v>
      </c>
      <c r="AO248" s="804">
        <v>170241</v>
      </c>
      <c r="AP248" s="804">
        <v>170241</v>
      </c>
      <c r="AQ248" s="804">
        <v>78211</v>
      </c>
      <c r="AR248" s="804">
        <v>0</v>
      </c>
      <c r="AS248" s="804">
        <v>78211</v>
      </c>
      <c r="AT248" s="804">
        <v>0</v>
      </c>
      <c r="AU248" s="804">
        <v>0</v>
      </c>
      <c r="AV248" s="804">
        <v>0</v>
      </c>
      <c r="AW248" s="804">
        <v>0</v>
      </c>
      <c r="AX248" s="804">
        <v>0</v>
      </c>
      <c r="AY248" s="804">
        <v>0</v>
      </c>
      <c r="AZ248" s="804">
        <v>0</v>
      </c>
      <c r="BA248" s="804">
        <v>0</v>
      </c>
      <c r="BB248" s="804">
        <v>0</v>
      </c>
      <c r="BC248" s="804">
        <v>0</v>
      </c>
      <c r="BD248" s="804">
        <v>0</v>
      </c>
      <c r="BE248" s="804">
        <v>0</v>
      </c>
      <c r="BF248" s="804">
        <v>0</v>
      </c>
      <c r="BG248" s="804">
        <v>0</v>
      </c>
      <c r="BH248" s="804">
        <v>0</v>
      </c>
      <c r="BI248" s="804">
        <v>0</v>
      </c>
      <c r="BJ248" s="804">
        <v>0.25</v>
      </c>
      <c r="BK248" s="804">
        <v>0.56000000000000005</v>
      </c>
      <c r="BL248" s="804">
        <v>0.17499999999999999</v>
      </c>
      <c r="BM248" s="804">
        <v>1.4999999999999999E-2</v>
      </c>
      <c r="BN248" s="804">
        <v>1</v>
      </c>
      <c r="BO248" s="804">
        <v>38472</v>
      </c>
      <c r="BP248" s="804">
        <v>86178</v>
      </c>
      <c r="BQ248" s="804">
        <v>26931</v>
      </c>
      <c r="BR248" s="804">
        <v>2308</v>
      </c>
      <c r="BS248" s="804">
        <v>153889</v>
      </c>
      <c r="BT248" s="804">
        <v>0.5</v>
      </c>
      <c r="BU248" s="804">
        <v>0.4</v>
      </c>
      <c r="BV248" s="804">
        <v>0.09</v>
      </c>
      <c r="BW248" s="804">
        <v>0.01</v>
      </c>
      <c r="BX248" s="804">
        <v>1</v>
      </c>
      <c r="BY248" s="804">
        <v>-62119</v>
      </c>
      <c r="BZ248" s="804">
        <v>-49696</v>
      </c>
      <c r="CA248" s="804">
        <v>-11182</v>
      </c>
      <c r="CB248" s="804">
        <v>-1242</v>
      </c>
      <c r="CC248" s="804">
        <v>-124239</v>
      </c>
      <c r="CD248" s="804">
        <v>-23647</v>
      </c>
      <c r="CE248" s="804">
        <v>36482</v>
      </c>
      <c r="CF248" s="804">
        <v>15749</v>
      </c>
      <c r="CG248" s="804">
        <v>1066</v>
      </c>
      <c r="CH248" s="804">
        <v>29650</v>
      </c>
      <c r="CI248" s="804">
        <v>17601143</v>
      </c>
      <c r="CJ248" s="804">
        <v>14511834</v>
      </c>
      <c r="CK248" s="804">
        <v>3188211</v>
      </c>
      <c r="CL248" s="804">
        <v>353562</v>
      </c>
      <c r="CM248" s="804">
        <v>35654750</v>
      </c>
      <c r="CN248" s="804">
        <v>575082</v>
      </c>
      <c r="CO248" s="804">
        <v>127153</v>
      </c>
      <c r="CP248" s="804">
        <v>14128</v>
      </c>
      <c r="CQ248" s="804">
        <v>716363</v>
      </c>
      <c r="CR248" s="804">
        <v>1138495</v>
      </c>
      <c r="CS248" s="804">
        <v>256161</v>
      </c>
      <c r="CT248" s="804">
        <v>28462</v>
      </c>
      <c r="CU248" s="804">
        <v>1423118</v>
      </c>
      <c r="CV248" s="804">
        <v>69369</v>
      </c>
      <c r="CW248" s="804">
        <v>15608</v>
      </c>
      <c r="CX248" s="804">
        <v>1734</v>
      </c>
      <c r="CY248" s="804">
        <v>86711</v>
      </c>
      <c r="CZ248" s="804">
        <v>0</v>
      </c>
      <c r="DA248" s="804">
        <v>0</v>
      </c>
      <c r="DB248" s="804">
        <v>0</v>
      </c>
      <c r="DC248" s="804">
        <v>0</v>
      </c>
      <c r="DD248" s="804">
        <v>1842</v>
      </c>
      <c r="DE248" s="804">
        <v>415</v>
      </c>
      <c r="DF248" s="804">
        <v>46</v>
      </c>
      <c r="DG248" s="804">
        <v>2303</v>
      </c>
      <c r="DH248" s="804">
        <v>3198</v>
      </c>
      <c r="DI248" s="804">
        <v>720</v>
      </c>
      <c r="DJ248" s="804">
        <v>80</v>
      </c>
      <c r="DK248" s="804">
        <v>3998</v>
      </c>
      <c r="DL248" s="804">
        <v>832</v>
      </c>
      <c r="DM248" s="804">
        <v>187</v>
      </c>
      <c r="DN248" s="804">
        <v>21</v>
      </c>
      <c r="DO248" s="804">
        <v>1040</v>
      </c>
      <c r="DP248" s="804">
        <v>0</v>
      </c>
      <c r="DQ248" s="804">
        <v>0</v>
      </c>
      <c r="DR248" s="804">
        <v>0</v>
      </c>
      <c r="DS248" s="804">
        <v>0</v>
      </c>
      <c r="DT248" s="804">
        <v>0</v>
      </c>
      <c r="DU248" s="804">
        <v>0</v>
      </c>
      <c r="DV248" s="804">
        <v>0</v>
      </c>
      <c r="DW248" s="804">
        <v>0</v>
      </c>
      <c r="DX248" s="804">
        <v>220334</v>
      </c>
      <c r="DY248" s="804">
        <v>49575</v>
      </c>
      <c r="DZ248" s="804">
        <v>5508</v>
      </c>
      <c r="EA248" s="804">
        <v>275417</v>
      </c>
      <c r="EB248" s="804">
        <v>2009152</v>
      </c>
      <c r="EC248" s="804">
        <v>449819</v>
      </c>
      <c r="ED248" s="804">
        <v>49979</v>
      </c>
      <c r="EE248" s="804">
        <v>2508950</v>
      </c>
      <c r="EF248" s="604" t="s">
        <v>370</v>
      </c>
      <c r="EG248" s="497" t="s">
        <v>590</v>
      </c>
      <c r="EH248" s="630" t="s">
        <v>588</v>
      </c>
      <c r="EI248" s="118" t="s">
        <v>1899</v>
      </c>
    </row>
    <row r="249" spans="1:139" ht="12.75" x14ac:dyDescent="0.2">
      <c r="A249" s="805">
        <v>242</v>
      </c>
      <c r="B249" s="606" t="s">
        <v>373</v>
      </c>
      <c r="C249" s="607" t="s">
        <v>1185</v>
      </c>
      <c r="D249" s="608" t="s">
        <v>1194</v>
      </c>
      <c r="E249" s="609" t="s">
        <v>372</v>
      </c>
      <c r="F249" s="802">
        <v>46536414</v>
      </c>
      <c r="G249" s="804">
        <v>0</v>
      </c>
      <c r="H249" s="804">
        <v>97447</v>
      </c>
      <c r="I249" s="804">
        <v>224191</v>
      </c>
      <c r="J249" s="804">
        <v>0</v>
      </c>
      <c r="K249" s="804">
        <v>224191</v>
      </c>
      <c r="L249" s="804">
        <v>0</v>
      </c>
      <c r="M249" s="804">
        <v>0</v>
      </c>
      <c r="N249" s="804">
        <v>504537</v>
      </c>
      <c r="O249" s="804">
        <v>504537</v>
      </c>
      <c r="P249" s="804">
        <v>0</v>
      </c>
      <c r="Q249" s="804">
        <v>0</v>
      </c>
      <c r="R249" s="804">
        <v>45710239</v>
      </c>
      <c r="S249" s="804">
        <v>0.5</v>
      </c>
      <c r="T249" s="804">
        <v>0.4</v>
      </c>
      <c r="U249" s="804">
        <v>0.09</v>
      </c>
      <c r="V249" s="804">
        <v>0.01</v>
      </c>
      <c r="W249" s="804">
        <v>1</v>
      </c>
      <c r="X249" s="804">
        <v>22855119</v>
      </c>
      <c r="Y249" s="804">
        <v>18284096</v>
      </c>
      <c r="Z249" s="804">
        <v>4113922</v>
      </c>
      <c r="AA249" s="804">
        <v>457102</v>
      </c>
      <c r="AB249" s="804">
        <v>45710239</v>
      </c>
      <c r="AC249" s="804">
        <v>0</v>
      </c>
      <c r="AD249" s="804">
        <v>0</v>
      </c>
      <c r="AE249" s="804">
        <v>0</v>
      </c>
      <c r="AF249" s="804">
        <v>0</v>
      </c>
      <c r="AG249" s="804">
        <v>0</v>
      </c>
      <c r="AH249" s="804">
        <v>22855119</v>
      </c>
      <c r="AI249" s="804">
        <v>18284096</v>
      </c>
      <c r="AJ249" s="804">
        <v>4113922</v>
      </c>
      <c r="AK249" s="804">
        <v>457102</v>
      </c>
      <c r="AL249" s="804">
        <v>45710239</v>
      </c>
      <c r="AM249" s="804">
        <v>224191</v>
      </c>
      <c r="AN249" s="804">
        <v>224191</v>
      </c>
      <c r="AO249" s="804">
        <v>0</v>
      </c>
      <c r="AP249" s="804">
        <v>0</v>
      </c>
      <c r="AQ249" s="804">
        <v>504537</v>
      </c>
      <c r="AR249" s="804">
        <v>0</v>
      </c>
      <c r="AS249" s="804">
        <v>504537</v>
      </c>
      <c r="AT249" s="804">
        <v>0</v>
      </c>
      <c r="AU249" s="804">
        <v>0</v>
      </c>
      <c r="AV249" s="804">
        <v>0</v>
      </c>
      <c r="AW249" s="804">
        <v>0</v>
      </c>
      <c r="AX249" s="804">
        <v>0</v>
      </c>
      <c r="AY249" s="804">
        <v>0</v>
      </c>
      <c r="AZ249" s="804">
        <v>0</v>
      </c>
      <c r="BA249" s="804">
        <v>0</v>
      </c>
      <c r="BB249" s="804">
        <v>0</v>
      </c>
      <c r="BC249" s="804">
        <v>0</v>
      </c>
      <c r="BD249" s="804">
        <v>0</v>
      </c>
      <c r="BE249" s="804">
        <v>0</v>
      </c>
      <c r="BF249" s="804">
        <v>0</v>
      </c>
      <c r="BG249" s="804">
        <v>0</v>
      </c>
      <c r="BH249" s="804">
        <v>0</v>
      </c>
      <c r="BI249" s="804">
        <v>0</v>
      </c>
      <c r="BJ249" s="804">
        <v>0.24999999999999994</v>
      </c>
      <c r="BK249" s="804">
        <v>0.44</v>
      </c>
      <c r="BL249" s="804">
        <v>0.3</v>
      </c>
      <c r="BM249" s="804">
        <v>0.01</v>
      </c>
      <c r="BN249" s="804">
        <v>1</v>
      </c>
      <c r="BO249" s="804">
        <v>802193</v>
      </c>
      <c r="BP249" s="804">
        <v>1411861</v>
      </c>
      <c r="BQ249" s="804">
        <v>962632</v>
      </c>
      <c r="BR249" s="804">
        <v>32088</v>
      </c>
      <c r="BS249" s="804">
        <v>3208774</v>
      </c>
      <c r="BT249" s="804">
        <v>0.5</v>
      </c>
      <c r="BU249" s="804">
        <v>0.4</v>
      </c>
      <c r="BV249" s="804">
        <v>0.09</v>
      </c>
      <c r="BW249" s="804">
        <v>0.01</v>
      </c>
      <c r="BX249" s="804">
        <v>1</v>
      </c>
      <c r="BY249" s="804">
        <v>375295.29999999702</v>
      </c>
      <c r="BZ249" s="804">
        <v>300237</v>
      </c>
      <c r="CA249" s="804">
        <v>67553</v>
      </c>
      <c r="CB249" s="804">
        <v>7506</v>
      </c>
      <c r="CC249" s="804">
        <v>750591.29999999702</v>
      </c>
      <c r="CD249" s="804">
        <v>1177488</v>
      </c>
      <c r="CE249" s="804">
        <v>1712098</v>
      </c>
      <c r="CF249" s="804">
        <v>1030185</v>
      </c>
      <c r="CG249" s="804">
        <v>39594</v>
      </c>
      <c r="CH249" s="804">
        <v>3959365.299999997</v>
      </c>
      <c r="CI249" s="804">
        <v>24032607</v>
      </c>
      <c r="CJ249" s="804">
        <v>20724922</v>
      </c>
      <c r="CK249" s="804">
        <v>5144107</v>
      </c>
      <c r="CL249" s="804">
        <v>496696</v>
      </c>
      <c r="CM249" s="804">
        <v>50398332</v>
      </c>
      <c r="CN249" s="804">
        <v>753051</v>
      </c>
      <c r="CO249" s="804">
        <v>164887</v>
      </c>
      <c r="CP249" s="804">
        <v>18321</v>
      </c>
      <c r="CQ249" s="804">
        <v>936259</v>
      </c>
      <c r="CR249" s="804">
        <v>1925141</v>
      </c>
      <c r="CS249" s="804">
        <v>433156</v>
      </c>
      <c r="CT249" s="804">
        <v>48128</v>
      </c>
      <c r="CU249" s="804">
        <v>2406425</v>
      </c>
      <c r="CV249" s="804">
        <v>108932</v>
      </c>
      <c r="CW249" s="804">
        <v>24510</v>
      </c>
      <c r="CX249" s="804">
        <v>2723</v>
      </c>
      <c r="CY249" s="804">
        <v>136165</v>
      </c>
      <c r="CZ249" s="804">
        <v>4598</v>
      </c>
      <c r="DA249" s="804">
        <v>1035</v>
      </c>
      <c r="DB249" s="804">
        <v>115</v>
      </c>
      <c r="DC249" s="804">
        <v>5748</v>
      </c>
      <c r="DD249" s="804">
        <v>29161</v>
      </c>
      <c r="DE249" s="804">
        <v>6561</v>
      </c>
      <c r="DF249" s="804">
        <v>729</v>
      </c>
      <c r="DG249" s="804">
        <v>36451</v>
      </c>
      <c r="DH249" s="804">
        <v>16105</v>
      </c>
      <c r="DI249" s="804">
        <v>3624</v>
      </c>
      <c r="DJ249" s="804">
        <v>403</v>
      </c>
      <c r="DK249" s="804">
        <v>20132</v>
      </c>
      <c r="DL249" s="804">
        <v>6241</v>
      </c>
      <c r="DM249" s="804">
        <v>1404</v>
      </c>
      <c r="DN249" s="804">
        <v>156</v>
      </c>
      <c r="DO249" s="804">
        <v>7801</v>
      </c>
      <c r="DP249" s="804">
        <v>0</v>
      </c>
      <c r="DQ249" s="804">
        <v>0</v>
      </c>
      <c r="DR249" s="804">
        <v>0</v>
      </c>
      <c r="DS249" s="804">
        <v>0</v>
      </c>
      <c r="DT249" s="804">
        <v>0</v>
      </c>
      <c r="DU249" s="804">
        <v>0</v>
      </c>
      <c r="DV249" s="804">
        <v>0</v>
      </c>
      <c r="DW249" s="804">
        <v>0</v>
      </c>
      <c r="DX249" s="804">
        <v>167800</v>
      </c>
      <c r="DY249" s="804">
        <v>37755</v>
      </c>
      <c r="DZ249" s="804">
        <v>4195</v>
      </c>
      <c r="EA249" s="804">
        <v>209750</v>
      </c>
      <c r="EB249" s="804">
        <v>3011029</v>
      </c>
      <c r="EC249" s="804">
        <v>672932</v>
      </c>
      <c r="ED249" s="804">
        <v>74770</v>
      </c>
      <c r="EE249" s="804">
        <v>3758731</v>
      </c>
      <c r="EF249" s="604" t="s">
        <v>372</v>
      </c>
      <c r="EG249" s="497" t="s">
        <v>606</v>
      </c>
      <c r="EH249" s="630" t="s">
        <v>558</v>
      </c>
      <c r="EI249" s="118" t="s">
        <v>1900</v>
      </c>
    </row>
    <row r="250" spans="1:139" ht="12.75" x14ac:dyDescent="0.2">
      <c r="A250" s="805">
        <v>243</v>
      </c>
      <c r="B250" s="606" t="s">
        <v>375</v>
      </c>
      <c r="C250" s="607" t="s">
        <v>1185</v>
      </c>
      <c r="D250" s="608" t="s">
        <v>1195</v>
      </c>
      <c r="E250" s="609" t="s">
        <v>374</v>
      </c>
      <c r="F250" s="802">
        <v>27142882</v>
      </c>
      <c r="G250" s="804">
        <v>116542</v>
      </c>
      <c r="H250" s="804">
        <v>0</v>
      </c>
      <c r="I250" s="804">
        <v>104948</v>
      </c>
      <c r="J250" s="804">
        <v>0</v>
      </c>
      <c r="K250" s="804">
        <v>104948</v>
      </c>
      <c r="L250" s="804">
        <v>0</v>
      </c>
      <c r="M250" s="804">
        <v>4791560</v>
      </c>
      <c r="N250" s="804">
        <v>239434</v>
      </c>
      <c r="O250" s="804">
        <v>41034</v>
      </c>
      <c r="P250" s="804">
        <v>198400</v>
      </c>
      <c r="Q250" s="804">
        <v>0</v>
      </c>
      <c r="R250" s="804">
        <v>22123482</v>
      </c>
      <c r="S250" s="804">
        <v>0.5</v>
      </c>
      <c r="T250" s="804">
        <v>0.4</v>
      </c>
      <c r="U250" s="804">
        <v>0.09</v>
      </c>
      <c r="V250" s="804">
        <v>0.01</v>
      </c>
      <c r="W250" s="804">
        <v>1</v>
      </c>
      <c r="X250" s="804">
        <v>11061741</v>
      </c>
      <c r="Y250" s="804">
        <v>8849393</v>
      </c>
      <c r="Z250" s="804">
        <v>1991113</v>
      </c>
      <c r="AA250" s="804">
        <v>221235</v>
      </c>
      <c r="AB250" s="804">
        <v>22123482</v>
      </c>
      <c r="AC250" s="804">
        <v>162387</v>
      </c>
      <c r="AD250" s="804">
        <v>0</v>
      </c>
      <c r="AE250" s="804">
        <v>0</v>
      </c>
      <c r="AF250" s="804">
        <v>0</v>
      </c>
      <c r="AG250" s="804">
        <v>162387</v>
      </c>
      <c r="AH250" s="804">
        <v>10899354</v>
      </c>
      <c r="AI250" s="804">
        <v>8849393</v>
      </c>
      <c r="AJ250" s="804">
        <v>1991113</v>
      </c>
      <c r="AK250" s="804">
        <v>221235</v>
      </c>
      <c r="AL250" s="804">
        <v>21961095</v>
      </c>
      <c r="AM250" s="804">
        <v>104948</v>
      </c>
      <c r="AN250" s="804">
        <v>104948</v>
      </c>
      <c r="AO250" s="804">
        <v>4791560</v>
      </c>
      <c r="AP250" s="804">
        <v>4791560</v>
      </c>
      <c r="AQ250" s="804">
        <v>41034</v>
      </c>
      <c r="AR250" s="804">
        <v>198400</v>
      </c>
      <c r="AS250" s="804">
        <v>239434</v>
      </c>
      <c r="AT250" s="804">
        <v>0</v>
      </c>
      <c r="AU250" s="804">
        <v>0</v>
      </c>
      <c r="AV250" s="804">
        <v>0</v>
      </c>
      <c r="AW250" s="804">
        <v>0</v>
      </c>
      <c r="AX250" s="804">
        <v>162387</v>
      </c>
      <c r="AY250" s="804">
        <v>0</v>
      </c>
      <c r="AZ250" s="804">
        <v>0</v>
      </c>
      <c r="BA250" s="804">
        <v>162387</v>
      </c>
      <c r="BB250" s="804">
        <v>0</v>
      </c>
      <c r="BC250" s="804">
        <v>0</v>
      </c>
      <c r="BD250" s="804">
        <v>0</v>
      </c>
      <c r="BE250" s="804">
        <v>0</v>
      </c>
      <c r="BF250" s="804">
        <v>0</v>
      </c>
      <c r="BG250" s="804">
        <v>0</v>
      </c>
      <c r="BH250" s="804">
        <v>0</v>
      </c>
      <c r="BI250" s="804">
        <v>0</v>
      </c>
      <c r="BJ250" s="804">
        <v>0.25</v>
      </c>
      <c r="BK250" s="804">
        <v>0.4</v>
      </c>
      <c r="BL250" s="804">
        <v>0.33999999999999997</v>
      </c>
      <c r="BM250" s="804">
        <v>0.01</v>
      </c>
      <c r="BN250" s="804">
        <v>1</v>
      </c>
      <c r="BO250" s="804">
        <v>351531</v>
      </c>
      <c r="BP250" s="804">
        <v>562449</v>
      </c>
      <c r="BQ250" s="804">
        <v>478082</v>
      </c>
      <c r="BR250" s="804">
        <v>14061</v>
      </c>
      <c r="BS250" s="804">
        <v>1406123</v>
      </c>
      <c r="BT250" s="804">
        <v>0.5</v>
      </c>
      <c r="BU250" s="804">
        <v>0.4</v>
      </c>
      <c r="BV250" s="804">
        <v>0.09</v>
      </c>
      <c r="BW250" s="804">
        <v>0.01</v>
      </c>
      <c r="BX250" s="804">
        <v>1</v>
      </c>
      <c r="BY250" s="804">
        <v>-135323</v>
      </c>
      <c r="BZ250" s="804">
        <v>-108258</v>
      </c>
      <c r="CA250" s="804">
        <v>-24358</v>
      </c>
      <c r="CB250" s="804">
        <v>-2706</v>
      </c>
      <c r="CC250" s="804">
        <v>-270645</v>
      </c>
      <c r="CD250" s="804">
        <v>216208</v>
      </c>
      <c r="CE250" s="804">
        <v>454191</v>
      </c>
      <c r="CF250" s="804">
        <v>453724</v>
      </c>
      <c r="CG250" s="804">
        <v>11355</v>
      </c>
      <c r="CH250" s="804">
        <v>1135478</v>
      </c>
      <c r="CI250" s="804">
        <v>11115562</v>
      </c>
      <c r="CJ250" s="804">
        <v>14403513</v>
      </c>
      <c r="CK250" s="804">
        <v>2643237</v>
      </c>
      <c r="CL250" s="804">
        <v>232590</v>
      </c>
      <c r="CM250" s="804">
        <v>28394902</v>
      </c>
      <c r="CN250" s="804">
        <v>554885</v>
      </c>
      <c r="CO250" s="804">
        <v>87756</v>
      </c>
      <c r="CP250" s="804">
        <v>8867</v>
      </c>
      <c r="CQ250" s="804">
        <v>651508</v>
      </c>
      <c r="CR250" s="804">
        <v>1003953</v>
      </c>
      <c r="CS250" s="804">
        <v>225889</v>
      </c>
      <c r="CT250" s="804">
        <v>25099</v>
      </c>
      <c r="CU250" s="804">
        <v>1254941</v>
      </c>
      <c r="CV250" s="804">
        <v>43578</v>
      </c>
      <c r="CW250" s="804">
        <v>9805</v>
      </c>
      <c r="CX250" s="804">
        <v>1089</v>
      </c>
      <c r="CY250" s="804">
        <v>54472</v>
      </c>
      <c r="CZ250" s="804">
        <v>0</v>
      </c>
      <c r="DA250" s="804">
        <v>0</v>
      </c>
      <c r="DB250" s="804">
        <v>0</v>
      </c>
      <c r="DC250" s="804">
        <v>0</v>
      </c>
      <c r="DD250" s="804">
        <v>2046</v>
      </c>
      <c r="DE250" s="804">
        <v>460</v>
      </c>
      <c r="DF250" s="804">
        <v>51</v>
      </c>
      <c r="DG250" s="804">
        <v>2557</v>
      </c>
      <c r="DH250" s="804">
        <v>7800</v>
      </c>
      <c r="DI250" s="804">
        <v>1755</v>
      </c>
      <c r="DJ250" s="804">
        <v>195</v>
      </c>
      <c r="DK250" s="804">
        <v>9750</v>
      </c>
      <c r="DL250" s="804">
        <v>2080</v>
      </c>
      <c r="DM250" s="804">
        <v>468</v>
      </c>
      <c r="DN250" s="804">
        <v>52</v>
      </c>
      <c r="DO250" s="804">
        <v>2600</v>
      </c>
      <c r="DP250" s="804">
        <v>0</v>
      </c>
      <c r="DQ250" s="804">
        <v>0</v>
      </c>
      <c r="DR250" s="804">
        <v>0</v>
      </c>
      <c r="DS250" s="804">
        <v>0</v>
      </c>
      <c r="DT250" s="804">
        <v>0</v>
      </c>
      <c r="DU250" s="804">
        <v>0</v>
      </c>
      <c r="DV250" s="804">
        <v>0</v>
      </c>
      <c r="DW250" s="804">
        <v>0</v>
      </c>
      <c r="DX250" s="804">
        <v>195539</v>
      </c>
      <c r="DY250" s="804">
        <v>43997</v>
      </c>
      <c r="DZ250" s="804">
        <v>4889</v>
      </c>
      <c r="EA250" s="804">
        <v>244425</v>
      </c>
      <c r="EB250" s="804">
        <v>1809881</v>
      </c>
      <c r="EC250" s="804">
        <v>370130</v>
      </c>
      <c r="ED250" s="804">
        <v>40242</v>
      </c>
      <c r="EE250" s="804">
        <v>2220253</v>
      </c>
      <c r="EF250" s="604" t="s">
        <v>374</v>
      </c>
      <c r="EG250" s="497" t="s">
        <v>609</v>
      </c>
      <c r="EH250" s="630" t="s">
        <v>608</v>
      </c>
      <c r="EI250" s="118" t="s">
        <v>1901</v>
      </c>
    </row>
    <row r="251" spans="1:139" ht="12.75" x14ac:dyDescent="0.2">
      <c r="A251" s="805">
        <v>244</v>
      </c>
      <c r="B251" s="606" t="s">
        <v>377</v>
      </c>
      <c r="C251" s="607" t="s">
        <v>1192</v>
      </c>
      <c r="D251" s="608" t="s">
        <v>1197</v>
      </c>
      <c r="E251" s="609" t="s">
        <v>376</v>
      </c>
      <c r="F251" s="802">
        <v>30084436</v>
      </c>
      <c r="G251" s="804">
        <v>0</v>
      </c>
      <c r="H251" s="804">
        <v>410840</v>
      </c>
      <c r="I251" s="804">
        <v>142510</v>
      </c>
      <c r="J251" s="804">
        <v>0</v>
      </c>
      <c r="K251" s="804">
        <v>142510</v>
      </c>
      <c r="L251" s="804">
        <v>0</v>
      </c>
      <c r="M251" s="804">
        <v>0</v>
      </c>
      <c r="N251" s="804">
        <v>0</v>
      </c>
      <c r="O251" s="804">
        <v>0</v>
      </c>
      <c r="P251" s="804">
        <v>0</v>
      </c>
      <c r="Q251" s="804">
        <v>0</v>
      </c>
      <c r="R251" s="804">
        <v>29531086</v>
      </c>
      <c r="S251" s="804">
        <v>0.5</v>
      </c>
      <c r="T251" s="804">
        <v>0.49</v>
      </c>
      <c r="U251" s="804">
        <v>0</v>
      </c>
      <c r="V251" s="804">
        <v>0.01</v>
      </c>
      <c r="W251" s="804">
        <v>1</v>
      </c>
      <c r="X251" s="804">
        <v>14765543</v>
      </c>
      <c r="Y251" s="804">
        <v>14470232</v>
      </c>
      <c r="Z251" s="804">
        <v>0</v>
      </c>
      <c r="AA251" s="804">
        <v>295311</v>
      </c>
      <c r="AB251" s="804">
        <v>29531086</v>
      </c>
      <c r="AC251" s="804">
        <v>0</v>
      </c>
      <c r="AD251" s="804">
        <v>0</v>
      </c>
      <c r="AE251" s="804">
        <v>0</v>
      </c>
      <c r="AF251" s="804">
        <v>0</v>
      </c>
      <c r="AG251" s="804">
        <v>0</v>
      </c>
      <c r="AH251" s="804">
        <v>14765543</v>
      </c>
      <c r="AI251" s="804">
        <v>14470232</v>
      </c>
      <c r="AJ251" s="804">
        <v>0</v>
      </c>
      <c r="AK251" s="804">
        <v>295311</v>
      </c>
      <c r="AL251" s="804">
        <v>29531086</v>
      </c>
      <c r="AM251" s="804">
        <v>142510</v>
      </c>
      <c r="AN251" s="804">
        <v>142510</v>
      </c>
      <c r="AO251" s="804">
        <v>0</v>
      </c>
      <c r="AP251" s="804">
        <v>0</v>
      </c>
      <c r="AQ251" s="804">
        <v>0</v>
      </c>
      <c r="AR251" s="804">
        <v>0</v>
      </c>
      <c r="AS251" s="804">
        <v>0</v>
      </c>
      <c r="AT251" s="804">
        <v>0</v>
      </c>
      <c r="AU251" s="804">
        <v>0</v>
      </c>
      <c r="AV251" s="804">
        <v>0</v>
      </c>
      <c r="AW251" s="804">
        <v>0</v>
      </c>
      <c r="AX251" s="804">
        <v>0</v>
      </c>
      <c r="AY251" s="804">
        <v>0</v>
      </c>
      <c r="AZ251" s="804">
        <v>0</v>
      </c>
      <c r="BA251" s="804">
        <v>0</v>
      </c>
      <c r="BB251" s="804">
        <v>0</v>
      </c>
      <c r="BC251" s="804">
        <v>0</v>
      </c>
      <c r="BD251" s="804">
        <v>0</v>
      </c>
      <c r="BE251" s="804">
        <v>0</v>
      </c>
      <c r="BF251" s="804">
        <v>0</v>
      </c>
      <c r="BG251" s="804">
        <v>0</v>
      </c>
      <c r="BH251" s="804">
        <v>0</v>
      </c>
      <c r="BI251" s="804">
        <v>0</v>
      </c>
      <c r="BJ251" s="804">
        <v>0.5</v>
      </c>
      <c r="BK251" s="804">
        <v>0.49</v>
      </c>
      <c r="BL251" s="804">
        <v>0</v>
      </c>
      <c r="BM251" s="804">
        <v>0.01</v>
      </c>
      <c r="BN251" s="804">
        <v>1</v>
      </c>
      <c r="BO251" s="804">
        <v>26097.999999998137</v>
      </c>
      <c r="BP251" s="804">
        <v>25576</v>
      </c>
      <c r="BQ251" s="804">
        <v>0</v>
      </c>
      <c r="BR251" s="804">
        <v>522</v>
      </c>
      <c r="BS251" s="804">
        <v>52195.999999998137</v>
      </c>
      <c r="BT251" s="804">
        <v>0.5</v>
      </c>
      <c r="BU251" s="804">
        <v>0.49</v>
      </c>
      <c r="BV251" s="804">
        <v>0</v>
      </c>
      <c r="BW251" s="804">
        <v>0.01</v>
      </c>
      <c r="BX251" s="804">
        <v>1</v>
      </c>
      <c r="BY251" s="804">
        <v>-361180.41999999993</v>
      </c>
      <c r="BZ251" s="804">
        <v>-353957</v>
      </c>
      <c r="CA251" s="804">
        <v>0</v>
      </c>
      <c r="CB251" s="804">
        <v>-7224</v>
      </c>
      <c r="CC251" s="804">
        <v>-722361.41999999993</v>
      </c>
      <c r="CD251" s="804">
        <v>-335082</v>
      </c>
      <c r="CE251" s="804">
        <v>-328381</v>
      </c>
      <c r="CF251" s="804">
        <v>0</v>
      </c>
      <c r="CG251" s="804">
        <v>-6702</v>
      </c>
      <c r="CH251" s="804">
        <v>-670165.42000000179</v>
      </c>
      <c r="CI251" s="804">
        <v>14430461</v>
      </c>
      <c r="CJ251" s="804">
        <v>14284361</v>
      </c>
      <c r="CK251" s="804">
        <v>0</v>
      </c>
      <c r="CL251" s="804">
        <v>288609</v>
      </c>
      <c r="CM251" s="804">
        <v>29003431</v>
      </c>
      <c r="CN251" s="804">
        <v>579969</v>
      </c>
      <c r="CO251" s="804">
        <v>0</v>
      </c>
      <c r="CP251" s="804">
        <v>11836</v>
      </c>
      <c r="CQ251" s="804">
        <v>591805</v>
      </c>
      <c r="CR251" s="804">
        <v>1484478</v>
      </c>
      <c r="CS251" s="804">
        <v>0</v>
      </c>
      <c r="CT251" s="804">
        <v>30295</v>
      </c>
      <c r="CU251" s="804">
        <v>1514773</v>
      </c>
      <c r="CV251" s="804">
        <v>80887</v>
      </c>
      <c r="CW251" s="804">
        <v>0</v>
      </c>
      <c r="CX251" s="804">
        <v>1651</v>
      </c>
      <c r="CY251" s="804">
        <v>82538</v>
      </c>
      <c r="CZ251" s="804">
        <v>0</v>
      </c>
      <c r="DA251" s="804">
        <v>0</v>
      </c>
      <c r="DB251" s="804">
        <v>0</v>
      </c>
      <c r="DC251" s="804">
        <v>0</v>
      </c>
      <c r="DD251" s="804">
        <v>0</v>
      </c>
      <c r="DE251" s="804">
        <v>0</v>
      </c>
      <c r="DF251" s="804">
        <v>0</v>
      </c>
      <c r="DG251" s="804">
        <v>0</v>
      </c>
      <c r="DH251" s="804">
        <v>15289</v>
      </c>
      <c r="DI251" s="804">
        <v>0</v>
      </c>
      <c r="DJ251" s="804">
        <v>312</v>
      </c>
      <c r="DK251" s="804">
        <v>15601</v>
      </c>
      <c r="DL251" s="804">
        <v>3058</v>
      </c>
      <c r="DM251" s="804">
        <v>0</v>
      </c>
      <c r="DN251" s="804">
        <v>62</v>
      </c>
      <c r="DO251" s="804">
        <v>3120</v>
      </c>
      <c r="DP251" s="804">
        <v>0</v>
      </c>
      <c r="DQ251" s="804">
        <v>0</v>
      </c>
      <c r="DR251" s="804">
        <v>0</v>
      </c>
      <c r="DS251" s="804">
        <v>0</v>
      </c>
      <c r="DT251" s="804">
        <v>0</v>
      </c>
      <c r="DU251" s="804">
        <v>0</v>
      </c>
      <c r="DV251" s="804">
        <v>0</v>
      </c>
      <c r="DW251" s="804">
        <v>0</v>
      </c>
      <c r="DX251" s="804">
        <v>473964</v>
      </c>
      <c r="DY251" s="804">
        <v>0</v>
      </c>
      <c r="DZ251" s="804">
        <v>9673</v>
      </c>
      <c r="EA251" s="804">
        <v>483637</v>
      </c>
      <c r="EB251" s="804">
        <v>2637645</v>
      </c>
      <c r="EC251" s="804">
        <v>0</v>
      </c>
      <c r="ED251" s="804">
        <v>53829</v>
      </c>
      <c r="EE251" s="804">
        <v>2691474</v>
      </c>
      <c r="EF251" s="604" t="s">
        <v>376</v>
      </c>
      <c r="EG251" s="497" t="s">
        <v>616</v>
      </c>
      <c r="EH251" s="630" t="s">
        <v>620</v>
      </c>
      <c r="EI251" s="118" t="s">
        <v>1902</v>
      </c>
    </row>
    <row r="252" spans="1:139" ht="12.75" x14ac:dyDescent="0.2">
      <c r="A252" s="805">
        <v>245</v>
      </c>
      <c r="B252" s="606" t="s">
        <v>379</v>
      </c>
      <c r="C252" s="607" t="s">
        <v>524</v>
      </c>
      <c r="D252" s="608" t="s">
        <v>1186</v>
      </c>
      <c r="E252" s="609" t="s">
        <v>574</v>
      </c>
      <c r="F252" s="802">
        <v>107116658</v>
      </c>
      <c r="G252" s="804">
        <v>0</v>
      </c>
      <c r="H252" s="804">
        <v>975034</v>
      </c>
      <c r="I252" s="804">
        <v>308058</v>
      </c>
      <c r="J252" s="804">
        <v>0</v>
      </c>
      <c r="K252" s="804">
        <v>308058</v>
      </c>
      <c r="L252" s="804">
        <v>0</v>
      </c>
      <c r="M252" s="804">
        <v>0</v>
      </c>
      <c r="N252" s="804">
        <v>0</v>
      </c>
      <c r="O252" s="804">
        <v>0</v>
      </c>
      <c r="P252" s="804">
        <v>0</v>
      </c>
      <c r="Q252" s="804">
        <v>0</v>
      </c>
      <c r="R252" s="804">
        <v>105833566</v>
      </c>
      <c r="S252" s="804">
        <v>0.5</v>
      </c>
      <c r="T252" s="804">
        <v>0.49</v>
      </c>
      <c r="U252" s="804">
        <v>0</v>
      </c>
      <c r="V252" s="804">
        <v>0.01</v>
      </c>
      <c r="W252" s="804">
        <v>1</v>
      </c>
      <c r="X252" s="804">
        <v>52916783</v>
      </c>
      <c r="Y252" s="804">
        <v>51858447</v>
      </c>
      <c r="Z252" s="804">
        <v>0</v>
      </c>
      <c r="AA252" s="804">
        <v>1058336</v>
      </c>
      <c r="AB252" s="804">
        <v>105833566</v>
      </c>
      <c r="AC252" s="804">
        <v>0</v>
      </c>
      <c r="AD252" s="804">
        <v>0</v>
      </c>
      <c r="AE252" s="804">
        <v>0</v>
      </c>
      <c r="AF252" s="804">
        <v>0</v>
      </c>
      <c r="AG252" s="804">
        <v>0</v>
      </c>
      <c r="AH252" s="804">
        <v>52916783</v>
      </c>
      <c r="AI252" s="804">
        <v>51858447</v>
      </c>
      <c r="AJ252" s="804">
        <v>0</v>
      </c>
      <c r="AK252" s="804">
        <v>1058336</v>
      </c>
      <c r="AL252" s="804">
        <v>105833566</v>
      </c>
      <c r="AM252" s="804">
        <v>308058</v>
      </c>
      <c r="AN252" s="804">
        <v>308058</v>
      </c>
      <c r="AO252" s="804">
        <v>0</v>
      </c>
      <c r="AP252" s="804">
        <v>0</v>
      </c>
      <c r="AQ252" s="804">
        <v>0</v>
      </c>
      <c r="AR252" s="804">
        <v>0</v>
      </c>
      <c r="AS252" s="804">
        <v>0</v>
      </c>
      <c r="AT252" s="804">
        <v>0</v>
      </c>
      <c r="AU252" s="804">
        <v>0</v>
      </c>
      <c r="AV252" s="804">
        <v>0</v>
      </c>
      <c r="AW252" s="804">
        <v>0</v>
      </c>
      <c r="AX252" s="804">
        <v>0</v>
      </c>
      <c r="AY252" s="804">
        <v>0</v>
      </c>
      <c r="AZ252" s="804">
        <v>0</v>
      </c>
      <c r="BA252" s="804">
        <v>0</v>
      </c>
      <c r="BB252" s="804">
        <v>0</v>
      </c>
      <c r="BC252" s="804">
        <v>0</v>
      </c>
      <c r="BD252" s="804">
        <v>0</v>
      </c>
      <c r="BE252" s="804">
        <v>0</v>
      </c>
      <c r="BF252" s="804">
        <v>0</v>
      </c>
      <c r="BG252" s="804">
        <v>0</v>
      </c>
      <c r="BH252" s="804">
        <v>0</v>
      </c>
      <c r="BI252" s="804">
        <v>0</v>
      </c>
      <c r="BJ252" s="804">
        <v>0.25</v>
      </c>
      <c r="BK252" s="804">
        <v>0.74</v>
      </c>
      <c r="BL252" s="804">
        <v>0</v>
      </c>
      <c r="BM252" s="804">
        <v>0.01</v>
      </c>
      <c r="BN252" s="804">
        <v>1</v>
      </c>
      <c r="BO252" s="804">
        <v>-440415</v>
      </c>
      <c r="BP252" s="804">
        <v>-1303629</v>
      </c>
      <c r="BQ252" s="804">
        <v>0</v>
      </c>
      <c r="BR252" s="804">
        <v>-17617</v>
      </c>
      <c r="BS252" s="804">
        <v>-1761661</v>
      </c>
      <c r="BT252" s="804">
        <v>0</v>
      </c>
      <c r="BU252" s="804">
        <v>0.99</v>
      </c>
      <c r="BV252" s="804">
        <v>0</v>
      </c>
      <c r="BW252" s="804">
        <v>0.01</v>
      </c>
      <c r="BX252" s="804">
        <v>1</v>
      </c>
      <c r="BY252" s="804">
        <v>0</v>
      </c>
      <c r="BZ252" s="804">
        <v>2243199</v>
      </c>
      <c r="CA252" s="804">
        <v>0</v>
      </c>
      <c r="CB252" s="804">
        <v>22659</v>
      </c>
      <c r="CC252" s="804">
        <v>2265858</v>
      </c>
      <c r="CD252" s="804">
        <v>-440415</v>
      </c>
      <c r="CE252" s="804">
        <v>939570</v>
      </c>
      <c r="CF252" s="804">
        <v>0</v>
      </c>
      <c r="CG252" s="804">
        <v>5042</v>
      </c>
      <c r="CH252" s="804">
        <v>504197</v>
      </c>
      <c r="CI252" s="804">
        <v>52476368</v>
      </c>
      <c r="CJ252" s="804">
        <v>53106075</v>
      </c>
      <c r="CK252" s="804">
        <v>0</v>
      </c>
      <c r="CL252" s="804">
        <v>1063378</v>
      </c>
      <c r="CM252" s="804">
        <v>106645821</v>
      </c>
      <c r="CN252" s="804">
        <v>2078495</v>
      </c>
      <c r="CO252" s="804">
        <v>0</v>
      </c>
      <c r="CP252" s="804">
        <v>42418</v>
      </c>
      <c r="CQ252" s="804">
        <v>2120913</v>
      </c>
      <c r="CR252" s="804">
        <v>2290079</v>
      </c>
      <c r="CS252" s="804">
        <v>0</v>
      </c>
      <c r="CT252" s="804">
        <v>46736</v>
      </c>
      <c r="CU252" s="804">
        <v>2336815</v>
      </c>
      <c r="CV252" s="804">
        <v>199472</v>
      </c>
      <c r="CW252" s="804">
        <v>0</v>
      </c>
      <c r="CX252" s="804">
        <v>4071</v>
      </c>
      <c r="CY252" s="804">
        <v>203543</v>
      </c>
      <c r="CZ252" s="804">
        <v>5734</v>
      </c>
      <c r="DA252" s="804">
        <v>0</v>
      </c>
      <c r="DB252" s="804">
        <v>117</v>
      </c>
      <c r="DC252" s="804">
        <v>5851</v>
      </c>
      <c r="DD252" s="804">
        <v>0</v>
      </c>
      <c r="DE252" s="804">
        <v>0</v>
      </c>
      <c r="DF252" s="804">
        <v>0</v>
      </c>
      <c r="DG252" s="804">
        <v>0</v>
      </c>
      <c r="DH252" s="804">
        <v>8868</v>
      </c>
      <c r="DI252" s="804">
        <v>0</v>
      </c>
      <c r="DJ252" s="804">
        <v>181</v>
      </c>
      <c r="DK252" s="804">
        <v>9049</v>
      </c>
      <c r="DL252" s="804">
        <v>5892</v>
      </c>
      <c r="DM252" s="804">
        <v>0</v>
      </c>
      <c r="DN252" s="804">
        <v>120</v>
      </c>
      <c r="DO252" s="804">
        <v>6012</v>
      </c>
      <c r="DP252" s="804">
        <v>0</v>
      </c>
      <c r="DQ252" s="804">
        <v>0</v>
      </c>
      <c r="DR252" s="804">
        <v>0</v>
      </c>
      <c r="DS252" s="804">
        <v>0</v>
      </c>
      <c r="DT252" s="804">
        <v>0</v>
      </c>
      <c r="DU252" s="804">
        <v>0</v>
      </c>
      <c r="DV252" s="804">
        <v>0</v>
      </c>
      <c r="DW252" s="804">
        <v>0</v>
      </c>
      <c r="DX252" s="804">
        <v>1052262</v>
      </c>
      <c r="DY252" s="804">
        <v>0</v>
      </c>
      <c r="DZ252" s="804">
        <v>21475</v>
      </c>
      <c r="EA252" s="804">
        <v>1073737</v>
      </c>
      <c r="EB252" s="804">
        <v>5640802</v>
      </c>
      <c r="EC252" s="804">
        <v>0</v>
      </c>
      <c r="ED252" s="804">
        <v>115118</v>
      </c>
      <c r="EE252" s="804">
        <v>5755920</v>
      </c>
      <c r="EF252" s="604" t="s">
        <v>574</v>
      </c>
      <c r="EG252" s="497" t="s">
        <v>524</v>
      </c>
      <c r="EH252" s="630" t="s">
        <v>573</v>
      </c>
      <c r="EI252" s="118" t="s">
        <v>1903</v>
      </c>
    </row>
    <row r="253" spans="1:139" ht="12.75" x14ac:dyDescent="0.2">
      <c r="A253" s="805">
        <v>246</v>
      </c>
      <c r="B253" s="606" t="s">
        <v>381</v>
      </c>
      <c r="C253" s="607" t="s">
        <v>524</v>
      </c>
      <c r="D253" s="608" t="s">
        <v>1189</v>
      </c>
      <c r="E253" s="609" t="s">
        <v>567</v>
      </c>
      <c r="F253" s="802">
        <v>43432752</v>
      </c>
      <c r="G253" s="804">
        <v>0</v>
      </c>
      <c r="H253" s="804">
        <v>180927</v>
      </c>
      <c r="I253" s="804">
        <v>224201</v>
      </c>
      <c r="J253" s="804">
        <v>0</v>
      </c>
      <c r="K253" s="804">
        <v>224201</v>
      </c>
      <c r="L253" s="804">
        <v>0</v>
      </c>
      <c r="M253" s="804">
        <v>0</v>
      </c>
      <c r="N253" s="804">
        <v>0</v>
      </c>
      <c r="O253" s="804">
        <v>0</v>
      </c>
      <c r="P253" s="804">
        <v>0</v>
      </c>
      <c r="Q253" s="804">
        <v>0</v>
      </c>
      <c r="R253" s="804">
        <v>43027624</v>
      </c>
      <c r="S253" s="804">
        <v>0.5</v>
      </c>
      <c r="T253" s="804">
        <v>0.49</v>
      </c>
      <c r="U253" s="804">
        <v>0</v>
      </c>
      <c r="V253" s="804">
        <v>0.01</v>
      </c>
      <c r="W253" s="804">
        <v>1</v>
      </c>
      <c r="X253" s="804">
        <v>21513812</v>
      </c>
      <c r="Y253" s="804">
        <v>21083536</v>
      </c>
      <c r="Z253" s="804">
        <v>0</v>
      </c>
      <c r="AA253" s="804">
        <v>430276</v>
      </c>
      <c r="AB253" s="804">
        <v>43027624</v>
      </c>
      <c r="AC253" s="804">
        <v>0</v>
      </c>
      <c r="AD253" s="804">
        <v>0</v>
      </c>
      <c r="AE253" s="804">
        <v>0</v>
      </c>
      <c r="AF253" s="804">
        <v>0</v>
      </c>
      <c r="AG253" s="804">
        <v>0</v>
      </c>
      <c r="AH253" s="804">
        <v>21513812</v>
      </c>
      <c r="AI253" s="804">
        <v>21083536</v>
      </c>
      <c r="AJ253" s="804">
        <v>0</v>
      </c>
      <c r="AK253" s="804">
        <v>430276</v>
      </c>
      <c r="AL253" s="804">
        <v>43027624</v>
      </c>
      <c r="AM253" s="804">
        <v>224201</v>
      </c>
      <c r="AN253" s="804">
        <v>224201</v>
      </c>
      <c r="AO253" s="804">
        <v>0</v>
      </c>
      <c r="AP253" s="804">
        <v>0</v>
      </c>
      <c r="AQ253" s="804">
        <v>0</v>
      </c>
      <c r="AR253" s="804">
        <v>0</v>
      </c>
      <c r="AS253" s="804">
        <v>0</v>
      </c>
      <c r="AT253" s="804">
        <v>0</v>
      </c>
      <c r="AU253" s="804">
        <v>0</v>
      </c>
      <c r="AV253" s="804">
        <v>0</v>
      </c>
      <c r="AW253" s="804">
        <v>0</v>
      </c>
      <c r="AX253" s="804">
        <v>0</v>
      </c>
      <c r="AY253" s="804">
        <v>0</v>
      </c>
      <c r="AZ253" s="804">
        <v>0</v>
      </c>
      <c r="BA253" s="804">
        <v>0</v>
      </c>
      <c r="BB253" s="804">
        <v>0</v>
      </c>
      <c r="BC253" s="804">
        <v>0</v>
      </c>
      <c r="BD253" s="804">
        <v>0</v>
      </c>
      <c r="BE253" s="804">
        <v>0</v>
      </c>
      <c r="BF253" s="804">
        <v>0</v>
      </c>
      <c r="BG253" s="804">
        <v>0</v>
      </c>
      <c r="BH253" s="804">
        <v>0</v>
      </c>
      <c r="BI253" s="804">
        <v>0</v>
      </c>
      <c r="BJ253" s="804">
        <v>0.5</v>
      </c>
      <c r="BK253" s="804">
        <v>0.49</v>
      </c>
      <c r="BL253" s="804">
        <v>0</v>
      </c>
      <c r="BM253" s="804">
        <v>0.01</v>
      </c>
      <c r="BN253" s="804">
        <v>1</v>
      </c>
      <c r="BO253" s="804">
        <v>-75363</v>
      </c>
      <c r="BP253" s="804">
        <v>-73856</v>
      </c>
      <c r="BQ253" s="804">
        <v>0</v>
      </c>
      <c r="BR253" s="804">
        <v>-1507</v>
      </c>
      <c r="BS253" s="804">
        <v>-150726</v>
      </c>
      <c r="BT253" s="804">
        <v>0.5</v>
      </c>
      <c r="BU253" s="804">
        <v>0.49</v>
      </c>
      <c r="BV253" s="804">
        <v>0</v>
      </c>
      <c r="BW253" s="804">
        <v>0.01</v>
      </c>
      <c r="BX253" s="804">
        <v>1</v>
      </c>
      <c r="BY253" s="804">
        <v>-110274.77000000328</v>
      </c>
      <c r="BZ253" s="804">
        <v>-108068</v>
      </c>
      <c r="CA253" s="804">
        <v>0</v>
      </c>
      <c r="CB253" s="804">
        <v>-2205</v>
      </c>
      <c r="CC253" s="804">
        <v>-220547.77000000328</v>
      </c>
      <c r="CD253" s="804">
        <v>-185637</v>
      </c>
      <c r="CE253" s="804">
        <v>-181924</v>
      </c>
      <c r="CF253" s="804">
        <v>0</v>
      </c>
      <c r="CG253" s="804">
        <v>-3713</v>
      </c>
      <c r="CH253" s="804">
        <v>-371273.77000000328</v>
      </c>
      <c r="CI253" s="804">
        <v>21328175</v>
      </c>
      <c r="CJ253" s="804">
        <v>21125813</v>
      </c>
      <c r="CK253" s="804">
        <v>0</v>
      </c>
      <c r="CL253" s="804">
        <v>426563</v>
      </c>
      <c r="CM253" s="804">
        <v>42880551</v>
      </c>
      <c r="CN253" s="804">
        <v>845032</v>
      </c>
      <c r="CO253" s="804">
        <v>0</v>
      </c>
      <c r="CP253" s="804">
        <v>17246</v>
      </c>
      <c r="CQ253" s="804">
        <v>862278</v>
      </c>
      <c r="CR253" s="804">
        <v>2761486</v>
      </c>
      <c r="CS253" s="804">
        <v>0</v>
      </c>
      <c r="CT253" s="804">
        <v>56357</v>
      </c>
      <c r="CU253" s="804">
        <v>2817843</v>
      </c>
      <c r="CV253" s="804">
        <v>124872</v>
      </c>
      <c r="CW253" s="804">
        <v>0</v>
      </c>
      <c r="CX253" s="804">
        <v>2548</v>
      </c>
      <c r="CY253" s="804">
        <v>127420</v>
      </c>
      <c r="CZ253" s="804">
        <v>8026</v>
      </c>
      <c r="DA253" s="804">
        <v>0</v>
      </c>
      <c r="DB253" s="804">
        <v>164</v>
      </c>
      <c r="DC253" s="804">
        <v>8190</v>
      </c>
      <c r="DD253" s="804">
        <v>0</v>
      </c>
      <c r="DE253" s="804">
        <v>0</v>
      </c>
      <c r="DF253" s="804">
        <v>0</v>
      </c>
      <c r="DG253" s="804">
        <v>0</v>
      </c>
      <c r="DH253" s="804">
        <v>12502</v>
      </c>
      <c r="DI253" s="804">
        <v>0</v>
      </c>
      <c r="DJ253" s="804">
        <v>255</v>
      </c>
      <c r="DK253" s="804">
        <v>12757</v>
      </c>
      <c r="DL253" s="804">
        <v>4694</v>
      </c>
      <c r="DM253" s="804">
        <v>0</v>
      </c>
      <c r="DN253" s="804">
        <v>96</v>
      </c>
      <c r="DO253" s="804">
        <v>4790</v>
      </c>
      <c r="DP253" s="804">
        <v>0</v>
      </c>
      <c r="DQ253" s="804">
        <v>0</v>
      </c>
      <c r="DR253" s="804">
        <v>0</v>
      </c>
      <c r="DS253" s="804">
        <v>0</v>
      </c>
      <c r="DT253" s="804">
        <v>0</v>
      </c>
      <c r="DU253" s="804">
        <v>0</v>
      </c>
      <c r="DV253" s="804">
        <v>0</v>
      </c>
      <c r="DW253" s="804">
        <v>0</v>
      </c>
      <c r="DX253" s="804">
        <v>603004</v>
      </c>
      <c r="DY253" s="804">
        <v>0</v>
      </c>
      <c r="DZ253" s="804">
        <v>12306</v>
      </c>
      <c r="EA253" s="804">
        <v>615310</v>
      </c>
      <c r="EB253" s="804">
        <v>4359616</v>
      </c>
      <c r="EC253" s="804">
        <v>0</v>
      </c>
      <c r="ED253" s="804">
        <v>88972</v>
      </c>
      <c r="EE253" s="804">
        <v>4448588</v>
      </c>
      <c r="EF253" s="604" t="s">
        <v>567</v>
      </c>
      <c r="EG253" s="497" t="s">
        <v>524</v>
      </c>
      <c r="EH253" s="630" t="s">
        <v>568</v>
      </c>
      <c r="EI253" s="118" t="s">
        <v>1904</v>
      </c>
    </row>
    <row r="254" spans="1:139" ht="12.75" x14ac:dyDescent="0.2">
      <c r="A254" s="805">
        <v>247</v>
      </c>
      <c r="B254" s="606" t="s">
        <v>383</v>
      </c>
      <c r="C254" s="607" t="s">
        <v>1196</v>
      </c>
      <c r="D254" s="608" t="s">
        <v>1191</v>
      </c>
      <c r="E254" s="609" t="s">
        <v>382</v>
      </c>
      <c r="F254" s="802">
        <v>333497974</v>
      </c>
      <c r="G254" s="804">
        <v>5027565</v>
      </c>
      <c r="H254" s="804">
        <v>0</v>
      </c>
      <c r="I254" s="804">
        <v>768851</v>
      </c>
      <c r="J254" s="804">
        <v>0</v>
      </c>
      <c r="K254" s="804">
        <v>768851</v>
      </c>
      <c r="L254" s="804">
        <v>0</v>
      </c>
      <c r="M254" s="804">
        <v>0</v>
      </c>
      <c r="N254" s="804">
        <v>0</v>
      </c>
      <c r="O254" s="804">
        <v>0</v>
      </c>
      <c r="P254" s="804">
        <v>0</v>
      </c>
      <c r="Q254" s="804">
        <v>0</v>
      </c>
      <c r="R254" s="804">
        <v>337756688</v>
      </c>
      <c r="S254" s="804">
        <v>0.33</v>
      </c>
      <c r="T254" s="804">
        <v>0.3</v>
      </c>
      <c r="U254" s="804">
        <v>0.37</v>
      </c>
      <c r="V254" s="804">
        <v>0</v>
      </c>
      <c r="W254" s="804">
        <v>1</v>
      </c>
      <c r="X254" s="804">
        <v>111459707</v>
      </c>
      <c r="Y254" s="804">
        <v>101327006</v>
      </c>
      <c r="Z254" s="804">
        <v>124969975</v>
      </c>
      <c r="AA254" s="804">
        <v>0</v>
      </c>
      <c r="AB254" s="804">
        <v>337756688</v>
      </c>
      <c r="AC254" s="804">
        <v>0</v>
      </c>
      <c r="AD254" s="804">
        <v>0</v>
      </c>
      <c r="AE254" s="804">
        <v>0</v>
      </c>
      <c r="AF254" s="804">
        <v>0</v>
      </c>
      <c r="AG254" s="804">
        <v>0</v>
      </c>
      <c r="AH254" s="804">
        <v>111459707</v>
      </c>
      <c r="AI254" s="804">
        <v>101327006</v>
      </c>
      <c r="AJ254" s="804">
        <v>124969975</v>
      </c>
      <c r="AK254" s="804">
        <v>0</v>
      </c>
      <c r="AL254" s="804">
        <v>337756688</v>
      </c>
      <c r="AM254" s="804">
        <v>768851</v>
      </c>
      <c r="AN254" s="804">
        <v>768851</v>
      </c>
      <c r="AO254" s="804">
        <v>0</v>
      </c>
      <c r="AP254" s="804">
        <v>0</v>
      </c>
      <c r="AQ254" s="804">
        <v>0</v>
      </c>
      <c r="AR254" s="804">
        <v>0</v>
      </c>
      <c r="AS254" s="804">
        <v>0</v>
      </c>
      <c r="AT254" s="804">
        <v>0</v>
      </c>
      <c r="AU254" s="804">
        <v>0</v>
      </c>
      <c r="AV254" s="804">
        <v>0</v>
      </c>
      <c r="AW254" s="804">
        <v>0</v>
      </c>
      <c r="AX254" s="804">
        <v>0</v>
      </c>
      <c r="AY254" s="804">
        <v>0</v>
      </c>
      <c r="AZ254" s="804">
        <v>0</v>
      </c>
      <c r="BA254" s="804">
        <v>0</v>
      </c>
      <c r="BB254" s="804">
        <v>0</v>
      </c>
      <c r="BC254" s="804">
        <v>0</v>
      </c>
      <c r="BD254" s="804">
        <v>0</v>
      </c>
      <c r="BE254" s="804">
        <v>0</v>
      </c>
      <c r="BF254" s="804">
        <v>0</v>
      </c>
      <c r="BG254" s="804">
        <v>0</v>
      </c>
      <c r="BH254" s="804">
        <v>0</v>
      </c>
      <c r="BI254" s="804">
        <v>0</v>
      </c>
      <c r="BJ254" s="804">
        <v>0.25</v>
      </c>
      <c r="BK254" s="804">
        <v>0.48</v>
      </c>
      <c r="BL254" s="804">
        <v>0.27</v>
      </c>
      <c r="BM254" s="804">
        <v>0</v>
      </c>
      <c r="BN254" s="804">
        <v>1</v>
      </c>
      <c r="BO254" s="804">
        <v>-91232</v>
      </c>
      <c r="BP254" s="804">
        <v>-175165</v>
      </c>
      <c r="BQ254" s="804">
        <v>-98530</v>
      </c>
      <c r="BR254" s="804">
        <v>0</v>
      </c>
      <c r="BS254" s="804">
        <v>-364927</v>
      </c>
      <c r="BT254" s="804">
        <v>0</v>
      </c>
      <c r="BU254" s="804">
        <v>0.64</v>
      </c>
      <c r="BV254" s="804">
        <v>0.36</v>
      </c>
      <c r="BW254" s="804">
        <v>0</v>
      </c>
      <c r="BX254" s="804">
        <v>1</v>
      </c>
      <c r="BY254" s="804">
        <v>0</v>
      </c>
      <c r="BZ254" s="804">
        <v>-16487975</v>
      </c>
      <c r="CA254" s="804">
        <v>-9274486</v>
      </c>
      <c r="CB254" s="804">
        <v>0</v>
      </c>
      <c r="CC254" s="804">
        <v>-25762461</v>
      </c>
      <c r="CD254" s="804">
        <v>-91232</v>
      </c>
      <c r="CE254" s="804">
        <v>-16663140</v>
      </c>
      <c r="CF254" s="804">
        <v>-9373016</v>
      </c>
      <c r="CG254" s="804">
        <v>0</v>
      </c>
      <c r="CH254" s="804">
        <v>-26127388</v>
      </c>
      <c r="CI254" s="804">
        <v>111368475</v>
      </c>
      <c r="CJ254" s="804">
        <v>85432717</v>
      </c>
      <c r="CK254" s="804">
        <v>115596959</v>
      </c>
      <c r="CL254" s="804">
        <v>0</v>
      </c>
      <c r="CM254" s="804">
        <v>312398151</v>
      </c>
      <c r="CN254" s="804">
        <v>4061203</v>
      </c>
      <c r="CO254" s="804">
        <v>5008817</v>
      </c>
      <c r="CP254" s="804">
        <v>0</v>
      </c>
      <c r="CQ254" s="804">
        <v>9070020</v>
      </c>
      <c r="CR254" s="804">
        <v>2339788</v>
      </c>
      <c r="CS254" s="804">
        <v>2885738</v>
      </c>
      <c r="CT254" s="804">
        <v>0</v>
      </c>
      <c r="CU254" s="804">
        <v>5225526</v>
      </c>
      <c r="CV254" s="804">
        <v>193547</v>
      </c>
      <c r="CW254" s="804">
        <v>238707</v>
      </c>
      <c r="CX254" s="804">
        <v>0</v>
      </c>
      <c r="CY254" s="804">
        <v>432254</v>
      </c>
      <c r="CZ254" s="804">
        <v>0</v>
      </c>
      <c r="DA254" s="804">
        <v>0</v>
      </c>
      <c r="DB254" s="804">
        <v>0</v>
      </c>
      <c r="DC254" s="804">
        <v>0</v>
      </c>
      <c r="DD254" s="804">
        <v>0</v>
      </c>
      <c r="DE254" s="804">
        <v>0</v>
      </c>
      <c r="DF254" s="804">
        <v>0</v>
      </c>
      <c r="DG254" s="804">
        <v>0</v>
      </c>
      <c r="DH254" s="804">
        <v>151827</v>
      </c>
      <c r="DI254" s="804">
        <v>187253</v>
      </c>
      <c r="DJ254" s="804">
        <v>0</v>
      </c>
      <c r="DK254" s="804">
        <v>339080</v>
      </c>
      <c r="DL254" s="804">
        <v>31202</v>
      </c>
      <c r="DM254" s="804">
        <v>38483</v>
      </c>
      <c r="DN254" s="804">
        <v>0</v>
      </c>
      <c r="DO254" s="804">
        <v>69685</v>
      </c>
      <c r="DP254" s="804">
        <v>0</v>
      </c>
      <c r="DQ254" s="804">
        <v>0</v>
      </c>
      <c r="DR254" s="804">
        <v>0</v>
      </c>
      <c r="DS254" s="804">
        <v>0</v>
      </c>
      <c r="DT254" s="804">
        <v>0</v>
      </c>
      <c r="DU254" s="804">
        <v>0</v>
      </c>
      <c r="DV254" s="804">
        <v>0</v>
      </c>
      <c r="DW254" s="804">
        <v>0</v>
      </c>
      <c r="DX254" s="804">
        <v>1041842</v>
      </c>
      <c r="DY254" s="804">
        <v>1284937</v>
      </c>
      <c r="DZ254" s="804">
        <v>0</v>
      </c>
      <c r="EA254" s="804">
        <v>2326779</v>
      </c>
      <c r="EB254" s="804">
        <v>7819409</v>
      </c>
      <c r="EC254" s="804">
        <v>9643935</v>
      </c>
      <c r="ED254" s="804">
        <v>0</v>
      </c>
      <c r="EE254" s="804">
        <v>17463344</v>
      </c>
      <c r="EF254" s="604" t="s">
        <v>382</v>
      </c>
      <c r="EG254" s="497" t="s">
        <v>623</v>
      </c>
      <c r="EH254" s="243" t="s">
        <v>523</v>
      </c>
      <c r="EI254" s="118" t="s">
        <v>1905</v>
      </c>
    </row>
    <row r="255" spans="1:139" ht="12.75" x14ac:dyDescent="0.2">
      <c r="A255" s="805">
        <v>248</v>
      </c>
      <c r="B255" s="606" t="s">
        <v>385</v>
      </c>
      <c r="C255" s="607" t="s">
        <v>1185</v>
      </c>
      <c r="D255" s="608" t="s">
        <v>1186</v>
      </c>
      <c r="E255" s="609" t="s">
        <v>384</v>
      </c>
      <c r="F255" s="802">
        <v>47426753</v>
      </c>
      <c r="G255" s="804">
        <v>82184</v>
      </c>
      <c r="H255" s="804">
        <v>0</v>
      </c>
      <c r="I255" s="804">
        <v>122829</v>
      </c>
      <c r="J255" s="804">
        <v>0</v>
      </c>
      <c r="K255" s="804">
        <v>122829</v>
      </c>
      <c r="L255" s="804">
        <v>0</v>
      </c>
      <c r="M255" s="804">
        <v>0</v>
      </c>
      <c r="N255" s="804">
        <v>0</v>
      </c>
      <c r="O255" s="804">
        <v>0</v>
      </c>
      <c r="P255" s="804">
        <v>0</v>
      </c>
      <c r="Q255" s="804">
        <v>0</v>
      </c>
      <c r="R255" s="804">
        <v>47386108</v>
      </c>
      <c r="S255" s="804">
        <v>0.5</v>
      </c>
      <c r="T255" s="804">
        <v>0.4</v>
      </c>
      <c r="U255" s="804">
        <v>0.1</v>
      </c>
      <c r="V255" s="804">
        <v>0</v>
      </c>
      <c r="W255" s="804">
        <v>1</v>
      </c>
      <c r="X255" s="804">
        <v>23693054</v>
      </c>
      <c r="Y255" s="804">
        <v>18954443</v>
      </c>
      <c r="Z255" s="804">
        <v>4738611</v>
      </c>
      <c r="AA255" s="804">
        <v>0</v>
      </c>
      <c r="AB255" s="804">
        <v>47386108</v>
      </c>
      <c r="AC255" s="804">
        <v>0</v>
      </c>
      <c r="AD255" s="804">
        <v>0</v>
      </c>
      <c r="AE255" s="804">
        <v>0</v>
      </c>
      <c r="AF255" s="804">
        <v>0</v>
      </c>
      <c r="AG255" s="804">
        <v>0</v>
      </c>
      <c r="AH255" s="804">
        <v>23693054</v>
      </c>
      <c r="AI255" s="804">
        <v>18954443</v>
      </c>
      <c r="AJ255" s="804">
        <v>4738611</v>
      </c>
      <c r="AK255" s="804">
        <v>0</v>
      </c>
      <c r="AL255" s="804">
        <v>47386108</v>
      </c>
      <c r="AM255" s="804">
        <v>122829</v>
      </c>
      <c r="AN255" s="804">
        <v>122829</v>
      </c>
      <c r="AO255" s="804">
        <v>0</v>
      </c>
      <c r="AP255" s="804">
        <v>0</v>
      </c>
      <c r="AQ255" s="804">
        <v>0</v>
      </c>
      <c r="AR255" s="804">
        <v>0</v>
      </c>
      <c r="AS255" s="804">
        <v>0</v>
      </c>
      <c r="AT255" s="804">
        <v>0</v>
      </c>
      <c r="AU255" s="804">
        <v>0</v>
      </c>
      <c r="AV255" s="804">
        <v>0</v>
      </c>
      <c r="AW255" s="804">
        <v>0</v>
      </c>
      <c r="AX255" s="804">
        <v>0</v>
      </c>
      <c r="AY255" s="804">
        <v>0</v>
      </c>
      <c r="AZ255" s="804">
        <v>0</v>
      </c>
      <c r="BA255" s="804">
        <v>0</v>
      </c>
      <c r="BB255" s="804">
        <v>0</v>
      </c>
      <c r="BC255" s="804">
        <v>0</v>
      </c>
      <c r="BD255" s="804">
        <v>0</v>
      </c>
      <c r="BE255" s="804">
        <v>0</v>
      </c>
      <c r="BF255" s="804">
        <v>0</v>
      </c>
      <c r="BG255" s="804">
        <v>0</v>
      </c>
      <c r="BH255" s="804">
        <v>0</v>
      </c>
      <c r="BI255" s="804">
        <v>0</v>
      </c>
      <c r="BJ255" s="804">
        <v>0.5</v>
      </c>
      <c r="BK255" s="804">
        <v>0.4</v>
      </c>
      <c r="BL255" s="804">
        <v>0.1</v>
      </c>
      <c r="BM255" s="804">
        <v>0</v>
      </c>
      <c r="BN255" s="804">
        <v>1</v>
      </c>
      <c r="BO255" s="804">
        <v>1039986</v>
      </c>
      <c r="BP255" s="804">
        <v>831988</v>
      </c>
      <c r="BQ255" s="804">
        <v>207997</v>
      </c>
      <c r="BR255" s="804">
        <v>0</v>
      </c>
      <c r="BS255" s="804">
        <v>2079971</v>
      </c>
      <c r="BT255" s="804">
        <v>0</v>
      </c>
      <c r="BU255" s="804">
        <v>0.3</v>
      </c>
      <c r="BV255" s="804">
        <v>0.7</v>
      </c>
      <c r="BW255" s="804">
        <v>0</v>
      </c>
      <c r="BX255" s="804">
        <v>1</v>
      </c>
      <c r="BY255" s="804">
        <v>0</v>
      </c>
      <c r="BZ255" s="804">
        <v>-201400</v>
      </c>
      <c r="CA255" s="804">
        <v>-469934</v>
      </c>
      <c r="CB255" s="804">
        <v>0</v>
      </c>
      <c r="CC255" s="804">
        <v>-671334</v>
      </c>
      <c r="CD255" s="804">
        <v>1039986</v>
      </c>
      <c r="CE255" s="804">
        <v>630588</v>
      </c>
      <c r="CF255" s="804">
        <v>-261937</v>
      </c>
      <c r="CG255" s="804">
        <v>0</v>
      </c>
      <c r="CH255" s="804">
        <v>1408637</v>
      </c>
      <c r="CI255" s="804">
        <v>24733040</v>
      </c>
      <c r="CJ255" s="804">
        <v>19707860</v>
      </c>
      <c r="CK255" s="804">
        <v>4476674</v>
      </c>
      <c r="CL255" s="804">
        <v>0</v>
      </c>
      <c r="CM255" s="804">
        <v>48917574</v>
      </c>
      <c r="CN255" s="804">
        <v>759697</v>
      </c>
      <c r="CO255" s="804">
        <v>189924</v>
      </c>
      <c r="CP255" s="804">
        <v>0</v>
      </c>
      <c r="CQ255" s="804">
        <v>949621</v>
      </c>
      <c r="CR255" s="804">
        <v>760434</v>
      </c>
      <c r="CS255" s="804">
        <v>190109</v>
      </c>
      <c r="CT255" s="804">
        <v>0</v>
      </c>
      <c r="CU255" s="804">
        <v>950543</v>
      </c>
      <c r="CV255" s="804">
        <v>69468</v>
      </c>
      <c r="CW255" s="804">
        <v>17367</v>
      </c>
      <c r="CX255" s="804">
        <v>0</v>
      </c>
      <c r="CY255" s="804">
        <v>86835</v>
      </c>
      <c r="CZ255" s="804">
        <v>0</v>
      </c>
      <c r="DA255" s="804">
        <v>0</v>
      </c>
      <c r="DB255" s="804">
        <v>0</v>
      </c>
      <c r="DC255" s="804">
        <v>0</v>
      </c>
      <c r="DD255" s="804">
        <v>0</v>
      </c>
      <c r="DE255" s="804">
        <v>0</v>
      </c>
      <c r="DF255" s="804">
        <v>0</v>
      </c>
      <c r="DG255" s="804">
        <v>0</v>
      </c>
      <c r="DH255" s="804">
        <v>6437</v>
      </c>
      <c r="DI255" s="804">
        <v>1609</v>
      </c>
      <c r="DJ255" s="804">
        <v>0</v>
      </c>
      <c r="DK255" s="804">
        <v>8046</v>
      </c>
      <c r="DL255" s="804">
        <v>4160</v>
      </c>
      <c r="DM255" s="804">
        <v>1040</v>
      </c>
      <c r="DN255" s="804">
        <v>0</v>
      </c>
      <c r="DO255" s="804">
        <v>5200</v>
      </c>
      <c r="DP255" s="804">
        <v>0</v>
      </c>
      <c r="DQ255" s="804">
        <v>0</v>
      </c>
      <c r="DR255" s="804">
        <v>0</v>
      </c>
      <c r="DS255" s="804">
        <v>0</v>
      </c>
      <c r="DT255" s="804">
        <v>0</v>
      </c>
      <c r="DU255" s="804">
        <v>0</v>
      </c>
      <c r="DV255" s="804">
        <v>0</v>
      </c>
      <c r="DW255" s="804">
        <v>0</v>
      </c>
      <c r="DX255" s="804">
        <v>562296</v>
      </c>
      <c r="DY255" s="804">
        <v>140574</v>
      </c>
      <c r="DZ255" s="804">
        <v>0</v>
      </c>
      <c r="EA255" s="804">
        <v>702870</v>
      </c>
      <c r="EB255" s="804">
        <v>2162492</v>
      </c>
      <c r="EC255" s="804">
        <v>540623</v>
      </c>
      <c r="ED255" s="804">
        <v>0</v>
      </c>
      <c r="EE255" s="804">
        <v>2703115</v>
      </c>
      <c r="EF255" s="604" t="s">
        <v>384</v>
      </c>
      <c r="EG255" s="497" t="s">
        <v>611</v>
      </c>
      <c r="EH255" s="630" t="s">
        <v>551</v>
      </c>
      <c r="EI255" s="118" t="s">
        <v>1906</v>
      </c>
    </row>
    <row r="256" spans="1:139" ht="12.75" x14ac:dyDescent="0.2">
      <c r="A256" s="805">
        <v>249</v>
      </c>
      <c r="B256" s="606" t="s">
        <v>387</v>
      </c>
      <c r="C256" s="607" t="s">
        <v>1185</v>
      </c>
      <c r="D256" s="608" t="s">
        <v>1189</v>
      </c>
      <c r="E256" s="609" t="s">
        <v>386</v>
      </c>
      <c r="F256" s="802">
        <v>59373668</v>
      </c>
      <c r="G256" s="804">
        <v>0</v>
      </c>
      <c r="H256" s="804">
        <v>2584</v>
      </c>
      <c r="I256" s="804">
        <v>182688</v>
      </c>
      <c r="J256" s="804">
        <v>0</v>
      </c>
      <c r="K256" s="804">
        <v>182688</v>
      </c>
      <c r="L256" s="804">
        <v>0</v>
      </c>
      <c r="M256" s="804">
        <v>122018</v>
      </c>
      <c r="N256" s="804">
        <v>0</v>
      </c>
      <c r="O256" s="804">
        <v>0</v>
      </c>
      <c r="P256" s="804">
        <v>0</v>
      </c>
      <c r="Q256" s="804">
        <v>0</v>
      </c>
      <c r="R256" s="804">
        <v>59066378</v>
      </c>
      <c r="S256" s="804">
        <v>0.5</v>
      </c>
      <c r="T256" s="804">
        <v>0.4</v>
      </c>
      <c r="U256" s="804">
        <v>0.1</v>
      </c>
      <c r="V256" s="804">
        <v>0</v>
      </c>
      <c r="W256" s="804">
        <v>1</v>
      </c>
      <c r="X256" s="804">
        <v>29533189</v>
      </c>
      <c r="Y256" s="804">
        <v>23626551</v>
      </c>
      <c r="Z256" s="804">
        <v>5906638</v>
      </c>
      <c r="AA256" s="804">
        <v>0</v>
      </c>
      <c r="AB256" s="804">
        <v>59066378</v>
      </c>
      <c r="AC256" s="804">
        <v>0</v>
      </c>
      <c r="AD256" s="804">
        <v>0</v>
      </c>
      <c r="AE256" s="804">
        <v>0</v>
      </c>
      <c r="AF256" s="804">
        <v>0</v>
      </c>
      <c r="AG256" s="804">
        <v>0</v>
      </c>
      <c r="AH256" s="804">
        <v>29533189</v>
      </c>
      <c r="AI256" s="804">
        <v>23626551</v>
      </c>
      <c r="AJ256" s="804">
        <v>5906638</v>
      </c>
      <c r="AK256" s="804">
        <v>0</v>
      </c>
      <c r="AL256" s="804">
        <v>59066378</v>
      </c>
      <c r="AM256" s="804">
        <v>182688</v>
      </c>
      <c r="AN256" s="804">
        <v>182688</v>
      </c>
      <c r="AO256" s="804">
        <v>122018</v>
      </c>
      <c r="AP256" s="804">
        <v>122018</v>
      </c>
      <c r="AQ256" s="804">
        <v>0</v>
      </c>
      <c r="AR256" s="804">
        <v>0</v>
      </c>
      <c r="AS256" s="804">
        <v>0</v>
      </c>
      <c r="AT256" s="804">
        <v>0</v>
      </c>
      <c r="AU256" s="804">
        <v>0</v>
      </c>
      <c r="AV256" s="804">
        <v>0</v>
      </c>
      <c r="AW256" s="804">
        <v>0</v>
      </c>
      <c r="AX256" s="804">
        <v>0</v>
      </c>
      <c r="AY256" s="804">
        <v>0</v>
      </c>
      <c r="AZ256" s="804">
        <v>0</v>
      </c>
      <c r="BA256" s="804">
        <v>0</v>
      </c>
      <c r="BB256" s="804">
        <v>0</v>
      </c>
      <c r="BC256" s="804">
        <v>0</v>
      </c>
      <c r="BD256" s="804">
        <v>0</v>
      </c>
      <c r="BE256" s="804">
        <v>0</v>
      </c>
      <c r="BF256" s="804">
        <v>0</v>
      </c>
      <c r="BG256" s="804">
        <v>0</v>
      </c>
      <c r="BH256" s="804">
        <v>0</v>
      </c>
      <c r="BI256" s="804">
        <v>0</v>
      </c>
      <c r="BJ256" s="804">
        <v>0.25</v>
      </c>
      <c r="BK256" s="804">
        <v>0.35</v>
      </c>
      <c r="BL256" s="804">
        <v>0.4</v>
      </c>
      <c r="BM256" s="804">
        <v>0</v>
      </c>
      <c r="BN256" s="804">
        <v>1</v>
      </c>
      <c r="BO256" s="804">
        <v>437219</v>
      </c>
      <c r="BP256" s="804">
        <v>612108</v>
      </c>
      <c r="BQ256" s="804">
        <v>699552</v>
      </c>
      <c r="BR256" s="804">
        <v>0</v>
      </c>
      <c r="BS256" s="804">
        <v>1748879</v>
      </c>
      <c r="BT256" s="804">
        <v>0.5</v>
      </c>
      <c r="BU256" s="804">
        <v>0.4</v>
      </c>
      <c r="BV256" s="804">
        <v>0.1</v>
      </c>
      <c r="BW256" s="804">
        <v>0</v>
      </c>
      <c r="BX256" s="804">
        <v>1</v>
      </c>
      <c r="BY256" s="804">
        <v>-4566275.299999997</v>
      </c>
      <c r="BZ256" s="804">
        <v>-3653021</v>
      </c>
      <c r="CA256" s="804">
        <v>-913255</v>
      </c>
      <c r="CB256" s="804">
        <v>0</v>
      </c>
      <c r="CC256" s="804">
        <v>-9132551.299999997</v>
      </c>
      <c r="CD256" s="804">
        <v>-4129056</v>
      </c>
      <c r="CE256" s="804">
        <v>-3040913</v>
      </c>
      <c r="CF256" s="804">
        <v>-213703</v>
      </c>
      <c r="CG256" s="804">
        <v>0</v>
      </c>
      <c r="CH256" s="804">
        <v>-7383672.299999997</v>
      </c>
      <c r="CI256" s="804">
        <v>25404133</v>
      </c>
      <c r="CJ256" s="804">
        <v>20890344</v>
      </c>
      <c r="CK256" s="804">
        <v>5692935</v>
      </c>
      <c r="CL256" s="804">
        <v>0</v>
      </c>
      <c r="CM256" s="804">
        <v>51987412</v>
      </c>
      <c r="CN256" s="804">
        <v>951846</v>
      </c>
      <c r="CO256" s="804">
        <v>236739</v>
      </c>
      <c r="CP256" s="804">
        <v>0</v>
      </c>
      <c r="CQ256" s="804">
        <v>1188585</v>
      </c>
      <c r="CR256" s="804">
        <v>1136216</v>
      </c>
      <c r="CS256" s="804">
        <v>276879</v>
      </c>
      <c r="CT256" s="804">
        <v>0</v>
      </c>
      <c r="CU256" s="804">
        <v>1413095</v>
      </c>
      <c r="CV256" s="804">
        <v>0</v>
      </c>
      <c r="CW256" s="804">
        <v>0</v>
      </c>
      <c r="CX256" s="804">
        <v>0</v>
      </c>
      <c r="CY256" s="804">
        <v>0</v>
      </c>
      <c r="CZ256" s="804">
        <v>0</v>
      </c>
      <c r="DA256" s="804">
        <v>0</v>
      </c>
      <c r="DB256" s="804">
        <v>0</v>
      </c>
      <c r="DC256" s="804">
        <v>0</v>
      </c>
      <c r="DD256" s="804">
        <v>0</v>
      </c>
      <c r="DE256" s="804">
        <v>0</v>
      </c>
      <c r="DF256" s="804">
        <v>0</v>
      </c>
      <c r="DG256" s="804">
        <v>0</v>
      </c>
      <c r="DH256" s="804">
        <v>8395</v>
      </c>
      <c r="DI256" s="804">
        <v>2099</v>
      </c>
      <c r="DJ256" s="804">
        <v>0</v>
      </c>
      <c r="DK256" s="804">
        <v>10494</v>
      </c>
      <c r="DL256" s="804">
        <v>2912</v>
      </c>
      <c r="DM256" s="804">
        <v>728</v>
      </c>
      <c r="DN256" s="804">
        <v>0</v>
      </c>
      <c r="DO256" s="804">
        <v>3640</v>
      </c>
      <c r="DP256" s="804">
        <v>0</v>
      </c>
      <c r="DQ256" s="804">
        <v>0</v>
      </c>
      <c r="DR256" s="804">
        <v>0</v>
      </c>
      <c r="DS256" s="804">
        <v>0</v>
      </c>
      <c r="DT256" s="804">
        <v>0</v>
      </c>
      <c r="DU256" s="804">
        <v>0</v>
      </c>
      <c r="DV256" s="804">
        <v>0</v>
      </c>
      <c r="DW256" s="804">
        <v>0</v>
      </c>
      <c r="DX256" s="804">
        <v>906955</v>
      </c>
      <c r="DY256" s="804">
        <v>226739</v>
      </c>
      <c r="DZ256" s="804">
        <v>0</v>
      </c>
      <c r="EA256" s="804">
        <v>1133694</v>
      </c>
      <c r="EB256" s="804">
        <v>3006324</v>
      </c>
      <c r="EC256" s="804">
        <v>743184</v>
      </c>
      <c r="ED256" s="804">
        <v>0</v>
      </c>
      <c r="EE256" s="804">
        <v>3749508</v>
      </c>
      <c r="EF256" s="604" t="s">
        <v>386</v>
      </c>
      <c r="EG256" s="497" t="s">
        <v>579</v>
      </c>
      <c r="EH256" s="630" t="s">
        <v>551</v>
      </c>
      <c r="EI256" s="118" t="s">
        <v>1907</v>
      </c>
    </row>
    <row r="257" spans="1:139" ht="12.75" x14ac:dyDescent="0.2">
      <c r="A257" s="805">
        <v>250</v>
      </c>
      <c r="B257" s="606" t="s">
        <v>389</v>
      </c>
      <c r="C257" s="607" t="s">
        <v>1192</v>
      </c>
      <c r="D257" s="608" t="s">
        <v>1187</v>
      </c>
      <c r="E257" s="609" t="s">
        <v>909</v>
      </c>
      <c r="F257" s="802">
        <v>51865221</v>
      </c>
      <c r="G257" s="804">
        <v>0</v>
      </c>
      <c r="H257" s="804">
        <v>544320</v>
      </c>
      <c r="I257" s="804">
        <v>185295</v>
      </c>
      <c r="J257" s="804">
        <v>0</v>
      </c>
      <c r="K257" s="804">
        <v>185295</v>
      </c>
      <c r="L257" s="804">
        <v>0</v>
      </c>
      <c r="M257" s="804">
        <v>0</v>
      </c>
      <c r="N257" s="804">
        <v>0</v>
      </c>
      <c r="O257" s="804">
        <v>0</v>
      </c>
      <c r="P257" s="804">
        <v>0</v>
      </c>
      <c r="Q257" s="804">
        <v>0</v>
      </c>
      <c r="R257" s="804">
        <v>51135606</v>
      </c>
      <c r="S257" s="804">
        <v>0</v>
      </c>
      <c r="T257" s="804">
        <v>0.99</v>
      </c>
      <c r="U257" s="804">
        <v>0</v>
      </c>
      <c r="V257" s="804">
        <v>0.01</v>
      </c>
      <c r="W257" s="804">
        <v>1</v>
      </c>
      <c r="X257" s="804">
        <v>0</v>
      </c>
      <c r="Y257" s="804">
        <v>50624250</v>
      </c>
      <c r="Z257" s="804">
        <v>0</v>
      </c>
      <c r="AA257" s="804">
        <v>511356</v>
      </c>
      <c r="AB257" s="804">
        <v>51135606</v>
      </c>
      <c r="AC257" s="804">
        <v>0</v>
      </c>
      <c r="AD257" s="804">
        <v>0</v>
      </c>
      <c r="AE257" s="804">
        <v>0</v>
      </c>
      <c r="AF257" s="804">
        <v>0</v>
      </c>
      <c r="AG257" s="804">
        <v>0</v>
      </c>
      <c r="AH257" s="804">
        <v>0</v>
      </c>
      <c r="AI257" s="804">
        <v>50624250</v>
      </c>
      <c r="AJ257" s="804">
        <v>0</v>
      </c>
      <c r="AK257" s="804">
        <v>511356</v>
      </c>
      <c r="AL257" s="804">
        <v>51135606</v>
      </c>
      <c r="AM257" s="804">
        <v>185295</v>
      </c>
      <c r="AN257" s="804">
        <v>185295</v>
      </c>
      <c r="AO257" s="804">
        <v>0</v>
      </c>
      <c r="AP257" s="804">
        <v>0</v>
      </c>
      <c r="AQ257" s="804">
        <v>0</v>
      </c>
      <c r="AR257" s="804">
        <v>0</v>
      </c>
      <c r="AS257" s="804">
        <v>0</v>
      </c>
      <c r="AT257" s="804">
        <v>0</v>
      </c>
      <c r="AU257" s="804">
        <v>0</v>
      </c>
      <c r="AV257" s="804">
        <v>0</v>
      </c>
      <c r="AW257" s="804">
        <v>0</v>
      </c>
      <c r="AX257" s="804">
        <v>0</v>
      </c>
      <c r="AY257" s="804">
        <v>0</v>
      </c>
      <c r="AZ257" s="804">
        <v>0</v>
      </c>
      <c r="BA257" s="804">
        <v>0</v>
      </c>
      <c r="BB257" s="804">
        <v>0</v>
      </c>
      <c r="BC257" s="804">
        <v>0</v>
      </c>
      <c r="BD257" s="804">
        <v>0</v>
      </c>
      <c r="BE257" s="804">
        <v>0</v>
      </c>
      <c r="BF257" s="804">
        <v>0</v>
      </c>
      <c r="BG257" s="804">
        <v>0</v>
      </c>
      <c r="BH257" s="804">
        <v>0</v>
      </c>
      <c r="BI257" s="804">
        <v>0</v>
      </c>
      <c r="BJ257" s="804">
        <v>0</v>
      </c>
      <c r="BK257" s="804">
        <v>0.99</v>
      </c>
      <c r="BL257" s="804">
        <v>0</v>
      </c>
      <c r="BM257" s="804">
        <v>0.01</v>
      </c>
      <c r="BN257" s="804">
        <v>1</v>
      </c>
      <c r="BO257" s="804">
        <v>0</v>
      </c>
      <c r="BP257" s="804">
        <v>4080068</v>
      </c>
      <c r="BQ257" s="804">
        <v>0</v>
      </c>
      <c r="BR257" s="804">
        <v>41213</v>
      </c>
      <c r="BS257" s="804">
        <v>4121281</v>
      </c>
      <c r="BT257" s="804">
        <v>0</v>
      </c>
      <c r="BU257" s="804">
        <v>0.99</v>
      </c>
      <c r="BV257" s="804">
        <v>0</v>
      </c>
      <c r="BW257" s="804">
        <v>0.01</v>
      </c>
      <c r="BX257" s="804">
        <v>1</v>
      </c>
      <c r="BY257" s="804">
        <v>0</v>
      </c>
      <c r="BZ257" s="804">
        <v>367932</v>
      </c>
      <c r="CA257" s="804">
        <v>0</v>
      </c>
      <c r="CB257" s="804">
        <v>3716</v>
      </c>
      <c r="CC257" s="804">
        <v>371648</v>
      </c>
      <c r="CD257" s="804">
        <v>0</v>
      </c>
      <c r="CE257" s="804">
        <v>4448000</v>
      </c>
      <c r="CF257" s="804">
        <v>0</v>
      </c>
      <c r="CG257" s="804">
        <v>44929</v>
      </c>
      <c r="CH257" s="804">
        <v>4492929</v>
      </c>
      <c r="CI257" s="804">
        <v>0</v>
      </c>
      <c r="CJ257" s="804">
        <v>55257545</v>
      </c>
      <c r="CK257" s="804">
        <v>0</v>
      </c>
      <c r="CL257" s="804">
        <v>556285</v>
      </c>
      <c r="CM257" s="804">
        <v>55813830</v>
      </c>
      <c r="CN257" s="804">
        <v>2029028</v>
      </c>
      <c r="CO257" s="804">
        <v>0</v>
      </c>
      <c r="CP257" s="804">
        <v>20495</v>
      </c>
      <c r="CQ257" s="804">
        <v>2049523</v>
      </c>
      <c r="CR257" s="804">
        <v>3926586</v>
      </c>
      <c r="CS257" s="804">
        <v>0</v>
      </c>
      <c r="CT257" s="804">
        <v>39662</v>
      </c>
      <c r="CU257" s="804">
        <v>3966248</v>
      </c>
      <c r="CV257" s="804">
        <v>232974</v>
      </c>
      <c r="CW257" s="804">
        <v>0</v>
      </c>
      <c r="CX257" s="804">
        <v>2353</v>
      </c>
      <c r="CY257" s="804">
        <v>235327</v>
      </c>
      <c r="CZ257" s="804">
        <v>5986</v>
      </c>
      <c r="DA257" s="804">
        <v>0</v>
      </c>
      <c r="DB257" s="804">
        <v>60</v>
      </c>
      <c r="DC257" s="804">
        <v>6046</v>
      </c>
      <c r="DD257" s="804">
        <v>0</v>
      </c>
      <c r="DE257" s="804">
        <v>0</v>
      </c>
      <c r="DF257" s="804">
        <v>0</v>
      </c>
      <c r="DG257" s="804">
        <v>0</v>
      </c>
      <c r="DH257" s="804">
        <v>21407</v>
      </c>
      <c r="DI257" s="804">
        <v>0</v>
      </c>
      <c r="DJ257" s="804">
        <v>216</v>
      </c>
      <c r="DK257" s="804">
        <v>21623</v>
      </c>
      <c r="DL257" s="804">
        <v>6811</v>
      </c>
      <c r="DM257" s="804">
        <v>0</v>
      </c>
      <c r="DN257" s="804">
        <v>69</v>
      </c>
      <c r="DO257" s="804">
        <v>6880</v>
      </c>
      <c r="DP257" s="804">
        <v>0</v>
      </c>
      <c r="DQ257" s="804">
        <v>0</v>
      </c>
      <c r="DR257" s="804">
        <v>0</v>
      </c>
      <c r="DS257" s="804">
        <v>0</v>
      </c>
      <c r="DT257" s="804">
        <v>0</v>
      </c>
      <c r="DU257" s="804">
        <v>0</v>
      </c>
      <c r="DV257" s="804">
        <v>0</v>
      </c>
      <c r="DW257" s="804">
        <v>0</v>
      </c>
      <c r="DX257" s="804">
        <v>855958</v>
      </c>
      <c r="DY257" s="804">
        <v>0</v>
      </c>
      <c r="DZ257" s="804">
        <v>8646</v>
      </c>
      <c r="EA257" s="804">
        <v>864604</v>
      </c>
      <c r="EB257" s="804">
        <v>7078750</v>
      </c>
      <c r="EC257" s="804">
        <v>0</v>
      </c>
      <c r="ED257" s="804">
        <v>71501</v>
      </c>
      <c r="EE257" s="804">
        <v>7150251</v>
      </c>
      <c r="EF257" s="604" t="s">
        <v>909</v>
      </c>
      <c r="EG257" s="497" t="s">
        <v>616</v>
      </c>
      <c r="EH257" s="630" t="s">
        <v>618</v>
      </c>
      <c r="EI257" s="118" t="s">
        <v>1908</v>
      </c>
    </row>
    <row r="258" spans="1:139" ht="12.75" x14ac:dyDescent="0.2">
      <c r="A258" s="805">
        <v>251</v>
      </c>
      <c r="B258" s="606" t="s">
        <v>391</v>
      </c>
      <c r="C258" s="607" t="s">
        <v>1185</v>
      </c>
      <c r="D258" s="608" t="s">
        <v>1195</v>
      </c>
      <c r="E258" s="609" t="s">
        <v>390</v>
      </c>
      <c r="F258" s="802">
        <v>49540372</v>
      </c>
      <c r="G258" s="804">
        <v>63135</v>
      </c>
      <c r="H258" s="804">
        <v>0</v>
      </c>
      <c r="I258" s="804">
        <v>171766</v>
      </c>
      <c r="J258" s="804">
        <v>0</v>
      </c>
      <c r="K258" s="804">
        <v>171766</v>
      </c>
      <c r="L258" s="804">
        <v>0</v>
      </c>
      <c r="M258" s="804">
        <v>0</v>
      </c>
      <c r="N258" s="804">
        <v>0</v>
      </c>
      <c r="O258" s="804">
        <v>0</v>
      </c>
      <c r="P258" s="804">
        <v>0</v>
      </c>
      <c r="Q258" s="804">
        <v>0</v>
      </c>
      <c r="R258" s="804">
        <v>49431741</v>
      </c>
      <c r="S258" s="804">
        <v>0.5</v>
      </c>
      <c r="T258" s="804">
        <v>0.4</v>
      </c>
      <c r="U258" s="804">
        <v>0.09</v>
      </c>
      <c r="V258" s="804">
        <v>0.01</v>
      </c>
      <c r="W258" s="804">
        <v>1</v>
      </c>
      <c r="X258" s="804">
        <v>24715871</v>
      </c>
      <c r="Y258" s="804">
        <v>19772696</v>
      </c>
      <c r="Z258" s="804">
        <v>4448857</v>
      </c>
      <c r="AA258" s="804">
        <v>494317</v>
      </c>
      <c r="AB258" s="804">
        <v>49431741</v>
      </c>
      <c r="AC258" s="804">
        <v>0</v>
      </c>
      <c r="AD258" s="804">
        <v>0</v>
      </c>
      <c r="AE258" s="804">
        <v>0</v>
      </c>
      <c r="AF258" s="804">
        <v>0</v>
      </c>
      <c r="AG258" s="804">
        <v>0</v>
      </c>
      <c r="AH258" s="804">
        <v>24715871</v>
      </c>
      <c r="AI258" s="804">
        <v>19772696</v>
      </c>
      <c r="AJ258" s="804">
        <v>4448857</v>
      </c>
      <c r="AK258" s="804">
        <v>494317</v>
      </c>
      <c r="AL258" s="804">
        <v>49431741</v>
      </c>
      <c r="AM258" s="804">
        <v>171766</v>
      </c>
      <c r="AN258" s="804">
        <v>171766</v>
      </c>
      <c r="AO258" s="804">
        <v>0</v>
      </c>
      <c r="AP258" s="804">
        <v>0</v>
      </c>
      <c r="AQ258" s="804">
        <v>0</v>
      </c>
      <c r="AR258" s="804">
        <v>0</v>
      </c>
      <c r="AS258" s="804">
        <v>0</v>
      </c>
      <c r="AT258" s="804">
        <v>0</v>
      </c>
      <c r="AU258" s="804">
        <v>0</v>
      </c>
      <c r="AV258" s="804">
        <v>0</v>
      </c>
      <c r="AW258" s="804">
        <v>0</v>
      </c>
      <c r="AX258" s="804">
        <v>0</v>
      </c>
      <c r="AY258" s="804">
        <v>0</v>
      </c>
      <c r="AZ258" s="804">
        <v>0</v>
      </c>
      <c r="BA258" s="804">
        <v>0</v>
      </c>
      <c r="BB258" s="804">
        <v>0</v>
      </c>
      <c r="BC258" s="804">
        <v>0</v>
      </c>
      <c r="BD258" s="804">
        <v>0</v>
      </c>
      <c r="BE258" s="804">
        <v>0</v>
      </c>
      <c r="BF258" s="804">
        <v>0</v>
      </c>
      <c r="BG258" s="804">
        <v>0</v>
      </c>
      <c r="BH258" s="804">
        <v>0</v>
      </c>
      <c r="BI258" s="804">
        <v>0</v>
      </c>
      <c r="BJ258" s="804">
        <v>0.25</v>
      </c>
      <c r="BK258" s="804">
        <v>0.4</v>
      </c>
      <c r="BL258" s="804">
        <v>0.33999999999999997</v>
      </c>
      <c r="BM258" s="804">
        <v>0.01</v>
      </c>
      <c r="BN258" s="804">
        <v>1</v>
      </c>
      <c r="BO258" s="804">
        <v>1131558.0000000009</v>
      </c>
      <c r="BP258" s="804">
        <v>1810493</v>
      </c>
      <c r="BQ258" s="804">
        <v>1538919</v>
      </c>
      <c r="BR258" s="804">
        <v>45262</v>
      </c>
      <c r="BS258" s="804">
        <v>4526232.0000000009</v>
      </c>
      <c r="BT258" s="804">
        <v>0.5</v>
      </c>
      <c r="BU258" s="804">
        <v>0.4</v>
      </c>
      <c r="BV258" s="804">
        <v>0.09</v>
      </c>
      <c r="BW258" s="804">
        <v>0.01</v>
      </c>
      <c r="BX258" s="804">
        <v>1</v>
      </c>
      <c r="BY258" s="804">
        <v>-2656031.1700000027</v>
      </c>
      <c r="BZ258" s="804">
        <v>-2124825</v>
      </c>
      <c r="CA258" s="804">
        <v>-478086</v>
      </c>
      <c r="CB258" s="804">
        <v>-53121</v>
      </c>
      <c r="CC258" s="804">
        <v>-5312063.1700000027</v>
      </c>
      <c r="CD258" s="804">
        <v>-1524473</v>
      </c>
      <c r="CE258" s="804">
        <v>-314332</v>
      </c>
      <c r="CF258" s="804">
        <v>1060833</v>
      </c>
      <c r="CG258" s="804">
        <v>-7859</v>
      </c>
      <c r="CH258" s="804">
        <v>-785831.17000000179</v>
      </c>
      <c r="CI258" s="804">
        <v>23191398</v>
      </c>
      <c r="CJ258" s="804">
        <v>19630130</v>
      </c>
      <c r="CK258" s="804">
        <v>5509690</v>
      </c>
      <c r="CL258" s="804">
        <v>486458</v>
      </c>
      <c r="CM258" s="804">
        <v>48817676</v>
      </c>
      <c r="CN258" s="804">
        <v>792493</v>
      </c>
      <c r="CO258" s="804">
        <v>178311</v>
      </c>
      <c r="CP258" s="804">
        <v>19812</v>
      </c>
      <c r="CQ258" s="804">
        <v>990616</v>
      </c>
      <c r="CR258" s="804">
        <v>1421536</v>
      </c>
      <c r="CS258" s="804">
        <v>319846</v>
      </c>
      <c r="CT258" s="804">
        <v>35538</v>
      </c>
      <c r="CU258" s="804">
        <v>1776920</v>
      </c>
      <c r="CV258" s="804">
        <v>94874</v>
      </c>
      <c r="CW258" s="804">
        <v>21347</v>
      </c>
      <c r="CX258" s="804">
        <v>2372</v>
      </c>
      <c r="CY258" s="804">
        <v>118593</v>
      </c>
      <c r="CZ258" s="804">
        <v>0</v>
      </c>
      <c r="DA258" s="804">
        <v>0</v>
      </c>
      <c r="DB258" s="804">
        <v>0</v>
      </c>
      <c r="DC258" s="804">
        <v>0</v>
      </c>
      <c r="DD258" s="804">
        <v>6675</v>
      </c>
      <c r="DE258" s="804">
        <v>1502</v>
      </c>
      <c r="DF258" s="804">
        <v>167</v>
      </c>
      <c r="DG258" s="804">
        <v>8344</v>
      </c>
      <c r="DH258" s="804">
        <v>15117</v>
      </c>
      <c r="DI258" s="804">
        <v>3401</v>
      </c>
      <c r="DJ258" s="804">
        <v>378</v>
      </c>
      <c r="DK258" s="804">
        <v>18896</v>
      </c>
      <c r="DL258" s="804">
        <v>4426</v>
      </c>
      <c r="DM258" s="804">
        <v>996</v>
      </c>
      <c r="DN258" s="804">
        <v>111</v>
      </c>
      <c r="DO258" s="804">
        <v>5533</v>
      </c>
      <c r="DP258" s="804">
        <v>0</v>
      </c>
      <c r="DQ258" s="804">
        <v>0</v>
      </c>
      <c r="DR258" s="804">
        <v>0</v>
      </c>
      <c r="DS258" s="804">
        <v>0</v>
      </c>
      <c r="DT258" s="804">
        <v>0</v>
      </c>
      <c r="DU258" s="804">
        <v>0</v>
      </c>
      <c r="DV258" s="804">
        <v>0</v>
      </c>
      <c r="DW258" s="804">
        <v>0</v>
      </c>
      <c r="DX258" s="804">
        <v>620209</v>
      </c>
      <c r="DY258" s="804">
        <v>139547</v>
      </c>
      <c r="DZ258" s="804">
        <v>15505</v>
      </c>
      <c r="EA258" s="804">
        <v>775261</v>
      </c>
      <c r="EB258" s="804">
        <v>2955330</v>
      </c>
      <c r="EC258" s="804">
        <v>664950</v>
      </c>
      <c r="ED258" s="804">
        <v>73883</v>
      </c>
      <c r="EE258" s="804">
        <v>3694163</v>
      </c>
      <c r="EF258" s="604" t="s">
        <v>390</v>
      </c>
      <c r="EG258" s="497" t="s">
        <v>609</v>
      </c>
      <c r="EH258" s="630" t="s">
        <v>608</v>
      </c>
      <c r="EI258" s="118" t="s">
        <v>1909</v>
      </c>
    </row>
    <row r="259" spans="1:139" ht="12.75" x14ac:dyDescent="0.2">
      <c r="A259" s="805">
        <v>252</v>
      </c>
      <c r="B259" s="606" t="s">
        <v>393</v>
      </c>
      <c r="C259" s="607" t="s">
        <v>1185</v>
      </c>
      <c r="D259" s="608" t="s">
        <v>1195</v>
      </c>
      <c r="E259" s="609" t="s">
        <v>392</v>
      </c>
      <c r="F259" s="802">
        <v>20059042</v>
      </c>
      <c r="G259" s="804">
        <v>594304</v>
      </c>
      <c r="H259" s="804">
        <v>0</v>
      </c>
      <c r="I259" s="804">
        <v>112458</v>
      </c>
      <c r="J259" s="804">
        <v>0</v>
      </c>
      <c r="K259" s="804">
        <v>112458</v>
      </c>
      <c r="L259" s="804">
        <v>0</v>
      </c>
      <c r="M259" s="804">
        <v>0</v>
      </c>
      <c r="N259" s="804">
        <v>0</v>
      </c>
      <c r="O259" s="804">
        <v>0</v>
      </c>
      <c r="P259" s="804">
        <v>0</v>
      </c>
      <c r="Q259" s="804">
        <v>0</v>
      </c>
      <c r="R259" s="804">
        <v>20540888</v>
      </c>
      <c r="S259" s="804">
        <v>0.5</v>
      </c>
      <c r="T259" s="804">
        <v>0.4</v>
      </c>
      <c r="U259" s="804">
        <v>0.09</v>
      </c>
      <c r="V259" s="804">
        <v>0.01</v>
      </c>
      <c r="W259" s="804">
        <v>1</v>
      </c>
      <c r="X259" s="804">
        <v>10270444</v>
      </c>
      <c r="Y259" s="804">
        <v>8216355</v>
      </c>
      <c r="Z259" s="804">
        <v>1848680</v>
      </c>
      <c r="AA259" s="804">
        <v>205409</v>
      </c>
      <c r="AB259" s="804">
        <v>20540888</v>
      </c>
      <c r="AC259" s="804">
        <v>0</v>
      </c>
      <c r="AD259" s="804">
        <v>0</v>
      </c>
      <c r="AE259" s="804">
        <v>0</v>
      </c>
      <c r="AF259" s="804">
        <v>0</v>
      </c>
      <c r="AG259" s="804">
        <v>0</v>
      </c>
      <c r="AH259" s="804">
        <v>10270444</v>
      </c>
      <c r="AI259" s="804">
        <v>8216355</v>
      </c>
      <c r="AJ259" s="804">
        <v>1848680</v>
      </c>
      <c r="AK259" s="804">
        <v>205409</v>
      </c>
      <c r="AL259" s="804">
        <v>20540888</v>
      </c>
      <c r="AM259" s="804">
        <v>112458</v>
      </c>
      <c r="AN259" s="804">
        <v>112458</v>
      </c>
      <c r="AO259" s="804">
        <v>0</v>
      </c>
      <c r="AP259" s="804">
        <v>0</v>
      </c>
      <c r="AQ259" s="804">
        <v>0</v>
      </c>
      <c r="AR259" s="804">
        <v>0</v>
      </c>
      <c r="AS259" s="804">
        <v>0</v>
      </c>
      <c r="AT259" s="804">
        <v>0</v>
      </c>
      <c r="AU259" s="804">
        <v>0</v>
      </c>
      <c r="AV259" s="804">
        <v>0</v>
      </c>
      <c r="AW259" s="804">
        <v>0</v>
      </c>
      <c r="AX259" s="804">
        <v>0</v>
      </c>
      <c r="AY259" s="804">
        <v>0</v>
      </c>
      <c r="AZ259" s="804">
        <v>0</v>
      </c>
      <c r="BA259" s="804">
        <v>0</v>
      </c>
      <c r="BB259" s="804">
        <v>0</v>
      </c>
      <c r="BC259" s="804">
        <v>0</v>
      </c>
      <c r="BD259" s="804">
        <v>0</v>
      </c>
      <c r="BE259" s="804">
        <v>0</v>
      </c>
      <c r="BF259" s="804">
        <v>0</v>
      </c>
      <c r="BG259" s="804">
        <v>0</v>
      </c>
      <c r="BH259" s="804">
        <v>0</v>
      </c>
      <c r="BI259" s="804">
        <v>0</v>
      </c>
      <c r="BJ259" s="804">
        <v>0.25</v>
      </c>
      <c r="BK259" s="804">
        <v>0.4</v>
      </c>
      <c r="BL259" s="804">
        <v>0.33999999999999997</v>
      </c>
      <c r="BM259" s="804">
        <v>0.01</v>
      </c>
      <c r="BN259" s="804">
        <v>1</v>
      </c>
      <c r="BO259" s="804">
        <v>246976</v>
      </c>
      <c r="BP259" s="804">
        <v>395162</v>
      </c>
      <c r="BQ259" s="804">
        <v>335887</v>
      </c>
      <c r="BR259" s="804">
        <v>9879</v>
      </c>
      <c r="BS259" s="804">
        <v>987904</v>
      </c>
      <c r="BT259" s="804">
        <v>0.5</v>
      </c>
      <c r="BU259" s="804">
        <v>0.4</v>
      </c>
      <c r="BV259" s="804">
        <v>0.09</v>
      </c>
      <c r="BW259" s="804">
        <v>0.01</v>
      </c>
      <c r="BX259" s="804">
        <v>1</v>
      </c>
      <c r="BY259" s="804">
        <v>-62987.5</v>
      </c>
      <c r="BZ259" s="804">
        <v>-50391</v>
      </c>
      <c r="CA259" s="804">
        <v>-11338</v>
      </c>
      <c r="CB259" s="804">
        <v>-1260</v>
      </c>
      <c r="CC259" s="804">
        <v>-125976.5</v>
      </c>
      <c r="CD259" s="804">
        <v>183989</v>
      </c>
      <c r="CE259" s="804">
        <v>344771</v>
      </c>
      <c r="CF259" s="804">
        <v>324549</v>
      </c>
      <c r="CG259" s="804">
        <v>8619</v>
      </c>
      <c r="CH259" s="804">
        <v>861927.5</v>
      </c>
      <c r="CI259" s="804">
        <v>10454433</v>
      </c>
      <c r="CJ259" s="804">
        <v>8673584</v>
      </c>
      <c r="CK259" s="804">
        <v>2173229</v>
      </c>
      <c r="CL259" s="804">
        <v>214028</v>
      </c>
      <c r="CM259" s="804">
        <v>21515274</v>
      </c>
      <c r="CN259" s="804">
        <v>329313</v>
      </c>
      <c r="CO259" s="804">
        <v>74095</v>
      </c>
      <c r="CP259" s="804">
        <v>8233</v>
      </c>
      <c r="CQ259" s="804">
        <v>411641</v>
      </c>
      <c r="CR259" s="804">
        <v>1139518</v>
      </c>
      <c r="CS259" s="804">
        <v>256391</v>
      </c>
      <c r="CT259" s="804">
        <v>28488</v>
      </c>
      <c r="CU259" s="804">
        <v>1424397</v>
      </c>
      <c r="CV259" s="804">
        <v>40085</v>
      </c>
      <c r="CW259" s="804">
        <v>9019</v>
      </c>
      <c r="CX259" s="804">
        <v>1002</v>
      </c>
      <c r="CY259" s="804">
        <v>50106</v>
      </c>
      <c r="CZ259" s="804">
        <v>0</v>
      </c>
      <c r="DA259" s="804">
        <v>0</v>
      </c>
      <c r="DB259" s="804">
        <v>0</v>
      </c>
      <c r="DC259" s="804">
        <v>0</v>
      </c>
      <c r="DD259" s="804">
        <v>5122</v>
      </c>
      <c r="DE259" s="804">
        <v>1152</v>
      </c>
      <c r="DF259" s="804">
        <v>128</v>
      </c>
      <c r="DG259" s="804">
        <v>6402</v>
      </c>
      <c r="DH259" s="804">
        <v>26872</v>
      </c>
      <c r="DI259" s="804">
        <v>6046</v>
      </c>
      <c r="DJ259" s="804">
        <v>672</v>
      </c>
      <c r="DK259" s="804">
        <v>33590</v>
      </c>
      <c r="DL259" s="804">
        <v>3993</v>
      </c>
      <c r="DM259" s="804">
        <v>899</v>
      </c>
      <c r="DN259" s="804">
        <v>100</v>
      </c>
      <c r="DO259" s="804">
        <v>4992</v>
      </c>
      <c r="DP259" s="804">
        <v>0</v>
      </c>
      <c r="DQ259" s="804">
        <v>0</v>
      </c>
      <c r="DR259" s="804">
        <v>0</v>
      </c>
      <c r="DS259" s="804">
        <v>0</v>
      </c>
      <c r="DT259" s="804">
        <v>0</v>
      </c>
      <c r="DU259" s="804">
        <v>0</v>
      </c>
      <c r="DV259" s="804">
        <v>0</v>
      </c>
      <c r="DW259" s="804">
        <v>0</v>
      </c>
      <c r="DX259" s="804">
        <v>195112</v>
      </c>
      <c r="DY259" s="804">
        <v>43900</v>
      </c>
      <c r="DZ259" s="804">
        <v>4878</v>
      </c>
      <c r="EA259" s="804">
        <v>243890</v>
      </c>
      <c r="EB259" s="804">
        <v>1740015</v>
      </c>
      <c r="EC259" s="804">
        <v>391502</v>
      </c>
      <c r="ED259" s="804">
        <v>43501</v>
      </c>
      <c r="EE259" s="804">
        <v>2175018</v>
      </c>
      <c r="EF259" s="604" t="s">
        <v>392</v>
      </c>
      <c r="EG259" s="497" t="s">
        <v>609</v>
      </c>
      <c r="EH259" s="630" t="s">
        <v>608</v>
      </c>
      <c r="EI259" s="118" t="s">
        <v>1910</v>
      </c>
    </row>
    <row r="260" spans="1:139" ht="12.75" x14ac:dyDescent="0.2">
      <c r="A260" s="805">
        <v>253</v>
      </c>
      <c r="B260" s="606" t="s">
        <v>395</v>
      </c>
      <c r="C260" s="607" t="s">
        <v>1185</v>
      </c>
      <c r="D260" s="608" t="s">
        <v>1189</v>
      </c>
      <c r="E260" s="609" t="s">
        <v>394</v>
      </c>
      <c r="F260" s="802">
        <v>46077152</v>
      </c>
      <c r="G260" s="804">
        <v>0</v>
      </c>
      <c r="H260" s="804">
        <v>278676</v>
      </c>
      <c r="I260" s="804">
        <v>108152</v>
      </c>
      <c r="J260" s="804">
        <v>0</v>
      </c>
      <c r="K260" s="804">
        <v>108152</v>
      </c>
      <c r="L260" s="804">
        <v>0</v>
      </c>
      <c r="M260" s="804">
        <v>0</v>
      </c>
      <c r="N260" s="804">
        <v>0</v>
      </c>
      <c r="O260" s="804">
        <v>0</v>
      </c>
      <c r="P260" s="804">
        <v>0</v>
      </c>
      <c r="Q260" s="804">
        <v>0</v>
      </c>
      <c r="R260" s="804">
        <v>45690324</v>
      </c>
      <c r="S260" s="804">
        <v>0.5</v>
      </c>
      <c r="T260" s="804">
        <v>0.4</v>
      </c>
      <c r="U260" s="804">
        <v>0.1</v>
      </c>
      <c r="V260" s="804">
        <v>0</v>
      </c>
      <c r="W260" s="804">
        <v>1</v>
      </c>
      <c r="X260" s="804">
        <v>22845162</v>
      </c>
      <c r="Y260" s="804">
        <v>18276130</v>
      </c>
      <c r="Z260" s="804">
        <v>4569032</v>
      </c>
      <c r="AA260" s="804">
        <v>0</v>
      </c>
      <c r="AB260" s="804">
        <v>45690324</v>
      </c>
      <c r="AC260" s="804">
        <v>0</v>
      </c>
      <c r="AD260" s="804">
        <v>0</v>
      </c>
      <c r="AE260" s="804">
        <v>0</v>
      </c>
      <c r="AF260" s="804">
        <v>0</v>
      </c>
      <c r="AG260" s="804">
        <v>0</v>
      </c>
      <c r="AH260" s="804">
        <v>22845162</v>
      </c>
      <c r="AI260" s="804">
        <v>18276130</v>
      </c>
      <c r="AJ260" s="804">
        <v>4569032</v>
      </c>
      <c r="AK260" s="804">
        <v>0</v>
      </c>
      <c r="AL260" s="804">
        <v>45690324</v>
      </c>
      <c r="AM260" s="804">
        <v>108152</v>
      </c>
      <c r="AN260" s="804">
        <v>108152</v>
      </c>
      <c r="AO260" s="804">
        <v>0</v>
      </c>
      <c r="AP260" s="804">
        <v>0</v>
      </c>
      <c r="AQ260" s="804">
        <v>0</v>
      </c>
      <c r="AR260" s="804">
        <v>0</v>
      </c>
      <c r="AS260" s="804">
        <v>0</v>
      </c>
      <c r="AT260" s="804">
        <v>0</v>
      </c>
      <c r="AU260" s="804">
        <v>0</v>
      </c>
      <c r="AV260" s="804">
        <v>0</v>
      </c>
      <c r="AW260" s="804">
        <v>0</v>
      </c>
      <c r="AX260" s="804">
        <v>0</v>
      </c>
      <c r="AY260" s="804">
        <v>0</v>
      </c>
      <c r="AZ260" s="804">
        <v>0</v>
      </c>
      <c r="BA260" s="804">
        <v>0</v>
      </c>
      <c r="BB260" s="804">
        <v>0</v>
      </c>
      <c r="BC260" s="804">
        <v>0</v>
      </c>
      <c r="BD260" s="804">
        <v>0</v>
      </c>
      <c r="BE260" s="804">
        <v>0</v>
      </c>
      <c r="BF260" s="804">
        <v>0</v>
      </c>
      <c r="BG260" s="804">
        <v>0</v>
      </c>
      <c r="BH260" s="804">
        <v>0</v>
      </c>
      <c r="BI260" s="804">
        <v>0</v>
      </c>
      <c r="BJ260" s="804">
        <v>0.25</v>
      </c>
      <c r="BK260" s="804">
        <v>0.35</v>
      </c>
      <c r="BL260" s="804">
        <v>0.4</v>
      </c>
      <c r="BM260" s="804">
        <v>0</v>
      </c>
      <c r="BN260" s="804">
        <v>1</v>
      </c>
      <c r="BO260" s="804">
        <v>17810</v>
      </c>
      <c r="BP260" s="804">
        <v>24934</v>
      </c>
      <c r="BQ260" s="804">
        <v>28496</v>
      </c>
      <c r="BR260" s="804">
        <v>0</v>
      </c>
      <c r="BS260" s="804">
        <v>71240</v>
      </c>
      <c r="BT260" s="804">
        <v>0.5</v>
      </c>
      <c r="BU260" s="804">
        <v>0.4</v>
      </c>
      <c r="BV260" s="804">
        <v>0.1</v>
      </c>
      <c r="BW260" s="804">
        <v>0</v>
      </c>
      <c r="BX260" s="804">
        <v>1</v>
      </c>
      <c r="BY260" s="804">
        <v>-31642.5</v>
      </c>
      <c r="BZ260" s="804">
        <v>-25314</v>
      </c>
      <c r="CA260" s="804">
        <v>-6328</v>
      </c>
      <c r="CB260" s="804">
        <v>0</v>
      </c>
      <c r="CC260" s="804">
        <v>-63284.5</v>
      </c>
      <c r="CD260" s="804">
        <v>-13833</v>
      </c>
      <c r="CE260" s="804">
        <v>-380</v>
      </c>
      <c r="CF260" s="804">
        <v>22168</v>
      </c>
      <c r="CG260" s="804">
        <v>0</v>
      </c>
      <c r="CH260" s="804">
        <v>7955.5</v>
      </c>
      <c r="CI260" s="804">
        <v>22831329</v>
      </c>
      <c r="CJ260" s="804">
        <v>18383902</v>
      </c>
      <c r="CK260" s="804">
        <v>4591200</v>
      </c>
      <c r="CL260" s="804">
        <v>0</v>
      </c>
      <c r="CM260" s="804">
        <v>45806432</v>
      </c>
      <c r="CN260" s="804">
        <v>732510</v>
      </c>
      <c r="CO260" s="804">
        <v>183128</v>
      </c>
      <c r="CP260" s="804">
        <v>0</v>
      </c>
      <c r="CQ260" s="804">
        <v>915638</v>
      </c>
      <c r="CR260" s="804">
        <v>594772</v>
      </c>
      <c r="CS260" s="804">
        <v>148693</v>
      </c>
      <c r="CT260" s="804">
        <v>0</v>
      </c>
      <c r="CU260" s="804">
        <v>743465</v>
      </c>
      <c r="CV260" s="804">
        <v>62064</v>
      </c>
      <c r="CW260" s="804">
        <v>15516</v>
      </c>
      <c r="CX260" s="804">
        <v>0</v>
      </c>
      <c r="CY260" s="804">
        <v>77580</v>
      </c>
      <c r="CZ260" s="804">
        <v>0</v>
      </c>
      <c r="DA260" s="804">
        <v>0</v>
      </c>
      <c r="DB260" s="804">
        <v>0</v>
      </c>
      <c r="DC260" s="804">
        <v>0</v>
      </c>
      <c r="DD260" s="804">
        <v>0</v>
      </c>
      <c r="DE260" s="804">
        <v>0</v>
      </c>
      <c r="DF260" s="804">
        <v>0</v>
      </c>
      <c r="DG260" s="804">
        <v>0</v>
      </c>
      <c r="DH260" s="804">
        <v>1065</v>
      </c>
      <c r="DI260" s="804">
        <v>266</v>
      </c>
      <c r="DJ260" s="804">
        <v>0</v>
      </c>
      <c r="DK260" s="804">
        <v>1331</v>
      </c>
      <c r="DL260" s="804">
        <v>832</v>
      </c>
      <c r="DM260" s="804">
        <v>208</v>
      </c>
      <c r="DN260" s="804">
        <v>0</v>
      </c>
      <c r="DO260" s="804">
        <v>1040</v>
      </c>
      <c r="DP260" s="804">
        <v>0</v>
      </c>
      <c r="DQ260" s="804">
        <v>0</v>
      </c>
      <c r="DR260" s="804">
        <v>0</v>
      </c>
      <c r="DS260" s="804">
        <v>0</v>
      </c>
      <c r="DT260" s="804">
        <v>0</v>
      </c>
      <c r="DU260" s="804">
        <v>0</v>
      </c>
      <c r="DV260" s="804">
        <v>0</v>
      </c>
      <c r="DW260" s="804">
        <v>0</v>
      </c>
      <c r="DX260" s="804">
        <v>377398</v>
      </c>
      <c r="DY260" s="804">
        <v>94350</v>
      </c>
      <c r="DZ260" s="804">
        <v>0</v>
      </c>
      <c r="EA260" s="804">
        <v>471748</v>
      </c>
      <c r="EB260" s="804">
        <v>1768641</v>
      </c>
      <c r="EC260" s="804">
        <v>442161</v>
      </c>
      <c r="ED260" s="804">
        <v>0</v>
      </c>
      <c r="EE260" s="804">
        <v>2210802</v>
      </c>
      <c r="EF260" s="604" t="s">
        <v>394</v>
      </c>
      <c r="EG260" s="497" t="s">
        <v>579</v>
      </c>
      <c r="EH260" s="630" t="s">
        <v>551</v>
      </c>
      <c r="EI260" s="118" t="s">
        <v>1911</v>
      </c>
    </row>
    <row r="261" spans="1:139" ht="12.75" x14ac:dyDescent="0.2">
      <c r="A261" s="805">
        <v>254</v>
      </c>
      <c r="B261" s="606" t="s">
        <v>397</v>
      </c>
      <c r="C261" s="607" t="s">
        <v>1192</v>
      </c>
      <c r="D261" s="608" t="s">
        <v>1187</v>
      </c>
      <c r="E261" s="609" t="s">
        <v>396</v>
      </c>
      <c r="F261" s="802">
        <v>82898502</v>
      </c>
      <c r="G261" s="804">
        <v>0</v>
      </c>
      <c r="H261" s="804">
        <v>1739191</v>
      </c>
      <c r="I261" s="804">
        <v>428354</v>
      </c>
      <c r="J261" s="804">
        <v>0</v>
      </c>
      <c r="K261" s="804">
        <v>428354</v>
      </c>
      <c r="L261" s="804">
        <v>0</v>
      </c>
      <c r="M261" s="804">
        <v>0</v>
      </c>
      <c r="N261" s="804">
        <v>0</v>
      </c>
      <c r="O261" s="804">
        <v>0</v>
      </c>
      <c r="P261" s="804">
        <v>0</v>
      </c>
      <c r="Q261" s="804">
        <v>0</v>
      </c>
      <c r="R261" s="804">
        <v>80730957</v>
      </c>
      <c r="S261" s="804">
        <v>0</v>
      </c>
      <c r="T261" s="804">
        <v>0.99</v>
      </c>
      <c r="U261" s="804">
        <v>0</v>
      </c>
      <c r="V261" s="804">
        <v>0.01</v>
      </c>
      <c r="W261" s="804">
        <v>1</v>
      </c>
      <c r="X261" s="804">
        <v>0</v>
      </c>
      <c r="Y261" s="804">
        <v>79923647</v>
      </c>
      <c r="Z261" s="804">
        <v>0</v>
      </c>
      <c r="AA261" s="804">
        <v>807310</v>
      </c>
      <c r="AB261" s="804">
        <v>80730957</v>
      </c>
      <c r="AC261" s="804">
        <v>0</v>
      </c>
      <c r="AD261" s="804">
        <v>0</v>
      </c>
      <c r="AE261" s="804">
        <v>0</v>
      </c>
      <c r="AF261" s="804">
        <v>0</v>
      </c>
      <c r="AG261" s="804">
        <v>0</v>
      </c>
      <c r="AH261" s="804">
        <v>0</v>
      </c>
      <c r="AI261" s="804">
        <v>79923647</v>
      </c>
      <c r="AJ261" s="804">
        <v>0</v>
      </c>
      <c r="AK261" s="804">
        <v>807310</v>
      </c>
      <c r="AL261" s="804">
        <v>80730957</v>
      </c>
      <c r="AM261" s="804">
        <v>428354</v>
      </c>
      <c r="AN261" s="804">
        <v>428354</v>
      </c>
      <c r="AO261" s="804">
        <v>0</v>
      </c>
      <c r="AP261" s="804">
        <v>0</v>
      </c>
      <c r="AQ261" s="804">
        <v>0</v>
      </c>
      <c r="AR261" s="804">
        <v>0</v>
      </c>
      <c r="AS261" s="804">
        <v>0</v>
      </c>
      <c r="AT261" s="804">
        <v>0</v>
      </c>
      <c r="AU261" s="804">
        <v>0</v>
      </c>
      <c r="AV261" s="804">
        <v>0</v>
      </c>
      <c r="AW261" s="804">
        <v>0</v>
      </c>
      <c r="AX261" s="804">
        <v>0</v>
      </c>
      <c r="AY261" s="804">
        <v>0</v>
      </c>
      <c r="AZ261" s="804">
        <v>0</v>
      </c>
      <c r="BA261" s="804">
        <v>0</v>
      </c>
      <c r="BB261" s="804">
        <v>0</v>
      </c>
      <c r="BC261" s="804">
        <v>0</v>
      </c>
      <c r="BD261" s="804">
        <v>0</v>
      </c>
      <c r="BE261" s="804">
        <v>0</v>
      </c>
      <c r="BF261" s="804">
        <v>0</v>
      </c>
      <c r="BG261" s="804">
        <v>0</v>
      </c>
      <c r="BH261" s="804">
        <v>0</v>
      </c>
      <c r="BI261" s="804">
        <v>0</v>
      </c>
      <c r="BJ261" s="804">
        <v>0</v>
      </c>
      <c r="BK261" s="804">
        <v>0.99</v>
      </c>
      <c r="BL261" s="804">
        <v>0</v>
      </c>
      <c r="BM261" s="804">
        <v>0.01</v>
      </c>
      <c r="BN261" s="804">
        <v>1</v>
      </c>
      <c r="BO261" s="804">
        <v>0</v>
      </c>
      <c r="BP261" s="804">
        <v>640894</v>
      </c>
      <c r="BQ261" s="804">
        <v>0</v>
      </c>
      <c r="BR261" s="804">
        <v>6474</v>
      </c>
      <c r="BS261" s="804">
        <v>647368</v>
      </c>
      <c r="BT261" s="804">
        <v>0</v>
      </c>
      <c r="BU261" s="804">
        <v>0.99</v>
      </c>
      <c r="BV261" s="804">
        <v>0</v>
      </c>
      <c r="BW261" s="804">
        <v>0.01</v>
      </c>
      <c r="BX261" s="804">
        <v>1</v>
      </c>
      <c r="BY261" s="804">
        <v>-3.0000001192092896E-2</v>
      </c>
      <c r="BZ261" s="804">
        <v>1281190</v>
      </c>
      <c r="CA261" s="804">
        <v>0</v>
      </c>
      <c r="CB261" s="804">
        <v>12941</v>
      </c>
      <c r="CC261" s="804">
        <v>1294130.9699999988</v>
      </c>
      <c r="CD261" s="804">
        <v>0</v>
      </c>
      <c r="CE261" s="804">
        <v>1922084</v>
      </c>
      <c r="CF261" s="804">
        <v>0</v>
      </c>
      <c r="CG261" s="804">
        <v>19415</v>
      </c>
      <c r="CH261" s="804">
        <v>1941498.9699999988</v>
      </c>
      <c r="CI261" s="804">
        <v>0</v>
      </c>
      <c r="CJ261" s="804">
        <v>82274085</v>
      </c>
      <c r="CK261" s="804">
        <v>0</v>
      </c>
      <c r="CL261" s="804">
        <v>826725</v>
      </c>
      <c r="CM261" s="804">
        <v>83100810</v>
      </c>
      <c r="CN261" s="804">
        <v>3203353</v>
      </c>
      <c r="CO261" s="804">
        <v>0</v>
      </c>
      <c r="CP261" s="804">
        <v>32357</v>
      </c>
      <c r="CQ261" s="804">
        <v>3235710</v>
      </c>
      <c r="CR261" s="804">
        <v>8473978</v>
      </c>
      <c r="CS261" s="804">
        <v>0</v>
      </c>
      <c r="CT261" s="804">
        <v>85596</v>
      </c>
      <c r="CU261" s="804">
        <v>8559574</v>
      </c>
      <c r="CV261" s="804">
        <v>467758</v>
      </c>
      <c r="CW261" s="804">
        <v>0</v>
      </c>
      <c r="CX261" s="804">
        <v>4725</v>
      </c>
      <c r="CY261" s="804">
        <v>472483</v>
      </c>
      <c r="CZ261" s="804">
        <v>1552</v>
      </c>
      <c r="DA261" s="804">
        <v>0</v>
      </c>
      <c r="DB261" s="804">
        <v>16</v>
      </c>
      <c r="DC261" s="804">
        <v>1568</v>
      </c>
      <c r="DD261" s="804">
        <v>0</v>
      </c>
      <c r="DE261" s="804">
        <v>0</v>
      </c>
      <c r="DF261" s="804">
        <v>0</v>
      </c>
      <c r="DG261" s="804">
        <v>0</v>
      </c>
      <c r="DH261" s="804">
        <v>28537</v>
      </c>
      <c r="DI261" s="804">
        <v>0</v>
      </c>
      <c r="DJ261" s="804">
        <v>288</v>
      </c>
      <c r="DK261" s="804">
        <v>28825</v>
      </c>
      <c r="DL261" s="804">
        <v>9911</v>
      </c>
      <c r="DM261" s="804">
        <v>0</v>
      </c>
      <c r="DN261" s="804">
        <v>100</v>
      </c>
      <c r="DO261" s="804">
        <v>10011</v>
      </c>
      <c r="DP261" s="804">
        <v>0</v>
      </c>
      <c r="DQ261" s="804">
        <v>0</v>
      </c>
      <c r="DR261" s="804">
        <v>0</v>
      </c>
      <c r="DS261" s="804">
        <v>0</v>
      </c>
      <c r="DT261" s="804">
        <v>0</v>
      </c>
      <c r="DU261" s="804">
        <v>0</v>
      </c>
      <c r="DV261" s="804">
        <v>0</v>
      </c>
      <c r="DW261" s="804">
        <v>0</v>
      </c>
      <c r="DX261" s="804">
        <v>2621124</v>
      </c>
      <c r="DY261" s="804">
        <v>0</v>
      </c>
      <c r="DZ261" s="804">
        <v>26476</v>
      </c>
      <c r="EA261" s="804">
        <v>2647600</v>
      </c>
      <c r="EB261" s="804">
        <v>14806213</v>
      </c>
      <c r="EC261" s="804">
        <v>0</v>
      </c>
      <c r="ED261" s="804">
        <v>149558</v>
      </c>
      <c r="EE261" s="804">
        <v>14955771</v>
      </c>
      <c r="EF261" s="604" t="s">
        <v>396</v>
      </c>
      <c r="EG261" s="497" t="s">
        <v>616</v>
      </c>
      <c r="EH261" s="630" t="s">
        <v>617</v>
      </c>
      <c r="EI261" s="118" t="s">
        <v>1912</v>
      </c>
    </row>
    <row r="262" spans="1:139" ht="12.75" x14ac:dyDescent="0.2">
      <c r="A262" s="805">
        <v>255</v>
      </c>
      <c r="B262" s="606" t="s">
        <v>399</v>
      </c>
      <c r="C262" s="607" t="s">
        <v>524</v>
      </c>
      <c r="D262" s="608" t="s">
        <v>1197</v>
      </c>
      <c r="E262" s="609" t="s">
        <v>550</v>
      </c>
      <c r="F262" s="802">
        <v>82854117</v>
      </c>
      <c r="G262" s="804">
        <v>0</v>
      </c>
      <c r="H262" s="804">
        <v>1274968</v>
      </c>
      <c r="I262" s="804">
        <v>236749</v>
      </c>
      <c r="J262" s="804">
        <v>0</v>
      </c>
      <c r="K262" s="804">
        <v>236749</v>
      </c>
      <c r="L262" s="804">
        <v>0</v>
      </c>
      <c r="M262" s="804">
        <v>158819</v>
      </c>
      <c r="N262" s="804">
        <v>110637</v>
      </c>
      <c r="O262" s="804">
        <v>110637</v>
      </c>
      <c r="P262" s="804">
        <v>0</v>
      </c>
      <c r="Q262" s="804">
        <v>0</v>
      </c>
      <c r="R262" s="804">
        <v>81072944</v>
      </c>
      <c r="S262" s="804">
        <v>0.5</v>
      </c>
      <c r="T262" s="804">
        <v>0.49</v>
      </c>
      <c r="U262" s="804">
        <v>0</v>
      </c>
      <c r="V262" s="804">
        <v>0.01</v>
      </c>
      <c r="W262" s="804">
        <v>1</v>
      </c>
      <c r="X262" s="804">
        <v>40536472</v>
      </c>
      <c r="Y262" s="804">
        <v>39725743</v>
      </c>
      <c r="Z262" s="804">
        <v>0</v>
      </c>
      <c r="AA262" s="804">
        <v>810729</v>
      </c>
      <c r="AB262" s="804">
        <v>81072944</v>
      </c>
      <c r="AC262" s="804">
        <v>14496</v>
      </c>
      <c r="AD262" s="804">
        <v>0</v>
      </c>
      <c r="AE262" s="804">
        <v>0</v>
      </c>
      <c r="AF262" s="804">
        <v>0</v>
      </c>
      <c r="AG262" s="804">
        <v>14496</v>
      </c>
      <c r="AH262" s="804">
        <v>40521976</v>
      </c>
      <c r="AI262" s="804">
        <v>39725743</v>
      </c>
      <c r="AJ262" s="804">
        <v>0</v>
      </c>
      <c r="AK262" s="804">
        <v>810729</v>
      </c>
      <c r="AL262" s="804">
        <v>81058448</v>
      </c>
      <c r="AM262" s="804">
        <v>236749</v>
      </c>
      <c r="AN262" s="804">
        <v>236749</v>
      </c>
      <c r="AO262" s="804">
        <v>158819</v>
      </c>
      <c r="AP262" s="804">
        <v>158819</v>
      </c>
      <c r="AQ262" s="804">
        <v>110637</v>
      </c>
      <c r="AR262" s="804">
        <v>0</v>
      </c>
      <c r="AS262" s="804">
        <v>110637</v>
      </c>
      <c r="AT262" s="804">
        <v>0</v>
      </c>
      <c r="AU262" s="804">
        <v>0</v>
      </c>
      <c r="AV262" s="804">
        <v>0</v>
      </c>
      <c r="AW262" s="804">
        <v>0</v>
      </c>
      <c r="AX262" s="804">
        <v>14206</v>
      </c>
      <c r="AY262" s="804">
        <v>0</v>
      </c>
      <c r="AZ262" s="804">
        <v>290</v>
      </c>
      <c r="BA262" s="804">
        <v>14496</v>
      </c>
      <c r="BB262" s="804">
        <v>0</v>
      </c>
      <c r="BC262" s="804">
        <v>0</v>
      </c>
      <c r="BD262" s="804">
        <v>0</v>
      </c>
      <c r="BE262" s="804">
        <v>0</v>
      </c>
      <c r="BF262" s="804">
        <v>0</v>
      </c>
      <c r="BG262" s="804">
        <v>0</v>
      </c>
      <c r="BH262" s="804">
        <v>0</v>
      </c>
      <c r="BI262" s="804">
        <v>0</v>
      </c>
      <c r="BJ262" s="804">
        <v>0.5</v>
      </c>
      <c r="BK262" s="804">
        <v>0.49</v>
      </c>
      <c r="BL262" s="804">
        <v>0</v>
      </c>
      <c r="BM262" s="804">
        <v>0.01</v>
      </c>
      <c r="BN262" s="804">
        <v>1</v>
      </c>
      <c r="BO262" s="804">
        <v>-752713</v>
      </c>
      <c r="BP262" s="804">
        <v>-737659</v>
      </c>
      <c r="BQ262" s="804">
        <v>0</v>
      </c>
      <c r="BR262" s="804">
        <v>-15054</v>
      </c>
      <c r="BS262" s="804">
        <v>-1505426</v>
      </c>
      <c r="BT262" s="804">
        <v>0.5</v>
      </c>
      <c r="BU262" s="804">
        <v>0.49</v>
      </c>
      <c r="BV262" s="804">
        <v>0</v>
      </c>
      <c r="BW262" s="804">
        <v>0.01</v>
      </c>
      <c r="BX262" s="804">
        <v>1</v>
      </c>
      <c r="BY262" s="804">
        <v>84240.5</v>
      </c>
      <c r="BZ262" s="804">
        <v>82556</v>
      </c>
      <c r="CA262" s="804">
        <v>0</v>
      </c>
      <c r="CB262" s="804">
        <v>1685</v>
      </c>
      <c r="CC262" s="804">
        <v>168481.5</v>
      </c>
      <c r="CD262" s="804">
        <v>-668473</v>
      </c>
      <c r="CE262" s="804">
        <v>-655103</v>
      </c>
      <c r="CF262" s="804">
        <v>0</v>
      </c>
      <c r="CG262" s="804">
        <v>-13369</v>
      </c>
      <c r="CH262" s="804">
        <v>-1336944.5</v>
      </c>
      <c r="CI262" s="804">
        <v>39853503</v>
      </c>
      <c r="CJ262" s="804">
        <v>39591051</v>
      </c>
      <c r="CK262" s="804">
        <v>0</v>
      </c>
      <c r="CL262" s="804">
        <v>797650</v>
      </c>
      <c r="CM262" s="804">
        <v>80242205</v>
      </c>
      <c r="CN262" s="804">
        <v>1603583</v>
      </c>
      <c r="CO262" s="804">
        <v>0</v>
      </c>
      <c r="CP262" s="804">
        <v>32506</v>
      </c>
      <c r="CQ262" s="804">
        <v>1636089</v>
      </c>
      <c r="CR262" s="804">
        <v>1806154</v>
      </c>
      <c r="CS262" s="804">
        <v>0</v>
      </c>
      <c r="CT262" s="804">
        <v>36305</v>
      </c>
      <c r="CU262" s="804">
        <v>1842459</v>
      </c>
      <c r="CV262" s="804">
        <v>148986</v>
      </c>
      <c r="CW262" s="804">
        <v>0</v>
      </c>
      <c r="CX262" s="804">
        <v>3008</v>
      </c>
      <c r="CY262" s="804">
        <v>151994</v>
      </c>
      <c r="CZ262" s="804">
        <v>0</v>
      </c>
      <c r="DA262" s="804">
        <v>0</v>
      </c>
      <c r="DB262" s="804">
        <v>0</v>
      </c>
      <c r="DC262" s="804">
        <v>0</v>
      </c>
      <c r="DD262" s="804">
        <v>0</v>
      </c>
      <c r="DE262" s="804">
        <v>0</v>
      </c>
      <c r="DF262" s="804">
        <v>0</v>
      </c>
      <c r="DG262" s="804">
        <v>0</v>
      </c>
      <c r="DH262" s="804">
        <v>11839</v>
      </c>
      <c r="DI262" s="804">
        <v>0</v>
      </c>
      <c r="DJ262" s="804">
        <v>242</v>
      </c>
      <c r="DK262" s="804">
        <v>12081</v>
      </c>
      <c r="DL262" s="804">
        <v>0</v>
      </c>
      <c r="DM262" s="804">
        <v>0</v>
      </c>
      <c r="DN262" s="804">
        <v>0</v>
      </c>
      <c r="DO262" s="804">
        <v>0</v>
      </c>
      <c r="DP262" s="804">
        <v>0</v>
      </c>
      <c r="DQ262" s="804">
        <v>0</v>
      </c>
      <c r="DR262" s="804">
        <v>0</v>
      </c>
      <c r="DS262" s="804">
        <v>0</v>
      </c>
      <c r="DT262" s="804">
        <v>0</v>
      </c>
      <c r="DU262" s="804">
        <v>0</v>
      </c>
      <c r="DV262" s="804">
        <v>0</v>
      </c>
      <c r="DW262" s="804">
        <v>0</v>
      </c>
      <c r="DX262" s="804">
        <v>632525</v>
      </c>
      <c r="DY262" s="804">
        <v>0</v>
      </c>
      <c r="DZ262" s="804">
        <v>12909</v>
      </c>
      <c r="EA262" s="804">
        <v>645434</v>
      </c>
      <c r="EB262" s="804">
        <v>4203087</v>
      </c>
      <c r="EC262" s="804">
        <v>0</v>
      </c>
      <c r="ED262" s="804">
        <v>84970</v>
      </c>
      <c r="EE262" s="804">
        <v>4288057</v>
      </c>
      <c r="EF262" s="604" t="s">
        <v>550</v>
      </c>
      <c r="EG262" s="497" t="s">
        <v>524</v>
      </c>
      <c r="EH262" s="630" t="s">
        <v>548</v>
      </c>
      <c r="EI262" s="118" t="s">
        <v>1913</v>
      </c>
    </row>
    <row r="263" spans="1:139" ht="12.75" x14ac:dyDescent="0.2">
      <c r="A263" s="805">
        <v>256</v>
      </c>
      <c r="B263" s="606" t="s">
        <v>401</v>
      </c>
      <c r="C263" s="607" t="s">
        <v>524</v>
      </c>
      <c r="D263" s="608" t="s">
        <v>1195</v>
      </c>
      <c r="E263" s="609" t="s">
        <v>607</v>
      </c>
      <c r="F263" s="802">
        <v>93902381</v>
      </c>
      <c r="G263" s="804">
        <v>52051</v>
      </c>
      <c r="H263" s="804">
        <v>0</v>
      </c>
      <c r="I263" s="804">
        <v>352266</v>
      </c>
      <c r="J263" s="804">
        <v>0</v>
      </c>
      <c r="K263" s="804">
        <v>352266</v>
      </c>
      <c r="L263" s="804">
        <v>0</v>
      </c>
      <c r="M263" s="804">
        <v>1076239</v>
      </c>
      <c r="N263" s="804">
        <v>0</v>
      </c>
      <c r="O263" s="804">
        <v>0</v>
      </c>
      <c r="P263" s="804">
        <v>0</v>
      </c>
      <c r="Q263" s="804">
        <v>0</v>
      </c>
      <c r="R263" s="804">
        <v>92525927</v>
      </c>
      <c r="S263" s="804">
        <v>0.5</v>
      </c>
      <c r="T263" s="804">
        <v>0.49</v>
      </c>
      <c r="U263" s="804">
        <v>0</v>
      </c>
      <c r="V263" s="804">
        <v>0.01</v>
      </c>
      <c r="W263" s="804">
        <v>1</v>
      </c>
      <c r="X263" s="804">
        <v>46262964</v>
      </c>
      <c r="Y263" s="804">
        <v>45337704</v>
      </c>
      <c r="Z263" s="804">
        <v>0</v>
      </c>
      <c r="AA263" s="804">
        <v>925259</v>
      </c>
      <c r="AB263" s="804">
        <v>92525927</v>
      </c>
      <c r="AC263" s="804">
        <v>349535</v>
      </c>
      <c r="AD263" s="804">
        <v>0</v>
      </c>
      <c r="AE263" s="804">
        <v>0</v>
      </c>
      <c r="AF263" s="804">
        <v>0</v>
      </c>
      <c r="AG263" s="804">
        <v>349535</v>
      </c>
      <c r="AH263" s="804">
        <v>45913429</v>
      </c>
      <c r="AI263" s="804">
        <v>45337704</v>
      </c>
      <c r="AJ263" s="804">
        <v>0</v>
      </c>
      <c r="AK263" s="804">
        <v>925259</v>
      </c>
      <c r="AL263" s="804">
        <v>92176392</v>
      </c>
      <c r="AM263" s="804">
        <v>352266</v>
      </c>
      <c r="AN263" s="804">
        <v>352266</v>
      </c>
      <c r="AO263" s="804">
        <v>1076239</v>
      </c>
      <c r="AP263" s="804">
        <v>1076239</v>
      </c>
      <c r="AQ263" s="804">
        <v>0</v>
      </c>
      <c r="AR263" s="804">
        <v>0</v>
      </c>
      <c r="AS263" s="804">
        <v>0</v>
      </c>
      <c r="AT263" s="804">
        <v>0</v>
      </c>
      <c r="AU263" s="804">
        <v>0</v>
      </c>
      <c r="AV263" s="804">
        <v>0</v>
      </c>
      <c r="AW263" s="804">
        <v>0</v>
      </c>
      <c r="AX263" s="804">
        <v>349535</v>
      </c>
      <c r="AY263" s="804">
        <v>0</v>
      </c>
      <c r="AZ263" s="804">
        <v>0</v>
      </c>
      <c r="BA263" s="804">
        <v>349535</v>
      </c>
      <c r="BB263" s="804">
        <v>0</v>
      </c>
      <c r="BC263" s="804">
        <v>0</v>
      </c>
      <c r="BD263" s="804">
        <v>0</v>
      </c>
      <c r="BE263" s="804">
        <v>0</v>
      </c>
      <c r="BF263" s="804">
        <v>0</v>
      </c>
      <c r="BG263" s="804">
        <v>0</v>
      </c>
      <c r="BH263" s="804">
        <v>0</v>
      </c>
      <c r="BI263" s="804">
        <v>0</v>
      </c>
      <c r="BJ263" s="804">
        <v>0.25</v>
      </c>
      <c r="BK263" s="804">
        <v>0.74</v>
      </c>
      <c r="BL263" s="804">
        <v>0</v>
      </c>
      <c r="BM263" s="804">
        <v>0.01</v>
      </c>
      <c r="BN263" s="804">
        <v>1</v>
      </c>
      <c r="BO263" s="804">
        <v>-661585</v>
      </c>
      <c r="BP263" s="804">
        <v>-1958289</v>
      </c>
      <c r="BQ263" s="804">
        <v>0</v>
      </c>
      <c r="BR263" s="804">
        <v>-26463</v>
      </c>
      <c r="BS263" s="804">
        <v>-2646337</v>
      </c>
      <c r="BT263" s="804">
        <v>0.5</v>
      </c>
      <c r="BU263" s="804">
        <v>0.49</v>
      </c>
      <c r="BV263" s="804">
        <v>0</v>
      </c>
      <c r="BW263" s="804">
        <v>0.01</v>
      </c>
      <c r="BX263" s="804">
        <v>1</v>
      </c>
      <c r="BY263" s="804">
        <v>-488747</v>
      </c>
      <c r="BZ263" s="804">
        <v>-478972</v>
      </c>
      <c r="CA263" s="804">
        <v>0</v>
      </c>
      <c r="CB263" s="804">
        <v>-9775</v>
      </c>
      <c r="CC263" s="804">
        <v>-977494</v>
      </c>
      <c r="CD263" s="804">
        <v>-1150332</v>
      </c>
      <c r="CE263" s="804">
        <v>-2437261</v>
      </c>
      <c r="CF263" s="804">
        <v>0</v>
      </c>
      <c r="CG263" s="804">
        <v>-36238</v>
      </c>
      <c r="CH263" s="804">
        <v>-3623831</v>
      </c>
      <c r="CI263" s="804">
        <v>44763097</v>
      </c>
      <c r="CJ263" s="804">
        <v>44678483</v>
      </c>
      <c r="CK263" s="804">
        <v>0</v>
      </c>
      <c r="CL263" s="804">
        <v>889021</v>
      </c>
      <c r="CM263" s="804">
        <v>90330601</v>
      </c>
      <c r="CN263" s="804">
        <v>1874288</v>
      </c>
      <c r="CO263" s="804">
        <v>0</v>
      </c>
      <c r="CP263" s="804">
        <v>37085</v>
      </c>
      <c r="CQ263" s="804">
        <v>1911373</v>
      </c>
      <c r="CR263" s="804">
        <v>3701952</v>
      </c>
      <c r="CS263" s="804">
        <v>0</v>
      </c>
      <c r="CT263" s="804">
        <v>74902</v>
      </c>
      <c r="CU263" s="804">
        <v>3776854</v>
      </c>
      <c r="CV263" s="804">
        <v>171028</v>
      </c>
      <c r="CW263" s="804">
        <v>0</v>
      </c>
      <c r="CX263" s="804">
        <v>3490</v>
      </c>
      <c r="CY263" s="804">
        <v>174518</v>
      </c>
      <c r="CZ263" s="804">
        <v>2415</v>
      </c>
      <c r="DA263" s="804">
        <v>0</v>
      </c>
      <c r="DB263" s="804">
        <v>49</v>
      </c>
      <c r="DC263" s="804">
        <v>2464</v>
      </c>
      <c r="DD263" s="804">
        <v>0</v>
      </c>
      <c r="DE263" s="804">
        <v>0</v>
      </c>
      <c r="DF263" s="804">
        <v>0</v>
      </c>
      <c r="DG263" s="804">
        <v>0</v>
      </c>
      <c r="DH263" s="804">
        <v>13708</v>
      </c>
      <c r="DI263" s="804">
        <v>0</v>
      </c>
      <c r="DJ263" s="804">
        <v>280</v>
      </c>
      <c r="DK263" s="804">
        <v>13988</v>
      </c>
      <c r="DL263" s="804">
        <v>8155</v>
      </c>
      <c r="DM263" s="804">
        <v>0</v>
      </c>
      <c r="DN263" s="804">
        <v>166</v>
      </c>
      <c r="DO263" s="804">
        <v>8321</v>
      </c>
      <c r="DP263" s="804">
        <v>0</v>
      </c>
      <c r="DQ263" s="804">
        <v>0</v>
      </c>
      <c r="DR263" s="804">
        <v>0</v>
      </c>
      <c r="DS263" s="804">
        <v>0</v>
      </c>
      <c r="DT263" s="804">
        <v>0</v>
      </c>
      <c r="DU263" s="804">
        <v>0</v>
      </c>
      <c r="DV263" s="804">
        <v>0</v>
      </c>
      <c r="DW263" s="804">
        <v>0</v>
      </c>
      <c r="DX263" s="804">
        <v>767420</v>
      </c>
      <c r="DY263" s="804">
        <v>0</v>
      </c>
      <c r="DZ263" s="804">
        <v>15662</v>
      </c>
      <c r="EA263" s="804">
        <v>783082</v>
      </c>
      <c r="EB263" s="804">
        <v>6538966</v>
      </c>
      <c r="EC263" s="804">
        <v>0</v>
      </c>
      <c r="ED263" s="804">
        <v>131634</v>
      </c>
      <c r="EE263" s="804">
        <v>6670600</v>
      </c>
      <c r="EF263" s="604" t="s">
        <v>607</v>
      </c>
      <c r="EG263" s="497" t="s">
        <v>524</v>
      </c>
      <c r="EH263" s="630" t="s">
        <v>608</v>
      </c>
      <c r="EI263" s="118" t="s">
        <v>1914</v>
      </c>
    </row>
    <row r="264" spans="1:139" ht="12.75" x14ac:dyDescent="0.2">
      <c r="A264" s="805">
        <v>257</v>
      </c>
      <c r="B264" s="606" t="s">
        <v>403</v>
      </c>
      <c r="C264" s="607" t="s">
        <v>1185</v>
      </c>
      <c r="D264" s="608" t="s">
        <v>1195</v>
      </c>
      <c r="E264" s="609" t="s">
        <v>402</v>
      </c>
      <c r="F264" s="802">
        <v>56128444.700000003</v>
      </c>
      <c r="G264" s="804">
        <v>0</v>
      </c>
      <c r="H264" s="804">
        <v>16555.030000000028</v>
      </c>
      <c r="I264" s="804">
        <v>224849</v>
      </c>
      <c r="J264" s="804">
        <v>0</v>
      </c>
      <c r="K264" s="804">
        <v>224849</v>
      </c>
      <c r="L264" s="804">
        <v>0</v>
      </c>
      <c r="M264" s="804">
        <v>0</v>
      </c>
      <c r="N264" s="804">
        <v>29696</v>
      </c>
      <c r="O264" s="804">
        <v>29696</v>
      </c>
      <c r="P264" s="804">
        <v>0</v>
      </c>
      <c r="Q264" s="804">
        <v>0</v>
      </c>
      <c r="R264" s="804">
        <v>55857345</v>
      </c>
      <c r="S264" s="804">
        <v>0.5</v>
      </c>
      <c r="T264" s="804">
        <v>0.4</v>
      </c>
      <c r="U264" s="804">
        <v>0.1</v>
      </c>
      <c r="V264" s="804">
        <v>0</v>
      </c>
      <c r="W264" s="804">
        <v>1</v>
      </c>
      <c r="X264" s="804">
        <v>27928672</v>
      </c>
      <c r="Y264" s="804">
        <v>22342938</v>
      </c>
      <c r="Z264" s="804">
        <v>5585735</v>
      </c>
      <c r="AA264" s="804">
        <v>0</v>
      </c>
      <c r="AB264" s="804">
        <v>55857345</v>
      </c>
      <c r="AC264" s="804">
        <v>0</v>
      </c>
      <c r="AD264" s="804">
        <v>0</v>
      </c>
      <c r="AE264" s="804">
        <v>0</v>
      </c>
      <c r="AF264" s="804">
        <v>0</v>
      </c>
      <c r="AG264" s="804">
        <v>0</v>
      </c>
      <c r="AH264" s="804">
        <v>27928672</v>
      </c>
      <c r="AI264" s="804">
        <v>22342938</v>
      </c>
      <c r="AJ264" s="804">
        <v>5585735</v>
      </c>
      <c r="AK264" s="804">
        <v>0</v>
      </c>
      <c r="AL264" s="804">
        <v>55857345</v>
      </c>
      <c r="AM264" s="804">
        <v>224849</v>
      </c>
      <c r="AN264" s="804">
        <v>224849</v>
      </c>
      <c r="AO264" s="804">
        <v>0</v>
      </c>
      <c r="AP264" s="804">
        <v>0</v>
      </c>
      <c r="AQ264" s="804">
        <v>29696</v>
      </c>
      <c r="AR264" s="804">
        <v>0</v>
      </c>
      <c r="AS264" s="804">
        <v>29696</v>
      </c>
      <c r="AT264" s="804">
        <v>0</v>
      </c>
      <c r="AU264" s="804">
        <v>0</v>
      </c>
      <c r="AV264" s="804">
        <v>0</v>
      </c>
      <c r="AW264" s="804">
        <v>0</v>
      </c>
      <c r="AX264" s="804">
        <v>0</v>
      </c>
      <c r="AY264" s="804">
        <v>0</v>
      </c>
      <c r="AZ264" s="804">
        <v>0</v>
      </c>
      <c r="BA264" s="804">
        <v>0</v>
      </c>
      <c r="BB264" s="804">
        <v>0</v>
      </c>
      <c r="BC264" s="804">
        <v>0</v>
      </c>
      <c r="BD264" s="804">
        <v>0</v>
      </c>
      <c r="BE264" s="804">
        <v>0</v>
      </c>
      <c r="BF264" s="804">
        <v>0</v>
      </c>
      <c r="BG264" s="804">
        <v>0</v>
      </c>
      <c r="BH264" s="804">
        <v>0</v>
      </c>
      <c r="BI264" s="804">
        <v>0</v>
      </c>
      <c r="BJ264" s="804">
        <v>0.5</v>
      </c>
      <c r="BK264" s="804">
        <v>0.4</v>
      </c>
      <c r="BL264" s="804">
        <v>0.1</v>
      </c>
      <c r="BM264" s="804">
        <v>0</v>
      </c>
      <c r="BN264" s="804">
        <v>1</v>
      </c>
      <c r="BO264" s="804">
        <v>73483</v>
      </c>
      <c r="BP264" s="804">
        <v>58786</v>
      </c>
      <c r="BQ264" s="804">
        <v>14697</v>
      </c>
      <c r="BR264" s="804">
        <v>0</v>
      </c>
      <c r="BS264" s="804">
        <v>146966</v>
      </c>
      <c r="BT264" s="804">
        <v>0.5</v>
      </c>
      <c r="BU264" s="804">
        <v>0.4</v>
      </c>
      <c r="BV264" s="804">
        <v>0.1</v>
      </c>
      <c r="BW264" s="804">
        <v>0</v>
      </c>
      <c r="BX264" s="804">
        <v>1</v>
      </c>
      <c r="BY264" s="804">
        <v>-696016</v>
      </c>
      <c r="BZ264" s="804">
        <v>-556812</v>
      </c>
      <c r="CA264" s="804">
        <v>-139203</v>
      </c>
      <c r="CB264" s="804">
        <v>0</v>
      </c>
      <c r="CC264" s="804">
        <v>-1392031</v>
      </c>
      <c r="CD264" s="804">
        <v>-622532</v>
      </c>
      <c r="CE264" s="804">
        <v>-498026</v>
      </c>
      <c r="CF264" s="804">
        <v>-124507</v>
      </c>
      <c r="CG264" s="804">
        <v>0</v>
      </c>
      <c r="CH264" s="804">
        <v>-1245065</v>
      </c>
      <c r="CI264" s="804">
        <v>27306140</v>
      </c>
      <c r="CJ264" s="804">
        <v>22099457</v>
      </c>
      <c r="CK264" s="804">
        <v>5461228</v>
      </c>
      <c r="CL264" s="804">
        <v>0</v>
      </c>
      <c r="CM264" s="804">
        <v>54866825</v>
      </c>
      <c r="CN264" s="804">
        <v>896699</v>
      </c>
      <c r="CO264" s="804">
        <v>223877</v>
      </c>
      <c r="CP264" s="804">
        <v>0</v>
      </c>
      <c r="CQ264" s="804">
        <v>1120576</v>
      </c>
      <c r="CR264" s="804">
        <v>1797847</v>
      </c>
      <c r="CS264" s="804">
        <v>449462</v>
      </c>
      <c r="CT264" s="804">
        <v>0</v>
      </c>
      <c r="CU264" s="804">
        <v>2247309</v>
      </c>
      <c r="CV264" s="804">
        <v>129242</v>
      </c>
      <c r="CW264" s="804">
        <v>32310</v>
      </c>
      <c r="CX264" s="804">
        <v>0</v>
      </c>
      <c r="CY264" s="804">
        <v>161552</v>
      </c>
      <c r="CZ264" s="804">
        <v>0</v>
      </c>
      <c r="DA264" s="804">
        <v>0</v>
      </c>
      <c r="DB264" s="804">
        <v>0</v>
      </c>
      <c r="DC264" s="804">
        <v>0</v>
      </c>
      <c r="DD264" s="804">
        <v>11278</v>
      </c>
      <c r="DE264" s="804">
        <v>2820</v>
      </c>
      <c r="DF264" s="804">
        <v>0</v>
      </c>
      <c r="DG264" s="804">
        <v>14098</v>
      </c>
      <c r="DH264" s="804">
        <v>9707</v>
      </c>
      <c r="DI264" s="804">
        <v>2427</v>
      </c>
      <c r="DJ264" s="804">
        <v>0</v>
      </c>
      <c r="DK264" s="804">
        <v>12134</v>
      </c>
      <c r="DL264" s="804">
        <v>4538</v>
      </c>
      <c r="DM264" s="804">
        <v>1135</v>
      </c>
      <c r="DN264" s="804">
        <v>0</v>
      </c>
      <c r="DO264" s="804">
        <v>5673</v>
      </c>
      <c r="DP264" s="804">
        <v>0</v>
      </c>
      <c r="DQ264" s="804">
        <v>0</v>
      </c>
      <c r="DR264" s="804">
        <v>0</v>
      </c>
      <c r="DS264" s="804">
        <v>0</v>
      </c>
      <c r="DT264" s="804">
        <v>0</v>
      </c>
      <c r="DU264" s="804">
        <v>0</v>
      </c>
      <c r="DV264" s="804">
        <v>0</v>
      </c>
      <c r="DW264" s="804">
        <v>0</v>
      </c>
      <c r="DX264" s="804">
        <v>589138</v>
      </c>
      <c r="DY264" s="804">
        <v>147284</v>
      </c>
      <c r="DZ264" s="804">
        <v>0</v>
      </c>
      <c r="EA264" s="804">
        <v>736422</v>
      </c>
      <c r="EB264" s="804">
        <v>3438449</v>
      </c>
      <c r="EC264" s="804">
        <v>859315</v>
      </c>
      <c r="ED264" s="804">
        <v>0</v>
      </c>
      <c r="EE264" s="804">
        <v>4297764</v>
      </c>
      <c r="EF264" s="604" t="s">
        <v>402</v>
      </c>
      <c r="EG264" s="497" t="s">
        <v>612</v>
      </c>
      <c r="EH264" s="630" t="s">
        <v>551</v>
      </c>
      <c r="EI264" s="118" t="s">
        <v>1915</v>
      </c>
    </row>
    <row r="265" spans="1:139" ht="12.75" x14ac:dyDescent="0.2">
      <c r="A265" s="805">
        <v>258</v>
      </c>
      <c r="B265" s="606" t="s">
        <v>405</v>
      </c>
      <c r="C265" s="607" t="s">
        <v>1185</v>
      </c>
      <c r="D265" s="608" t="s">
        <v>1194</v>
      </c>
      <c r="E265" s="609" t="s">
        <v>404</v>
      </c>
      <c r="F265" s="802">
        <v>29144509</v>
      </c>
      <c r="G265" s="804">
        <v>90990</v>
      </c>
      <c r="H265" s="804">
        <v>0</v>
      </c>
      <c r="I265" s="804">
        <v>155376</v>
      </c>
      <c r="J265" s="804">
        <v>0</v>
      </c>
      <c r="K265" s="804">
        <v>155376</v>
      </c>
      <c r="L265" s="804">
        <v>0</v>
      </c>
      <c r="M265" s="804">
        <v>0</v>
      </c>
      <c r="N265" s="804">
        <v>137224</v>
      </c>
      <c r="O265" s="804">
        <v>137224</v>
      </c>
      <c r="P265" s="804">
        <v>0</v>
      </c>
      <c r="Q265" s="804">
        <v>0</v>
      </c>
      <c r="R265" s="804">
        <v>28942899</v>
      </c>
      <c r="S265" s="804">
        <v>0.5</v>
      </c>
      <c r="T265" s="804">
        <v>0.4</v>
      </c>
      <c r="U265" s="804">
        <v>0.1</v>
      </c>
      <c r="V265" s="804">
        <v>0</v>
      </c>
      <c r="W265" s="804">
        <v>1</v>
      </c>
      <c r="X265" s="804">
        <v>14471449</v>
      </c>
      <c r="Y265" s="804">
        <v>11577160</v>
      </c>
      <c r="Z265" s="804">
        <v>2894290</v>
      </c>
      <c r="AA265" s="804">
        <v>0</v>
      </c>
      <c r="AB265" s="804">
        <v>28942899</v>
      </c>
      <c r="AC265" s="804">
        <v>0</v>
      </c>
      <c r="AD265" s="804">
        <v>0</v>
      </c>
      <c r="AE265" s="804">
        <v>0</v>
      </c>
      <c r="AF265" s="804">
        <v>0</v>
      </c>
      <c r="AG265" s="804">
        <v>0</v>
      </c>
      <c r="AH265" s="804">
        <v>14471449</v>
      </c>
      <c r="AI265" s="804">
        <v>11577160</v>
      </c>
      <c r="AJ265" s="804">
        <v>2894290</v>
      </c>
      <c r="AK265" s="804">
        <v>0</v>
      </c>
      <c r="AL265" s="804">
        <v>28942899</v>
      </c>
      <c r="AM265" s="804">
        <v>155376</v>
      </c>
      <c r="AN265" s="804">
        <v>155376</v>
      </c>
      <c r="AO265" s="804">
        <v>0</v>
      </c>
      <c r="AP265" s="804">
        <v>0</v>
      </c>
      <c r="AQ265" s="804">
        <v>137224</v>
      </c>
      <c r="AR265" s="804">
        <v>0</v>
      </c>
      <c r="AS265" s="804">
        <v>137224</v>
      </c>
      <c r="AT265" s="804">
        <v>0</v>
      </c>
      <c r="AU265" s="804">
        <v>0</v>
      </c>
      <c r="AV265" s="804">
        <v>0</v>
      </c>
      <c r="AW265" s="804">
        <v>0</v>
      </c>
      <c r="AX265" s="804">
        <v>0</v>
      </c>
      <c r="AY265" s="804">
        <v>0</v>
      </c>
      <c r="AZ265" s="804">
        <v>0</v>
      </c>
      <c r="BA265" s="804">
        <v>0</v>
      </c>
      <c r="BB265" s="804">
        <v>0</v>
      </c>
      <c r="BC265" s="804">
        <v>0</v>
      </c>
      <c r="BD265" s="804">
        <v>0</v>
      </c>
      <c r="BE265" s="804">
        <v>0</v>
      </c>
      <c r="BF265" s="804">
        <v>0</v>
      </c>
      <c r="BG265" s="804">
        <v>0</v>
      </c>
      <c r="BH265" s="804">
        <v>0</v>
      </c>
      <c r="BI265" s="804">
        <v>0</v>
      </c>
      <c r="BJ265" s="804">
        <v>0.5</v>
      </c>
      <c r="BK265" s="804">
        <v>0.4</v>
      </c>
      <c r="BL265" s="804">
        <v>0.1</v>
      </c>
      <c r="BM265" s="804">
        <v>0</v>
      </c>
      <c r="BN265" s="804">
        <v>1</v>
      </c>
      <c r="BO265" s="804">
        <v>140572</v>
      </c>
      <c r="BP265" s="804">
        <v>112458</v>
      </c>
      <c r="BQ265" s="804">
        <v>28115</v>
      </c>
      <c r="BR265" s="804">
        <v>0</v>
      </c>
      <c r="BS265" s="804">
        <v>281145</v>
      </c>
      <c r="BT265" s="804">
        <v>0</v>
      </c>
      <c r="BU265" s="804">
        <v>0.5</v>
      </c>
      <c r="BV265" s="804">
        <v>0.5</v>
      </c>
      <c r="BW265" s="804">
        <v>0</v>
      </c>
      <c r="BX265" s="804">
        <v>1</v>
      </c>
      <c r="BY265" s="804">
        <v>1</v>
      </c>
      <c r="BZ265" s="804">
        <v>-30441</v>
      </c>
      <c r="CA265" s="804">
        <v>-30441</v>
      </c>
      <c r="CB265" s="804">
        <v>0</v>
      </c>
      <c r="CC265" s="804">
        <v>-60881</v>
      </c>
      <c r="CD265" s="804">
        <v>140573</v>
      </c>
      <c r="CE265" s="804">
        <v>82017</v>
      </c>
      <c r="CF265" s="804">
        <v>-2326</v>
      </c>
      <c r="CG265" s="804">
        <v>0</v>
      </c>
      <c r="CH265" s="804">
        <v>220264</v>
      </c>
      <c r="CI265" s="804">
        <v>14612022</v>
      </c>
      <c r="CJ265" s="804">
        <v>11951777</v>
      </c>
      <c r="CK265" s="804">
        <v>2891964</v>
      </c>
      <c r="CL265" s="804">
        <v>0</v>
      </c>
      <c r="CM265" s="804">
        <v>29455763</v>
      </c>
      <c r="CN265" s="804">
        <v>469514</v>
      </c>
      <c r="CO265" s="804">
        <v>116004</v>
      </c>
      <c r="CP265" s="804">
        <v>0</v>
      </c>
      <c r="CQ265" s="804">
        <v>585518</v>
      </c>
      <c r="CR265" s="804">
        <v>1265410</v>
      </c>
      <c r="CS265" s="804">
        <v>316352</v>
      </c>
      <c r="CT265" s="804">
        <v>0</v>
      </c>
      <c r="CU265" s="804">
        <v>1581762</v>
      </c>
      <c r="CV265" s="804">
        <v>48589</v>
      </c>
      <c r="CW265" s="804">
        <v>12147</v>
      </c>
      <c r="CX265" s="804">
        <v>0</v>
      </c>
      <c r="CY265" s="804">
        <v>60736</v>
      </c>
      <c r="CZ265" s="804">
        <v>0</v>
      </c>
      <c r="DA265" s="804">
        <v>0</v>
      </c>
      <c r="DB265" s="804">
        <v>0</v>
      </c>
      <c r="DC265" s="804">
        <v>0</v>
      </c>
      <c r="DD265" s="804">
        <v>12910</v>
      </c>
      <c r="DE265" s="804">
        <v>3227</v>
      </c>
      <c r="DF265" s="804">
        <v>0</v>
      </c>
      <c r="DG265" s="804">
        <v>16137</v>
      </c>
      <c r="DH265" s="804">
        <v>12682</v>
      </c>
      <c r="DI265" s="804">
        <v>3171</v>
      </c>
      <c r="DJ265" s="804">
        <v>0</v>
      </c>
      <c r="DK265" s="804">
        <v>15853</v>
      </c>
      <c r="DL265" s="804">
        <v>0</v>
      </c>
      <c r="DM265" s="804">
        <v>0</v>
      </c>
      <c r="DN265" s="804">
        <v>0</v>
      </c>
      <c r="DO265" s="804">
        <v>0</v>
      </c>
      <c r="DP265" s="804">
        <v>0</v>
      </c>
      <c r="DQ265" s="804">
        <v>0</v>
      </c>
      <c r="DR265" s="804">
        <v>0</v>
      </c>
      <c r="DS265" s="804">
        <v>0</v>
      </c>
      <c r="DT265" s="804">
        <v>0</v>
      </c>
      <c r="DU265" s="804">
        <v>0</v>
      </c>
      <c r="DV265" s="804">
        <v>0</v>
      </c>
      <c r="DW265" s="804">
        <v>0</v>
      </c>
      <c r="DX265" s="804">
        <v>213218</v>
      </c>
      <c r="DY265" s="804">
        <v>53305</v>
      </c>
      <c r="DZ265" s="804">
        <v>0</v>
      </c>
      <c r="EA265" s="804">
        <v>266523</v>
      </c>
      <c r="EB265" s="804">
        <v>2022323</v>
      </c>
      <c r="EC265" s="804">
        <v>504206</v>
      </c>
      <c r="ED265" s="804">
        <v>0</v>
      </c>
      <c r="EE265" s="804">
        <v>2526529</v>
      </c>
      <c r="EF265" s="604" t="s">
        <v>404</v>
      </c>
      <c r="EG265" s="497" t="s">
        <v>571</v>
      </c>
      <c r="EH265" s="630" t="s">
        <v>551</v>
      </c>
      <c r="EI265" s="118" t="s">
        <v>1916</v>
      </c>
    </row>
    <row r="266" spans="1:139" ht="12.75" x14ac:dyDescent="0.2">
      <c r="A266" s="805">
        <v>259</v>
      </c>
      <c r="B266" s="606" t="s">
        <v>407</v>
      </c>
      <c r="C266" s="607" t="s">
        <v>1192</v>
      </c>
      <c r="D266" s="608" t="s">
        <v>1197</v>
      </c>
      <c r="E266" s="609" t="s">
        <v>406</v>
      </c>
      <c r="F266" s="802">
        <v>90925970</v>
      </c>
      <c r="G266" s="804">
        <v>0</v>
      </c>
      <c r="H266" s="804">
        <v>827296</v>
      </c>
      <c r="I266" s="804">
        <v>330391</v>
      </c>
      <c r="J266" s="804">
        <v>0</v>
      </c>
      <c r="K266" s="804">
        <v>330391</v>
      </c>
      <c r="L266" s="804">
        <v>0</v>
      </c>
      <c r="M266" s="804">
        <v>1721915</v>
      </c>
      <c r="N266" s="804">
        <v>0</v>
      </c>
      <c r="O266" s="804">
        <v>0</v>
      </c>
      <c r="P266" s="804">
        <v>0</v>
      </c>
      <c r="Q266" s="804">
        <v>0</v>
      </c>
      <c r="R266" s="804">
        <v>88046368</v>
      </c>
      <c r="S266" s="804">
        <v>0.5</v>
      </c>
      <c r="T266" s="804">
        <v>0.49</v>
      </c>
      <c r="U266" s="804">
        <v>0</v>
      </c>
      <c r="V266" s="804">
        <v>0.01</v>
      </c>
      <c r="W266" s="804">
        <v>1</v>
      </c>
      <c r="X266" s="804">
        <v>44023184</v>
      </c>
      <c r="Y266" s="804">
        <v>43142720</v>
      </c>
      <c r="Z266" s="804">
        <v>0</v>
      </c>
      <c r="AA266" s="804">
        <v>880464</v>
      </c>
      <c r="AB266" s="804">
        <v>88046368</v>
      </c>
      <c r="AC266" s="804">
        <v>0</v>
      </c>
      <c r="AD266" s="804">
        <v>0</v>
      </c>
      <c r="AE266" s="804">
        <v>0</v>
      </c>
      <c r="AF266" s="804">
        <v>0</v>
      </c>
      <c r="AG266" s="804">
        <v>0</v>
      </c>
      <c r="AH266" s="804">
        <v>44023184</v>
      </c>
      <c r="AI266" s="804">
        <v>43142720</v>
      </c>
      <c r="AJ266" s="804">
        <v>0</v>
      </c>
      <c r="AK266" s="804">
        <v>880464</v>
      </c>
      <c r="AL266" s="804">
        <v>88046368</v>
      </c>
      <c r="AM266" s="804">
        <v>330391</v>
      </c>
      <c r="AN266" s="804">
        <v>330391</v>
      </c>
      <c r="AO266" s="804">
        <v>1721915</v>
      </c>
      <c r="AP266" s="804">
        <v>1721915</v>
      </c>
      <c r="AQ266" s="804">
        <v>0</v>
      </c>
      <c r="AR266" s="804">
        <v>0</v>
      </c>
      <c r="AS266" s="804">
        <v>0</v>
      </c>
      <c r="AT266" s="804">
        <v>0</v>
      </c>
      <c r="AU266" s="804">
        <v>0</v>
      </c>
      <c r="AV266" s="804">
        <v>0</v>
      </c>
      <c r="AW266" s="804">
        <v>0</v>
      </c>
      <c r="AX266" s="804">
        <v>0</v>
      </c>
      <c r="AY266" s="804">
        <v>0</v>
      </c>
      <c r="AZ266" s="804">
        <v>0</v>
      </c>
      <c r="BA266" s="804">
        <v>0</v>
      </c>
      <c r="BB266" s="804">
        <v>0</v>
      </c>
      <c r="BC266" s="804">
        <v>0</v>
      </c>
      <c r="BD266" s="804">
        <v>0</v>
      </c>
      <c r="BE266" s="804">
        <v>0</v>
      </c>
      <c r="BF266" s="804">
        <v>0</v>
      </c>
      <c r="BG266" s="804">
        <v>0</v>
      </c>
      <c r="BH266" s="804">
        <v>0</v>
      </c>
      <c r="BI266" s="804">
        <v>0</v>
      </c>
      <c r="BJ266" s="804">
        <v>0.5</v>
      </c>
      <c r="BK266" s="804">
        <v>0.49</v>
      </c>
      <c r="BL266" s="804">
        <v>0</v>
      </c>
      <c r="BM266" s="804">
        <v>0.01</v>
      </c>
      <c r="BN266" s="804">
        <v>1</v>
      </c>
      <c r="BO266" s="804">
        <v>0</v>
      </c>
      <c r="BP266" s="804">
        <v>0</v>
      </c>
      <c r="BQ266" s="804">
        <v>0</v>
      </c>
      <c r="BR266" s="804">
        <v>0</v>
      </c>
      <c r="BS266" s="804">
        <v>0</v>
      </c>
      <c r="BT266" s="804">
        <v>0.5</v>
      </c>
      <c r="BU266" s="804">
        <v>0.49</v>
      </c>
      <c r="BV266" s="804">
        <v>0</v>
      </c>
      <c r="BW266" s="804">
        <v>0.01</v>
      </c>
      <c r="BX266" s="804">
        <v>1</v>
      </c>
      <c r="BY266" s="804">
        <v>1229805</v>
      </c>
      <c r="BZ266" s="804">
        <v>1205208</v>
      </c>
      <c r="CA266" s="804">
        <v>0</v>
      </c>
      <c r="CB266" s="804">
        <v>24596</v>
      </c>
      <c r="CC266" s="804">
        <v>2459609</v>
      </c>
      <c r="CD266" s="804">
        <v>1229805</v>
      </c>
      <c r="CE266" s="804">
        <v>1205208</v>
      </c>
      <c r="CF266" s="804">
        <v>0</v>
      </c>
      <c r="CG266" s="804">
        <v>24596</v>
      </c>
      <c r="CH266" s="804">
        <v>2459609</v>
      </c>
      <c r="CI266" s="804">
        <v>45252989</v>
      </c>
      <c r="CJ266" s="804">
        <v>46400234</v>
      </c>
      <c r="CK266" s="804">
        <v>0</v>
      </c>
      <c r="CL266" s="804">
        <v>905060</v>
      </c>
      <c r="CM266" s="804">
        <v>92558283</v>
      </c>
      <c r="CN266" s="804">
        <v>1798182</v>
      </c>
      <c r="CO266" s="804">
        <v>0</v>
      </c>
      <c r="CP266" s="804">
        <v>35289</v>
      </c>
      <c r="CQ266" s="804">
        <v>1833471</v>
      </c>
      <c r="CR266" s="804">
        <v>3039717</v>
      </c>
      <c r="CS266" s="804">
        <v>0</v>
      </c>
      <c r="CT266" s="804">
        <v>62035</v>
      </c>
      <c r="CU266" s="804">
        <v>3101752</v>
      </c>
      <c r="CV266" s="804">
        <v>155686</v>
      </c>
      <c r="CW266" s="804">
        <v>0</v>
      </c>
      <c r="CX266" s="804">
        <v>3162</v>
      </c>
      <c r="CY266" s="804">
        <v>158848</v>
      </c>
      <c r="CZ266" s="804">
        <v>17195</v>
      </c>
      <c r="DA266" s="804">
        <v>0</v>
      </c>
      <c r="DB266" s="804">
        <v>351</v>
      </c>
      <c r="DC266" s="804">
        <v>17546</v>
      </c>
      <c r="DD266" s="804">
        <v>834</v>
      </c>
      <c r="DE266" s="804">
        <v>0</v>
      </c>
      <c r="DF266" s="804">
        <v>17</v>
      </c>
      <c r="DG266" s="804">
        <v>851</v>
      </c>
      <c r="DH266" s="804">
        <v>16151</v>
      </c>
      <c r="DI266" s="804">
        <v>0</v>
      </c>
      <c r="DJ266" s="804">
        <v>330</v>
      </c>
      <c r="DK266" s="804">
        <v>16481</v>
      </c>
      <c r="DL266" s="804">
        <v>7135</v>
      </c>
      <c r="DM266" s="804">
        <v>0</v>
      </c>
      <c r="DN266" s="804">
        <v>146</v>
      </c>
      <c r="DO266" s="804">
        <v>7281</v>
      </c>
      <c r="DP266" s="804">
        <v>0</v>
      </c>
      <c r="DQ266" s="804">
        <v>0</v>
      </c>
      <c r="DR266" s="804">
        <v>0</v>
      </c>
      <c r="DS266" s="804">
        <v>0</v>
      </c>
      <c r="DT266" s="804">
        <v>0</v>
      </c>
      <c r="DU266" s="804">
        <v>0</v>
      </c>
      <c r="DV266" s="804">
        <v>0</v>
      </c>
      <c r="DW266" s="804">
        <v>0</v>
      </c>
      <c r="DX266" s="804">
        <v>774175</v>
      </c>
      <c r="DY266" s="804">
        <v>0</v>
      </c>
      <c r="DZ266" s="804">
        <v>15800</v>
      </c>
      <c r="EA266" s="804">
        <v>789975</v>
      </c>
      <c r="EB266" s="804">
        <v>5809075</v>
      </c>
      <c r="EC266" s="804">
        <v>0</v>
      </c>
      <c r="ED266" s="804">
        <v>117130</v>
      </c>
      <c r="EE266" s="804">
        <v>5926205</v>
      </c>
      <c r="EF266" s="604" t="s">
        <v>406</v>
      </c>
      <c r="EG266" s="497" t="s">
        <v>616</v>
      </c>
      <c r="EH266" s="630" t="s">
        <v>620</v>
      </c>
      <c r="EI266" s="118" t="s">
        <v>1917</v>
      </c>
    </row>
    <row r="267" spans="1:139" ht="12.75" x14ac:dyDescent="0.2">
      <c r="A267" s="805">
        <v>260</v>
      </c>
      <c r="B267" s="606" t="s">
        <v>409</v>
      </c>
      <c r="C267" s="607" t="s">
        <v>1185</v>
      </c>
      <c r="D267" s="608" t="s">
        <v>1186</v>
      </c>
      <c r="E267" s="609" t="s">
        <v>408</v>
      </c>
      <c r="F267" s="802">
        <v>37130990</v>
      </c>
      <c r="G267" s="804">
        <v>65340</v>
      </c>
      <c r="H267" s="804">
        <v>0</v>
      </c>
      <c r="I267" s="804">
        <v>120807</v>
      </c>
      <c r="J267" s="804">
        <v>0</v>
      </c>
      <c r="K267" s="804">
        <v>120807</v>
      </c>
      <c r="L267" s="804">
        <v>0</v>
      </c>
      <c r="M267" s="804">
        <v>0</v>
      </c>
      <c r="N267" s="804">
        <v>0</v>
      </c>
      <c r="O267" s="804">
        <v>0</v>
      </c>
      <c r="P267" s="804">
        <v>0</v>
      </c>
      <c r="Q267" s="804">
        <v>0</v>
      </c>
      <c r="R267" s="804">
        <v>37075523</v>
      </c>
      <c r="S267" s="804">
        <v>0.5</v>
      </c>
      <c r="T267" s="804">
        <v>0.4</v>
      </c>
      <c r="U267" s="804">
        <v>0.1</v>
      </c>
      <c r="V267" s="804">
        <v>0</v>
      </c>
      <c r="W267" s="804">
        <v>1</v>
      </c>
      <c r="X267" s="804">
        <v>18537762</v>
      </c>
      <c r="Y267" s="804">
        <v>14830209</v>
      </c>
      <c r="Z267" s="804">
        <v>3707552</v>
      </c>
      <c r="AA267" s="804">
        <v>0</v>
      </c>
      <c r="AB267" s="804">
        <v>37075523</v>
      </c>
      <c r="AC267" s="804">
        <v>0</v>
      </c>
      <c r="AD267" s="804">
        <v>0</v>
      </c>
      <c r="AE267" s="804">
        <v>0</v>
      </c>
      <c r="AF267" s="804">
        <v>0</v>
      </c>
      <c r="AG267" s="804">
        <v>0</v>
      </c>
      <c r="AH267" s="804">
        <v>18537762</v>
      </c>
      <c r="AI267" s="804">
        <v>14830209</v>
      </c>
      <c r="AJ267" s="804">
        <v>3707552</v>
      </c>
      <c r="AK267" s="804">
        <v>0</v>
      </c>
      <c r="AL267" s="804">
        <v>37075523</v>
      </c>
      <c r="AM267" s="804">
        <v>120807</v>
      </c>
      <c r="AN267" s="804">
        <v>120807</v>
      </c>
      <c r="AO267" s="804">
        <v>0</v>
      </c>
      <c r="AP267" s="804">
        <v>0</v>
      </c>
      <c r="AQ267" s="804">
        <v>0</v>
      </c>
      <c r="AR267" s="804">
        <v>0</v>
      </c>
      <c r="AS267" s="804">
        <v>0</v>
      </c>
      <c r="AT267" s="804">
        <v>0</v>
      </c>
      <c r="AU267" s="804">
        <v>0</v>
      </c>
      <c r="AV267" s="804">
        <v>0</v>
      </c>
      <c r="AW267" s="804">
        <v>0</v>
      </c>
      <c r="AX267" s="804">
        <v>0</v>
      </c>
      <c r="AY267" s="804">
        <v>0</v>
      </c>
      <c r="AZ267" s="804">
        <v>0</v>
      </c>
      <c r="BA267" s="804">
        <v>0</v>
      </c>
      <c r="BB267" s="804">
        <v>0</v>
      </c>
      <c r="BC267" s="804">
        <v>0</v>
      </c>
      <c r="BD267" s="804">
        <v>0</v>
      </c>
      <c r="BE267" s="804">
        <v>0</v>
      </c>
      <c r="BF267" s="804">
        <v>0</v>
      </c>
      <c r="BG267" s="804">
        <v>0</v>
      </c>
      <c r="BH267" s="804">
        <v>0</v>
      </c>
      <c r="BI267" s="804">
        <v>0</v>
      </c>
      <c r="BJ267" s="804">
        <v>0.5</v>
      </c>
      <c r="BK267" s="804">
        <v>0.4</v>
      </c>
      <c r="BL267" s="804">
        <v>0.1</v>
      </c>
      <c r="BM267" s="804">
        <v>0</v>
      </c>
      <c r="BN267" s="804">
        <v>1</v>
      </c>
      <c r="BO267" s="804">
        <v>1239549</v>
      </c>
      <c r="BP267" s="804">
        <v>991640</v>
      </c>
      <c r="BQ267" s="804">
        <v>247910</v>
      </c>
      <c r="BR267" s="804">
        <v>0</v>
      </c>
      <c r="BS267" s="804">
        <v>2479099</v>
      </c>
      <c r="BT267" s="804">
        <v>0</v>
      </c>
      <c r="BU267" s="804">
        <v>0.3</v>
      </c>
      <c r="BV267" s="804">
        <v>0.7</v>
      </c>
      <c r="BW267" s="804">
        <v>0</v>
      </c>
      <c r="BX267" s="804">
        <v>1</v>
      </c>
      <c r="BY267" s="804">
        <v>0</v>
      </c>
      <c r="BZ267" s="804">
        <v>-204047</v>
      </c>
      <c r="CA267" s="804">
        <v>-476110</v>
      </c>
      <c r="CB267" s="804">
        <v>0</v>
      </c>
      <c r="CC267" s="804">
        <v>-680157</v>
      </c>
      <c r="CD267" s="804">
        <v>1239549</v>
      </c>
      <c r="CE267" s="804">
        <v>787593</v>
      </c>
      <c r="CF267" s="804">
        <v>-228200</v>
      </c>
      <c r="CG267" s="804">
        <v>0</v>
      </c>
      <c r="CH267" s="804">
        <v>1798942</v>
      </c>
      <c r="CI267" s="804">
        <v>19777311</v>
      </c>
      <c r="CJ267" s="804">
        <v>15738609</v>
      </c>
      <c r="CK267" s="804">
        <v>3479352</v>
      </c>
      <c r="CL267" s="804">
        <v>0</v>
      </c>
      <c r="CM267" s="804">
        <v>38995272</v>
      </c>
      <c r="CN267" s="804">
        <v>594397</v>
      </c>
      <c r="CO267" s="804">
        <v>148599</v>
      </c>
      <c r="CP267" s="804">
        <v>0</v>
      </c>
      <c r="CQ267" s="804">
        <v>742996</v>
      </c>
      <c r="CR267" s="804">
        <v>920880</v>
      </c>
      <c r="CS267" s="804">
        <v>230220</v>
      </c>
      <c r="CT267" s="804">
        <v>0</v>
      </c>
      <c r="CU267" s="804">
        <v>1151100</v>
      </c>
      <c r="CV267" s="804">
        <v>0</v>
      </c>
      <c r="CW267" s="804">
        <v>0</v>
      </c>
      <c r="CX267" s="804">
        <v>0</v>
      </c>
      <c r="CY267" s="804">
        <v>0</v>
      </c>
      <c r="CZ267" s="804">
        <v>4349</v>
      </c>
      <c r="DA267" s="804">
        <v>1087</v>
      </c>
      <c r="DB267" s="804">
        <v>0</v>
      </c>
      <c r="DC267" s="804">
        <v>5436</v>
      </c>
      <c r="DD267" s="804">
        <v>0</v>
      </c>
      <c r="DE267" s="804">
        <v>0</v>
      </c>
      <c r="DF267" s="804">
        <v>0</v>
      </c>
      <c r="DG267" s="804">
        <v>0</v>
      </c>
      <c r="DH267" s="804">
        <v>7489</v>
      </c>
      <c r="DI267" s="804">
        <v>1872</v>
      </c>
      <c r="DJ267" s="804">
        <v>0</v>
      </c>
      <c r="DK267" s="804">
        <v>9361</v>
      </c>
      <c r="DL267" s="804">
        <v>2494</v>
      </c>
      <c r="DM267" s="804">
        <v>624</v>
      </c>
      <c r="DN267" s="804">
        <v>0</v>
      </c>
      <c r="DO267" s="804">
        <v>3118</v>
      </c>
      <c r="DP267" s="804">
        <v>0</v>
      </c>
      <c r="DQ267" s="804">
        <v>0</v>
      </c>
      <c r="DR267" s="804">
        <v>0</v>
      </c>
      <c r="DS267" s="804">
        <v>0</v>
      </c>
      <c r="DT267" s="804">
        <v>0</v>
      </c>
      <c r="DU267" s="804">
        <v>0</v>
      </c>
      <c r="DV267" s="804">
        <v>0</v>
      </c>
      <c r="DW267" s="804">
        <v>0</v>
      </c>
      <c r="DX267" s="804">
        <v>332826</v>
      </c>
      <c r="DY267" s="804">
        <v>83206</v>
      </c>
      <c r="DZ267" s="804">
        <v>0</v>
      </c>
      <c r="EA267" s="804">
        <v>416032</v>
      </c>
      <c r="EB267" s="804">
        <v>1862435</v>
      </c>
      <c r="EC267" s="804">
        <v>465608</v>
      </c>
      <c r="ED267" s="804">
        <v>0</v>
      </c>
      <c r="EE267" s="804">
        <v>2328043</v>
      </c>
      <c r="EF267" s="604" t="s">
        <v>408</v>
      </c>
      <c r="EG267" s="497" t="s">
        <v>611</v>
      </c>
      <c r="EH267" s="630" t="s">
        <v>551</v>
      </c>
      <c r="EI267" s="118" t="s">
        <v>1918</v>
      </c>
    </row>
    <row r="268" spans="1:139" ht="12.75" x14ac:dyDescent="0.2">
      <c r="A268" s="805">
        <v>261</v>
      </c>
      <c r="B268" s="606" t="s">
        <v>411</v>
      </c>
      <c r="C268" s="607" t="s">
        <v>1190</v>
      </c>
      <c r="D268" s="608" t="s">
        <v>1191</v>
      </c>
      <c r="E268" s="609" t="s">
        <v>410</v>
      </c>
      <c r="F268" s="802">
        <v>59769755</v>
      </c>
      <c r="G268" s="804">
        <v>25735</v>
      </c>
      <c r="H268" s="804">
        <v>0</v>
      </c>
      <c r="I268" s="804">
        <v>187065</v>
      </c>
      <c r="J268" s="804">
        <v>0</v>
      </c>
      <c r="K268" s="804">
        <v>187065</v>
      </c>
      <c r="L268" s="804">
        <v>0</v>
      </c>
      <c r="M268" s="804">
        <v>0</v>
      </c>
      <c r="N268" s="804">
        <v>0</v>
      </c>
      <c r="O268" s="804">
        <v>0</v>
      </c>
      <c r="P268" s="804">
        <v>0</v>
      </c>
      <c r="Q268" s="804">
        <v>0</v>
      </c>
      <c r="R268" s="804">
        <v>59608425</v>
      </c>
      <c r="S268" s="804">
        <v>0.33</v>
      </c>
      <c r="T268" s="804">
        <v>0.3</v>
      </c>
      <c r="U268" s="804">
        <v>0.37</v>
      </c>
      <c r="V268" s="804">
        <v>0</v>
      </c>
      <c r="W268" s="804">
        <v>1</v>
      </c>
      <c r="X268" s="804">
        <v>19670780</v>
      </c>
      <c r="Y268" s="804">
        <v>17882528</v>
      </c>
      <c r="Z268" s="804">
        <v>22055117</v>
      </c>
      <c r="AA268" s="804">
        <v>0</v>
      </c>
      <c r="AB268" s="804">
        <v>59608425</v>
      </c>
      <c r="AC268" s="804">
        <v>0</v>
      </c>
      <c r="AD268" s="804">
        <v>0</v>
      </c>
      <c r="AE268" s="804">
        <v>0</v>
      </c>
      <c r="AF268" s="804">
        <v>0</v>
      </c>
      <c r="AG268" s="804">
        <v>0</v>
      </c>
      <c r="AH268" s="804">
        <v>19670780</v>
      </c>
      <c r="AI268" s="804">
        <v>17882528</v>
      </c>
      <c r="AJ268" s="804">
        <v>22055117</v>
      </c>
      <c r="AK268" s="804">
        <v>0</v>
      </c>
      <c r="AL268" s="804">
        <v>59608425</v>
      </c>
      <c r="AM268" s="804">
        <v>187065</v>
      </c>
      <c r="AN268" s="804">
        <v>187065</v>
      </c>
      <c r="AO268" s="804">
        <v>0</v>
      </c>
      <c r="AP268" s="804">
        <v>0</v>
      </c>
      <c r="AQ268" s="804">
        <v>0</v>
      </c>
      <c r="AR268" s="804">
        <v>0</v>
      </c>
      <c r="AS268" s="804">
        <v>0</v>
      </c>
      <c r="AT268" s="804">
        <v>0</v>
      </c>
      <c r="AU268" s="804">
        <v>0</v>
      </c>
      <c r="AV268" s="804">
        <v>0</v>
      </c>
      <c r="AW268" s="804">
        <v>0</v>
      </c>
      <c r="AX268" s="804">
        <v>0</v>
      </c>
      <c r="AY268" s="804">
        <v>0</v>
      </c>
      <c r="AZ268" s="804">
        <v>0</v>
      </c>
      <c r="BA268" s="804">
        <v>0</v>
      </c>
      <c r="BB268" s="804">
        <v>0</v>
      </c>
      <c r="BC268" s="804">
        <v>0</v>
      </c>
      <c r="BD268" s="804">
        <v>0</v>
      </c>
      <c r="BE268" s="804">
        <v>0</v>
      </c>
      <c r="BF268" s="804">
        <v>0</v>
      </c>
      <c r="BG268" s="804">
        <v>0</v>
      </c>
      <c r="BH268" s="804">
        <v>0</v>
      </c>
      <c r="BI268" s="804">
        <v>0</v>
      </c>
      <c r="BJ268" s="804">
        <v>0.25</v>
      </c>
      <c r="BK268" s="804">
        <v>0.48</v>
      </c>
      <c r="BL268" s="804">
        <v>0.27</v>
      </c>
      <c r="BM268" s="804">
        <v>0</v>
      </c>
      <c r="BN268" s="804">
        <v>1</v>
      </c>
      <c r="BO268" s="804">
        <v>-202060</v>
      </c>
      <c r="BP268" s="804">
        <v>-387957</v>
      </c>
      <c r="BQ268" s="804">
        <v>-218226</v>
      </c>
      <c r="BR268" s="804">
        <v>0</v>
      </c>
      <c r="BS268" s="804">
        <v>-808243</v>
      </c>
      <c r="BT268" s="804">
        <v>0</v>
      </c>
      <c r="BU268" s="804">
        <v>0.64</v>
      </c>
      <c r="BV268" s="804">
        <v>0.36</v>
      </c>
      <c r="BW268" s="804">
        <v>0</v>
      </c>
      <c r="BX268" s="804">
        <v>1</v>
      </c>
      <c r="BY268" s="804">
        <v>0.1399999992</v>
      </c>
      <c r="BZ268" s="804">
        <v>282296</v>
      </c>
      <c r="CA268" s="804">
        <v>158791</v>
      </c>
      <c r="CB268" s="804">
        <v>0</v>
      </c>
      <c r="CC268" s="804">
        <v>441087.14</v>
      </c>
      <c r="CD268" s="804">
        <v>-202060</v>
      </c>
      <c r="CE268" s="804">
        <v>-105661</v>
      </c>
      <c r="CF268" s="804">
        <v>-59435</v>
      </c>
      <c r="CG268" s="804">
        <v>0</v>
      </c>
      <c r="CH268" s="804">
        <v>-367155.86</v>
      </c>
      <c r="CI268" s="804">
        <v>19468720</v>
      </c>
      <c r="CJ268" s="804">
        <v>17963932</v>
      </c>
      <c r="CK268" s="804">
        <v>21995682</v>
      </c>
      <c r="CL268" s="804">
        <v>0</v>
      </c>
      <c r="CM268" s="804">
        <v>59428334</v>
      </c>
      <c r="CN268" s="804">
        <v>716735</v>
      </c>
      <c r="CO268" s="804">
        <v>883973</v>
      </c>
      <c r="CP268" s="804">
        <v>0</v>
      </c>
      <c r="CQ268" s="804">
        <v>1600708</v>
      </c>
      <c r="CR268" s="804">
        <v>1180884</v>
      </c>
      <c r="CS268" s="804">
        <v>1456422</v>
      </c>
      <c r="CT268" s="804">
        <v>0</v>
      </c>
      <c r="CU268" s="804">
        <v>2637306</v>
      </c>
      <c r="CV268" s="804">
        <v>53000</v>
      </c>
      <c r="CW268" s="804">
        <v>65366</v>
      </c>
      <c r="CX268" s="804">
        <v>0</v>
      </c>
      <c r="CY268" s="804">
        <v>118366</v>
      </c>
      <c r="CZ268" s="804">
        <v>0</v>
      </c>
      <c r="DA268" s="804">
        <v>0</v>
      </c>
      <c r="DB268" s="804">
        <v>0</v>
      </c>
      <c r="DC268" s="804">
        <v>0</v>
      </c>
      <c r="DD268" s="804">
        <v>0</v>
      </c>
      <c r="DE268" s="804">
        <v>0</v>
      </c>
      <c r="DF268" s="804">
        <v>0</v>
      </c>
      <c r="DG268" s="804">
        <v>0</v>
      </c>
      <c r="DH268" s="804">
        <v>6238</v>
      </c>
      <c r="DI268" s="804">
        <v>7693</v>
      </c>
      <c r="DJ268" s="804">
        <v>0</v>
      </c>
      <c r="DK268" s="804">
        <v>13931</v>
      </c>
      <c r="DL268" s="804">
        <v>3970</v>
      </c>
      <c r="DM268" s="804">
        <v>4896</v>
      </c>
      <c r="DN268" s="804">
        <v>0</v>
      </c>
      <c r="DO268" s="804">
        <v>8866</v>
      </c>
      <c r="DP268" s="804">
        <v>0</v>
      </c>
      <c r="DQ268" s="804">
        <v>0</v>
      </c>
      <c r="DR268" s="804">
        <v>0</v>
      </c>
      <c r="DS268" s="804">
        <v>0</v>
      </c>
      <c r="DT268" s="804">
        <v>0</v>
      </c>
      <c r="DU268" s="804">
        <v>0</v>
      </c>
      <c r="DV268" s="804">
        <v>0</v>
      </c>
      <c r="DW268" s="804">
        <v>0</v>
      </c>
      <c r="DX268" s="804">
        <v>406513</v>
      </c>
      <c r="DY268" s="804">
        <v>501365</v>
      </c>
      <c r="DZ268" s="804">
        <v>0</v>
      </c>
      <c r="EA268" s="804">
        <v>907878</v>
      </c>
      <c r="EB268" s="804">
        <v>2367340</v>
      </c>
      <c r="EC268" s="804">
        <v>2919715</v>
      </c>
      <c r="ED268" s="804">
        <v>0</v>
      </c>
      <c r="EE268" s="804">
        <v>5287055</v>
      </c>
      <c r="EF268" s="604" t="s">
        <v>410</v>
      </c>
      <c r="EG268" s="497" t="s">
        <v>623</v>
      </c>
      <c r="EH268" s="243" t="s">
        <v>523</v>
      </c>
      <c r="EI268" s="118" t="s">
        <v>1919</v>
      </c>
    </row>
    <row r="269" spans="1:139" ht="12.75" x14ac:dyDescent="0.2">
      <c r="A269" s="805">
        <v>262</v>
      </c>
      <c r="B269" s="606" t="s">
        <v>413</v>
      </c>
      <c r="C269" s="607" t="s">
        <v>1185</v>
      </c>
      <c r="D269" s="608" t="s">
        <v>1186</v>
      </c>
      <c r="E269" s="609" t="s">
        <v>412</v>
      </c>
      <c r="F269" s="802">
        <v>50891065</v>
      </c>
      <c r="G269" s="804">
        <v>172482</v>
      </c>
      <c r="H269" s="804">
        <v>0</v>
      </c>
      <c r="I269" s="804">
        <v>186831</v>
      </c>
      <c r="J269" s="804">
        <v>0</v>
      </c>
      <c r="K269" s="804">
        <v>186831</v>
      </c>
      <c r="L269" s="804">
        <v>0</v>
      </c>
      <c r="M269" s="804">
        <v>0</v>
      </c>
      <c r="N269" s="804">
        <v>1497642</v>
      </c>
      <c r="O269" s="804">
        <v>419562</v>
      </c>
      <c r="P269" s="804">
        <v>1078080</v>
      </c>
      <c r="Q269" s="804">
        <v>0</v>
      </c>
      <c r="R269" s="804">
        <v>49379074</v>
      </c>
      <c r="S269" s="804">
        <v>0.5</v>
      </c>
      <c r="T269" s="804">
        <v>0.4</v>
      </c>
      <c r="U269" s="804">
        <v>0.09</v>
      </c>
      <c r="V269" s="804">
        <v>0.01</v>
      </c>
      <c r="W269" s="804">
        <v>1</v>
      </c>
      <c r="X269" s="804">
        <v>24689536</v>
      </c>
      <c r="Y269" s="804">
        <v>19751630</v>
      </c>
      <c r="Z269" s="804">
        <v>4444117</v>
      </c>
      <c r="AA269" s="804">
        <v>493791</v>
      </c>
      <c r="AB269" s="804">
        <v>49379074</v>
      </c>
      <c r="AC269" s="804">
        <v>0</v>
      </c>
      <c r="AD269" s="804">
        <v>0</v>
      </c>
      <c r="AE269" s="804">
        <v>0</v>
      </c>
      <c r="AF269" s="804">
        <v>0</v>
      </c>
      <c r="AG269" s="804">
        <v>0</v>
      </c>
      <c r="AH269" s="804">
        <v>24689536</v>
      </c>
      <c r="AI269" s="804">
        <v>19751630</v>
      </c>
      <c r="AJ269" s="804">
        <v>4444117</v>
      </c>
      <c r="AK269" s="804">
        <v>493791</v>
      </c>
      <c r="AL269" s="804">
        <v>49379074</v>
      </c>
      <c r="AM269" s="804">
        <v>186831</v>
      </c>
      <c r="AN269" s="804">
        <v>186831</v>
      </c>
      <c r="AO269" s="804">
        <v>0</v>
      </c>
      <c r="AP269" s="804">
        <v>0</v>
      </c>
      <c r="AQ269" s="804">
        <v>419562</v>
      </c>
      <c r="AR269" s="804">
        <v>1078080</v>
      </c>
      <c r="AS269" s="804">
        <v>1497642</v>
      </c>
      <c r="AT269" s="804">
        <v>0</v>
      </c>
      <c r="AU269" s="804">
        <v>0</v>
      </c>
      <c r="AV269" s="804">
        <v>0</v>
      </c>
      <c r="AW269" s="804">
        <v>0</v>
      </c>
      <c r="AX269" s="804">
        <v>0</v>
      </c>
      <c r="AY269" s="804">
        <v>0</v>
      </c>
      <c r="AZ269" s="804">
        <v>0</v>
      </c>
      <c r="BA269" s="804">
        <v>0</v>
      </c>
      <c r="BB269" s="804">
        <v>0</v>
      </c>
      <c r="BC269" s="804">
        <v>0</v>
      </c>
      <c r="BD269" s="804">
        <v>0</v>
      </c>
      <c r="BE269" s="804">
        <v>0</v>
      </c>
      <c r="BF269" s="804">
        <v>0</v>
      </c>
      <c r="BG269" s="804">
        <v>0</v>
      </c>
      <c r="BH269" s="804">
        <v>0</v>
      </c>
      <c r="BI269" s="804">
        <v>0</v>
      </c>
      <c r="BJ269" s="804">
        <v>0.5</v>
      </c>
      <c r="BK269" s="804">
        <v>0.4</v>
      </c>
      <c r="BL269" s="804">
        <v>0.09</v>
      </c>
      <c r="BM269" s="804">
        <v>0.01</v>
      </c>
      <c r="BN269" s="804">
        <v>1</v>
      </c>
      <c r="BO269" s="804">
        <v>-355475</v>
      </c>
      <c r="BP269" s="804">
        <v>-284380</v>
      </c>
      <c r="BQ269" s="804">
        <v>-63985</v>
      </c>
      <c r="BR269" s="804">
        <v>-7109</v>
      </c>
      <c r="BS269" s="804">
        <v>-710949</v>
      </c>
      <c r="BT269" s="804">
        <v>0</v>
      </c>
      <c r="BU269" s="804">
        <v>0.4</v>
      </c>
      <c r="BV269" s="804">
        <v>0.59</v>
      </c>
      <c r="BW269" s="804">
        <v>0.01</v>
      </c>
      <c r="BX269" s="804">
        <v>1</v>
      </c>
      <c r="BY269" s="804">
        <v>-0.39999999850988388</v>
      </c>
      <c r="BZ269" s="804">
        <v>433588</v>
      </c>
      <c r="CA269" s="804">
        <v>639542</v>
      </c>
      <c r="CB269" s="804">
        <v>10840</v>
      </c>
      <c r="CC269" s="804">
        <v>1083969.6000000015</v>
      </c>
      <c r="CD269" s="804">
        <v>-355475</v>
      </c>
      <c r="CE269" s="804">
        <v>149208</v>
      </c>
      <c r="CF269" s="804">
        <v>575557</v>
      </c>
      <c r="CG269" s="804">
        <v>3731</v>
      </c>
      <c r="CH269" s="804">
        <v>373020.60000000149</v>
      </c>
      <c r="CI269" s="804">
        <v>24334061</v>
      </c>
      <c r="CJ269" s="804">
        <v>20507231</v>
      </c>
      <c r="CK269" s="804">
        <v>6097754</v>
      </c>
      <c r="CL269" s="804">
        <v>497522</v>
      </c>
      <c r="CM269" s="804">
        <v>51436568</v>
      </c>
      <c r="CN269" s="804">
        <v>808465</v>
      </c>
      <c r="CO269" s="804">
        <v>221331</v>
      </c>
      <c r="CP269" s="804">
        <v>19791</v>
      </c>
      <c r="CQ269" s="804">
        <v>1049587</v>
      </c>
      <c r="CR269" s="804">
        <v>1789481</v>
      </c>
      <c r="CS269" s="804">
        <v>402633</v>
      </c>
      <c r="CT269" s="804">
        <v>44737</v>
      </c>
      <c r="CU269" s="804">
        <v>2236851</v>
      </c>
      <c r="CV269" s="804">
        <v>88833</v>
      </c>
      <c r="CW269" s="804">
        <v>19987</v>
      </c>
      <c r="CX269" s="804">
        <v>2221</v>
      </c>
      <c r="CY269" s="804">
        <v>111041</v>
      </c>
      <c r="CZ269" s="804">
        <v>7790</v>
      </c>
      <c r="DA269" s="804">
        <v>1753</v>
      </c>
      <c r="DB269" s="804">
        <v>195</v>
      </c>
      <c r="DC269" s="804">
        <v>9738</v>
      </c>
      <c r="DD269" s="804">
        <v>3399</v>
      </c>
      <c r="DE269" s="804">
        <v>765</v>
      </c>
      <c r="DF269" s="804">
        <v>85</v>
      </c>
      <c r="DG269" s="804">
        <v>4249</v>
      </c>
      <c r="DH269" s="804">
        <v>16727</v>
      </c>
      <c r="DI269" s="804">
        <v>3763</v>
      </c>
      <c r="DJ269" s="804">
        <v>418</v>
      </c>
      <c r="DK269" s="804">
        <v>20908</v>
      </c>
      <c r="DL269" s="804">
        <v>624</v>
      </c>
      <c r="DM269" s="804">
        <v>140</v>
      </c>
      <c r="DN269" s="804">
        <v>16</v>
      </c>
      <c r="DO269" s="804">
        <v>780</v>
      </c>
      <c r="DP269" s="804">
        <v>0</v>
      </c>
      <c r="DQ269" s="804">
        <v>0</v>
      </c>
      <c r="DR269" s="804">
        <v>0</v>
      </c>
      <c r="DS269" s="804">
        <v>0</v>
      </c>
      <c r="DT269" s="804">
        <v>0</v>
      </c>
      <c r="DU269" s="804">
        <v>0</v>
      </c>
      <c r="DV269" s="804">
        <v>0</v>
      </c>
      <c r="DW269" s="804">
        <v>0</v>
      </c>
      <c r="DX269" s="804">
        <v>288398</v>
      </c>
      <c r="DY269" s="804">
        <v>64889</v>
      </c>
      <c r="DZ269" s="804">
        <v>7210</v>
      </c>
      <c r="EA269" s="804">
        <v>360497</v>
      </c>
      <c r="EB269" s="804">
        <v>3003717</v>
      </c>
      <c r="EC269" s="804">
        <v>715261</v>
      </c>
      <c r="ED269" s="804">
        <v>74673</v>
      </c>
      <c r="EE269" s="804">
        <v>3793651</v>
      </c>
      <c r="EF269" s="604" t="s">
        <v>412</v>
      </c>
      <c r="EG269" s="497" t="s">
        <v>586</v>
      </c>
      <c r="EH269" s="630" t="s">
        <v>585</v>
      </c>
      <c r="EI269" s="118" t="s">
        <v>1920</v>
      </c>
    </row>
    <row r="270" spans="1:139" ht="12.75" x14ac:dyDescent="0.2">
      <c r="A270" s="805">
        <v>263</v>
      </c>
      <c r="B270" s="606" t="s">
        <v>415</v>
      </c>
      <c r="C270" s="607" t="s">
        <v>524</v>
      </c>
      <c r="D270" s="608" t="s">
        <v>1194</v>
      </c>
      <c r="E270" s="609" t="s">
        <v>614</v>
      </c>
      <c r="F270" s="802">
        <v>109259533</v>
      </c>
      <c r="G270" s="804">
        <v>0</v>
      </c>
      <c r="H270" s="804">
        <v>1534180</v>
      </c>
      <c r="I270" s="804">
        <v>261763</v>
      </c>
      <c r="J270" s="804">
        <v>0</v>
      </c>
      <c r="K270" s="804">
        <v>261763</v>
      </c>
      <c r="L270" s="804">
        <v>0</v>
      </c>
      <c r="M270" s="804">
        <v>0</v>
      </c>
      <c r="N270" s="804">
        <v>594802</v>
      </c>
      <c r="O270" s="804">
        <v>594802</v>
      </c>
      <c r="P270" s="804">
        <v>0</v>
      </c>
      <c r="Q270" s="804">
        <v>0</v>
      </c>
      <c r="R270" s="804">
        <v>106868788</v>
      </c>
      <c r="S270" s="804">
        <v>0.5</v>
      </c>
      <c r="T270" s="804">
        <v>0.49</v>
      </c>
      <c r="U270" s="804">
        <v>0</v>
      </c>
      <c r="V270" s="804">
        <v>0.01</v>
      </c>
      <c r="W270" s="804">
        <v>1</v>
      </c>
      <c r="X270" s="804">
        <v>53434394</v>
      </c>
      <c r="Y270" s="804">
        <v>52365706</v>
      </c>
      <c r="Z270" s="804">
        <v>0</v>
      </c>
      <c r="AA270" s="804">
        <v>1068688</v>
      </c>
      <c r="AB270" s="804">
        <v>106868788</v>
      </c>
      <c r="AC270" s="804">
        <v>0</v>
      </c>
      <c r="AD270" s="804">
        <v>0</v>
      </c>
      <c r="AE270" s="804">
        <v>0</v>
      </c>
      <c r="AF270" s="804">
        <v>0</v>
      </c>
      <c r="AG270" s="804">
        <v>0</v>
      </c>
      <c r="AH270" s="804">
        <v>53434394</v>
      </c>
      <c r="AI270" s="804">
        <v>52365706</v>
      </c>
      <c r="AJ270" s="804">
        <v>0</v>
      </c>
      <c r="AK270" s="804">
        <v>1068688</v>
      </c>
      <c r="AL270" s="804">
        <v>106868788</v>
      </c>
      <c r="AM270" s="804">
        <v>261763</v>
      </c>
      <c r="AN270" s="804">
        <v>261763</v>
      </c>
      <c r="AO270" s="804">
        <v>0</v>
      </c>
      <c r="AP270" s="804">
        <v>0</v>
      </c>
      <c r="AQ270" s="804">
        <v>594802</v>
      </c>
      <c r="AR270" s="804">
        <v>0</v>
      </c>
      <c r="AS270" s="804">
        <v>594802</v>
      </c>
      <c r="AT270" s="804">
        <v>0</v>
      </c>
      <c r="AU270" s="804">
        <v>0</v>
      </c>
      <c r="AV270" s="804">
        <v>0</v>
      </c>
      <c r="AW270" s="804">
        <v>0</v>
      </c>
      <c r="AX270" s="804">
        <v>0</v>
      </c>
      <c r="AY270" s="804">
        <v>0</v>
      </c>
      <c r="AZ270" s="804">
        <v>0</v>
      </c>
      <c r="BA270" s="804">
        <v>0</v>
      </c>
      <c r="BB270" s="804">
        <v>0</v>
      </c>
      <c r="BC270" s="804">
        <v>0</v>
      </c>
      <c r="BD270" s="804">
        <v>0</v>
      </c>
      <c r="BE270" s="804">
        <v>0</v>
      </c>
      <c r="BF270" s="804">
        <v>0</v>
      </c>
      <c r="BG270" s="804">
        <v>0</v>
      </c>
      <c r="BH270" s="804">
        <v>0</v>
      </c>
      <c r="BI270" s="804">
        <v>0</v>
      </c>
      <c r="BJ270" s="804">
        <v>0.5</v>
      </c>
      <c r="BK270" s="804">
        <v>0.49</v>
      </c>
      <c r="BL270" s="804">
        <v>0</v>
      </c>
      <c r="BM270" s="804">
        <v>0.01</v>
      </c>
      <c r="BN270" s="804">
        <v>1</v>
      </c>
      <c r="BO270" s="804">
        <v>675344.99999999441</v>
      </c>
      <c r="BP270" s="804">
        <v>661838</v>
      </c>
      <c r="BQ270" s="804">
        <v>0</v>
      </c>
      <c r="BR270" s="804">
        <v>13507</v>
      </c>
      <c r="BS270" s="804">
        <v>1350689.9999999944</v>
      </c>
      <c r="BT270" s="804">
        <v>0.5</v>
      </c>
      <c r="BU270" s="804">
        <v>0.49</v>
      </c>
      <c r="BV270" s="804">
        <v>0</v>
      </c>
      <c r="BW270" s="804">
        <v>0.01</v>
      </c>
      <c r="BX270" s="804">
        <v>1</v>
      </c>
      <c r="BY270" s="804">
        <v>213007.99000000022</v>
      </c>
      <c r="BZ270" s="804">
        <v>208748</v>
      </c>
      <c r="CA270" s="804">
        <v>0</v>
      </c>
      <c r="CB270" s="804">
        <v>4260</v>
      </c>
      <c r="CC270" s="804">
        <v>426015.99000000022</v>
      </c>
      <c r="CD270" s="804">
        <v>888353</v>
      </c>
      <c r="CE270" s="804">
        <v>870586</v>
      </c>
      <c r="CF270" s="804">
        <v>0</v>
      </c>
      <c r="CG270" s="804">
        <v>17767</v>
      </c>
      <c r="CH270" s="804">
        <v>1776705.9899999946</v>
      </c>
      <c r="CI270" s="804">
        <v>54322747</v>
      </c>
      <c r="CJ270" s="804">
        <v>54092857</v>
      </c>
      <c r="CK270" s="804">
        <v>0</v>
      </c>
      <c r="CL270" s="804">
        <v>1086455</v>
      </c>
      <c r="CM270" s="804">
        <v>109502059</v>
      </c>
      <c r="CN270" s="804">
        <v>2122666</v>
      </c>
      <c r="CO270" s="804">
        <v>0</v>
      </c>
      <c r="CP270" s="804">
        <v>42833</v>
      </c>
      <c r="CQ270" s="804">
        <v>2165499</v>
      </c>
      <c r="CR270" s="804">
        <v>1994619</v>
      </c>
      <c r="CS270" s="804">
        <v>0</v>
      </c>
      <c r="CT270" s="804">
        <v>40706</v>
      </c>
      <c r="CU270" s="804">
        <v>2035325</v>
      </c>
      <c r="CV270" s="804">
        <v>166195</v>
      </c>
      <c r="CW270" s="804">
        <v>0</v>
      </c>
      <c r="CX270" s="804">
        <v>3392</v>
      </c>
      <c r="CY270" s="804">
        <v>169587</v>
      </c>
      <c r="CZ270" s="804">
        <v>5653</v>
      </c>
      <c r="DA270" s="804">
        <v>0</v>
      </c>
      <c r="DB270" s="804">
        <v>115</v>
      </c>
      <c r="DC270" s="804">
        <v>5768</v>
      </c>
      <c r="DD270" s="804">
        <v>6377</v>
      </c>
      <c r="DE270" s="804">
        <v>0</v>
      </c>
      <c r="DF270" s="804">
        <v>130</v>
      </c>
      <c r="DG270" s="804">
        <v>6507</v>
      </c>
      <c r="DH270" s="804">
        <v>8045</v>
      </c>
      <c r="DI270" s="804">
        <v>0</v>
      </c>
      <c r="DJ270" s="804">
        <v>164</v>
      </c>
      <c r="DK270" s="804">
        <v>8209</v>
      </c>
      <c r="DL270" s="804">
        <v>4576</v>
      </c>
      <c r="DM270" s="804">
        <v>0</v>
      </c>
      <c r="DN270" s="804">
        <v>93</v>
      </c>
      <c r="DO270" s="804">
        <v>4669</v>
      </c>
      <c r="DP270" s="804">
        <v>0</v>
      </c>
      <c r="DQ270" s="804">
        <v>0</v>
      </c>
      <c r="DR270" s="804">
        <v>0</v>
      </c>
      <c r="DS270" s="804">
        <v>0</v>
      </c>
      <c r="DT270" s="804">
        <v>0</v>
      </c>
      <c r="DU270" s="804">
        <v>0</v>
      </c>
      <c r="DV270" s="804">
        <v>0</v>
      </c>
      <c r="DW270" s="804">
        <v>0</v>
      </c>
      <c r="DX270" s="804">
        <v>783591</v>
      </c>
      <c r="DY270" s="804">
        <v>0</v>
      </c>
      <c r="DZ270" s="804">
        <v>15992</v>
      </c>
      <c r="EA270" s="804">
        <v>799583</v>
      </c>
      <c r="EB270" s="804">
        <v>5091722</v>
      </c>
      <c r="EC270" s="804">
        <v>0</v>
      </c>
      <c r="ED270" s="804">
        <v>103425</v>
      </c>
      <c r="EE270" s="804">
        <v>5195147</v>
      </c>
      <c r="EF270" s="604" t="s">
        <v>614</v>
      </c>
      <c r="EG270" s="497" t="s">
        <v>524</v>
      </c>
      <c r="EH270" s="630" t="s">
        <v>615</v>
      </c>
      <c r="EI270" s="118" t="s">
        <v>1921</v>
      </c>
    </row>
    <row r="271" spans="1:139" ht="12.75" x14ac:dyDescent="0.2">
      <c r="A271" s="805">
        <v>264</v>
      </c>
      <c r="B271" s="606" t="s">
        <v>417</v>
      </c>
      <c r="C271" s="607" t="s">
        <v>1192</v>
      </c>
      <c r="D271" s="608" t="s">
        <v>1187</v>
      </c>
      <c r="E271" s="609" t="s">
        <v>416</v>
      </c>
      <c r="F271" s="802">
        <v>55412535</v>
      </c>
      <c r="G271" s="804">
        <v>0</v>
      </c>
      <c r="H271" s="804">
        <v>739273</v>
      </c>
      <c r="I271" s="804">
        <v>284996</v>
      </c>
      <c r="J271" s="804">
        <v>0</v>
      </c>
      <c r="K271" s="804">
        <v>284996</v>
      </c>
      <c r="L271" s="804">
        <v>0</v>
      </c>
      <c r="M271" s="804">
        <v>0</v>
      </c>
      <c r="N271" s="804">
        <v>0</v>
      </c>
      <c r="O271" s="804">
        <v>0</v>
      </c>
      <c r="P271" s="804">
        <v>0</v>
      </c>
      <c r="Q271" s="804">
        <v>0</v>
      </c>
      <c r="R271" s="804">
        <v>54388266</v>
      </c>
      <c r="S271" s="804">
        <v>0</v>
      </c>
      <c r="T271" s="804">
        <v>0.99</v>
      </c>
      <c r="U271" s="804">
        <v>0</v>
      </c>
      <c r="V271" s="804">
        <v>0.01</v>
      </c>
      <c r="W271" s="804">
        <v>1</v>
      </c>
      <c r="X271" s="804">
        <v>0</v>
      </c>
      <c r="Y271" s="804">
        <v>53844383</v>
      </c>
      <c r="Z271" s="804">
        <v>0</v>
      </c>
      <c r="AA271" s="804">
        <v>543883</v>
      </c>
      <c r="AB271" s="804">
        <v>54388266</v>
      </c>
      <c r="AC271" s="804">
        <v>0</v>
      </c>
      <c r="AD271" s="804">
        <v>0</v>
      </c>
      <c r="AE271" s="804">
        <v>0</v>
      </c>
      <c r="AF271" s="804">
        <v>0</v>
      </c>
      <c r="AG271" s="804">
        <v>0</v>
      </c>
      <c r="AH271" s="804">
        <v>0</v>
      </c>
      <c r="AI271" s="804">
        <v>53844383</v>
      </c>
      <c r="AJ271" s="804">
        <v>0</v>
      </c>
      <c r="AK271" s="804">
        <v>543883</v>
      </c>
      <c r="AL271" s="804">
        <v>54388266</v>
      </c>
      <c r="AM271" s="804">
        <v>284996</v>
      </c>
      <c r="AN271" s="804">
        <v>284996</v>
      </c>
      <c r="AO271" s="804">
        <v>0</v>
      </c>
      <c r="AP271" s="804">
        <v>0</v>
      </c>
      <c r="AQ271" s="804">
        <v>0</v>
      </c>
      <c r="AR271" s="804">
        <v>0</v>
      </c>
      <c r="AS271" s="804">
        <v>0</v>
      </c>
      <c r="AT271" s="804">
        <v>0</v>
      </c>
      <c r="AU271" s="804">
        <v>0</v>
      </c>
      <c r="AV271" s="804">
        <v>0</v>
      </c>
      <c r="AW271" s="804">
        <v>0</v>
      </c>
      <c r="AX271" s="804">
        <v>0</v>
      </c>
      <c r="AY271" s="804">
        <v>0</v>
      </c>
      <c r="AZ271" s="804">
        <v>0</v>
      </c>
      <c r="BA271" s="804">
        <v>0</v>
      </c>
      <c r="BB271" s="804">
        <v>0</v>
      </c>
      <c r="BC271" s="804">
        <v>0</v>
      </c>
      <c r="BD271" s="804">
        <v>0</v>
      </c>
      <c r="BE271" s="804">
        <v>0</v>
      </c>
      <c r="BF271" s="804">
        <v>0</v>
      </c>
      <c r="BG271" s="804">
        <v>0</v>
      </c>
      <c r="BH271" s="804">
        <v>0</v>
      </c>
      <c r="BI271" s="804">
        <v>0</v>
      </c>
      <c r="BJ271" s="804">
        <v>0</v>
      </c>
      <c r="BK271" s="804">
        <v>0.99</v>
      </c>
      <c r="BL271" s="804">
        <v>0</v>
      </c>
      <c r="BM271" s="804">
        <v>0.01</v>
      </c>
      <c r="BN271" s="804">
        <v>1</v>
      </c>
      <c r="BO271" s="804">
        <v>2.7939677238464355E-9</v>
      </c>
      <c r="BP271" s="804">
        <v>-1139424</v>
      </c>
      <c r="BQ271" s="804">
        <v>0</v>
      </c>
      <c r="BR271" s="804">
        <v>-11509</v>
      </c>
      <c r="BS271" s="804">
        <v>-1150932.9999999972</v>
      </c>
      <c r="BT271" s="804">
        <v>0</v>
      </c>
      <c r="BU271" s="804">
        <v>0.99</v>
      </c>
      <c r="BV271" s="804">
        <v>0</v>
      </c>
      <c r="BW271" s="804">
        <v>0.01</v>
      </c>
      <c r="BX271" s="804">
        <v>1</v>
      </c>
      <c r="BY271" s="804">
        <v>-0.12000000011175871</v>
      </c>
      <c r="BZ271" s="804">
        <v>-1496302</v>
      </c>
      <c r="CA271" s="804">
        <v>0</v>
      </c>
      <c r="CB271" s="804">
        <v>-15114</v>
      </c>
      <c r="CC271" s="804">
        <v>-1511416.12</v>
      </c>
      <c r="CD271" s="804">
        <v>0</v>
      </c>
      <c r="CE271" s="804">
        <v>-2635726</v>
      </c>
      <c r="CF271" s="804">
        <v>0</v>
      </c>
      <c r="CG271" s="804">
        <v>-26623</v>
      </c>
      <c r="CH271" s="804">
        <v>-2662349.1199999973</v>
      </c>
      <c r="CI271" s="804">
        <v>0</v>
      </c>
      <c r="CJ271" s="804">
        <v>51493653</v>
      </c>
      <c r="CK271" s="804">
        <v>0</v>
      </c>
      <c r="CL271" s="804">
        <v>517260</v>
      </c>
      <c r="CM271" s="804">
        <v>52010913</v>
      </c>
      <c r="CN271" s="804">
        <v>2158092</v>
      </c>
      <c r="CO271" s="804">
        <v>0</v>
      </c>
      <c r="CP271" s="804">
        <v>21799</v>
      </c>
      <c r="CQ271" s="804">
        <v>2179891</v>
      </c>
      <c r="CR271" s="804">
        <v>6460869</v>
      </c>
      <c r="CS271" s="804">
        <v>0</v>
      </c>
      <c r="CT271" s="804">
        <v>65261</v>
      </c>
      <c r="CU271" s="804">
        <v>6526130</v>
      </c>
      <c r="CV271" s="804">
        <v>277074</v>
      </c>
      <c r="CW271" s="804">
        <v>0</v>
      </c>
      <c r="CX271" s="804">
        <v>2799</v>
      </c>
      <c r="CY271" s="804">
        <v>279873</v>
      </c>
      <c r="CZ271" s="804">
        <v>4008</v>
      </c>
      <c r="DA271" s="804">
        <v>0</v>
      </c>
      <c r="DB271" s="804">
        <v>40</v>
      </c>
      <c r="DC271" s="804">
        <v>4048</v>
      </c>
      <c r="DD271" s="804">
        <v>0</v>
      </c>
      <c r="DE271" s="804">
        <v>0</v>
      </c>
      <c r="DF271" s="804">
        <v>0</v>
      </c>
      <c r="DG271" s="804">
        <v>0</v>
      </c>
      <c r="DH271" s="804">
        <v>21632</v>
      </c>
      <c r="DI271" s="804">
        <v>0</v>
      </c>
      <c r="DJ271" s="804">
        <v>219</v>
      </c>
      <c r="DK271" s="804">
        <v>21851</v>
      </c>
      <c r="DL271" s="804">
        <v>8238</v>
      </c>
      <c r="DM271" s="804">
        <v>0</v>
      </c>
      <c r="DN271" s="804">
        <v>83</v>
      </c>
      <c r="DO271" s="804">
        <v>8321</v>
      </c>
      <c r="DP271" s="804">
        <v>0</v>
      </c>
      <c r="DQ271" s="804">
        <v>0</v>
      </c>
      <c r="DR271" s="804">
        <v>0</v>
      </c>
      <c r="DS271" s="804">
        <v>0</v>
      </c>
      <c r="DT271" s="804">
        <v>0</v>
      </c>
      <c r="DU271" s="804">
        <v>0</v>
      </c>
      <c r="DV271" s="804">
        <v>0</v>
      </c>
      <c r="DW271" s="804">
        <v>0</v>
      </c>
      <c r="DX271" s="804">
        <v>1048158</v>
      </c>
      <c r="DY271" s="804">
        <v>0</v>
      </c>
      <c r="DZ271" s="804">
        <v>10587</v>
      </c>
      <c r="EA271" s="804">
        <v>1058745</v>
      </c>
      <c r="EB271" s="804">
        <v>9978071</v>
      </c>
      <c r="EC271" s="804">
        <v>0</v>
      </c>
      <c r="ED271" s="804">
        <v>100788</v>
      </c>
      <c r="EE271" s="804">
        <v>10078859</v>
      </c>
      <c r="EF271" s="604" t="s">
        <v>416</v>
      </c>
      <c r="EG271" s="497" t="s">
        <v>616</v>
      </c>
      <c r="EH271" s="630" t="s">
        <v>617</v>
      </c>
      <c r="EI271" s="118" t="s">
        <v>1922</v>
      </c>
    </row>
    <row r="272" spans="1:139" ht="12.75" x14ac:dyDescent="0.2">
      <c r="A272" s="805">
        <v>265</v>
      </c>
      <c r="B272" s="606" t="s">
        <v>419</v>
      </c>
      <c r="C272" s="607" t="s">
        <v>1185</v>
      </c>
      <c r="D272" s="608" t="s">
        <v>1195</v>
      </c>
      <c r="E272" s="609" t="s">
        <v>418</v>
      </c>
      <c r="F272" s="802">
        <v>34804196</v>
      </c>
      <c r="G272" s="804">
        <v>0</v>
      </c>
      <c r="H272" s="804">
        <v>142583</v>
      </c>
      <c r="I272" s="804">
        <v>89508</v>
      </c>
      <c r="J272" s="804">
        <v>0</v>
      </c>
      <c r="K272" s="804">
        <v>89508</v>
      </c>
      <c r="L272" s="804">
        <v>0</v>
      </c>
      <c r="M272" s="804">
        <v>0</v>
      </c>
      <c r="N272" s="804">
        <v>0</v>
      </c>
      <c r="O272" s="804">
        <v>0</v>
      </c>
      <c r="P272" s="804">
        <v>0</v>
      </c>
      <c r="Q272" s="804">
        <v>0</v>
      </c>
      <c r="R272" s="804">
        <v>34572105</v>
      </c>
      <c r="S272" s="804">
        <v>0.5</v>
      </c>
      <c r="T272" s="804">
        <v>0.4</v>
      </c>
      <c r="U272" s="804">
        <v>0.09</v>
      </c>
      <c r="V272" s="804">
        <v>0.01</v>
      </c>
      <c r="W272" s="804">
        <v>1</v>
      </c>
      <c r="X272" s="804">
        <v>17286053</v>
      </c>
      <c r="Y272" s="804">
        <v>13828842</v>
      </c>
      <c r="Z272" s="804">
        <v>3111489</v>
      </c>
      <c r="AA272" s="804">
        <v>345721</v>
      </c>
      <c r="AB272" s="804">
        <v>34572105</v>
      </c>
      <c r="AC272" s="804">
        <v>0</v>
      </c>
      <c r="AD272" s="804">
        <v>0</v>
      </c>
      <c r="AE272" s="804">
        <v>0</v>
      </c>
      <c r="AF272" s="804">
        <v>0</v>
      </c>
      <c r="AG272" s="804">
        <v>0</v>
      </c>
      <c r="AH272" s="804">
        <v>17286053</v>
      </c>
      <c r="AI272" s="804">
        <v>13828842</v>
      </c>
      <c r="AJ272" s="804">
        <v>3111489</v>
      </c>
      <c r="AK272" s="804">
        <v>345721</v>
      </c>
      <c r="AL272" s="804">
        <v>34572105</v>
      </c>
      <c r="AM272" s="804">
        <v>89508</v>
      </c>
      <c r="AN272" s="804">
        <v>89508</v>
      </c>
      <c r="AO272" s="804">
        <v>0</v>
      </c>
      <c r="AP272" s="804">
        <v>0</v>
      </c>
      <c r="AQ272" s="804">
        <v>0</v>
      </c>
      <c r="AR272" s="804">
        <v>0</v>
      </c>
      <c r="AS272" s="804">
        <v>0</v>
      </c>
      <c r="AT272" s="804">
        <v>0</v>
      </c>
      <c r="AU272" s="804">
        <v>0</v>
      </c>
      <c r="AV272" s="804">
        <v>0</v>
      </c>
      <c r="AW272" s="804">
        <v>0</v>
      </c>
      <c r="AX272" s="804">
        <v>0</v>
      </c>
      <c r="AY272" s="804">
        <v>0</v>
      </c>
      <c r="AZ272" s="804">
        <v>0</v>
      </c>
      <c r="BA272" s="804">
        <v>0</v>
      </c>
      <c r="BB272" s="804">
        <v>0</v>
      </c>
      <c r="BC272" s="804">
        <v>0</v>
      </c>
      <c r="BD272" s="804">
        <v>0</v>
      </c>
      <c r="BE272" s="804">
        <v>0</v>
      </c>
      <c r="BF272" s="804">
        <v>0</v>
      </c>
      <c r="BG272" s="804">
        <v>0</v>
      </c>
      <c r="BH272" s="804">
        <v>0</v>
      </c>
      <c r="BI272" s="804">
        <v>0</v>
      </c>
      <c r="BJ272" s="804">
        <v>0.25</v>
      </c>
      <c r="BK272" s="804">
        <v>0.4</v>
      </c>
      <c r="BL272" s="804">
        <v>0.33999999999999997</v>
      </c>
      <c r="BM272" s="804">
        <v>0.01</v>
      </c>
      <c r="BN272" s="804">
        <v>1</v>
      </c>
      <c r="BO272" s="804">
        <v>96677</v>
      </c>
      <c r="BP272" s="804">
        <v>154683</v>
      </c>
      <c r="BQ272" s="804">
        <v>131480</v>
      </c>
      <c r="BR272" s="804">
        <v>3867</v>
      </c>
      <c r="BS272" s="804">
        <v>386707</v>
      </c>
      <c r="BT272" s="804">
        <v>0.5</v>
      </c>
      <c r="BU272" s="804">
        <v>0.4</v>
      </c>
      <c r="BV272" s="804">
        <v>0.09</v>
      </c>
      <c r="BW272" s="804">
        <v>0.01</v>
      </c>
      <c r="BX272" s="804">
        <v>1</v>
      </c>
      <c r="BY272" s="804">
        <v>209919</v>
      </c>
      <c r="BZ272" s="804">
        <v>167936</v>
      </c>
      <c r="CA272" s="804">
        <v>37786</v>
      </c>
      <c r="CB272" s="804">
        <v>4198</v>
      </c>
      <c r="CC272" s="804">
        <v>419839</v>
      </c>
      <c r="CD272" s="804">
        <v>306596</v>
      </c>
      <c r="CE272" s="804">
        <v>322619</v>
      </c>
      <c r="CF272" s="804">
        <v>169266</v>
      </c>
      <c r="CG272" s="804">
        <v>8065</v>
      </c>
      <c r="CH272" s="804">
        <v>806546</v>
      </c>
      <c r="CI272" s="804">
        <v>17592649</v>
      </c>
      <c r="CJ272" s="804">
        <v>14240969</v>
      </c>
      <c r="CK272" s="804">
        <v>3280755</v>
      </c>
      <c r="CL272" s="804">
        <v>353786</v>
      </c>
      <c r="CM272" s="804">
        <v>35468159</v>
      </c>
      <c r="CN272" s="804">
        <v>554262</v>
      </c>
      <c r="CO272" s="804">
        <v>124709</v>
      </c>
      <c r="CP272" s="804">
        <v>13857</v>
      </c>
      <c r="CQ272" s="804">
        <v>692828</v>
      </c>
      <c r="CR272" s="804">
        <v>698613</v>
      </c>
      <c r="CS272" s="804">
        <v>157188</v>
      </c>
      <c r="CT272" s="804">
        <v>17465</v>
      </c>
      <c r="CU272" s="804">
        <v>873266</v>
      </c>
      <c r="CV272" s="804">
        <v>53729</v>
      </c>
      <c r="CW272" s="804">
        <v>12089</v>
      </c>
      <c r="CX272" s="804">
        <v>1343</v>
      </c>
      <c r="CY272" s="804">
        <v>67161</v>
      </c>
      <c r="CZ272" s="804">
        <v>1496</v>
      </c>
      <c r="DA272" s="804">
        <v>336</v>
      </c>
      <c r="DB272" s="804">
        <v>37</v>
      </c>
      <c r="DC272" s="804">
        <v>1869</v>
      </c>
      <c r="DD272" s="804">
        <v>0</v>
      </c>
      <c r="DE272" s="804">
        <v>0</v>
      </c>
      <c r="DF272" s="804">
        <v>0</v>
      </c>
      <c r="DG272" s="804">
        <v>0</v>
      </c>
      <c r="DH272" s="804">
        <v>3339</v>
      </c>
      <c r="DI272" s="804">
        <v>752</v>
      </c>
      <c r="DJ272" s="804">
        <v>84</v>
      </c>
      <c r="DK272" s="804">
        <v>4175</v>
      </c>
      <c r="DL272" s="804">
        <v>2536</v>
      </c>
      <c r="DM272" s="804">
        <v>570</v>
      </c>
      <c r="DN272" s="804">
        <v>63</v>
      </c>
      <c r="DO272" s="804">
        <v>3169</v>
      </c>
      <c r="DP272" s="804">
        <v>0</v>
      </c>
      <c r="DQ272" s="804">
        <v>0</v>
      </c>
      <c r="DR272" s="804">
        <v>0</v>
      </c>
      <c r="DS272" s="804">
        <v>0</v>
      </c>
      <c r="DT272" s="804">
        <v>0</v>
      </c>
      <c r="DU272" s="804">
        <v>0</v>
      </c>
      <c r="DV272" s="804">
        <v>0</v>
      </c>
      <c r="DW272" s="804">
        <v>0</v>
      </c>
      <c r="DX272" s="804">
        <v>198645</v>
      </c>
      <c r="DY272" s="804">
        <v>44695</v>
      </c>
      <c r="DZ272" s="804">
        <v>4966</v>
      </c>
      <c r="EA272" s="804">
        <v>248306</v>
      </c>
      <c r="EB272" s="804">
        <v>1512620</v>
      </c>
      <c r="EC272" s="804">
        <v>340339</v>
      </c>
      <c r="ED272" s="804">
        <v>37815</v>
      </c>
      <c r="EE272" s="804">
        <v>1890774</v>
      </c>
      <c r="EF272" s="604" t="s">
        <v>418</v>
      </c>
      <c r="EG272" s="497" t="s">
        <v>609</v>
      </c>
      <c r="EH272" s="630" t="s">
        <v>608</v>
      </c>
      <c r="EI272" s="118" t="s">
        <v>1923</v>
      </c>
    </row>
    <row r="273" spans="1:139" ht="12.75" x14ac:dyDescent="0.2">
      <c r="A273" s="805">
        <v>266</v>
      </c>
      <c r="B273" s="606" t="s">
        <v>421</v>
      </c>
      <c r="C273" s="607" t="s">
        <v>1185</v>
      </c>
      <c r="D273" s="608" t="s">
        <v>1186</v>
      </c>
      <c r="E273" s="609" t="s">
        <v>420</v>
      </c>
      <c r="F273" s="802">
        <v>21762946</v>
      </c>
      <c r="G273" s="804">
        <v>288263</v>
      </c>
      <c r="H273" s="804">
        <v>0</v>
      </c>
      <c r="I273" s="804">
        <v>122412</v>
      </c>
      <c r="J273" s="804">
        <v>0</v>
      </c>
      <c r="K273" s="804">
        <v>122412</v>
      </c>
      <c r="L273" s="804">
        <v>0</v>
      </c>
      <c r="M273" s="804">
        <v>0</v>
      </c>
      <c r="N273" s="804">
        <v>0</v>
      </c>
      <c r="O273" s="804">
        <v>0</v>
      </c>
      <c r="P273" s="804">
        <v>0</v>
      </c>
      <c r="Q273" s="804">
        <v>0</v>
      </c>
      <c r="R273" s="804">
        <v>21928797</v>
      </c>
      <c r="S273" s="804">
        <v>0.5</v>
      </c>
      <c r="T273" s="804">
        <v>0.4</v>
      </c>
      <c r="U273" s="804">
        <v>0.1</v>
      </c>
      <c r="V273" s="804">
        <v>0</v>
      </c>
      <c r="W273" s="804">
        <v>1</v>
      </c>
      <c r="X273" s="804">
        <v>10964398</v>
      </c>
      <c r="Y273" s="804">
        <v>8771519</v>
      </c>
      <c r="Z273" s="804">
        <v>2192880</v>
      </c>
      <c r="AA273" s="804">
        <v>0</v>
      </c>
      <c r="AB273" s="804">
        <v>21928797</v>
      </c>
      <c r="AC273" s="804">
        <v>0</v>
      </c>
      <c r="AD273" s="804">
        <v>0</v>
      </c>
      <c r="AE273" s="804">
        <v>0</v>
      </c>
      <c r="AF273" s="804">
        <v>0</v>
      </c>
      <c r="AG273" s="804">
        <v>0</v>
      </c>
      <c r="AH273" s="804">
        <v>10964398</v>
      </c>
      <c r="AI273" s="804">
        <v>8771519</v>
      </c>
      <c r="AJ273" s="804">
        <v>2192880</v>
      </c>
      <c r="AK273" s="804">
        <v>0</v>
      </c>
      <c r="AL273" s="804">
        <v>21928797</v>
      </c>
      <c r="AM273" s="804">
        <v>122412</v>
      </c>
      <c r="AN273" s="804">
        <v>122412</v>
      </c>
      <c r="AO273" s="804">
        <v>0</v>
      </c>
      <c r="AP273" s="804">
        <v>0</v>
      </c>
      <c r="AQ273" s="804">
        <v>0</v>
      </c>
      <c r="AR273" s="804">
        <v>0</v>
      </c>
      <c r="AS273" s="804">
        <v>0</v>
      </c>
      <c r="AT273" s="804">
        <v>0</v>
      </c>
      <c r="AU273" s="804">
        <v>0</v>
      </c>
      <c r="AV273" s="804">
        <v>0</v>
      </c>
      <c r="AW273" s="804">
        <v>0</v>
      </c>
      <c r="AX273" s="804">
        <v>0</v>
      </c>
      <c r="AY273" s="804">
        <v>0</v>
      </c>
      <c r="AZ273" s="804">
        <v>0</v>
      </c>
      <c r="BA273" s="804">
        <v>0</v>
      </c>
      <c r="BB273" s="804">
        <v>0</v>
      </c>
      <c r="BC273" s="804">
        <v>0</v>
      </c>
      <c r="BD273" s="804">
        <v>0</v>
      </c>
      <c r="BE273" s="804">
        <v>0</v>
      </c>
      <c r="BF273" s="804">
        <v>0</v>
      </c>
      <c r="BG273" s="804">
        <v>0</v>
      </c>
      <c r="BH273" s="804">
        <v>0</v>
      </c>
      <c r="BI273" s="804">
        <v>0</v>
      </c>
      <c r="BJ273" s="804">
        <v>0.5</v>
      </c>
      <c r="BK273" s="804">
        <v>0.4</v>
      </c>
      <c r="BL273" s="804">
        <v>0.1</v>
      </c>
      <c r="BM273" s="804">
        <v>0</v>
      </c>
      <c r="BN273" s="804">
        <v>1</v>
      </c>
      <c r="BO273" s="804">
        <v>274782</v>
      </c>
      <c r="BP273" s="804">
        <v>219825</v>
      </c>
      <c r="BQ273" s="804">
        <v>54956</v>
      </c>
      <c r="BR273" s="804">
        <v>0</v>
      </c>
      <c r="BS273" s="804">
        <v>549563</v>
      </c>
      <c r="BT273" s="804">
        <v>0</v>
      </c>
      <c r="BU273" s="804">
        <v>0.3</v>
      </c>
      <c r="BV273" s="804">
        <v>0.7</v>
      </c>
      <c r="BW273" s="804">
        <v>0</v>
      </c>
      <c r="BX273" s="804">
        <v>1</v>
      </c>
      <c r="BY273" s="804">
        <v>0</v>
      </c>
      <c r="BZ273" s="804">
        <v>-197187</v>
      </c>
      <c r="CA273" s="804">
        <v>-460102</v>
      </c>
      <c r="CB273" s="804">
        <v>0</v>
      </c>
      <c r="CC273" s="804">
        <v>-657289</v>
      </c>
      <c r="CD273" s="804">
        <v>274782</v>
      </c>
      <c r="CE273" s="804">
        <v>22638</v>
      </c>
      <c r="CF273" s="804">
        <v>-405146</v>
      </c>
      <c r="CG273" s="804">
        <v>0</v>
      </c>
      <c r="CH273" s="804">
        <v>-107726</v>
      </c>
      <c r="CI273" s="804">
        <v>11239180</v>
      </c>
      <c r="CJ273" s="804">
        <v>8916569</v>
      </c>
      <c r="CK273" s="804">
        <v>1787734</v>
      </c>
      <c r="CL273" s="804">
        <v>0</v>
      </c>
      <c r="CM273" s="804">
        <v>21943483</v>
      </c>
      <c r="CN273" s="804">
        <v>351564</v>
      </c>
      <c r="CO273" s="804">
        <v>87891</v>
      </c>
      <c r="CP273" s="804">
        <v>0</v>
      </c>
      <c r="CQ273" s="804">
        <v>439455</v>
      </c>
      <c r="CR273" s="804">
        <v>990244</v>
      </c>
      <c r="CS273" s="804">
        <v>247561</v>
      </c>
      <c r="CT273" s="804">
        <v>0</v>
      </c>
      <c r="CU273" s="804">
        <v>1237805</v>
      </c>
      <c r="CV273" s="804">
        <v>60565</v>
      </c>
      <c r="CW273" s="804">
        <v>15141</v>
      </c>
      <c r="CX273" s="804">
        <v>0</v>
      </c>
      <c r="CY273" s="804">
        <v>75706</v>
      </c>
      <c r="CZ273" s="804">
        <v>0</v>
      </c>
      <c r="DA273" s="804">
        <v>0</v>
      </c>
      <c r="DB273" s="804">
        <v>0</v>
      </c>
      <c r="DC273" s="804">
        <v>0</v>
      </c>
      <c r="DD273" s="804">
        <v>7291</v>
      </c>
      <c r="DE273" s="804">
        <v>1823</v>
      </c>
      <c r="DF273" s="804">
        <v>0</v>
      </c>
      <c r="DG273" s="804">
        <v>9114</v>
      </c>
      <c r="DH273" s="804">
        <v>35199</v>
      </c>
      <c r="DI273" s="804">
        <v>8800</v>
      </c>
      <c r="DJ273" s="804">
        <v>0</v>
      </c>
      <c r="DK273" s="804">
        <v>43999</v>
      </c>
      <c r="DL273" s="804">
        <v>2887</v>
      </c>
      <c r="DM273" s="804">
        <v>722</v>
      </c>
      <c r="DN273" s="804">
        <v>0</v>
      </c>
      <c r="DO273" s="804">
        <v>3609</v>
      </c>
      <c r="DP273" s="804">
        <v>0</v>
      </c>
      <c r="DQ273" s="804">
        <v>0</v>
      </c>
      <c r="DR273" s="804">
        <v>0</v>
      </c>
      <c r="DS273" s="804">
        <v>0</v>
      </c>
      <c r="DT273" s="804">
        <v>0</v>
      </c>
      <c r="DU273" s="804">
        <v>0</v>
      </c>
      <c r="DV273" s="804">
        <v>0</v>
      </c>
      <c r="DW273" s="804">
        <v>0</v>
      </c>
      <c r="DX273" s="804">
        <v>462638</v>
      </c>
      <c r="DY273" s="804">
        <v>115659</v>
      </c>
      <c r="DZ273" s="804">
        <v>0</v>
      </c>
      <c r="EA273" s="804">
        <v>578297</v>
      </c>
      <c r="EB273" s="804">
        <v>1910388</v>
      </c>
      <c r="EC273" s="804">
        <v>477597</v>
      </c>
      <c r="ED273" s="804">
        <v>0</v>
      </c>
      <c r="EE273" s="804">
        <v>2387985</v>
      </c>
      <c r="EF273" s="604" t="s">
        <v>420</v>
      </c>
      <c r="EG273" s="497" t="s">
        <v>611</v>
      </c>
      <c r="EH273" s="630" t="s">
        <v>551</v>
      </c>
      <c r="EI273" s="118" t="s">
        <v>1924</v>
      </c>
    </row>
    <row r="274" spans="1:139" ht="12.75" x14ac:dyDescent="0.2">
      <c r="A274" s="805">
        <v>267</v>
      </c>
      <c r="B274" s="606" t="s">
        <v>423</v>
      </c>
      <c r="C274" s="607" t="s">
        <v>1185</v>
      </c>
      <c r="D274" s="608" t="s">
        <v>1194</v>
      </c>
      <c r="E274" s="609" t="s">
        <v>422</v>
      </c>
      <c r="F274" s="802">
        <v>32089163</v>
      </c>
      <c r="G274" s="804">
        <v>0</v>
      </c>
      <c r="H274" s="804">
        <v>106601</v>
      </c>
      <c r="I274" s="804">
        <v>190930</v>
      </c>
      <c r="J274" s="804">
        <v>0</v>
      </c>
      <c r="K274" s="804">
        <v>190930</v>
      </c>
      <c r="L274" s="804">
        <v>0</v>
      </c>
      <c r="M274" s="804">
        <v>0</v>
      </c>
      <c r="N274" s="804">
        <v>76246</v>
      </c>
      <c r="O274" s="804">
        <v>76246</v>
      </c>
      <c r="P274" s="804">
        <v>0</v>
      </c>
      <c r="Q274" s="804">
        <v>0</v>
      </c>
      <c r="R274" s="804">
        <v>31715386</v>
      </c>
      <c r="S274" s="804">
        <v>0.5</v>
      </c>
      <c r="T274" s="804">
        <v>0.4</v>
      </c>
      <c r="U274" s="804">
        <v>0.09</v>
      </c>
      <c r="V274" s="804">
        <v>0.01</v>
      </c>
      <c r="W274" s="804">
        <v>1</v>
      </c>
      <c r="X274" s="804">
        <v>15857693</v>
      </c>
      <c r="Y274" s="804">
        <v>12686154</v>
      </c>
      <c r="Z274" s="804">
        <v>2854385</v>
      </c>
      <c r="AA274" s="804">
        <v>317154</v>
      </c>
      <c r="AB274" s="804">
        <v>31715386</v>
      </c>
      <c r="AC274" s="804">
        <v>0</v>
      </c>
      <c r="AD274" s="804">
        <v>0</v>
      </c>
      <c r="AE274" s="804">
        <v>0</v>
      </c>
      <c r="AF274" s="804">
        <v>0</v>
      </c>
      <c r="AG274" s="804">
        <v>0</v>
      </c>
      <c r="AH274" s="804">
        <v>15857693</v>
      </c>
      <c r="AI274" s="804">
        <v>12686154</v>
      </c>
      <c r="AJ274" s="804">
        <v>2854385</v>
      </c>
      <c r="AK274" s="804">
        <v>317154</v>
      </c>
      <c r="AL274" s="804">
        <v>31715386</v>
      </c>
      <c r="AM274" s="804">
        <v>190930</v>
      </c>
      <c r="AN274" s="804">
        <v>190930</v>
      </c>
      <c r="AO274" s="804">
        <v>0</v>
      </c>
      <c r="AP274" s="804">
        <v>0</v>
      </c>
      <c r="AQ274" s="804">
        <v>76246</v>
      </c>
      <c r="AR274" s="804">
        <v>0</v>
      </c>
      <c r="AS274" s="804">
        <v>76246</v>
      </c>
      <c r="AT274" s="804">
        <v>0</v>
      </c>
      <c r="AU274" s="804">
        <v>0</v>
      </c>
      <c r="AV274" s="804">
        <v>0</v>
      </c>
      <c r="AW274" s="804">
        <v>0</v>
      </c>
      <c r="AX274" s="804">
        <v>0</v>
      </c>
      <c r="AY274" s="804">
        <v>0</v>
      </c>
      <c r="AZ274" s="804">
        <v>0</v>
      </c>
      <c r="BA274" s="804">
        <v>0</v>
      </c>
      <c r="BB274" s="804">
        <v>0</v>
      </c>
      <c r="BC274" s="804">
        <v>0</v>
      </c>
      <c r="BD274" s="804">
        <v>0</v>
      </c>
      <c r="BE274" s="804">
        <v>0</v>
      </c>
      <c r="BF274" s="804">
        <v>0</v>
      </c>
      <c r="BG274" s="804">
        <v>0</v>
      </c>
      <c r="BH274" s="804">
        <v>0</v>
      </c>
      <c r="BI274" s="804">
        <v>0</v>
      </c>
      <c r="BJ274" s="804">
        <v>0.5</v>
      </c>
      <c r="BK274" s="804">
        <v>0.4</v>
      </c>
      <c r="BL274" s="804">
        <v>0.09</v>
      </c>
      <c r="BM274" s="804">
        <v>0.01</v>
      </c>
      <c r="BN274" s="804">
        <v>1</v>
      </c>
      <c r="BO274" s="804">
        <v>232786</v>
      </c>
      <c r="BP274" s="804">
        <v>186228</v>
      </c>
      <c r="BQ274" s="804">
        <v>41901</v>
      </c>
      <c r="BR274" s="804">
        <v>4656</v>
      </c>
      <c r="BS274" s="804">
        <v>465571</v>
      </c>
      <c r="BT274" s="804">
        <v>0</v>
      </c>
      <c r="BU274" s="804">
        <v>0.4</v>
      </c>
      <c r="BV274" s="804">
        <v>0.59</v>
      </c>
      <c r="BW274" s="804">
        <v>0.01</v>
      </c>
      <c r="BX274" s="804">
        <v>1</v>
      </c>
      <c r="BY274" s="804">
        <v>0</v>
      </c>
      <c r="BZ274" s="804">
        <v>-435971</v>
      </c>
      <c r="CA274" s="804">
        <v>-643057</v>
      </c>
      <c r="CB274" s="804">
        <v>-10899</v>
      </c>
      <c r="CC274" s="804">
        <v>-1089927</v>
      </c>
      <c r="CD274" s="804">
        <v>232786</v>
      </c>
      <c r="CE274" s="804">
        <v>-249743</v>
      </c>
      <c r="CF274" s="804">
        <v>-601156</v>
      </c>
      <c r="CG274" s="804">
        <v>-6243</v>
      </c>
      <c r="CH274" s="804">
        <v>-624356</v>
      </c>
      <c r="CI274" s="804">
        <v>16090479</v>
      </c>
      <c r="CJ274" s="804">
        <v>12703587</v>
      </c>
      <c r="CK274" s="804">
        <v>2253229</v>
      </c>
      <c r="CL274" s="804">
        <v>310911</v>
      </c>
      <c r="CM274" s="804">
        <v>31358206</v>
      </c>
      <c r="CN274" s="804">
        <v>511519</v>
      </c>
      <c r="CO274" s="804">
        <v>114404</v>
      </c>
      <c r="CP274" s="804">
        <v>12712</v>
      </c>
      <c r="CQ274" s="804">
        <v>638635</v>
      </c>
      <c r="CR274" s="804">
        <v>1863463</v>
      </c>
      <c r="CS274" s="804">
        <v>419279</v>
      </c>
      <c r="CT274" s="804">
        <v>46587</v>
      </c>
      <c r="CU274" s="804">
        <v>2329329</v>
      </c>
      <c r="CV274" s="804">
        <v>91582</v>
      </c>
      <c r="CW274" s="804">
        <v>20400</v>
      </c>
      <c r="CX274" s="804">
        <v>2267</v>
      </c>
      <c r="CY274" s="804">
        <v>114249</v>
      </c>
      <c r="CZ274" s="804">
        <v>0</v>
      </c>
      <c r="DA274" s="804">
        <v>0</v>
      </c>
      <c r="DB274" s="804">
        <v>0</v>
      </c>
      <c r="DC274" s="804">
        <v>0</v>
      </c>
      <c r="DD274" s="804">
        <v>14651</v>
      </c>
      <c r="DE274" s="804">
        <v>3296</v>
      </c>
      <c r="DF274" s="804">
        <v>366</v>
      </c>
      <c r="DG274" s="804">
        <v>18313</v>
      </c>
      <c r="DH274" s="804">
        <v>15399</v>
      </c>
      <c r="DI274" s="804">
        <v>3465</v>
      </c>
      <c r="DJ274" s="804">
        <v>385</v>
      </c>
      <c r="DK274" s="804">
        <v>19249</v>
      </c>
      <c r="DL274" s="804">
        <v>3495</v>
      </c>
      <c r="DM274" s="804">
        <v>786</v>
      </c>
      <c r="DN274" s="804">
        <v>87</v>
      </c>
      <c r="DO274" s="804">
        <v>4368</v>
      </c>
      <c r="DP274" s="804">
        <v>0</v>
      </c>
      <c r="DQ274" s="804">
        <v>0</v>
      </c>
      <c r="DR274" s="804">
        <v>0</v>
      </c>
      <c r="DS274" s="804">
        <v>0</v>
      </c>
      <c r="DT274" s="804">
        <v>0</v>
      </c>
      <c r="DU274" s="804">
        <v>0</v>
      </c>
      <c r="DV274" s="804">
        <v>0</v>
      </c>
      <c r="DW274" s="804">
        <v>0</v>
      </c>
      <c r="DX274" s="804">
        <v>396053</v>
      </c>
      <c r="DY274" s="804">
        <v>89112</v>
      </c>
      <c r="DZ274" s="804">
        <v>9901</v>
      </c>
      <c r="EA274" s="804">
        <v>495066</v>
      </c>
      <c r="EB274" s="804">
        <v>2896162</v>
      </c>
      <c r="EC274" s="804">
        <v>650742</v>
      </c>
      <c r="ED274" s="804">
        <v>72305</v>
      </c>
      <c r="EE274" s="804">
        <v>3619209</v>
      </c>
      <c r="EF274" s="604" t="s">
        <v>422</v>
      </c>
      <c r="EG274" s="497" t="s">
        <v>560</v>
      </c>
      <c r="EH274" s="630" t="s">
        <v>558</v>
      </c>
      <c r="EI274" s="118" t="s">
        <v>1925</v>
      </c>
    </row>
    <row r="275" spans="1:139" ht="12.75" x14ac:dyDescent="0.2">
      <c r="A275" s="805">
        <v>268</v>
      </c>
      <c r="B275" s="606" t="s">
        <v>425</v>
      </c>
      <c r="C275" s="607" t="s">
        <v>524</v>
      </c>
      <c r="D275" s="608" t="s">
        <v>1195</v>
      </c>
      <c r="E275" s="609" t="s">
        <v>919</v>
      </c>
      <c r="F275" s="802">
        <v>73726868</v>
      </c>
      <c r="G275" s="804">
        <v>277944</v>
      </c>
      <c r="H275" s="804">
        <v>0</v>
      </c>
      <c r="I275" s="804">
        <v>213355</v>
      </c>
      <c r="J275" s="804">
        <v>0</v>
      </c>
      <c r="K275" s="804">
        <v>213355</v>
      </c>
      <c r="L275" s="804">
        <v>0</v>
      </c>
      <c r="M275" s="804">
        <v>0</v>
      </c>
      <c r="N275" s="804">
        <v>94478</v>
      </c>
      <c r="O275" s="804">
        <v>94478</v>
      </c>
      <c r="P275" s="804">
        <v>0</v>
      </c>
      <c r="Q275" s="804">
        <v>0</v>
      </c>
      <c r="R275" s="804">
        <v>73696979</v>
      </c>
      <c r="S275" s="804">
        <v>0.5</v>
      </c>
      <c r="T275" s="804">
        <v>0.49</v>
      </c>
      <c r="U275" s="804">
        <v>0</v>
      </c>
      <c r="V275" s="804">
        <v>0.01</v>
      </c>
      <c r="W275" s="804">
        <v>1</v>
      </c>
      <c r="X275" s="804">
        <v>36848489</v>
      </c>
      <c r="Y275" s="804">
        <v>36111520</v>
      </c>
      <c r="Z275" s="804">
        <v>0</v>
      </c>
      <c r="AA275" s="804">
        <v>736970</v>
      </c>
      <c r="AB275" s="804">
        <v>73696979</v>
      </c>
      <c r="AC275" s="804">
        <v>0</v>
      </c>
      <c r="AD275" s="804">
        <v>0</v>
      </c>
      <c r="AE275" s="804">
        <v>0</v>
      </c>
      <c r="AF275" s="804">
        <v>0</v>
      </c>
      <c r="AG275" s="804">
        <v>0</v>
      </c>
      <c r="AH275" s="804">
        <v>36848489</v>
      </c>
      <c r="AI275" s="804">
        <v>36111520</v>
      </c>
      <c r="AJ275" s="804">
        <v>0</v>
      </c>
      <c r="AK275" s="804">
        <v>736970</v>
      </c>
      <c r="AL275" s="804">
        <v>73696979</v>
      </c>
      <c r="AM275" s="804">
        <v>213355</v>
      </c>
      <c r="AN275" s="804">
        <v>213355</v>
      </c>
      <c r="AO275" s="804">
        <v>0</v>
      </c>
      <c r="AP275" s="804">
        <v>0</v>
      </c>
      <c r="AQ275" s="804">
        <v>94478</v>
      </c>
      <c r="AR275" s="804">
        <v>0</v>
      </c>
      <c r="AS275" s="804">
        <v>94478</v>
      </c>
      <c r="AT275" s="804">
        <v>0</v>
      </c>
      <c r="AU275" s="804">
        <v>0</v>
      </c>
      <c r="AV275" s="804">
        <v>0</v>
      </c>
      <c r="AW275" s="804">
        <v>0</v>
      </c>
      <c r="AX275" s="804">
        <v>0</v>
      </c>
      <c r="AY275" s="804">
        <v>0</v>
      </c>
      <c r="AZ275" s="804">
        <v>0</v>
      </c>
      <c r="BA275" s="804">
        <v>0</v>
      </c>
      <c r="BB275" s="804">
        <v>0</v>
      </c>
      <c r="BC275" s="804">
        <v>0</v>
      </c>
      <c r="BD275" s="804">
        <v>0</v>
      </c>
      <c r="BE275" s="804">
        <v>0</v>
      </c>
      <c r="BF275" s="804">
        <v>0</v>
      </c>
      <c r="BG275" s="804">
        <v>0</v>
      </c>
      <c r="BH275" s="804">
        <v>0</v>
      </c>
      <c r="BI275" s="804">
        <v>0</v>
      </c>
      <c r="BJ275" s="804">
        <v>0.5</v>
      </c>
      <c r="BK275" s="804">
        <v>0.49</v>
      </c>
      <c r="BL275" s="804">
        <v>0</v>
      </c>
      <c r="BM275" s="804">
        <v>0.01</v>
      </c>
      <c r="BN275" s="804">
        <v>1</v>
      </c>
      <c r="BO275" s="804">
        <v>890988.00000000466</v>
      </c>
      <c r="BP275" s="804">
        <v>873169</v>
      </c>
      <c r="BQ275" s="804">
        <v>0</v>
      </c>
      <c r="BR275" s="804">
        <v>17820</v>
      </c>
      <c r="BS275" s="804">
        <v>1781977.0000000047</v>
      </c>
      <c r="BT275" s="804">
        <v>0.5</v>
      </c>
      <c r="BU275" s="804">
        <v>0.49</v>
      </c>
      <c r="BV275" s="804">
        <v>0</v>
      </c>
      <c r="BW275" s="804">
        <v>0.01</v>
      </c>
      <c r="BX275" s="804">
        <v>1</v>
      </c>
      <c r="BY275" s="804">
        <v>1001950.4000000013</v>
      </c>
      <c r="BZ275" s="804">
        <v>981911</v>
      </c>
      <c r="CA275" s="804">
        <v>0</v>
      </c>
      <c r="CB275" s="804">
        <v>20039</v>
      </c>
      <c r="CC275" s="804">
        <v>2003900.4000000013</v>
      </c>
      <c r="CD275" s="804">
        <v>1892938</v>
      </c>
      <c r="CE275" s="804">
        <v>1855080</v>
      </c>
      <c r="CF275" s="804">
        <v>0</v>
      </c>
      <c r="CG275" s="804">
        <v>37859</v>
      </c>
      <c r="CH275" s="804">
        <v>3785877.400000006</v>
      </c>
      <c r="CI275" s="804">
        <v>38741427</v>
      </c>
      <c r="CJ275" s="804">
        <v>38274433</v>
      </c>
      <c r="CK275" s="804">
        <v>0</v>
      </c>
      <c r="CL275" s="804">
        <v>774829</v>
      </c>
      <c r="CM275" s="804">
        <v>77790689</v>
      </c>
      <c r="CN275" s="804">
        <v>1451142</v>
      </c>
      <c r="CO275" s="804">
        <v>0</v>
      </c>
      <c r="CP275" s="804">
        <v>29538</v>
      </c>
      <c r="CQ275" s="804">
        <v>1480680</v>
      </c>
      <c r="CR275" s="804">
        <v>1937524</v>
      </c>
      <c r="CS275" s="804">
        <v>0</v>
      </c>
      <c r="CT275" s="804">
        <v>39541</v>
      </c>
      <c r="CU275" s="804">
        <v>1977065</v>
      </c>
      <c r="CV275" s="804">
        <v>147816</v>
      </c>
      <c r="CW275" s="804">
        <v>0</v>
      </c>
      <c r="CX275" s="804">
        <v>3017</v>
      </c>
      <c r="CY275" s="804">
        <v>150833</v>
      </c>
      <c r="CZ275" s="804">
        <v>11622</v>
      </c>
      <c r="DA275" s="804">
        <v>0</v>
      </c>
      <c r="DB275" s="804">
        <v>237</v>
      </c>
      <c r="DC275" s="804">
        <v>11859</v>
      </c>
      <c r="DD275" s="804">
        <v>776</v>
      </c>
      <c r="DE275" s="804">
        <v>0</v>
      </c>
      <c r="DF275" s="804">
        <v>16</v>
      </c>
      <c r="DG275" s="804">
        <v>792</v>
      </c>
      <c r="DH275" s="804">
        <v>13760</v>
      </c>
      <c r="DI275" s="804">
        <v>0</v>
      </c>
      <c r="DJ275" s="804">
        <v>281</v>
      </c>
      <c r="DK275" s="804">
        <v>14041</v>
      </c>
      <c r="DL275" s="804">
        <v>5829</v>
      </c>
      <c r="DM275" s="804">
        <v>0</v>
      </c>
      <c r="DN275" s="804">
        <v>119</v>
      </c>
      <c r="DO275" s="804">
        <v>5948</v>
      </c>
      <c r="DP275" s="804">
        <v>0</v>
      </c>
      <c r="DQ275" s="804">
        <v>0</v>
      </c>
      <c r="DR275" s="804">
        <v>0</v>
      </c>
      <c r="DS275" s="804">
        <v>0</v>
      </c>
      <c r="DT275" s="804">
        <v>0</v>
      </c>
      <c r="DU275" s="804">
        <v>0</v>
      </c>
      <c r="DV275" s="804">
        <v>0</v>
      </c>
      <c r="DW275" s="804">
        <v>0</v>
      </c>
      <c r="DX275" s="804">
        <v>388274</v>
      </c>
      <c r="DY275" s="804">
        <v>0</v>
      </c>
      <c r="DZ275" s="804">
        <v>7924</v>
      </c>
      <c r="EA275" s="804">
        <v>396198</v>
      </c>
      <c r="EB275" s="804">
        <v>3956743</v>
      </c>
      <c r="EC275" s="804">
        <v>0</v>
      </c>
      <c r="ED275" s="804">
        <v>80673</v>
      </c>
      <c r="EE275" s="804">
        <v>4037416</v>
      </c>
      <c r="EF275" s="604" t="s">
        <v>919</v>
      </c>
      <c r="EG275" s="497" t="s">
        <v>524</v>
      </c>
      <c r="EH275" s="630" t="s">
        <v>605</v>
      </c>
      <c r="EI275" s="118" t="s">
        <v>1926</v>
      </c>
    </row>
    <row r="276" spans="1:139" ht="12.75" x14ac:dyDescent="0.2">
      <c r="A276" s="805">
        <v>269</v>
      </c>
      <c r="B276" s="606" t="s">
        <v>427</v>
      </c>
      <c r="C276" s="607" t="s">
        <v>1185</v>
      </c>
      <c r="D276" s="608" t="s">
        <v>1189</v>
      </c>
      <c r="E276" s="609" t="s">
        <v>426</v>
      </c>
      <c r="F276" s="802">
        <v>27691615</v>
      </c>
      <c r="G276" s="804">
        <v>104266</v>
      </c>
      <c r="H276" s="804">
        <v>0</v>
      </c>
      <c r="I276" s="804">
        <v>287227</v>
      </c>
      <c r="J276" s="804">
        <v>0</v>
      </c>
      <c r="K276" s="804">
        <v>287227</v>
      </c>
      <c r="L276" s="804">
        <v>0</v>
      </c>
      <c r="M276" s="804">
        <v>0</v>
      </c>
      <c r="N276" s="804">
        <v>252264</v>
      </c>
      <c r="O276" s="804">
        <v>252264</v>
      </c>
      <c r="P276" s="804">
        <v>0</v>
      </c>
      <c r="Q276" s="804">
        <v>0</v>
      </c>
      <c r="R276" s="804">
        <v>27256390</v>
      </c>
      <c r="S276" s="804">
        <v>0.5</v>
      </c>
      <c r="T276" s="804">
        <v>0.4</v>
      </c>
      <c r="U276" s="804">
        <v>0.09</v>
      </c>
      <c r="V276" s="804">
        <v>0.01</v>
      </c>
      <c r="W276" s="804">
        <v>1</v>
      </c>
      <c r="X276" s="804">
        <v>13628195</v>
      </c>
      <c r="Y276" s="804">
        <v>10902556</v>
      </c>
      <c r="Z276" s="804">
        <v>2453075</v>
      </c>
      <c r="AA276" s="804">
        <v>272564</v>
      </c>
      <c r="AB276" s="804">
        <v>27256390</v>
      </c>
      <c r="AC276" s="804">
        <v>0</v>
      </c>
      <c r="AD276" s="804">
        <v>0</v>
      </c>
      <c r="AE276" s="804">
        <v>0</v>
      </c>
      <c r="AF276" s="804">
        <v>0</v>
      </c>
      <c r="AG276" s="804">
        <v>0</v>
      </c>
      <c r="AH276" s="804">
        <v>13628195</v>
      </c>
      <c r="AI276" s="804">
        <v>10902556</v>
      </c>
      <c r="AJ276" s="804">
        <v>2453075</v>
      </c>
      <c r="AK276" s="804">
        <v>272564</v>
      </c>
      <c r="AL276" s="804">
        <v>27256390</v>
      </c>
      <c r="AM276" s="804">
        <v>287227</v>
      </c>
      <c r="AN276" s="804">
        <v>287227</v>
      </c>
      <c r="AO276" s="804">
        <v>0</v>
      </c>
      <c r="AP276" s="804">
        <v>0</v>
      </c>
      <c r="AQ276" s="804">
        <v>252264</v>
      </c>
      <c r="AR276" s="804">
        <v>0</v>
      </c>
      <c r="AS276" s="804">
        <v>252264</v>
      </c>
      <c r="AT276" s="804">
        <v>0</v>
      </c>
      <c r="AU276" s="804">
        <v>0</v>
      </c>
      <c r="AV276" s="804">
        <v>0</v>
      </c>
      <c r="AW276" s="804">
        <v>0</v>
      </c>
      <c r="AX276" s="804">
        <v>0</v>
      </c>
      <c r="AY276" s="804">
        <v>0</v>
      </c>
      <c r="AZ276" s="804">
        <v>0</v>
      </c>
      <c r="BA276" s="804">
        <v>0</v>
      </c>
      <c r="BB276" s="804">
        <v>0</v>
      </c>
      <c r="BC276" s="804">
        <v>0</v>
      </c>
      <c r="BD276" s="804">
        <v>0</v>
      </c>
      <c r="BE276" s="804">
        <v>0</v>
      </c>
      <c r="BF276" s="804">
        <v>0</v>
      </c>
      <c r="BG276" s="804">
        <v>0</v>
      </c>
      <c r="BH276" s="804">
        <v>0</v>
      </c>
      <c r="BI276" s="804">
        <v>0</v>
      </c>
      <c r="BJ276" s="804">
        <v>0.5</v>
      </c>
      <c r="BK276" s="804">
        <v>0.4</v>
      </c>
      <c r="BL276" s="804">
        <v>0.09</v>
      </c>
      <c r="BM276" s="804">
        <v>0.01</v>
      </c>
      <c r="BN276" s="804">
        <v>1</v>
      </c>
      <c r="BO276" s="804">
        <v>694505</v>
      </c>
      <c r="BP276" s="804">
        <v>555604</v>
      </c>
      <c r="BQ276" s="804">
        <v>125011</v>
      </c>
      <c r="BR276" s="804">
        <v>13890</v>
      </c>
      <c r="BS276" s="804">
        <v>1389010</v>
      </c>
      <c r="BT276" s="804">
        <v>0.5</v>
      </c>
      <c r="BU276" s="804">
        <v>0.4</v>
      </c>
      <c r="BV276" s="804">
        <v>0.09</v>
      </c>
      <c r="BW276" s="804">
        <v>0.01</v>
      </c>
      <c r="BX276" s="804">
        <v>1</v>
      </c>
      <c r="BY276" s="804">
        <v>506317</v>
      </c>
      <c r="BZ276" s="804">
        <v>405053</v>
      </c>
      <c r="CA276" s="804">
        <v>91137</v>
      </c>
      <c r="CB276" s="804">
        <v>10126</v>
      </c>
      <c r="CC276" s="804">
        <v>1012633</v>
      </c>
      <c r="CD276" s="804">
        <v>1200822</v>
      </c>
      <c r="CE276" s="804">
        <v>960657</v>
      </c>
      <c r="CF276" s="804">
        <v>216148</v>
      </c>
      <c r="CG276" s="804">
        <v>24016</v>
      </c>
      <c r="CH276" s="804">
        <v>2401643</v>
      </c>
      <c r="CI276" s="804">
        <v>14829017</v>
      </c>
      <c r="CJ276" s="804">
        <v>12402704</v>
      </c>
      <c r="CK276" s="804">
        <v>2669223</v>
      </c>
      <c r="CL276" s="804">
        <v>296580</v>
      </c>
      <c r="CM276" s="804">
        <v>30197524</v>
      </c>
      <c r="CN276" s="804">
        <v>447087</v>
      </c>
      <c r="CO276" s="804">
        <v>98320</v>
      </c>
      <c r="CP276" s="804">
        <v>10924</v>
      </c>
      <c r="CQ276" s="804">
        <v>556331</v>
      </c>
      <c r="CR276" s="804">
        <v>1922593</v>
      </c>
      <c r="CS276" s="804">
        <v>432583</v>
      </c>
      <c r="CT276" s="804">
        <v>48065</v>
      </c>
      <c r="CU276" s="804">
        <v>2403241</v>
      </c>
      <c r="CV276" s="804">
        <v>13630</v>
      </c>
      <c r="CW276" s="804">
        <v>3067</v>
      </c>
      <c r="CX276" s="804">
        <v>341</v>
      </c>
      <c r="CY276" s="804">
        <v>17038</v>
      </c>
      <c r="CZ276" s="804">
        <v>13788</v>
      </c>
      <c r="DA276" s="804">
        <v>3102</v>
      </c>
      <c r="DB276" s="804">
        <v>345</v>
      </c>
      <c r="DC276" s="804">
        <v>17235</v>
      </c>
      <c r="DD276" s="804">
        <v>15609</v>
      </c>
      <c r="DE276" s="804">
        <v>3512</v>
      </c>
      <c r="DF276" s="804">
        <v>390</v>
      </c>
      <c r="DG276" s="804">
        <v>19511</v>
      </c>
      <c r="DH276" s="804">
        <v>6419</v>
      </c>
      <c r="DI276" s="804">
        <v>1444</v>
      </c>
      <c r="DJ276" s="804">
        <v>160</v>
      </c>
      <c r="DK276" s="804">
        <v>8023</v>
      </c>
      <c r="DL276" s="804">
        <v>1768</v>
      </c>
      <c r="DM276" s="804">
        <v>398</v>
      </c>
      <c r="DN276" s="804">
        <v>44</v>
      </c>
      <c r="DO276" s="804">
        <v>2210</v>
      </c>
      <c r="DP276" s="804">
        <v>0</v>
      </c>
      <c r="DQ276" s="804">
        <v>0</v>
      </c>
      <c r="DR276" s="804">
        <v>0</v>
      </c>
      <c r="DS276" s="804">
        <v>0</v>
      </c>
      <c r="DT276" s="804">
        <v>0</v>
      </c>
      <c r="DU276" s="804">
        <v>0</v>
      </c>
      <c r="DV276" s="804">
        <v>0</v>
      </c>
      <c r="DW276" s="804">
        <v>0</v>
      </c>
      <c r="DX276" s="804">
        <v>266204</v>
      </c>
      <c r="DY276" s="804">
        <v>59896</v>
      </c>
      <c r="DZ276" s="804">
        <v>6655</v>
      </c>
      <c r="EA276" s="804">
        <v>332755</v>
      </c>
      <c r="EB276" s="804">
        <v>2687098</v>
      </c>
      <c r="EC276" s="804">
        <v>602322</v>
      </c>
      <c r="ED276" s="804">
        <v>66924</v>
      </c>
      <c r="EE276" s="804">
        <v>3356344</v>
      </c>
      <c r="EF276" s="604" t="s">
        <v>426</v>
      </c>
      <c r="EG276" s="497" t="s">
        <v>570</v>
      </c>
      <c r="EH276" s="630" t="s">
        <v>568</v>
      </c>
      <c r="EI276" s="118" t="s">
        <v>1927</v>
      </c>
    </row>
    <row r="277" spans="1:139" ht="12.75" x14ac:dyDescent="0.2">
      <c r="A277" s="805">
        <v>270</v>
      </c>
      <c r="B277" s="606" t="s">
        <v>429</v>
      </c>
      <c r="C277" s="607" t="s">
        <v>1185</v>
      </c>
      <c r="D277" s="608" t="s">
        <v>1186</v>
      </c>
      <c r="E277" s="609" t="s">
        <v>428</v>
      </c>
      <c r="F277" s="802">
        <v>55766004</v>
      </c>
      <c r="G277" s="804">
        <v>0</v>
      </c>
      <c r="H277" s="804">
        <v>40371</v>
      </c>
      <c r="I277" s="804">
        <v>186187</v>
      </c>
      <c r="J277" s="804">
        <v>0</v>
      </c>
      <c r="K277" s="804">
        <v>186187</v>
      </c>
      <c r="L277" s="804">
        <v>0</v>
      </c>
      <c r="M277" s="804">
        <v>0</v>
      </c>
      <c r="N277" s="804">
        <v>419638</v>
      </c>
      <c r="O277" s="804">
        <v>419638</v>
      </c>
      <c r="P277" s="804">
        <v>0</v>
      </c>
      <c r="Q277" s="804">
        <v>0</v>
      </c>
      <c r="R277" s="804">
        <v>55119808</v>
      </c>
      <c r="S277" s="804">
        <v>0.5</v>
      </c>
      <c r="T277" s="804">
        <v>0.4</v>
      </c>
      <c r="U277" s="804">
        <v>0.09</v>
      </c>
      <c r="V277" s="804">
        <v>0.01</v>
      </c>
      <c r="W277" s="804">
        <v>1</v>
      </c>
      <c r="X277" s="804">
        <v>27559904</v>
      </c>
      <c r="Y277" s="804">
        <v>22047923</v>
      </c>
      <c r="Z277" s="804">
        <v>4960783</v>
      </c>
      <c r="AA277" s="804">
        <v>551198</v>
      </c>
      <c r="AB277" s="804">
        <v>55119808</v>
      </c>
      <c r="AC277" s="804">
        <v>0</v>
      </c>
      <c r="AD277" s="804">
        <v>0</v>
      </c>
      <c r="AE277" s="804">
        <v>0</v>
      </c>
      <c r="AF277" s="804">
        <v>0</v>
      </c>
      <c r="AG277" s="804">
        <v>0</v>
      </c>
      <c r="AH277" s="804">
        <v>27559904</v>
      </c>
      <c r="AI277" s="804">
        <v>22047923</v>
      </c>
      <c r="AJ277" s="804">
        <v>4960783</v>
      </c>
      <c r="AK277" s="804">
        <v>551198</v>
      </c>
      <c r="AL277" s="804">
        <v>55119808</v>
      </c>
      <c r="AM277" s="804">
        <v>186187</v>
      </c>
      <c r="AN277" s="804">
        <v>186187</v>
      </c>
      <c r="AO277" s="804">
        <v>0</v>
      </c>
      <c r="AP277" s="804">
        <v>0</v>
      </c>
      <c r="AQ277" s="804">
        <v>419638</v>
      </c>
      <c r="AR277" s="804">
        <v>0</v>
      </c>
      <c r="AS277" s="804">
        <v>419638</v>
      </c>
      <c r="AT277" s="804">
        <v>0</v>
      </c>
      <c r="AU277" s="804">
        <v>0</v>
      </c>
      <c r="AV277" s="804">
        <v>0</v>
      </c>
      <c r="AW277" s="804">
        <v>0</v>
      </c>
      <c r="AX277" s="804">
        <v>0</v>
      </c>
      <c r="AY277" s="804">
        <v>0</v>
      </c>
      <c r="AZ277" s="804">
        <v>0</v>
      </c>
      <c r="BA277" s="804">
        <v>0</v>
      </c>
      <c r="BB277" s="804">
        <v>0</v>
      </c>
      <c r="BC277" s="804">
        <v>0</v>
      </c>
      <c r="BD277" s="804">
        <v>0</v>
      </c>
      <c r="BE277" s="804">
        <v>0</v>
      </c>
      <c r="BF277" s="804">
        <v>0</v>
      </c>
      <c r="BG277" s="804">
        <v>0</v>
      </c>
      <c r="BH277" s="804">
        <v>0</v>
      </c>
      <c r="BI277" s="804">
        <v>0</v>
      </c>
      <c r="BJ277" s="804">
        <v>0.5</v>
      </c>
      <c r="BK277" s="804">
        <v>0.4</v>
      </c>
      <c r="BL277" s="804">
        <v>0.09</v>
      </c>
      <c r="BM277" s="804">
        <v>0.01</v>
      </c>
      <c r="BN277" s="804">
        <v>1</v>
      </c>
      <c r="BO277" s="804">
        <v>-308720</v>
      </c>
      <c r="BP277" s="804">
        <v>-246976</v>
      </c>
      <c r="BQ277" s="804">
        <v>-55570</v>
      </c>
      <c r="BR277" s="804">
        <v>-6174</v>
      </c>
      <c r="BS277" s="804">
        <v>-617440</v>
      </c>
      <c r="BT277" s="804">
        <v>0.5</v>
      </c>
      <c r="BU277" s="804">
        <v>0.4</v>
      </c>
      <c r="BV277" s="804">
        <v>0.09</v>
      </c>
      <c r="BW277" s="804">
        <v>0.01</v>
      </c>
      <c r="BX277" s="804">
        <v>1</v>
      </c>
      <c r="BY277" s="804">
        <v>-1069143</v>
      </c>
      <c r="BZ277" s="804">
        <v>-855314</v>
      </c>
      <c r="CA277" s="804">
        <v>-192446</v>
      </c>
      <c r="CB277" s="804">
        <v>-21383</v>
      </c>
      <c r="CC277" s="804">
        <v>-2138286</v>
      </c>
      <c r="CD277" s="804">
        <v>-1377864</v>
      </c>
      <c r="CE277" s="804">
        <v>-1102290</v>
      </c>
      <c r="CF277" s="804">
        <v>-248015</v>
      </c>
      <c r="CG277" s="804">
        <v>-27557</v>
      </c>
      <c r="CH277" s="804">
        <v>-2755726</v>
      </c>
      <c r="CI277" s="804">
        <v>26182040</v>
      </c>
      <c r="CJ277" s="804">
        <v>21551458</v>
      </c>
      <c r="CK277" s="804">
        <v>4712768</v>
      </c>
      <c r="CL277" s="804">
        <v>523641</v>
      </c>
      <c r="CM277" s="804">
        <v>52969907</v>
      </c>
      <c r="CN277" s="804">
        <v>900503</v>
      </c>
      <c r="CO277" s="804">
        <v>198829</v>
      </c>
      <c r="CP277" s="804">
        <v>22092</v>
      </c>
      <c r="CQ277" s="804">
        <v>1121424</v>
      </c>
      <c r="CR277" s="804">
        <v>1347753</v>
      </c>
      <c r="CS277" s="804">
        <v>303244</v>
      </c>
      <c r="CT277" s="804">
        <v>33694</v>
      </c>
      <c r="CU277" s="804">
        <v>1684691</v>
      </c>
      <c r="CV277" s="804">
        <v>118555</v>
      </c>
      <c r="CW277" s="804">
        <v>26675</v>
      </c>
      <c r="CX277" s="804">
        <v>2964</v>
      </c>
      <c r="CY277" s="804">
        <v>148194</v>
      </c>
      <c r="CZ277" s="804">
        <v>18429</v>
      </c>
      <c r="DA277" s="804">
        <v>4147</v>
      </c>
      <c r="DB277" s="804">
        <v>461</v>
      </c>
      <c r="DC277" s="804">
        <v>23037</v>
      </c>
      <c r="DD277" s="804">
        <v>5394</v>
      </c>
      <c r="DE277" s="804">
        <v>1214</v>
      </c>
      <c r="DF277" s="804">
        <v>135</v>
      </c>
      <c r="DG277" s="804">
        <v>6743</v>
      </c>
      <c r="DH277" s="804">
        <v>11111</v>
      </c>
      <c r="DI277" s="804">
        <v>2500</v>
      </c>
      <c r="DJ277" s="804">
        <v>278</v>
      </c>
      <c r="DK277" s="804">
        <v>13889</v>
      </c>
      <c r="DL277" s="804">
        <v>3828</v>
      </c>
      <c r="DM277" s="804">
        <v>861</v>
      </c>
      <c r="DN277" s="804">
        <v>96</v>
      </c>
      <c r="DO277" s="804">
        <v>4785</v>
      </c>
      <c r="DP277" s="804">
        <v>0</v>
      </c>
      <c r="DQ277" s="804">
        <v>0</v>
      </c>
      <c r="DR277" s="804">
        <v>0</v>
      </c>
      <c r="DS277" s="804">
        <v>0</v>
      </c>
      <c r="DT277" s="804">
        <v>0</v>
      </c>
      <c r="DU277" s="804">
        <v>0</v>
      </c>
      <c r="DV277" s="804">
        <v>0</v>
      </c>
      <c r="DW277" s="804">
        <v>0</v>
      </c>
      <c r="DX277" s="804">
        <v>411844</v>
      </c>
      <c r="DY277" s="804">
        <v>92665</v>
      </c>
      <c r="DZ277" s="804">
        <v>10296</v>
      </c>
      <c r="EA277" s="804">
        <v>514805</v>
      </c>
      <c r="EB277" s="804">
        <v>2817417</v>
      </c>
      <c r="EC277" s="804">
        <v>630135</v>
      </c>
      <c r="ED277" s="804">
        <v>70016</v>
      </c>
      <c r="EE277" s="804">
        <v>3517568</v>
      </c>
      <c r="EF277" s="604" t="s">
        <v>428</v>
      </c>
      <c r="EG277" s="497" t="s">
        <v>575</v>
      </c>
      <c r="EH277" s="630" t="s">
        <v>573</v>
      </c>
      <c r="EI277" s="118" t="s">
        <v>1928</v>
      </c>
    </row>
    <row r="278" spans="1:139" ht="12.75" x14ac:dyDescent="0.2">
      <c r="A278" s="805">
        <v>271</v>
      </c>
      <c r="B278" s="606" t="s">
        <v>431</v>
      </c>
      <c r="C278" s="607" t="s">
        <v>1185</v>
      </c>
      <c r="D278" s="608" t="s">
        <v>1194</v>
      </c>
      <c r="E278" s="609" t="s">
        <v>430</v>
      </c>
      <c r="F278" s="802">
        <v>38031086</v>
      </c>
      <c r="G278" s="804">
        <v>99170</v>
      </c>
      <c r="H278" s="804">
        <v>0</v>
      </c>
      <c r="I278" s="804">
        <v>120059</v>
      </c>
      <c r="J278" s="804">
        <v>0</v>
      </c>
      <c r="K278" s="804">
        <v>120059</v>
      </c>
      <c r="L278" s="804">
        <v>0</v>
      </c>
      <c r="M278" s="804">
        <v>0</v>
      </c>
      <c r="N278" s="804">
        <v>251909</v>
      </c>
      <c r="O278" s="804">
        <v>124421</v>
      </c>
      <c r="P278" s="804">
        <v>127488</v>
      </c>
      <c r="Q278" s="804">
        <v>0</v>
      </c>
      <c r="R278" s="804">
        <v>37758288</v>
      </c>
      <c r="S278" s="804">
        <v>0.5</v>
      </c>
      <c r="T278" s="804">
        <v>0.4</v>
      </c>
      <c r="U278" s="804">
        <v>0.1</v>
      </c>
      <c r="V278" s="804">
        <v>0</v>
      </c>
      <c r="W278" s="804">
        <v>1</v>
      </c>
      <c r="X278" s="804">
        <v>18879144</v>
      </c>
      <c r="Y278" s="804">
        <v>15103315</v>
      </c>
      <c r="Z278" s="804">
        <v>3775829</v>
      </c>
      <c r="AA278" s="804">
        <v>0</v>
      </c>
      <c r="AB278" s="804">
        <v>37758288</v>
      </c>
      <c r="AC278" s="804">
        <v>0</v>
      </c>
      <c r="AD278" s="804">
        <v>0</v>
      </c>
      <c r="AE278" s="804">
        <v>0</v>
      </c>
      <c r="AF278" s="804">
        <v>0</v>
      </c>
      <c r="AG278" s="804">
        <v>0</v>
      </c>
      <c r="AH278" s="804">
        <v>18879144</v>
      </c>
      <c r="AI278" s="804">
        <v>15103315</v>
      </c>
      <c r="AJ278" s="804">
        <v>3775829</v>
      </c>
      <c r="AK278" s="804">
        <v>0</v>
      </c>
      <c r="AL278" s="804">
        <v>37758288</v>
      </c>
      <c r="AM278" s="804">
        <v>120059</v>
      </c>
      <c r="AN278" s="804">
        <v>120059</v>
      </c>
      <c r="AO278" s="804">
        <v>0</v>
      </c>
      <c r="AP278" s="804">
        <v>0</v>
      </c>
      <c r="AQ278" s="804">
        <v>124421</v>
      </c>
      <c r="AR278" s="804">
        <v>127488</v>
      </c>
      <c r="AS278" s="804">
        <v>251909</v>
      </c>
      <c r="AT278" s="804">
        <v>0</v>
      </c>
      <c r="AU278" s="804">
        <v>0</v>
      </c>
      <c r="AV278" s="804">
        <v>0</v>
      </c>
      <c r="AW278" s="804">
        <v>0</v>
      </c>
      <c r="AX278" s="804">
        <v>0</v>
      </c>
      <c r="AY278" s="804">
        <v>0</v>
      </c>
      <c r="AZ278" s="804">
        <v>0</v>
      </c>
      <c r="BA278" s="804">
        <v>0</v>
      </c>
      <c r="BB278" s="804">
        <v>0</v>
      </c>
      <c r="BC278" s="804">
        <v>0</v>
      </c>
      <c r="BD278" s="804">
        <v>0</v>
      </c>
      <c r="BE278" s="804">
        <v>0</v>
      </c>
      <c r="BF278" s="804">
        <v>0</v>
      </c>
      <c r="BG278" s="804">
        <v>0</v>
      </c>
      <c r="BH278" s="804">
        <v>0</v>
      </c>
      <c r="BI278" s="804">
        <v>0</v>
      </c>
      <c r="BJ278" s="804">
        <v>0.5</v>
      </c>
      <c r="BK278" s="804">
        <v>0.4</v>
      </c>
      <c r="BL278" s="804">
        <v>0.1</v>
      </c>
      <c r="BM278" s="804">
        <v>0</v>
      </c>
      <c r="BN278" s="804">
        <v>1</v>
      </c>
      <c r="BO278" s="804">
        <v>5475059</v>
      </c>
      <c r="BP278" s="804">
        <v>4380048</v>
      </c>
      <c r="BQ278" s="804">
        <v>1095012</v>
      </c>
      <c r="BR278" s="804">
        <v>0</v>
      </c>
      <c r="BS278" s="804">
        <v>10950119</v>
      </c>
      <c r="BT278" s="804">
        <v>0</v>
      </c>
      <c r="BU278" s="804">
        <v>0.5</v>
      </c>
      <c r="BV278" s="804">
        <v>0.5</v>
      </c>
      <c r="BW278" s="804">
        <v>0</v>
      </c>
      <c r="BX278" s="804">
        <v>1</v>
      </c>
      <c r="BY278" s="804">
        <v>-1</v>
      </c>
      <c r="BZ278" s="804">
        <v>52143</v>
      </c>
      <c r="CA278" s="804">
        <v>52143</v>
      </c>
      <c r="CB278" s="804">
        <v>0</v>
      </c>
      <c r="CC278" s="804">
        <v>104285</v>
      </c>
      <c r="CD278" s="804">
        <v>5475058</v>
      </c>
      <c r="CE278" s="804">
        <v>4432191</v>
      </c>
      <c r="CF278" s="804">
        <v>1147155</v>
      </c>
      <c r="CG278" s="804">
        <v>0</v>
      </c>
      <c r="CH278" s="804">
        <v>11054404</v>
      </c>
      <c r="CI278" s="804">
        <v>24354202</v>
      </c>
      <c r="CJ278" s="804">
        <v>19779986</v>
      </c>
      <c r="CK278" s="804">
        <v>5050472</v>
      </c>
      <c r="CL278" s="804">
        <v>0</v>
      </c>
      <c r="CM278" s="804">
        <v>49184660</v>
      </c>
      <c r="CN278" s="804">
        <v>610330</v>
      </c>
      <c r="CO278" s="804">
        <v>156446</v>
      </c>
      <c r="CP278" s="804">
        <v>0</v>
      </c>
      <c r="CQ278" s="804">
        <v>766776</v>
      </c>
      <c r="CR278" s="804">
        <v>873403</v>
      </c>
      <c r="CS278" s="804">
        <v>218351</v>
      </c>
      <c r="CT278" s="804">
        <v>0</v>
      </c>
      <c r="CU278" s="804">
        <v>1091754</v>
      </c>
      <c r="CV278" s="804">
        <v>63375</v>
      </c>
      <c r="CW278" s="804">
        <v>15844</v>
      </c>
      <c r="CX278" s="804">
        <v>0</v>
      </c>
      <c r="CY278" s="804">
        <v>79219</v>
      </c>
      <c r="CZ278" s="804">
        <v>42702</v>
      </c>
      <c r="DA278" s="804">
        <v>10676</v>
      </c>
      <c r="DB278" s="804">
        <v>0</v>
      </c>
      <c r="DC278" s="804">
        <v>53378</v>
      </c>
      <c r="DD278" s="804">
        <v>9053</v>
      </c>
      <c r="DE278" s="804">
        <v>2263</v>
      </c>
      <c r="DF278" s="804">
        <v>0</v>
      </c>
      <c r="DG278" s="804">
        <v>11316</v>
      </c>
      <c r="DH278" s="804">
        <v>1438</v>
      </c>
      <c r="DI278" s="804">
        <v>360</v>
      </c>
      <c r="DJ278" s="804">
        <v>0</v>
      </c>
      <c r="DK278" s="804">
        <v>1798</v>
      </c>
      <c r="DL278" s="804">
        <v>2</v>
      </c>
      <c r="DM278" s="804">
        <v>1</v>
      </c>
      <c r="DN278" s="804">
        <v>0</v>
      </c>
      <c r="DO278" s="804">
        <v>3</v>
      </c>
      <c r="DP278" s="804">
        <v>0</v>
      </c>
      <c r="DQ278" s="804">
        <v>0</v>
      </c>
      <c r="DR278" s="804">
        <v>0</v>
      </c>
      <c r="DS278" s="804">
        <v>0</v>
      </c>
      <c r="DT278" s="804">
        <v>0</v>
      </c>
      <c r="DU278" s="804">
        <v>0</v>
      </c>
      <c r="DV278" s="804">
        <v>0</v>
      </c>
      <c r="DW278" s="804">
        <v>0</v>
      </c>
      <c r="DX278" s="804">
        <v>135121</v>
      </c>
      <c r="DY278" s="804">
        <v>33780</v>
      </c>
      <c r="DZ278" s="804">
        <v>0</v>
      </c>
      <c r="EA278" s="804">
        <v>168901</v>
      </c>
      <c r="EB278" s="804">
        <v>1735424</v>
      </c>
      <c r="EC278" s="804">
        <v>437721</v>
      </c>
      <c r="ED278" s="804">
        <v>0</v>
      </c>
      <c r="EE278" s="804">
        <v>2173145</v>
      </c>
      <c r="EF278" s="604" t="s">
        <v>430</v>
      </c>
      <c r="EG278" s="497" t="s">
        <v>571</v>
      </c>
      <c r="EH278" s="630" t="s">
        <v>551</v>
      </c>
      <c r="EI278" s="118" t="s">
        <v>1929</v>
      </c>
    </row>
    <row r="279" spans="1:139" ht="12.75" x14ac:dyDescent="0.2">
      <c r="A279" s="805">
        <v>272</v>
      </c>
      <c r="B279" s="606" t="s">
        <v>433</v>
      </c>
      <c r="C279" s="607" t="s">
        <v>1185</v>
      </c>
      <c r="D279" s="608" t="s">
        <v>1186</v>
      </c>
      <c r="E279" s="609" t="s">
        <v>432</v>
      </c>
      <c r="F279" s="802">
        <v>34389887</v>
      </c>
      <c r="G279" s="804">
        <v>0</v>
      </c>
      <c r="H279" s="804">
        <v>72174</v>
      </c>
      <c r="I279" s="804">
        <v>197348</v>
      </c>
      <c r="J279" s="804">
        <v>0</v>
      </c>
      <c r="K279" s="804">
        <v>197348</v>
      </c>
      <c r="L279" s="804">
        <v>0</v>
      </c>
      <c r="M279" s="804">
        <v>0</v>
      </c>
      <c r="N279" s="804">
        <v>5632</v>
      </c>
      <c r="O279" s="804">
        <v>5632</v>
      </c>
      <c r="P279" s="804">
        <v>0</v>
      </c>
      <c r="Q279" s="804">
        <v>0</v>
      </c>
      <c r="R279" s="804">
        <v>34114733</v>
      </c>
      <c r="S279" s="804">
        <v>0.5</v>
      </c>
      <c r="T279" s="804">
        <v>0.4</v>
      </c>
      <c r="U279" s="804">
        <v>0.09</v>
      </c>
      <c r="V279" s="804">
        <v>0.01</v>
      </c>
      <c r="W279" s="804">
        <v>1</v>
      </c>
      <c r="X279" s="804">
        <v>17057367</v>
      </c>
      <c r="Y279" s="804">
        <v>13645893</v>
      </c>
      <c r="Z279" s="804">
        <v>3070326</v>
      </c>
      <c r="AA279" s="804">
        <v>341147</v>
      </c>
      <c r="AB279" s="804">
        <v>34114733</v>
      </c>
      <c r="AC279" s="804">
        <v>0</v>
      </c>
      <c r="AD279" s="804">
        <v>0</v>
      </c>
      <c r="AE279" s="804">
        <v>0</v>
      </c>
      <c r="AF279" s="804">
        <v>0</v>
      </c>
      <c r="AG279" s="804">
        <v>0</v>
      </c>
      <c r="AH279" s="804">
        <v>17057367</v>
      </c>
      <c r="AI279" s="804">
        <v>13645893</v>
      </c>
      <c r="AJ279" s="804">
        <v>3070326</v>
      </c>
      <c r="AK279" s="804">
        <v>341147</v>
      </c>
      <c r="AL279" s="804">
        <v>34114733</v>
      </c>
      <c r="AM279" s="804">
        <v>197348</v>
      </c>
      <c r="AN279" s="804">
        <v>197348</v>
      </c>
      <c r="AO279" s="804">
        <v>0</v>
      </c>
      <c r="AP279" s="804">
        <v>0</v>
      </c>
      <c r="AQ279" s="804">
        <v>5632</v>
      </c>
      <c r="AR279" s="804">
        <v>0</v>
      </c>
      <c r="AS279" s="804">
        <v>5632</v>
      </c>
      <c r="AT279" s="804">
        <v>0</v>
      </c>
      <c r="AU279" s="804">
        <v>0</v>
      </c>
      <c r="AV279" s="804">
        <v>0</v>
      </c>
      <c r="AW279" s="804">
        <v>0</v>
      </c>
      <c r="AX279" s="804">
        <v>0</v>
      </c>
      <c r="AY279" s="804">
        <v>0</v>
      </c>
      <c r="AZ279" s="804">
        <v>0</v>
      </c>
      <c r="BA279" s="804">
        <v>0</v>
      </c>
      <c r="BB279" s="804">
        <v>0</v>
      </c>
      <c r="BC279" s="804">
        <v>0</v>
      </c>
      <c r="BD279" s="804">
        <v>0</v>
      </c>
      <c r="BE279" s="804">
        <v>0</v>
      </c>
      <c r="BF279" s="804">
        <v>0</v>
      </c>
      <c r="BG279" s="804">
        <v>0</v>
      </c>
      <c r="BH279" s="804">
        <v>0</v>
      </c>
      <c r="BI279" s="804">
        <v>0</v>
      </c>
      <c r="BJ279" s="804">
        <v>0.5</v>
      </c>
      <c r="BK279" s="804">
        <v>0.4</v>
      </c>
      <c r="BL279" s="804">
        <v>0.09</v>
      </c>
      <c r="BM279" s="804">
        <v>0.01</v>
      </c>
      <c r="BN279" s="804">
        <v>1</v>
      </c>
      <c r="BO279" s="804">
        <v>564338</v>
      </c>
      <c r="BP279" s="804">
        <v>451471</v>
      </c>
      <c r="BQ279" s="804">
        <v>101581</v>
      </c>
      <c r="BR279" s="804">
        <v>11287</v>
      </c>
      <c r="BS279" s="804">
        <v>1128677</v>
      </c>
      <c r="BT279" s="804">
        <v>0</v>
      </c>
      <c r="BU279" s="804">
        <v>0.4</v>
      </c>
      <c r="BV279" s="804">
        <v>0.59</v>
      </c>
      <c r="BW279" s="804">
        <v>0.01</v>
      </c>
      <c r="BX279" s="804">
        <v>1</v>
      </c>
      <c r="BY279" s="804">
        <v>0</v>
      </c>
      <c r="BZ279" s="804">
        <v>401672</v>
      </c>
      <c r="CA279" s="804">
        <v>592466</v>
      </c>
      <c r="CB279" s="804">
        <v>10042</v>
      </c>
      <c r="CC279" s="804">
        <v>1004180</v>
      </c>
      <c r="CD279" s="804">
        <v>564338</v>
      </c>
      <c r="CE279" s="804">
        <v>853143</v>
      </c>
      <c r="CF279" s="804">
        <v>694047</v>
      </c>
      <c r="CG279" s="804">
        <v>21329</v>
      </c>
      <c r="CH279" s="804">
        <v>2132857</v>
      </c>
      <c r="CI279" s="804">
        <v>17621705</v>
      </c>
      <c r="CJ279" s="804">
        <v>14702016</v>
      </c>
      <c r="CK279" s="804">
        <v>3764373</v>
      </c>
      <c r="CL279" s="804">
        <v>362476</v>
      </c>
      <c r="CM279" s="804">
        <v>36450570</v>
      </c>
      <c r="CN279" s="804">
        <v>547155</v>
      </c>
      <c r="CO279" s="804">
        <v>123059</v>
      </c>
      <c r="CP279" s="804">
        <v>13673</v>
      </c>
      <c r="CQ279" s="804">
        <v>683887</v>
      </c>
      <c r="CR279" s="804">
        <v>1862016</v>
      </c>
      <c r="CS279" s="804">
        <v>418953</v>
      </c>
      <c r="CT279" s="804">
        <v>46550</v>
      </c>
      <c r="CU279" s="804">
        <v>2327519</v>
      </c>
      <c r="CV279" s="804">
        <v>62575</v>
      </c>
      <c r="CW279" s="804">
        <v>14079</v>
      </c>
      <c r="CX279" s="804">
        <v>1564</v>
      </c>
      <c r="CY279" s="804">
        <v>78218</v>
      </c>
      <c r="CZ279" s="804">
        <v>965</v>
      </c>
      <c r="DA279" s="804">
        <v>217</v>
      </c>
      <c r="DB279" s="804">
        <v>24</v>
      </c>
      <c r="DC279" s="804">
        <v>1206</v>
      </c>
      <c r="DD279" s="804">
        <v>2103</v>
      </c>
      <c r="DE279" s="804">
        <v>473</v>
      </c>
      <c r="DF279" s="804">
        <v>53</v>
      </c>
      <c r="DG279" s="804">
        <v>2629</v>
      </c>
      <c r="DH279" s="804">
        <v>18761</v>
      </c>
      <c r="DI279" s="804">
        <v>4221</v>
      </c>
      <c r="DJ279" s="804">
        <v>469</v>
      </c>
      <c r="DK279" s="804">
        <v>23451</v>
      </c>
      <c r="DL279" s="804">
        <v>3920</v>
      </c>
      <c r="DM279" s="804">
        <v>882</v>
      </c>
      <c r="DN279" s="804">
        <v>98</v>
      </c>
      <c r="DO279" s="804">
        <v>4900</v>
      </c>
      <c r="DP279" s="804">
        <v>0</v>
      </c>
      <c r="DQ279" s="804">
        <v>0</v>
      </c>
      <c r="DR279" s="804">
        <v>0</v>
      </c>
      <c r="DS279" s="804">
        <v>0</v>
      </c>
      <c r="DT279" s="804">
        <v>0</v>
      </c>
      <c r="DU279" s="804">
        <v>0</v>
      </c>
      <c r="DV279" s="804">
        <v>0</v>
      </c>
      <c r="DW279" s="804">
        <v>0</v>
      </c>
      <c r="DX279" s="804">
        <v>346912</v>
      </c>
      <c r="DY279" s="804">
        <v>78055</v>
      </c>
      <c r="DZ279" s="804">
        <v>8673</v>
      </c>
      <c r="EA279" s="804">
        <v>433640</v>
      </c>
      <c r="EB279" s="804">
        <v>2844407</v>
      </c>
      <c r="EC279" s="804">
        <v>639939</v>
      </c>
      <c r="ED279" s="804">
        <v>71104</v>
      </c>
      <c r="EE279" s="804">
        <v>3555450</v>
      </c>
      <c r="EF279" s="604" t="s">
        <v>432</v>
      </c>
      <c r="EG279" s="497" t="s">
        <v>586</v>
      </c>
      <c r="EH279" s="630" t="s">
        <v>585</v>
      </c>
      <c r="EI279" s="118" t="s">
        <v>1930</v>
      </c>
    </row>
    <row r="280" spans="1:139" ht="12.75" x14ac:dyDescent="0.2">
      <c r="A280" s="805">
        <v>273</v>
      </c>
      <c r="B280" s="606" t="s">
        <v>435</v>
      </c>
      <c r="C280" s="607" t="s">
        <v>1185</v>
      </c>
      <c r="D280" s="608" t="s">
        <v>1189</v>
      </c>
      <c r="E280" s="609" t="s">
        <v>434</v>
      </c>
      <c r="F280" s="802">
        <v>28939358</v>
      </c>
      <c r="G280" s="804">
        <v>274135</v>
      </c>
      <c r="H280" s="804">
        <v>0</v>
      </c>
      <c r="I280" s="804">
        <v>91808</v>
      </c>
      <c r="J280" s="804">
        <v>0</v>
      </c>
      <c r="K280" s="804">
        <v>91808</v>
      </c>
      <c r="L280" s="804">
        <v>0</v>
      </c>
      <c r="M280" s="804">
        <v>0</v>
      </c>
      <c r="N280" s="804">
        <v>0</v>
      </c>
      <c r="O280" s="804">
        <v>0</v>
      </c>
      <c r="P280" s="804">
        <v>0</v>
      </c>
      <c r="Q280" s="804">
        <v>0</v>
      </c>
      <c r="R280" s="804">
        <v>29121685</v>
      </c>
      <c r="S280" s="804">
        <v>0.5</v>
      </c>
      <c r="T280" s="804">
        <v>0.4</v>
      </c>
      <c r="U280" s="804">
        <v>0.1</v>
      </c>
      <c r="V280" s="804">
        <v>0</v>
      </c>
      <c r="W280" s="804">
        <v>1</v>
      </c>
      <c r="X280" s="804">
        <v>14560842</v>
      </c>
      <c r="Y280" s="804">
        <v>11648674</v>
      </c>
      <c r="Z280" s="804">
        <v>2912169</v>
      </c>
      <c r="AA280" s="804">
        <v>0</v>
      </c>
      <c r="AB280" s="804">
        <v>29121685</v>
      </c>
      <c r="AC280" s="804">
        <v>0</v>
      </c>
      <c r="AD280" s="804">
        <v>0</v>
      </c>
      <c r="AE280" s="804">
        <v>0</v>
      </c>
      <c r="AF280" s="804">
        <v>0</v>
      </c>
      <c r="AG280" s="804">
        <v>0</v>
      </c>
      <c r="AH280" s="804">
        <v>14560842</v>
      </c>
      <c r="AI280" s="804">
        <v>11648674</v>
      </c>
      <c r="AJ280" s="804">
        <v>2912169</v>
      </c>
      <c r="AK280" s="804">
        <v>0</v>
      </c>
      <c r="AL280" s="804">
        <v>29121685</v>
      </c>
      <c r="AM280" s="804">
        <v>91808</v>
      </c>
      <c r="AN280" s="804">
        <v>91808</v>
      </c>
      <c r="AO280" s="804">
        <v>0</v>
      </c>
      <c r="AP280" s="804">
        <v>0</v>
      </c>
      <c r="AQ280" s="804">
        <v>0</v>
      </c>
      <c r="AR280" s="804">
        <v>0</v>
      </c>
      <c r="AS280" s="804">
        <v>0</v>
      </c>
      <c r="AT280" s="804">
        <v>0</v>
      </c>
      <c r="AU280" s="804">
        <v>0</v>
      </c>
      <c r="AV280" s="804">
        <v>0</v>
      </c>
      <c r="AW280" s="804">
        <v>0</v>
      </c>
      <c r="AX280" s="804">
        <v>0</v>
      </c>
      <c r="AY280" s="804">
        <v>0</v>
      </c>
      <c r="AZ280" s="804">
        <v>0</v>
      </c>
      <c r="BA280" s="804">
        <v>0</v>
      </c>
      <c r="BB280" s="804">
        <v>0</v>
      </c>
      <c r="BC280" s="804">
        <v>0</v>
      </c>
      <c r="BD280" s="804">
        <v>0</v>
      </c>
      <c r="BE280" s="804">
        <v>0</v>
      </c>
      <c r="BF280" s="804">
        <v>0</v>
      </c>
      <c r="BG280" s="804">
        <v>0</v>
      </c>
      <c r="BH280" s="804">
        <v>0</v>
      </c>
      <c r="BI280" s="804">
        <v>0</v>
      </c>
      <c r="BJ280" s="804">
        <v>0.25</v>
      </c>
      <c r="BK280" s="804">
        <v>0.35</v>
      </c>
      <c r="BL280" s="804">
        <v>0.4</v>
      </c>
      <c r="BM280" s="804">
        <v>0</v>
      </c>
      <c r="BN280" s="804">
        <v>1</v>
      </c>
      <c r="BO280" s="804">
        <v>521908</v>
      </c>
      <c r="BP280" s="804">
        <v>730671</v>
      </c>
      <c r="BQ280" s="804">
        <v>835053</v>
      </c>
      <c r="BR280" s="804">
        <v>0</v>
      </c>
      <c r="BS280" s="804">
        <v>2087632</v>
      </c>
      <c r="BT280" s="804">
        <v>0.5</v>
      </c>
      <c r="BU280" s="804">
        <v>0.4</v>
      </c>
      <c r="BV280" s="804">
        <v>0.1</v>
      </c>
      <c r="BW280" s="804">
        <v>0</v>
      </c>
      <c r="BX280" s="804">
        <v>1</v>
      </c>
      <c r="BY280" s="804">
        <v>658257</v>
      </c>
      <c r="BZ280" s="804">
        <v>526605</v>
      </c>
      <c r="CA280" s="804">
        <v>131651</v>
      </c>
      <c r="CB280" s="804">
        <v>0</v>
      </c>
      <c r="CC280" s="804">
        <v>1316513</v>
      </c>
      <c r="CD280" s="804">
        <v>1180165</v>
      </c>
      <c r="CE280" s="804">
        <v>1257276</v>
      </c>
      <c r="CF280" s="804">
        <v>966704</v>
      </c>
      <c r="CG280" s="804">
        <v>0</v>
      </c>
      <c r="CH280" s="804">
        <v>3404145</v>
      </c>
      <c r="CI280" s="804">
        <v>15741007</v>
      </c>
      <c r="CJ280" s="804">
        <v>12997758</v>
      </c>
      <c r="CK280" s="804">
        <v>3878873</v>
      </c>
      <c r="CL280" s="804">
        <v>0</v>
      </c>
      <c r="CM280" s="804">
        <v>32617638</v>
      </c>
      <c r="CN280" s="804">
        <v>466881</v>
      </c>
      <c r="CO280" s="804">
        <v>116720</v>
      </c>
      <c r="CP280" s="804">
        <v>0</v>
      </c>
      <c r="CQ280" s="804">
        <v>583601</v>
      </c>
      <c r="CR280" s="804">
        <v>626076</v>
      </c>
      <c r="CS280" s="804">
        <v>156519</v>
      </c>
      <c r="CT280" s="804">
        <v>0</v>
      </c>
      <c r="CU280" s="804">
        <v>782595</v>
      </c>
      <c r="CV280" s="804">
        <v>65349</v>
      </c>
      <c r="CW280" s="804">
        <v>16337</v>
      </c>
      <c r="CX280" s="804">
        <v>0</v>
      </c>
      <c r="CY280" s="804">
        <v>81686</v>
      </c>
      <c r="CZ280" s="804">
        <v>0</v>
      </c>
      <c r="DA280" s="804">
        <v>0</v>
      </c>
      <c r="DB280" s="804">
        <v>0</v>
      </c>
      <c r="DC280" s="804">
        <v>0</v>
      </c>
      <c r="DD280" s="804">
        <v>979</v>
      </c>
      <c r="DE280" s="804">
        <v>245</v>
      </c>
      <c r="DF280" s="804">
        <v>0</v>
      </c>
      <c r="DG280" s="804">
        <v>1224</v>
      </c>
      <c r="DH280" s="804">
        <v>6166</v>
      </c>
      <c r="DI280" s="804">
        <v>1542</v>
      </c>
      <c r="DJ280" s="804">
        <v>0</v>
      </c>
      <c r="DK280" s="804">
        <v>7708</v>
      </c>
      <c r="DL280" s="804">
        <v>1698</v>
      </c>
      <c r="DM280" s="804">
        <v>425</v>
      </c>
      <c r="DN280" s="804">
        <v>0</v>
      </c>
      <c r="DO280" s="804">
        <v>2123</v>
      </c>
      <c r="DP280" s="804">
        <v>0</v>
      </c>
      <c r="DQ280" s="804">
        <v>0</v>
      </c>
      <c r="DR280" s="804">
        <v>0</v>
      </c>
      <c r="DS280" s="804">
        <v>0</v>
      </c>
      <c r="DT280" s="804">
        <v>0</v>
      </c>
      <c r="DU280" s="804">
        <v>0</v>
      </c>
      <c r="DV280" s="804">
        <v>0</v>
      </c>
      <c r="DW280" s="804">
        <v>0</v>
      </c>
      <c r="DX280" s="804">
        <v>256803</v>
      </c>
      <c r="DY280" s="804">
        <v>64201</v>
      </c>
      <c r="DZ280" s="804">
        <v>0</v>
      </c>
      <c r="EA280" s="804">
        <v>321004</v>
      </c>
      <c r="EB280" s="804">
        <v>1423952</v>
      </c>
      <c r="EC280" s="804">
        <v>355989</v>
      </c>
      <c r="ED280" s="804">
        <v>0</v>
      </c>
      <c r="EE280" s="804">
        <v>1779941</v>
      </c>
      <c r="EF280" s="604" t="s">
        <v>434</v>
      </c>
      <c r="EG280" s="497" t="s">
        <v>579</v>
      </c>
      <c r="EH280" s="630" t="s">
        <v>551</v>
      </c>
      <c r="EI280" s="118" t="s">
        <v>1931</v>
      </c>
    </row>
    <row r="281" spans="1:139" ht="12.75" x14ac:dyDescent="0.2">
      <c r="A281" s="805">
        <v>274</v>
      </c>
      <c r="B281" s="606" t="s">
        <v>437</v>
      </c>
      <c r="C281" s="607" t="s">
        <v>524</v>
      </c>
      <c r="D281" s="608" t="s">
        <v>1189</v>
      </c>
      <c r="E281" s="609" t="s">
        <v>569</v>
      </c>
      <c r="F281" s="802">
        <v>121655616.67200001</v>
      </c>
      <c r="G281" s="804">
        <v>0</v>
      </c>
      <c r="H281" s="804">
        <v>1367129</v>
      </c>
      <c r="I281" s="804">
        <v>229087</v>
      </c>
      <c r="J281" s="804">
        <v>0</v>
      </c>
      <c r="K281" s="804">
        <v>229087</v>
      </c>
      <c r="L281" s="804">
        <v>0</v>
      </c>
      <c r="M281" s="804">
        <v>0</v>
      </c>
      <c r="N281" s="804">
        <v>0</v>
      </c>
      <c r="O281" s="804">
        <v>0</v>
      </c>
      <c r="P281" s="804">
        <v>0</v>
      </c>
      <c r="Q281" s="804">
        <v>0</v>
      </c>
      <c r="R281" s="804">
        <v>120059401</v>
      </c>
      <c r="S281" s="804">
        <v>0.5</v>
      </c>
      <c r="T281" s="804">
        <v>0.49</v>
      </c>
      <c r="U281" s="804">
        <v>0</v>
      </c>
      <c r="V281" s="804">
        <v>0.01</v>
      </c>
      <c r="W281" s="804">
        <v>1</v>
      </c>
      <c r="X281" s="804">
        <v>60029701</v>
      </c>
      <c r="Y281" s="804">
        <v>58829106</v>
      </c>
      <c r="Z281" s="804">
        <v>0</v>
      </c>
      <c r="AA281" s="804">
        <v>1200594</v>
      </c>
      <c r="AB281" s="804">
        <v>120059401</v>
      </c>
      <c r="AC281" s="804">
        <v>0</v>
      </c>
      <c r="AD281" s="804">
        <v>0</v>
      </c>
      <c r="AE281" s="804">
        <v>0</v>
      </c>
      <c r="AF281" s="804">
        <v>0</v>
      </c>
      <c r="AG281" s="804">
        <v>0</v>
      </c>
      <c r="AH281" s="804">
        <v>60029701</v>
      </c>
      <c r="AI281" s="804">
        <v>58829106</v>
      </c>
      <c r="AJ281" s="804">
        <v>0</v>
      </c>
      <c r="AK281" s="804">
        <v>1200594</v>
      </c>
      <c r="AL281" s="804">
        <v>120059401</v>
      </c>
      <c r="AM281" s="804">
        <v>229087</v>
      </c>
      <c r="AN281" s="804">
        <v>229087</v>
      </c>
      <c r="AO281" s="804">
        <v>0</v>
      </c>
      <c r="AP281" s="804">
        <v>0</v>
      </c>
      <c r="AQ281" s="804">
        <v>0</v>
      </c>
      <c r="AR281" s="804">
        <v>0</v>
      </c>
      <c r="AS281" s="804">
        <v>0</v>
      </c>
      <c r="AT281" s="804">
        <v>0</v>
      </c>
      <c r="AU281" s="804">
        <v>0</v>
      </c>
      <c r="AV281" s="804">
        <v>0</v>
      </c>
      <c r="AW281" s="804">
        <v>0</v>
      </c>
      <c r="AX281" s="804">
        <v>0</v>
      </c>
      <c r="AY281" s="804">
        <v>0</v>
      </c>
      <c r="AZ281" s="804">
        <v>0</v>
      </c>
      <c r="BA281" s="804">
        <v>0</v>
      </c>
      <c r="BB281" s="804">
        <v>0</v>
      </c>
      <c r="BC281" s="804">
        <v>0</v>
      </c>
      <c r="BD281" s="804">
        <v>0</v>
      </c>
      <c r="BE281" s="804">
        <v>0</v>
      </c>
      <c r="BF281" s="804">
        <v>0</v>
      </c>
      <c r="BG281" s="804">
        <v>0</v>
      </c>
      <c r="BH281" s="804">
        <v>0</v>
      </c>
      <c r="BI281" s="804">
        <v>0</v>
      </c>
      <c r="BJ281" s="804">
        <v>0.5</v>
      </c>
      <c r="BK281" s="804">
        <v>0.49</v>
      </c>
      <c r="BL281" s="804">
        <v>0</v>
      </c>
      <c r="BM281" s="804">
        <v>0.01</v>
      </c>
      <c r="BN281" s="804">
        <v>1</v>
      </c>
      <c r="BO281" s="804">
        <v>-1063480</v>
      </c>
      <c r="BP281" s="804">
        <v>-1042211</v>
      </c>
      <c r="BQ281" s="804">
        <v>0</v>
      </c>
      <c r="BR281" s="804">
        <v>-21270</v>
      </c>
      <c r="BS281" s="804">
        <v>-2126961</v>
      </c>
      <c r="BT281" s="804">
        <v>0.5</v>
      </c>
      <c r="BU281" s="804">
        <v>0.49</v>
      </c>
      <c r="BV281" s="804">
        <v>0</v>
      </c>
      <c r="BW281" s="804">
        <v>0.01</v>
      </c>
      <c r="BX281" s="804">
        <v>1</v>
      </c>
      <c r="BY281" s="804">
        <v>1797096</v>
      </c>
      <c r="BZ281" s="804">
        <v>1761154</v>
      </c>
      <c r="CA281" s="804">
        <v>0</v>
      </c>
      <c r="CB281" s="804">
        <v>35942</v>
      </c>
      <c r="CC281" s="804">
        <v>3594192</v>
      </c>
      <c r="CD281" s="804">
        <v>733616</v>
      </c>
      <c r="CE281" s="804">
        <v>718943</v>
      </c>
      <c r="CF281" s="804">
        <v>0</v>
      </c>
      <c r="CG281" s="804">
        <v>14672</v>
      </c>
      <c r="CH281" s="804">
        <v>1467231</v>
      </c>
      <c r="CI281" s="804">
        <v>60763317</v>
      </c>
      <c r="CJ281" s="804">
        <v>59777136</v>
      </c>
      <c r="CK281" s="804">
        <v>0</v>
      </c>
      <c r="CL281" s="804">
        <v>1215266</v>
      </c>
      <c r="CM281" s="804">
        <v>121755719</v>
      </c>
      <c r="CN281" s="804">
        <v>2357880</v>
      </c>
      <c r="CO281" s="804">
        <v>0</v>
      </c>
      <c r="CP281" s="804">
        <v>48120</v>
      </c>
      <c r="CQ281" s="804">
        <v>2406000</v>
      </c>
      <c r="CR281" s="804">
        <v>1528365</v>
      </c>
      <c r="CS281" s="804">
        <v>0</v>
      </c>
      <c r="CT281" s="804">
        <v>31191</v>
      </c>
      <c r="CU281" s="804">
        <v>1559556</v>
      </c>
      <c r="CV281" s="804">
        <v>123732</v>
      </c>
      <c r="CW281" s="804">
        <v>0</v>
      </c>
      <c r="CX281" s="804">
        <v>2525</v>
      </c>
      <c r="CY281" s="804">
        <v>126257</v>
      </c>
      <c r="CZ281" s="804">
        <v>8460</v>
      </c>
      <c r="DA281" s="804">
        <v>0</v>
      </c>
      <c r="DB281" s="804">
        <v>173</v>
      </c>
      <c r="DC281" s="804">
        <v>8633</v>
      </c>
      <c r="DD281" s="804">
        <v>0</v>
      </c>
      <c r="DE281" s="804">
        <v>0</v>
      </c>
      <c r="DF281" s="804">
        <v>0</v>
      </c>
      <c r="DG281" s="804">
        <v>0</v>
      </c>
      <c r="DH281" s="804">
        <v>6115</v>
      </c>
      <c r="DI281" s="804">
        <v>0</v>
      </c>
      <c r="DJ281" s="804">
        <v>125</v>
      </c>
      <c r="DK281" s="804">
        <v>6240</v>
      </c>
      <c r="DL281" s="804">
        <v>5351</v>
      </c>
      <c r="DM281" s="804">
        <v>0</v>
      </c>
      <c r="DN281" s="804">
        <v>109</v>
      </c>
      <c r="DO281" s="804">
        <v>5460</v>
      </c>
      <c r="DP281" s="804">
        <v>0</v>
      </c>
      <c r="DQ281" s="804">
        <v>0</v>
      </c>
      <c r="DR281" s="804">
        <v>0</v>
      </c>
      <c r="DS281" s="804">
        <v>0</v>
      </c>
      <c r="DT281" s="804">
        <v>0</v>
      </c>
      <c r="DU281" s="804">
        <v>0</v>
      </c>
      <c r="DV281" s="804">
        <v>0</v>
      </c>
      <c r="DW281" s="804">
        <v>0</v>
      </c>
      <c r="DX281" s="804">
        <v>496582</v>
      </c>
      <c r="DY281" s="804">
        <v>0</v>
      </c>
      <c r="DZ281" s="804">
        <v>10134</v>
      </c>
      <c r="EA281" s="804">
        <v>506716</v>
      </c>
      <c r="EB281" s="804">
        <v>4526485</v>
      </c>
      <c r="EC281" s="804">
        <v>0</v>
      </c>
      <c r="ED281" s="804">
        <v>92377</v>
      </c>
      <c r="EE281" s="804">
        <v>4618862</v>
      </c>
      <c r="EF281" s="604" t="s">
        <v>569</v>
      </c>
      <c r="EG281" s="497" t="s">
        <v>524</v>
      </c>
      <c r="EH281" s="630" t="s">
        <v>568</v>
      </c>
      <c r="EI281" s="118" t="s">
        <v>1932</v>
      </c>
    </row>
    <row r="282" spans="1:139" ht="12.75" x14ac:dyDescent="0.2">
      <c r="A282" s="805">
        <v>275</v>
      </c>
      <c r="B282" s="606" t="s">
        <v>439</v>
      </c>
      <c r="C282" s="607" t="s">
        <v>1185</v>
      </c>
      <c r="D282" s="608" t="s">
        <v>1186</v>
      </c>
      <c r="E282" s="609" t="s">
        <v>438</v>
      </c>
      <c r="F282" s="802">
        <v>57222538</v>
      </c>
      <c r="G282" s="804">
        <v>231029</v>
      </c>
      <c r="H282" s="804">
        <v>0</v>
      </c>
      <c r="I282" s="804">
        <v>157389</v>
      </c>
      <c r="J282" s="804">
        <v>0</v>
      </c>
      <c r="K282" s="804">
        <v>157389</v>
      </c>
      <c r="L282" s="804">
        <v>0</v>
      </c>
      <c r="M282" s="804">
        <v>0</v>
      </c>
      <c r="N282" s="804">
        <v>0</v>
      </c>
      <c r="O282" s="804">
        <v>0</v>
      </c>
      <c r="P282" s="804">
        <v>0</v>
      </c>
      <c r="Q282" s="804">
        <v>0</v>
      </c>
      <c r="R282" s="804">
        <v>57296178</v>
      </c>
      <c r="S282" s="804">
        <v>0.5</v>
      </c>
      <c r="T282" s="804">
        <v>0.4</v>
      </c>
      <c r="U282" s="804">
        <v>0.09</v>
      </c>
      <c r="V282" s="804">
        <v>0.01</v>
      </c>
      <c r="W282" s="804">
        <v>1</v>
      </c>
      <c r="X282" s="804">
        <v>28648089</v>
      </c>
      <c r="Y282" s="804">
        <v>22918471</v>
      </c>
      <c r="Z282" s="804">
        <v>5156656</v>
      </c>
      <c r="AA282" s="804">
        <v>572962</v>
      </c>
      <c r="AB282" s="804">
        <v>57296178</v>
      </c>
      <c r="AC282" s="804">
        <v>0</v>
      </c>
      <c r="AD282" s="804">
        <v>0</v>
      </c>
      <c r="AE282" s="804">
        <v>0</v>
      </c>
      <c r="AF282" s="804">
        <v>0</v>
      </c>
      <c r="AG282" s="804">
        <v>0</v>
      </c>
      <c r="AH282" s="804">
        <v>28648089</v>
      </c>
      <c r="AI282" s="804">
        <v>22918471</v>
      </c>
      <c r="AJ282" s="804">
        <v>5156656</v>
      </c>
      <c r="AK282" s="804">
        <v>572962</v>
      </c>
      <c r="AL282" s="804">
        <v>57296178</v>
      </c>
      <c r="AM282" s="804">
        <v>157389</v>
      </c>
      <c r="AN282" s="804">
        <v>157389</v>
      </c>
      <c r="AO282" s="804">
        <v>0</v>
      </c>
      <c r="AP282" s="804">
        <v>0</v>
      </c>
      <c r="AQ282" s="804">
        <v>0</v>
      </c>
      <c r="AR282" s="804">
        <v>0</v>
      </c>
      <c r="AS282" s="804">
        <v>0</v>
      </c>
      <c r="AT282" s="804">
        <v>0</v>
      </c>
      <c r="AU282" s="804">
        <v>0</v>
      </c>
      <c r="AV282" s="804">
        <v>0</v>
      </c>
      <c r="AW282" s="804">
        <v>0</v>
      </c>
      <c r="AX282" s="804">
        <v>0</v>
      </c>
      <c r="AY282" s="804">
        <v>0</v>
      </c>
      <c r="AZ282" s="804">
        <v>0</v>
      </c>
      <c r="BA282" s="804">
        <v>0</v>
      </c>
      <c r="BB282" s="804">
        <v>0</v>
      </c>
      <c r="BC282" s="804">
        <v>0</v>
      </c>
      <c r="BD282" s="804">
        <v>0</v>
      </c>
      <c r="BE282" s="804">
        <v>0</v>
      </c>
      <c r="BF282" s="804">
        <v>0</v>
      </c>
      <c r="BG282" s="804">
        <v>0</v>
      </c>
      <c r="BH282" s="804">
        <v>0</v>
      </c>
      <c r="BI282" s="804">
        <v>0</v>
      </c>
      <c r="BJ282" s="804">
        <v>0.5</v>
      </c>
      <c r="BK282" s="804">
        <v>0.4</v>
      </c>
      <c r="BL282" s="804">
        <v>0.09</v>
      </c>
      <c r="BM282" s="804">
        <v>0.01</v>
      </c>
      <c r="BN282" s="804">
        <v>1</v>
      </c>
      <c r="BO282" s="804">
        <v>749613</v>
      </c>
      <c r="BP282" s="804">
        <v>599690</v>
      </c>
      <c r="BQ282" s="804">
        <v>134930</v>
      </c>
      <c r="BR282" s="804">
        <v>14992</v>
      </c>
      <c r="BS282" s="804">
        <v>1499225</v>
      </c>
      <c r="BT282" s="804">
        <v>0</v>
      </c>
      <c r="BU282" s="804">
        <v>0.4</v>
      </c>
      <c r="BV282" s="804">
        <v>0.59</v>
      </c>
      <c r="BW282" s="804">
        <v>0.01</v>
      </c>
      <c r="BX282" s="804">
        <v>1</v>
      </c>
      <c r="BY282" s="804">
        <v>0</v>
      </c>
      <c r="BZ282" s="804">
        <v>223404</v>
      </c>
      <c r="CA282" s="804">
        <v>329521</v>
      </c>
      <c r="CB282" s="804">
        <v>5585</v>
      </c>
      <c r="CC282" s="804">
        <v>558510</v>
      </c>
      <c r="CD282" s="804">
        <v>749613</v>
      </c>
      <c r="CE282" s="804">
        <v>823094</v>
      </c>
      <c r="CF282" s="804">
        <v>464451</v>
      </c>
      <c r="CG282" s="804">
        <v>20577</v>
      </c>
      <c r="CH282" s="804">
        <v>2057735</v>
      </c>
      <c r="CI282" s="804">
        <v>29397702</v>
      </c>
      <c r="CJ282" s="804">
        <v>23898954</v>
      </c>
      <c r="CK282" s="804">
        <v>5621107</v>
      </c>
      <c r="CL282" s="804">
        <v>593539</v>
      </c>
      <c r="CM282" s="804">
        <v>59511302</v>
      </c>
      <c r="CN282" s="804">
        <v>918576</v>
      </c>
      <c r="CO282" s="804">
        <v>206680</v>
      </c>
      <c r="CP282" s="804">
        <v>22964</v>
      </c>
      <c r="CQ282" s="804">
        <v>1148220</v>
      </c>
      <c r="CR282" s="804">
        <v>968304</v>
      </c>
      <c r="CS282" s="804">
        <v>217868</v>
      </c>
      <c r="CT282" s="804">
        <v>24208</v>
      </c>
      <c r="CU282" s="804">
        <v>1210380</v>
      </c>
      <c r="CV282" s="804">
        <v>100795</v>
      </c>
      <c r="CW282" s="804">
        <v>22679</v>
      </c>
      <c r="CX282" s="804">
        <v>2520</v>
      </c>
      <c r="CY282" s="804">
        <v>125994</v>
      </c>
      <c r="CZ282" s="804">
        <v>0</v>
      </c>
      <c r="DA282" s="804">
        <v>0</v>
      </c>
      <c r="DB282" s="804">
        <v>0</v>
      </c>
      <c r="DC282" s="804">
        <v>0</v>
      </c>
      <c r="DD282" s="804">
        <v>0</v>
      </c>
      <c r="DE282" s="804">
        <v>0</v>
      </c>
      <c r="DF282" s="804">
        <v>0</v>
      </c>
      <c r="DG282" s="804">
        <v>0</v>
      </c>
      <c r="DH282" s="804">
        <v>11718</v>
      </c>
      <c r="DI282" s="804">
        <v>2637</v>
      </c>
      <c r="DJ282" s="804">
        <v>293</v>
      </c>
      <c r="DK282" s="804">
        <v>14648</v>
      </c>
      <c r="DL282" s="804">
        <v>4013</v>
      </c>
      <c r="DM282" s="804">
        <v>903</v>
      </c>
      <c r="DN282" s="804">
        <v>100</v>
      </c>
      <c r="DO282" s="804">
        <v>5016</v>
      </c>
      <c r="DP282" s="804">
        <v>0</v>
      </c>
      <c r="DQ282" s="804">
        <v>0</v>
      </c>
      <c r="DR282" s="804">
        <v>0</v>
      </c>
      <c r="DS282" s="804">
        <v>0</v>
      </c>
      <c r="DT282" s="804">
        <v>0</v>
      </c>
      <c r="DU282" s="804">
        <v>0</v>
      </c>
      <c r="DV282" s="804">
        <v>0</v>
      </c>
      <c r="DW282" s="804">
        <v>0</v>
      </c>
      <c r="DX282" s="804">
        <v>293094</v>
      </c>
      <c r="DY282" s="804">
        <v>65946</v>
      </c>
      <c r="DZ282" s="804">
        <v>7327</v>
      </c>
      <c r="EA282" s="804">
        <v>366367</v>
      </c>
      <c r="EB282" s="804">
        <v>2296500</v>
      </c>
      <c r="EC282" s="804">
        <v>516713</v>
      </c>
      <c r="ED282" s="804">
        <v>57412</v>
      </c>
      <c r="EE282" s="804">
        <v>2870625</v>
      </c>
      <c r="EF282" s="604" t="s">
        <v>438</v>
      </c>
      <c r="EG282" s="497" t="s">
        <v>586</v>
      </c>
      <c r="EH282" s="630" t="s">
        <v>585</v>
      </c>
      <c r="EI282" s="118" t="s">
        <v>1933</v>
      </c>
    </row>
    <row r="283" spans="1:139" ht="12.75" x14ac:dyDescent="0.2">
      <c r="A283" s="805">
        <v>276</v>
      </c>
      <c r="B283" s="606" t="s">
        <v>441</v>
      </c>
      <c r="C283" s="607" t="s">
        <v>524</v>
      </c>
      <c r="D283" s="608" t="s">
        <v>1194</v>
      </c>
      <c r="E283" s="609" t="s">
        <v>559</v>
      </c>
      <c r="F283" s="802">
        <v>31651934</v>
      </c>
      <c r="G283" s="804">
        <v>0</v>
      </c>
      <c r="H283" s="804">
        <v>768876</v>
      </c>
      <c r="I283" s="804">
        <v>196359</v>
      </c>
      <c r="J283" s="804">
        <v>0</v>
      </c>
      <c r="K283" s="804">
        <v>196359</v>
      </c>
      <c r="L283" s="804">
        <v>0</v>
      </c>
      <c r="M283" s="804">
        <v>0</v>
      </c>
      <c r="N283" s="804">
        <v>0</v>
      </c>
      <c r="O283" s="804">
        <v>0</v>
      </c>
      <c r="P283" s="804">
        <v>0</v>
      </c>
      <c r="Q283" s="804">
        <v>0</v>
      </c>
      <c r="R283" s="804">
        <v>30686699</v>
      </c>
      <c r="S283" s="804">
        <v>0.5</v>
      </c>
      <c r="T283" s="804">
        <v>0.49</v>
      </c>
      <c r="U283" s="804">
        <v>0</v>
      </c>
      <c r="V283" s="804">
        <v>0.01</v>
      </c>
      <c r="W283" s="804">
        <v>1</v>
      </c>
      <c r="X283" s="804">
        <v>15343349</v>
      </c>
      <c r="Y283" s="804">
        <v>15036483</v>
      </c>
      <c r="Z283" s="804">
        <v>0</v>
      </c>
      <c r="AA283" s="804">
        <v>306867</v>
      </c>
      <c r="AB283" s="804">
        <v>30686699</v>
      </c>
      <c r="AC283" s="804">
        <v>0</v>
      </c>
      <c r="AD283" s="804">
        <v>0</v>
      </c>
      <c r="AE283" s="804">
        <v>0</v>
      </c>
      <c r="AF283" s="804">
        <v>0</v>
      </c>
      <c r="AG283" s="804">
        <v>0</v>
      </c>
      <c r="AH283" s="804">
        <v>15343349</v>
      </c>
      <c r="AI283" s="804">
        <v>15036483</v>
      </c>
      <c r="AJ283" s="804">
        <v>0</v>
      </c>
      <c r="AK283" s="804">
        <v>306867</v>
      </c>
      <c r="AL283" s="804">
        <v>30686699</v>
      </c>
      <c r="AM283" s="804">
        <v>196359</v>
      </c>
      <c r="AN283" s="804">
        <v>196359</v>
      </c>
      <c r="AO283" s="804">
        <v>0</v>
      </c>
      <c r="AP283" s="804">
        <v>0</v>
      </c>
      <c r="AQ283" s="804">
        <v>0</v>
      </c>
      <c r="AR283" s="804">
        <v>0</v>
      </c>
      <c r="AS283" s="804">
        <v>0</v>
      </c>
      <c r="AT283" s="804">
        <v>0</v>
      </c>
      <c r="AU283" s="804">
        <v>0</v>
      </c>
      <c r="AV283" s="804">
        <v>0</v>
      </c>
      <c r="AW283" s="804">
        <v>0</v>
      </c>
      <c r="AX283" s="804">
        <v>0</v>
      </c>
      <c r="AY283" s="804">
        <v>0</v>
      </c>
      <c r="AZ283" s="804">
        <v>0</v>
      </c>
      <c r="BA283" s="804">
        <v>0</v>
      </c>
      <c r="BB283" s="804">
        <v>0</v>
      </c>
      <c r="BC283" s="804">
        <v>0</v>
      </c>
      <c r="BD283" s="804">
        <v>0</v>
      </c>
      <c r="BE283" s="804">
        <v>0</v>
      </c>
      <c r="BF283" s="804">
        <v>0</v>
      </c>
      <c r="BG283" s="804">
        <v>0</v>
      </c>
      <c r="BH283" s="804">
        <v>0</v>
      </c>
      <c r="BI283" s="804">
        <v>0</v>
      </c>
      <c r="BJ283" s="804">
        <v>0.5</v>
      </c>
      <c r="BK283" s="804">
        <v>0.49</v>
      </c>
      <c r="BL283" s="804">
        <v>0</v>
      </c>
      <c r="BM283" s="804">
        <v>0.01</v>
      </c>
      <c r="BN283" s="804">
        <v>1</v>
      </c>
      <c r="BO283" s="804">
        <v>38226</v>
      </c>
      <c r="BP283" s="804">
        <v>37461</v>
      </c>
      <c r="BQ283" s="804">
        <v>0</v>
      </c>
      <c r="BR283" s="804">
        <v>765</v>
      </c>
      <c r="BS283" s="804">
        <v>76452</v>
      </c>
      <c r="BT283" s="804">
        <v>0</v>
      </c>
      <c r="BU283" s="804">
        <v>0.99</v>
      </c>
      <c r="BV283" s="804">
        <v>0</v>
      </c>
      <c r="BW283" s="804">
        <v>0.01</v>
      </c>
      <c r="BX283" s="804">
        <v>1</v>
      </c>
      <c r="BY283" s="804">
        <v>0.10000000149011612</v>
      </c>
      <c r="BZ283" s="804">
        <v>-514734</v>
      </c>
      <c r="CA283" s="804">
        <v>0</v>
      </c>
      <c r="CB283" s="804">
        <v>-5199</v>
      </c>
      <c r="CC283" s="804">
        <v>-519932.89999999851</v>
      </c>
      <c r="CD283" s="804">
        <v>38226</v>
      </c>
      <c r="CE283" s="804">
        <v>-477273</v>
      </c>
      <c r="CF283" s="804">
        <v>0</v>
      </c>
      <c r="CG283" s="804">
        <v>-4434</v>
      </c>
      <c r="CH283" s="804">
        <v>-443480.89999999851</v>
      </c>
      <c r="CI283" s="804">
        <v>15381575</v>
      </c>
      <c r="CJ283" s="804">
        <v>14755569</v>
      </c>
      <c r="CK283" s="804">
        <v>0</v>
      </c>
      <c r="CL283" s="804">
        <v>302433</v>
      </c>
      <c r="CM283" s="804">
        <v>30439577</v>
      </c>
      <c r="CN283" s="804">
        <v>602665</v>
      </c>
      <c r="CO283" s="804">
        <v>0</v>
      </c>
      <c r="CP283" s="804">
        <v>12299</v>
      </c>
      <c r="CQ283" s="804">
        <v>614964</v>
      </c>
      <c r="CR283" s="804">
        <v>2391662</v>
      </c>
      <c r="CS283" s="804">
        <v>0</v>
      </c>
      <c r="CT283" s="804">
        <v>48809</v>
      </c>
      <c r="CU283" s="804">
        <v>2440471</v>
      </c>
      <c r="CV283" s="804">
        <v>101942</v>
      </c>
      <c r="CW283" s="804">
        <v>0</v>
      </c>
      <c r="CX283" s="804">
        <v>2080</v>
      </c>
      <c r="CY283" s="804">
        <v>104022</v>
      </c>
      <c r="CZ283" s="804">
        <v>12715</v>
      </c>
      <c r="DA283" s="804">
        <v>0</v>
      </c>
      <c r="DB283" s="804">
        <v>260</v>
      </c>
      <c r="DC283" s="804">
        <v>12975</v>
      </c>
      <c r="DD283" s="804">
        <v>0</v>
      </c>
      <c r="DE283" s="804">
        <v>0</v>
      </c>
      <c r="DF283" s="804">
        <v>0</v>
      </c>
      <c r="DG283" s="804">
        <v>0</v>
      </c>
      <c r="DH283" s="804">
        <v>3332</v>
      </c>
      <c r="DI283" s="804">
        <v>0</v>
      </c>
      <c r="DJ283" s="804">
        <v>68</v>
      </c>
      <c r="DK283" s="804">
        <v>3400</v>
      </c>
      <c r="DL283" s="804">
        <v>3058</v>
      </c>
      <c r="DM283" s="804">
        <v>0</v>
      </c>
      <c r="DN283" s="804">
        <v>62</v>
      </c>
      <c r="DO283" s="804">
        <v>3120</v>
      </c>
      <c r="DP283" s="804">
        <v>0</v>
      </c>
      <c r="DQ283" s="804">
        <v>0</v>
      </c>
      <c r="DR283" s="804">
        <v>0</v>
      </c>
      <c r="DS283" s="804">
        <v>0</v>
      </c>
      <c r="DT283" s="804">
        <v>0</v>
      </c>
      <c r="DU283" s="804">
        <v>0</v>
      </c>
      <c r="DV283" s="804">
        <v>0</v>
      </c>
      <c r="DW283" s="804">
        <v>0</v>
      </c>
      <c r="DX283" s="804">
        <v>379770</v>
      </c>
      <c r="DY283" s="804">
        <v>0</v>
      </c>
      <c r="DZ283" s="804">
        <v>7750</v>
      </c>
      <c r="EA283" s="804">
        <v>387520</v>
      </c>
      <c r="EB283" s="804">
        <v>3495144</v>
      </c>
      <c r="EC283" s="804">
        <v>0</v>
      </c>
      <c r="ED283" s="804">
        <v>71328</v>
      </c>
      <c r="EE283" s="804">
        <v>3566472</v>
      </c>
      <c r="EF283" s="604" t="s">
        <v>559</v>
      </c>
      <c r="EG283" s="497" t="s">
        <v>524</v>
      </c>
      <c r="EH283" s="630" t="s">
        <v>558</v>
      </c>
      <c r="EI283" s="118" t="s">
        <v>1934</v>
      </c>
    </row>
    <row r="284" spans="1:139" ht="12.75" x14ac:dyDescent="0.2">
      <c r="A284" s="805">
        <v>277</v>
      </c>
      <c r="B284" s="606" t="s">
        <v>443</v>
      </c>
      <c r="C284" s="607" t="s">
        <v>1185</v>
      </c>
      <c r="D284" s="608" t="s">
        <v>1194</v>
      </c>
      <c r="E284" s="609" t="s">
        <v>442</v>
      </c>
      <c r="F284" s="802">
        <v>12123673</v>
      </c>
      <c r="G284" s="804">
        <v>190350</v>
      </c>
      <c r="H284" s="804">
        <v>0</v>
      </c>
      <c r="I284" s="804">
        <v>134231</v>
      </c>
      <c r="J284" s="804">
        <v>0</v>
      </c>
      <c r="K284" s="804">
        <v>134231</v>
      </c>
      <c r="L284" s="804">
        <v>0</v>
      </c>
      <c r="M284" s="804">
        <v>0</v>
      </c>
      <c r="N284" s="804">
        <v>552950</v>
      </c>
      <c r="O284" s="804">
        <v>552950</v>
      </c>
      <c r="P284" s="804">
        <v>0</v>
      </c>
      <c r="Q284" s="804">
        <v>0</v>
      </c>
      <c r="R284" s="804">
        <v>11626842</v>
      </c>
      <c r="S284" s="804">
        <v>0.5</v>
      </c>
      <c r="T284" s="804">
        <v>0.4</v>
      </c>
      <c r="U284" s="804">
        <v>0.09</v>
      </c>
      <c r="V284" s="804">
        <v>0.01</v>
      </c>
      <c r="W284" s="804">
        <v>1</v>
      </c>
      <c r="X284" s="804">
        <v>5813421</v>
      </c>
      <c r="Y284" s="804">
        <v>4650737</v>
      </c>
      <c r="Z284" s="804">
        <v>1046416</v>
      </c>
      <c r="AA284" s="804">
        <v>116268</v>
      </c>
      <c r="AB284" s="804">
        <v>11626842</v>
      </c>
      <c r="AC284" s="804">
        <v>0</v>
      </c>
      <c r="AD284" s="804">
        <v>0</v>
      </c>
      <c r="AE284" s="804">
        <v>0</v>
      </c>
      <c r="AF284" s="804">
        <v>0</v>
      </c>
      <c r="AG284" s="804">
        <v>0</v>
      </c>
      <c r="AH284" s="804">
        <v>5813421</v>
      </c>
      <c r="AI284" s="804">
        <v>4650737</v>
      </c>
      <c r="AJ284" s="804">
        <v>1046416</v>
      </c>
      <c r="AK284" s="804">
        <v>116268</v>
      </c>
      <c r="AL284" s="804">
        <v>11626842</v>
      </c>
      <c r="AM284" s="804">
        <v>134231</v>
      </c>
      <c r="AN284" s="804">
        <v>134231</v>
      </c>
      <c r="AO284" s="804">
        <v>0</v>
      </c>
      <c r="AP284" s="804">
        <v>0</v>
      </c>
      <c r="AQ284" s="804">
        <v>552950</v>
      </c>
      <c r="AR284" s="804">
        <v>0</v>
      </c>
      <c r="AS284" s="804">
        <v>552950</v>
      </c>
      <c r="AT284" s="804">
        <v>0</v>
      </c>
      <c r="AU284" s="804">
        <v>0</v>
      </c>
      <c r="AV284" s="804">
        <v>0</v>
      </c>
      <c r="AW284" s="804">
        <v>0</v>
      </c>
      <c r="AX284" s="804">
        <v>0</v>
      </c>
      <c r="AY284" s="804">
        <v>0</v>
      </c>
      <c r="AZ284" s="804">
        <v>0</v>
      </c>
      <c r="BA284" s="804">
        <v>0</v>
      </c>
      <c r="BB284" s="804">
        <v>0</v>
      </c>
      <c r="BC284" s="804">
        <v>0</v>
      </c>
      <c r="BD284" s="804">
        <v>0</v>
      </c>
      <c r="BE284" s="804">
        <v>0</v>
      </c>
      <c r="BF284" s="804">
        <v>0</v>
      </c>
      <c r="BG284" s="804">
        <v>0</v>
      </c>
      <c r="BH284" s="804">
        <v>0</v>
      </c>
      <c r="BI284" s="804">
        <v>0</v>
      </c>
      <c r="BJ284" s="804">
        <v>0.5</v>
      </c>
      <c r="BK284" s="804">
        <v>0.4</v>
      </c>
      <c r="BL284" s="804">
        <v>0.09</v>
      </c>
      <c r="BM284" s="804">
        <v>0.01</v>
      </c>
      <c r="BN284" s="804">
        <v>1</v>
      </c>
      <c r="BO284" s="804">
        <v>-160576</v>
      </c>
      <c r="BP284" s="804">
        <v>-128462</v>
      </c>
      <c r="BQ284" s="804">
        <v>-28904</v>
      </c>
      <c r="BR284" s="804">
        <v>-3212</v>
      </c>
      <c r="BS284" s="804">
        <v>-321154</v>
      </c>
      <c r="BT284" s="804">
        <v>0</v>
      </c>
      <c r="BU284" s="804">
        <v>0.4</v>
      </c>
      <c r="BV284" s="804">
        <v>0.59</v>
      </c>
      <c r="BW284" s="804">
        <v>0.01</v>
      </c>
      <c r="BX284" s="804">
        <v>1</v>
      </c>
      <c r="BY284" s="804">
        <v>-0.19999999925494194</v>
      </c>
      <c r="BZ284" s="804">
        <v>-9918</v>
      </c>
      <c r="CA284" s="804">
        <v>-14630</v>
      </c>
      <c r="CB284" s="804">
        <v>-248</v>
      </c>
      <c r="CC284" s="804">
        <v>-24796.199999999255</v>
      </c>
      <c r="CD284" s="804">
        <v>-160576</v>
      </c>
      <c r="CE284" s="804">
        <v>-138380</v>
      </c>
      <c r="CF284" s="804">
        <v>-43534</v>
      </c>
      <c r="CG284" s="804">
        <v>-3460</v>
      </c>
      <c r="CH284" s="804">
        <v>-345950.19999999925</v>
      </c>
      <c r="CI284" s="804">
        <v>5652845</v>
      </c>
      <c r="CJ284" s="804">
        <v>5199538</v>
      </c>
      <c r="CK284" s="804">
        <v>1002882</v>
      </c>
      <c r="CL284" s="804">
        <v>112808</v>
      </c>
      <c r="CM284" s="804">
        <v>11968073</v>
      </c>
      <c r="CN284" s="804">
        <v>208565</v>
      </c>
      <c r="CO284" s="804">
        <v>41941</v>
      </c>
      <c r="CP284" s="804">
        <v>4660</v>
      </c>
      <c r="CQ284" s="804">
        <v>255166</v>
      </c>
      <c r="CR284" s="804">
        <v>1259816</v>
      </c>
      <c r="CS284" s="804">
        <v>283459</v>
      </c>
      <c r="CT284" s="804">
        <v>31495</v>
      </c>
      <c r="CU284" s="804">
        <v>1574770</v>
      </c>
      <c r="CV284" s="804">
        <v>37519</v>
      </c>
      <c r="CW284" s="804">
        <v>8442</v>
      </c>
      <c r="CX284" s="804">
        <v>938</v>
      </c>
      <c r="CY284" s="804">
        <v>46899</v>
      </c>
      <c r="CZ284" s="804">
        <v>1413</v>
      </c>
      <c r="DA284" s="804">
        <v>318</v>
      </c>
      <c r="DB284" s="804">
        <v>35</v>
      </c>
      <c r="DC284" s="804">
        <v>1766</v>
      </c>
      <c r="DD284" s="804">
        <v>20489</v>
      </c>
      <c r="DE284" s="804">
        <v>4610</v>
      </c>
      <c r="DF284" s="804">
        <v>512</v>
      </c>
      <c r="DG284" s="804">
        <v>25611</v>
      </c>
      <c r="DH284" s="804">
        <v>17134</v>
      </c>
      <c r="DI284" s="804">
        <v>3855</v>
      </c>
      <c r="DJ284" s="804">
        <v>428</v>
      </c>
      <c r="DK284" s="804">
        <v>21417</v>
      </c>
      <c r="DL284" s="804">
        <v>0</v>
      </c>
      <c r="DM284" s="804">
        <v>0</v>
      </c>
      <c r="DN284" s="804">
        <v>0</v>
      </c>
      <c r="DO284" s="804">
        <v>0</v>
      </c>
      <c r="DP284" s="804">
        <v>0</v>
      </c>
      <c r="DQ284" s="804">
        <v>0</v>
      </c>
      <c r="DR284" s="804">
        <v>0</v>
      </c>
      <c r="DS284" s="804">
        <v>0</v>
      </c>
      <c r="DT284" s="804">
        <v>0</v>
      </c>
      <c r="DU284" s="804">
        <v>0</v>
      </c>
      <c r="DV284" s="804">
        <v>0</v>
      </c>
      <c r="DW284" s="804">
        <v>0</v>
      </c>
      <c r="DX284" s="804">
        <v>149395</v>
      </c>
      <c r="DY284" s="804">
        <v>33614</v>
      </c>
      <c r="DZ284" s="804">
        <v>3735</v>
      </c>
      <c r="EA284" s="804">
        <v>186744</v>
      </c>
      <c r="EB284" s="804">
        <v>1694331</v>
      </c>
      <c r="EC284" s="804">
        <v>376239</v>
      </c>
      <c r="ED284" s="804">
        <v>41803</v>
      </c>
      <c r="EE284" s="804">
        <v>2112373</v>
      </c>
      <c r="EF284" s="604" t="s">
        <v>442</v>
      </c>
      <c r="EG284" s="497" t="s">
        <v>560</v>
      </c>
      <c r="EH284" s="630" t="s">
        <v>558</v>
      </c>
      <c r="EI284" s="118" t="s">
        <v>1935</v>
      </c>
    </row>
    <row r="285" spans="1:139" ht="12.75" x14ac:dyDescent="0.2">
      <c r="A285" s="805">
        <v>278</v>
      </c>
      <c r="B285" s="606" t="s">
        <v>445</v>
      </c>
      <c r="C285" s="607" t="s">
        <v>1196</v>
      </c>
      <c r="D285" s="608" t="s">
        <v>1191</v>
      </c>
      <c r="E285" s="609" t="s">
        <v>444</v>
      </c>
      <c r="F285" s="802">
        <v>462947465</v>
      </c>
      <c r="G285" s="804">
        <v>5505710</v>
      </c>
      <c r="H285" s="804">
        <v>0</v>
      </c>
      <c r="I285" s="804">
        <v>1031240</v>
      </c>
      <c r="J285" s="804">
        <v>0</v>
      </c>
      <c r="K285" s="804">
        <v>1031240</v>
      </c>
      <c r="L285" s="804">
        <v>0</v>
      </c>
      <c r="M285" s="804">
        <v>0</v>
      </c>
      <c r="N285" s="804">
        <v>0</v>
      </c>
      <c r="O285" s="804">
        <v>0</v>
      </c>
      <c r="P285" s="804">
        <v>0</v>
      </c>
      <c r="Q285" s="804">
        <v>0</v>
      </c>
      <c r="R285" s="804">
        <v>467421935</v>
      </c>
      <c r="S285" s="804">
        <v>0.33</v>
      </c>
      <c r="T285" s="804">
        <v>0.3</v>
      </c>
      <c r="U285" s="804">
        <v>0.37</v>
      </c>
      <c r="V285" s="804">
        <v>0</v>
      </c>
      <c r="W285" s="804">
        <v>1</v>
      </c>
      <c r="X285" s="804">
        <v>154249238</v>
      </c>
      <c r="Y285" s="804">
        <v>140226581</v>
      </c>
      <c r="Z285" s="804">
        <v>172946116</v>
      </c>
      <c r="AA285" s="804">
        <v>0</v>
      </c>
      <c r="AB285" s="804">
        <v>467421935</v>
      </c>
      <c r="AC285" s="804">
        <v>0</v>
      </c>
      <c r="AD285" s="804">
        <v>0</v>
      </c>
      <c r="AE285" s="804">
        <v>0</v>
      </c>
      <c r="AF285" s="804">
        <v>0</v>
      </c>
      <c r="AG285" s="804">
        <v>0</v>
      </c>
      <c r="AH285" s="804">
        <v>154249238</v>
      </c>
      <c r="AI285" s="804">
        <v>140226581</v>
      </c>
      <c r="AJ285" s="804">
        <v>172946116</v>
      </c>
      <c r="AK285" s="804">
        <v>0</v>
      </c>
      <c r="AL285" s="804">
        <v>467421935</v>
      </c>
      <c r="AM285" s="804">
        <v>1031240</v>
      </c>
      <c r="AN285" s="804">
        <v>1031240</v>
      </c>
      <c r="AO285" s="804">
        <v>0</v>
      </c>
      <c r="AP285" s="804">
        <v>0</v>
      </c>
      <c r="AQ285" s="804">
        <v>0</v>
      </c>
      <c r="AR285" s="804">
        <v>0</v>
      </c>
      <c r="AS285" s="804">
        <v>0</v>
      </c>
      <c r="AT285" s="804">
        <v>0</v>
      </c>
      <c r="AU285" s="804">
        <v>0</v>
      </c>
      <c r="AV285" s="804">
        <v>0</v>
      </c>
      <c r="AW285" s="804">
        <v>0</v>
      </c>
      <c r="AX285" s="804">
        <v>0</v>
      </c>
      <c r="AY285" s="804">
        <v>0</v>
      </c>
      <c r="AZ285" s="804">
        <v>0</v>
      </c>
      <c r="BA285" s="804">
        <v>0</v>
      </c>
      <c r="BB285" s="804">
        <v>0</v>
      </c>
      <c r="BC285" s="804">
        <v>0</v>
      </c>
      <c r="BD285" s="804">
        <v>0</v>
      </c>
      <c r="BE285" s="804">
        <v>0</v>
      </c>
      <c r="BF285" s="804">
        <v>0</v>
      </c>
      <c r="BG285" s="804">
        <v>0</v>
      </c>
      <c r="BH285" s="804">
        <v>0</v>
      </c>
      <c r="BI285" s="804">
        <v>0</v>
      </c>
      <c r="BJ285" s="804">
        <v>0.25</v>
      </c>
      <c r="BK285" s="804">
        <v>0.48</v>
      </c>
      <c r="BL285" s="804">
        <v>0.27</v>
      </c>
      <c r="BM285" s="804">
        <v>0</v>
      </c>
      <c r="BN285" s="804">
        <v>1</v>
      </c>
      <c r="BO285" s="804">
        <v>-3334782</v>
      </c>
      <c r="BP285" s="804">
        <v>-6402781</v>
      </c>
      <c r="BQ285" s="804">
        <v>-3601565</v>
      </c>
      <c r="BR285" s="804">
        <v>0</v>
      </c>
      <c r="BS285" s="804">
        <v>-13339128</v>
      </c>
      <c r="BT285" s="804">
        <v>0</v>
      </c>
      <c r="BU285" s="804">
        <v>0.64</v>
      </c>
      <c r="BV285" s="804">
        <v>0.36</v>
      </c>
      <c r="BW285" s="804">
        <v>0</v>
      </c>
      <c r="BX285" s="804">
        <v>1</v>
      </c>
      <c r="BY285" s="804">
        <v>0</v>
      </c>
      <c r="BZ285" s="804">
        <v>-11517039</v>
      </c>
      <c r="CA285" s="804">
        <v>-6478334</v>
      </c>
      <c r="CB285" s="804">
        <v>0</v>
      </c>
      <c r="CC285" s="804">
        <v>-17995373</v>
      </c>
      <c r="CD285" s="804">
        <v>-3334782</v>
      </c>
      <c r="CE285" s="804">
        <v>-17919820</v>
      </c>
      <c r="CF285" s="804">
        <v>-10079899</v>
      </c>
      <c r="CG285" s="804">
        <v>0</v>
      </c>
      <c r="CH285" s="804">
        <v>-31334501</v>
      </c>
      <c r="CI285" s="804">
        <v>150914456</v>
      </c>
      <c r="CJ285" s="804">
        <v>123338001</v>
      </c>
      <c r="CK285" s="804">
        <v>162866217</v>
      </c>
      <c r="CL285" s="804">
        <v>0</v>
      </c>
      <c r="CM285" s="804">
        <v>437118674</v>
      </c>
      <c r="CN285" s="804">
        <v>5620304</v>
      </c>
      <c r="CO285" s="804">
        <v>6931708</v>
      </c>
      <c r="CP285" s="804">
        <v>0</v>
      </c>
      <c r="CQ285" s="804">
        <v>12552012</v>
      </c>
      <c r="CR285" s="804">
        <v>2574191</v>
      </c>
      <c r="CS285" s="804">
        <v>3174835</v>
      </c>
      <c r="CT285" s="804">
        <v>0</v>
      </c>
      <c r="CU285" s="804">
        <v>5749026</v>
      </c>
      <c r="CV285" s="804">
        <v>219558</v>
      </c>
      <c r="CW285" s="804">
        <v>270788</v>
      </c>
      <c r="CX285" s="804">
        <v>0</v>
      </c>
      <c r="CY285" s="804">
        <v>490346</v>
      </c>
      <c r="CZ285" s="804">
        <v>0</v>
      </c>
      <c r="DA285" s="804">
        <v>0</v>
      </c>
      <c r="DB285" s="804">
        <v>0</v>
      </c>
      <c r="DC285" s="804">
        <v>0</v>
      </c>
      <c r="DD285" s="804">
        <v>0</v>
      </c>
      <c r="DE285" s="804">
        <v>0</v>
      </c>
      <c r="DF285" s="804">
        <v>0</v>
      </c>
      <c r="DG285" s="804">
        <v>0</v>
      </c>
      <c r="DH285" s="804">
        <v>173549</v>
      </c>
      <c r="DI285" s="804">
        <v>214043</v>
      </c>
      <c r="DJ285" s="804">
        <v>0</v>
      </c>
      <c r="DK285" s="804">
        <v>387592</v>
      </c>
      <c r="DL285" s="804">
        <v>42435</v>
      </c>
      <c r="DM285" s="804">
        <v>52337</v>
      </c>
      <c r="DN285" s="804">
        <v>0</v>
      </c>
      <c r="DO285" s="804">
        <v>94772</v>
      </c>
      <c r="DP285" s="804">
        <v>0</v>
      </c>
      <c r="DQ285" s="804">
        <v>0</v>
      </c>
      <c r="DR285" s="804">
        <v>0</v>
      </c>
      <c r="DS285" s="804">
        <v>0</v>
      </c>
      <c r="DT285" s="804">
        <v>0</v>
      </c>
      <c r="DU285" s="804">
        <v>0</v>
      </c>
      <c r="DV285" s="804">
        <v>0</v>
      </c>
      <c r="DW285" s="804">
        <v>0</v>
      </c>
      <c r="DX285" s="804">
        <v>1959893</v>
      </c>
      <c r="DY285" s="804">
        <v>2417202</v>
      </c>
      <c r="DZ285" s="804">
        <v>0</v>
      </c>
      <c r="EA285" s="804">
        <v>4377095</v>
      </c>
      <c r="EB285" s="804">
        <v>10589930</v>
      </c>
      <c r="EC285" s="804">
        <v>13060913</v>
      </c>
      <c r="ED285" s="804">
        <v>0</v>
      </c>
      <c r="EE285" s="804">
        <v>23650843</v>
      </c>
      <c r="EF285" s="604" t="s">
        <v>444</v>
      </c>
      <c r="EG285" s="497" t="s">
        <v>623</v>
      </c>
      <c r="EH285" s="243" t="s">
        <v>523</v>
      </c>
      <c r="EI285" s="118" t="s">
        <v>1936</v>
      </c>
    </row>
    <row r="286" spans="1:139" ht="12.75" x14ac:dyDescent="0.2">
      <c r="A286" s="805">
        <v>279</v>
      </c>
      <c r="B286" s="606" t="s">
        <v>447</v>
      </c>
      <c r="C286" s="607" t="s">
        <v>1192</v>
      </c>
      <c r="D286" s="608" t="s">
        <v>1187</v>
      </c>
      <c r="E286" s="609" t="s">
        <v>446</v>
      </c>
      <c r="F286" s="802">
        <v>157124568.47000003</v>
      </c>
      <c r="G286" s="804">
        <v>0</v>
      </c>
      <c r="H286" s="804">
        <v>527029.55000000005</v>
      </c>
      <c r="I286" s="804">
        <v>460092</v>
      </c>
      <c r="J286" s="804">
        <v>0</v>
      </c>
      <c r="K286" s="804">
        <v>460092</v>
      </c>
      <c r="L286" s="804">
        <v>0</v>
      </c>
      <c r="M286" s="804">
        <v>0</v>
      </c>
      <c r="N286" s="804">
        <v>82944</v>
      </c>
      <c r="O286" s="804">
        <v>82944</v>
      </c>
      <c r="P286" s="804">
        <v>0</v>
      </c>
      <c r="Q286" s="804">
        <v>0</v>
      </c>
      <c r="R286" s="804">
        <v>156054503</v>
      </c>
      <c r="S286" s="804">
        <v>0</v>
      </c>
      <c r="T286" s="804">
        <v>0.99</v>
      </c>
      <c r="U286" s="804">
        <v>0</v>
      </c>
      <c r="V286" s="804">
        <v>0.01</v>
      </c>
      <c r="W286" s="804">
        <v>1</v>
      </c>
      <c r="X286" s="804">
        <v>0</v>
      </c>
      <c r="Y286" s="804">
        <v>154493958</v>
      </c>
      <c r="Z286" s="804">
        <v>0</v>
      </c>
      <c r="AA286" s="804">
        <v>1560545</v>
      </c>
      <c r="AB286" s="804">
        <v>156054503</v>
      </c>
      <c r="AC286" s="804">
        <v>0</v>
      </c>
      <c r="AD286" s="804">
        <v>0</v>
      </c>
      <c r="AE286" s="804">
        <v>0</v>
      </c>
      <c r="AF286" s="804">
        <v>0</v>
      </c>
      <c r="AG286" s="804">
        <v>0</v>
      </c>
      <c r="AH286" s="804">
        <v>0</v>
      </c>
      <c r="AI286" s="804">
        <v>154493958</v>
      </c>
      <c r="AJ286" s="804">
        <v>0</v>
      </c>
      <c r="AK286" s="804">
        <v>1560545</v>
      </c>
      <c r="AL286" s="804">
        <v>156054503</v>
      </c>
      <c r="AM286" s="804">
        <v>460092</v>
      </c>
      <c r="AN286" s="804">
        <v>460092</v>
      </c>
      <c r="AO286" s="804">
        <v>0</v>
      </c>
      <c r="AP286" s="804">
        <v>0</v>
      </c>
      <c r="AQ286" s="804">
        <v>82944</v>
      </c>
      <c r="AR286" s="804">
        <v>0</v>
      </c>
      <c r="AS286" s="804">
        <v>82944</v>
      </c>
      <c r="AT286" s="804">
        <v>0</v>
      </c>
      <c r="AU286" s="804">
        <v>0</v>
      </c>
      <c r="AV286" s="804">
        <v>0</v>
      </c>
      <c r="AW286" s="804">
        <v>0</v>
      </c>
      <c r="AX286" s="804">
        <v>0</v>
      </c>
      <c r="AY286" s="804">
        <v>0</v>
      </c>
      <c r="AZ286" s="804">
        <v>0</v>
      </c>
      <c r="BA286" s="804">
        <v>0</v>
      </c>
      <c r="BB286" s="804">
        <v>0</v>
      </c>
      <c r="BC286" s="804">
        <v>0</v>
      </c>
      <c r="BD286" s="804">
        <v>0</v>
      </c>
      <c r="BE286" s="804">
        <v>0</v>
      </c>
      <c r="BF286" s="804">
        <v>0</v>
      </c>
      <c r="BG286" s="804">
        <v>0</v>
      </c>
      <c r="BH286" s="804">
        <v>0</v>
      </c>
      <c r="BI286" s="804">
        <v>0</v>
      </c>
      <c r="BJ286" s="804">
        <v>0</v>
      </c>
      <c r="BK286" s="804">
        <v>0.99</v>
      </c>
      <c r="BL286" s="804">
        <v>0</v>
      </c>
      <c r="BM286" s="804">
        <v>0.01</v>
      </c>
      <c r="BN286" s="804">
        <v>1</v>
      </c>
      <c r="BO286" s="804">
        <v>0</v>
      </c>
      <c r="BP286" s="804">
        <v>-5404738</v>
      </c>
      <c r="BQ286" s="804">
        <v>0</v>
      </c>
      <c r="BR286" s="804">
        <v>-54593</v>
      </c>
      <c r="BS286" s="804">
        <v>-5459331</v>
      </c>
      <c r="BT286" s="804">
        <v>0</v>
      </c>
      <c r="BU286" s="804">
        <v>0.99</v>
      </c>
      <c r="BV286" s="804">
        <v>0</v>
      </c>
      <c r="BW286" s="804">
        <v>0.01</v>
      </c>
      <c r="BX286" s="804">
        <v>1</v>
      </c>
      <c r="BY286" s="804">
        <v>0</v>
      </c>
      <c r="BZ286" s="804">
        <v>489027</v>
      </c>
      <c r="CA286" s="804">
        <v>0</v>
      </c>
      <c r="CB286" s="804">
        <v>4940</v>
      </c>
      <c r="CC286" s="804">
        <v>493967</v>
      </c>
      <c r="CD286" s="804">
        <v>0</v>
      </c>
      <c r="CE286" s="804">
        <v>-4915711</v>
      </c>
      <c r="CF286" s="804">
        <v>0</v>
      </c>
      <c r="CG286" s="804">
        <v>-49653</v>
      </c>
      <c r="CH286" s="804">
        <v>-4965364</v>
      </c>
      <c r="CI286" s="804">
        <v>0</v>
      </c>
      <c r="CJ286" s="804">
        <v>150121283</v>
      </c>
      <c r="CK286" s="804">
        <v>0</v>
      </c>
      <c r="CL286" s="804">
        <v>1510892</v>
      </c>
      <c r="CM286" s="804">
        <v>151632175</v>
      </c>
      <c r="CN286" s="804">
        <v>6195467</v>
      </c>
      <c r="CO286" s="804">
        <v>0</v>
      </c>
      <c r="CP286" s="804">
        <v>62547</v>
      </c>
      <c r="CQ286" s="804">
        <v>6258014</v>
      </c>
      <c r="CR286" s="804">
        <v>6293178</v>
      </c>
      <c r="CS286" s="804">
        <v>0</v>
      </c>
      <c r="CT286" s="804">
        <v>63567</v>
      </c>
      <c r="CU286" s="804">
        <v>6356745</v>
      </c>
      <c r="CV286" s="804">
        <v>524126</v>
      </c>
      <c r="CW286" s="804">
        <v>0</v>
      </c>
      <c r="CX286" s="804">
        <v>5294</v>
      </c>
      <c r="CY286" s="804">
        <v>529420</v>
      </c>
      <c r="CZ286" s="804">
        <v>0</v>
      </c>
      <c r="DA286" s="804">
        <v>0</v>
      </c>
      <c r="DB286" s="804">
        <v>0</v>
      </c>
      <c r="DC286" s="804">
        <v>0</v>
      </c>
      <c r="DD286" s="804">
        <v>672</v>
      </c>
      <c r="DE286" s="804">
        <v>0</v>
      </c>
      <c r="DF286" s="804">
        <v>7</v>
      </c>
      <c r="DG286" s="804">
        <v>679</v>
      </c>
      <c r="DH286" s="804">
        <v>22564</v>
      </c>
      <c r="DI286" s="804">
        <v>0</v>
      </c>
      <c r="DJ286" s="804">
        <v>228</v>
      </c>
      <c r="DK286" s="804">
        <v>22792</v>
      </c>
      <c r="DL286" s="804">
        <v>10189</v>
      </c>
      <c r="DM286" s="804">
        <v>0</v>
      </c>
      <c r="DN286" s="804">
        <v>103</v>
      </c>
      <c r="DO286" s="804">
        <v>10292</v>
      </c>
      <c r="DP286" s="804">
        <v>0</v>
      </c>
      <c r="DQ286" s="804">
        <v>0</v>
      </c>
      <c r="DR286" s="804">
        <v>0</v>
      </c>
      <c r="DS286" s="804">
        <v>0</v>
      </c>
      <c r="DT286" s="804">
        <v>0</v>
      </c>
      <c r="DU286" s="804">
        <v>0</v>
      </c>
      <c r="DV286" s="804">
        <v>0</v>
      </c>
      <c r="DW286" s="804">
        <v>0</v>
      </c>
      <c r="DX286" s="804">
        <v>2346209</v>
      </c>
      <c r="DY286" s="804">
        <v>0</v>
      </c>
      <c r="DZ286" s="804">
        <v>23699</v>
      </c>
      <c r="EA286" s="804">
        <v>2369908</v>
      </c>
      <c r="EB286" s="804">
        <v>15392405</v>
      </c>
      <c r="EC286" s="804">
        <v>0</v>
      </c>
      <c r="ED286" s="804">
        <v>155445</v>
      </c>
      <c r="EE286" s="804">
        <v>15547850</v>
      </c>
      <c r="EF286" s="604" t="s">
        <v>446</v>
      </c>
      <c r="EG286" s="497" t="s">
        <v>616</v>
      </c>
      <c r="EH286" s="630" t="s">
        <v>617</v>
      </c>
      <c r="EI286" s="118" t="s">
        <v>1937</v>
      </c>
    </row>
    <row r="287" spans="1:139" ht="12.75" x14ac:dyDescent="0.2">
      <c r="A287" s="805">
        <v>280</v>
      </c>
      <c r="B287" s="606" t="s">
        <v>449</v>
      </c>
      <c r="C287" s="607" t="s">
        <v>1185</v>
      </c>
      <c r="D287" s="608" t="s">
        <v>1186</v>
      </c>
      <c r="E287" s="609" t="s">
        <v>448</v>
      </c>
      <c r="F287" s="802">
        <v>54506627</v>
      </c>
      <c r="G287" s="804">
        <v>0</v>
      </c>
      <c r="H287" s="804">
        <v>72538</v>
      </c>
      <c r="I287" s="804">
        <v>168139</v>
      </c>
      <c r="J287" s="804">
        <v>0</v>
      </c>
      <c r="K287" s="804">
        <v>168139</v>
      </c>
      <c r="L287" s="804">
        <v>0</v>
      </c>
      <c r="M287" s="804">
        <v>0</v>
      </c>
      <c r="N287" s="804">
        <v>122353</v>
      </c>
      <c r="O287" s="804">
        <v>122353</v>
      </c>
      <c r="P287" s="804">
        <v>0</v>
      </c>
      <c r="Q287" s="804">
        <v>0</v>
      </c>
      <c r="R287" s="804">
        <v>54143597</v>
      </c>
      <c r="S287" s="804">
        <v>0.5</v>
      </c>
      <c r="T287" s="804">
        <v>0.4</v>
      </c>
      <c r="U287" s="804">
        <v>0.09</v>
      </c>
      <c r="V287" s="804">
        <v>0.01</v>
      </c>
      <c r="W287" s="804">
        <v>1</v>
      </c>
      <c r="X287" s="804">
        <v>27071798</v>
      </c>
      <c r="Y287" s="804">
        <v>21657439</v>
      </c>
      <c r="Z287" s="804">
        <v>4872924</v>
      </c>
      <c r="AA287" s="804">
        <v>541436</v>
      </c>
      <c r="AB287" s="804">
        <v>54143597</v>
      </c>
      <c r="AC287" s="804">
        <v>0</v>
      </c>
      <c r="AD287" s="804">
        <v>0</v>
      </c>
      <c r="AE287" s="804">
        <v>0</v>
      </c>
      <c r="AF287" s="804">
        <v>0</v>
      </c>
      <c r="AG287" s="804">
        <v>0</v>
      </c>
      <c r="AH287" s="804">
        <v>27071798</v>
      </c>
      <c r="AI287" s="804">
        <v>21657439</v>
      </c>
      <c r="AJ287" s="804">
        <v>4872924</v>
      </c>
      <c r="AK287" s="804">
        <v>541436</v>
      </c>
      <c r="AL287" s="804">
        <v>54143597</v>
      </c>
      <c r="AM287" s="804">
        <v>168139</v>
      </c>
      <c r="AN287" s="804">
        <v>168139</v>
      </c>
      <c r="AO287" s="804">
        <v>0</v>
      </c>
      <c r="AP287" s="804">
        <v>0</v>
      </c>
      <c r="AQ287" s="804">
        <v>122353</v>
      </c>
      <c r="AR287" s="804">
        <v>0</v>
      </c>
      <c r="AS287" s="804">
        <v>122353</v>
      </c>
      <c r="AT287" s="804">
        <v>0</v>
      </c>
      <c r="AU287" s="804">
        <v>0</v>
      </c>
      <c r="AV287" s="804">
        <v>0</v>
      </c>
      <c r="AW287" s="804">
        <v>0</v>
      </c>
      <c r="AX287" s="804">
        <v>0</v>
      </c>
      <c r="AY287" s="804">
        <v>0</v>
      </c>
      <c r="AZ287" s="804">
        <v>0</v>
      </c>
      <c r="BA287" s="804">
        <v>0</v>
      </c>
      <c r="BB287" s="804">
        <v>0</v>
      </c>
      <c r="BC287" s="804">
        <v>0</v>
      </c>
      <c r="BD287" s="804">
        <v>0</v>
      </c>
      <c r="BE287" s="804">
        <v>0</v>
      </c>
      <c r="BF287" s="804">
        <v>0</v>
      </c>
      <c r="BG287" s="804">
        <v>0</v>
      </c>
      <c r="BH287" s="804">
        <v>0</v>
      </c>
      <c r="BI287" s="804">
        <v>0</v>
      </c>
      <c r="BJ287" s="804">
        <v>0.5</v>
      </c>
      <c r="BK287" s="804">
        <v>0.4</v>
      </c>
      <c r="BL287" s="804">
        <v>0.09</v>
      </c>
      <c r="BM287" s="804">
        <v>0.01</v>
      </c>
      <c r="BN287" s="804">
        <v>1</v>
      </c>
      <c r="BO287" s="804">
        <v>519874</v>
      </c>
      <c r="BP287" s="804">
        <v>415900</v>
      </c>
      <c r="BQ287" s="804">
        <v>93578</v>
      </c>
      <c r="BR287" s="804">
        <v>10398</v>
      </c>
      <c r="BS287" s="804">
        <v>1039750</v>
      </c>
      <c r="BT287" s="804">
        <v>0</v>
      </c>
      <c r="BU287" s="804">
        <v>0.4</v>
      </c>
      <c r="BV287" s="804">
        <v>0.59</v>
      </c>
      <c r="BW287" s="804">
        <v>0.01</v>
      </c>
      <c r="BX287" s="804">
        <v>1</v>
      </c>
      <c r="BY287" s="804">
        <v>0.42999999970197678</v>
      </c>
      <c r="BZ287" s="804">
        <v>436549</v>
      </c>
      <c r="CA287" s="804">
        <v>643910</v>
      </c>
      <c r="CB287" s="804">
        <v>10914</v>
      </c>
      <c r="CC287" s="804">
        <v>1091373.4299999997</v>
      </c>
      <c r="CD287" s="804">
        <v>519874</v>
      </c>
      <c r="CE287" s="804">
        <v>852449</v>
      </c>
      <c r="CF287" s="804">
        <v>737488</v>
      </c>
      <c r="CG287" s="804">
        <v>21312</v>
      </c>
      <c r="CH287" s="804">
        <v>2131123.4299999997</v>
      </c>
      <c r="CI287" s="804">
        <v>27591672</v>
      </c>
      <c r="CJ287" s="804">
        <v>22800380</v>
      </c>
      <c r="CK287" s="804">
        <v>5610412</v>
      </c>
      <c r="CL287" s="804">
        <v>562748</v>
      </c>
      <c r="CM287" s="804">
        <v>56565212</v>
      </c>
      <c r="CN287" s="804">
        <v>872938</v>
      </c>
      <c r="CO287" s="804">
        <v>195308</v>
      </c>
      <c r="CP287" s="804">
        <v>21701</v>
      </c>
      <c r="CQ287" s="804">
        <v>1089947</v>
      </c>
      <c r="CR287" s="804">
        <v>1237323</v>
      </c>
      <c r="CS287" s="804">
        <v>278398</v>
      </c>
      <c r="CT287" s="804">
        <v>30933</v>
      </c>
      <c r="CU287" s="804">
        <v>1546654</v>
      </c>
      <c r="CV287" s="804">
        <v>116300</v>
      </c>
      <c r="CW287" s="804">
        <v>26168</v>
      </c>
      <c r="CX287" s="804">
        <v>2908</v>
      </c>
      <c r="CY287" s="804">
        <v>145376</v>
      </c>
      <c r="CZ287" s="804">
        <v>1292</v>
      </c>
      <c r="DA287" s="804">
        <v>291</v>
      </c>
      <c r="DB287" s="804">
        <v>32</v>
      </c>
      <c r="DC287" s="804">
        <v>1615</v>
      </c>
      <c r="DD287" s="804">
        <v>0</v>
      </c>
      <c r="DE287" s="804">
        <v>0</v>
      </c>
      <c r="DF287" s="804">
        <v>0</v>
      </c>
      <c r="DG287" s="804">
        <v>0</v>
      </c>
      <c r="DH287" s="804">
        <v>10327</v>
      </c>
      <c r="DI287" s="804">
        <v>2324</v>
      </c>
      <c r="DJ287" s="804">
        <v>258</v>
      </c>
      <c r="DK287" s="804">
        <v>12909</v>
      </c>
      <c r="DL287" s="804">
        <v>3193</v>
      </c>
      <c r="DM287" s="804">
        <v>718</v>
      </c>
      <c r="DN287" s="804">
        <v>80</v>
      </c>
      <c r="DO287" s="804">
        <v>3991</v>
      </c>
      <c r="DP287" s="804">
        <v>0</v>
      </c>
      <c r="DQ287" s="804">
        <v>0</v>
      </c>
      <c r="DR287" s="804">
        <v>0</v>
      </c>
      <c r="DS287" s="804">
        <v>0</v>
      </c>
      <c r="DT287" s="804">
        <v>0</v>
      </c>
      <c r="DU287" s="804">
        <v>0</v>
      </c>
      <c r="DV287" s="804">
        <v>0</v>
      </c>
      <c r="DW287" s="804">
        <v>0</v>
      </c>
      <c r="DX287" s="804">
        <v>680374</v>
      </c>
      <c r="DY287" s="804">
        <v>153084</v>
      </c>
      <c r="DZ287" s="804">
        <v>17009</v>
      </c>
      <c r="EA287" s="804">
        <v>850467</v>
      </c>
      <c r="EB287" s="804">
        <v>2921747</v>
      </c>
      <c r="EC287" s="804">
        <v>656291</v>
      </c>
      <c r="ED287" s="804">
        <v>72921</v>
      </c>
      <c r="EE287" s="804">
        <v>3650959</v>
      </c>
      <c r="EF287" s="604" t="s">
        <v>448</v>
      </c>
      <c r="EG287" s="497" t="s">
        <v>586</v>
      </c>
      <c r="EH287" s="630" t="s">
        <v>585</v>
      </c>
      <c r="EI287" s="118" t="s">
        <v>1938</v>
      </c>
    </row>
    <row r="288" spans="1:139" ht="12.75" x14ac:dyDescent="0.2">
      <c r="A288" s="805">
        <v>281</v>
      </c>
      <c r="B288" s="606" t="s">
        <v>451</v>
      </c>
      <c r="C288" s="607" t="s">
        <v>1185</v>
      </c>
      <c r="D288" s="608" t="s">
        <v>1189</v>
      </c>
      <c r="E288" s="609" t="s">
        <v>450</v>
      </c>
      <c r="F288" s="802">
        <v>44913904</v>
      </c>
      <c r="G288" s="804">
        <v>153269</v>
      </c>
      <c r="H288" s="804">
        <v>0</v>
      </c>
      <c r="I288" s="804">
        <v>138878</v>
      </c>
      <c r="J288" s="804">
        <v>0</v>
      </c>
      <c r="K288" s="804">
        <v>138878</v>
      </c>
      <c r="L288" s="804">
        <v>0</v>
      </c>
      <c r="M288" s="804">
        <v>0</v>
      </c>
      <c r="N288" s="804">
        <v>107102</v>
      </c>
      <c r="O288" s="804">
        <v>107102</v>
      </c>
      <c r="P288" s="804">
        <v>0</v>
      </c>
      <c r="Q288" s="804">
        <v>0</v>
      </c>
      <c r="R288" s="804">
        <v>44821193</v>
      </c>
      <c r="S288" s="804">
        <v>0.5</v>
      </c>
      <c r="T288" s="804">
        <v>0.4</v>
      </c>
      <c r="U288" s="804">
        <v>0.09</v>
      </c>
      <c r="V288" s="804">
        <v>0.01</v>
      </c>
      <c r="W288" s="804">
        <v>1</v>
      </c>
      <c r="X288" s="804">
        <v>22410597</v>
      </c>
      <c r="Y288" s="804">
        <v>17928477</v>
      </c>
      <c r="Z288" s="804">
        <v>4033907</v>
      </c>
      <c r="AA288" s="804">
        <v>448212</v>
      </c>
      <c r="AB288" s="804">
        <v>44821193</v>
      </c>
      <c r="AC288" s="804">
        <v>0</v>
      </c>
      <c r="AD288" s="804">
        <v>0</v>
      </c>
      <c r="AE288" s="804">
        <v>0</v>
      </c>
      <c r="AF288" s="804">
        <v>0</v>
      </c>
      <c r="AG288" s="804">
        <v>0</v>
      </c>
      <c r="AH288" s="804">
        <v>22410597</v>
      </c>
      <c r="AI288" s="804">
        <v>17928477</v>
      </c>
      <c r="AJ288" s="804">
        <v>4033907</v>
      </c>
      <c r="AK288" s="804">
        <v>448212</v>
      </c>
      <c r="AL288" s="804">
        <v>44821193</v>
      </c>
      <c r="AM288" s="804">
        <v>138878</v>
      </c>
      <c r="AN288" s="804">
        <v>138878</v>
      </c>
      <c r="AO288" s="804">
        <v>0</v>
      </c>
      <c r="AP288" s="804">
        <v>0</v>
      </c>
      <c r="AQ288" s="804">
        <v>107102</v>
      </c>
      <c r="AR288" s="804">
        <v>0</v>
      </c>
      <c r="AS288" s="804">
        <v>107102</v>
      </c>
      <c r="AT288" s="804">
        <v>0</v>
      </c>
      <c r="AU288" s="804">
        <v>0</v>
      </c>
      <c r="AV288" s="804">
        <v>0</v>
      </c>
      <c r="AW288" s="804">
        <v>0</v>
      </c>
      <c r="AX288" s="804">
        <v>0</v>
      </c>
      <c r="AY288" s="804">
        <v>0</v>
      </c>
      <c r="AZ288" s="804">
        <v>0</v>
      </c>
      <c r="BA288" s="804">
        <v>0</v>
      </c>
      <c r="BB288" s="804">
        <v>0</v>
      </c>
      <c r="BC288" s="804">
        <v>0</v>
      </c>
      <c r="BD288" s="804">
        <v>0</v>
      </c>
      <c r="BE288" s="804">
        <v>0</v>
      </c>
      <c r="BF288" s="804">
        <v>0</v>
      </c>
      <c r="BG288" s="804">
        <v>0</v>
      </c>
      <c r="BH288" s="804">
        <v>0</v>
      </c>
      <c r="BI288" s="804">
        <v>0</v>
      </c>
      <c r="BJ288" s="804">
        <v>0.5</v>
      </c>
      <c r="BK288" s="804">
        <v>0.4</v>
      </c>
      <c r="BL288" s="804">
        <v>0.09</v>
      </c>
      <c r="BM288" s="804">
        <v>0.01</v>
      </c>
      <c r="BN288" s="804">
        <v>1</v>
      </c>
      <c r="BO288" s="804">
        <v>-164909</v>
      </c>
      <c r="BP288" s="804">
        <v>-131928</v>
      </c>
      <c r="BQ288" s="804">
        <v>-29684</v>
      </c>
      <c r="BR288" s="804">
        <v>-3298</v>
      </c>
      <c r="BS288" s="804">
        <v>-329819</v>
      </c>
      <c r="BT288" s="804">
        <v>0.5</v>
      </c>
      <c r="BU288" s="804">
        <v>0.4</v>
      </c>
      <c r="BV288" s="804">
        <v>0.09</v>
      </c>
      <c r="BW288" s="804">
        <v>0.01</v>
      </c>
      <c r="BX288" s="804">
        <v>1</v>
      </c>
      <c r="BY288" s="804">
        <v>155001</v>
      </c>
      <c r="BZ288" s="804">
        <v>124000</v>
      </c>
      <c r="CA288" s="804">
        <v>27900</v>
      </c>
      <c r="CB288" s="804">
        <v>3100</v>
      </c>
      <c r="CC288" s="804">
        <v>310001</v>
      </c>
      <c r="CD288" s="804">
        <v>-9908</v>
      </c>
      <c r="CE288" s="804">
        <v>-7928</v>
      </c>
      <c r="CF288" s="804">
        <v>-1784</v>
      </c>
      <c r="CG288" s="804">
        <v>-198</v>
      </c>
      <c r="CH288" s="804">
        <v>-19818</v>
      </c>
      <c r="CI288" s="804">
        <v>22400689</v>
      </c>
      <c r="CJ288" s="804">
        <v>18166529</v>
      </c>
      <c r="CK288" s="804">
        <v>4032123</v>
      </c>
      <c r="CL288" s="804">
        <v>448014</v>
      </c>
      <c r="CM288" s="804">
        <v>45047355</v>
      </c>
      <c r="CN288" s="804">
        <v>722869</v>
      </c>
      <c r="CO288" s="804">
        <v>161680</v>
      </c>
      <c r="CP288" s="804">
        <v>17964</v>
      </c>
      <c r="CQ288" s="804">
        <v>902513</v>
      </c>
      <c r="CR288" s="804">
        <v>1060067</v>
      </c>
      <c r="CS288" s="804">
        <v>238515</v>
      </c>
      <c r="CT288" s="804">
        <v>26502</v>
      </c>
      <c r="CU288" s="804">
        <v>1325084</v>
      </c>
      <c r="CV288" s="804">
        <v>75848</v>
      </c>
      <c r="CW288" s="804">
        <v>17066</v>
      </c>
      <c r="CX288" s="804">
        <v>1896</v>
      </c>
      <c r="CY288" s="804">
        <v>94810</v>
      </c>
      <c r="CZ288" s="804">
        <v>10891</v>
      </c>
      <c r="DA288" s="804">
        <v>2450</v>
      </c>
      <c r="DB288" s="804">
        <v>272</v>
      </c>
      <c r="DC288" s="804">
        <v>13613</v>
      </c>
      <c r="DD288" s="804">
        <v>13159</v>
      </c>
      <c r="DE288" s="804">
        <v>2961</v>
      </c>
      <c r="DF288" s="804">
        <v>329</v>
      </c>
      <c r="DG288" s="804">
        <v>16449</v>
      </c>
      <c r="DH288" s="804">
        <v>63025</v>
      </c>
      <c r="DI288" s="804">
        <v>14181</v>
      </c>
      <c r="DJ288" s="804">
        <v>1576</v>
      </c>
      <c r="DK288" s="804">
        <v>78782</v>
      </c>
      <c r="DL288" s="804">
        <v>0</v>
      </c>
      <c r="DM288" s="804">
        <v>0</v>
      </c>
      <c r="DN288" s="804">
        <v>0</v>
      </c>
      <c r="DO288" s="804">
        <v>0</v>
      </c>
      <c r="DP288" s="804">
        <v>0</v>
      </c>
      <c r="DQ288" s="804">
        <v>0</v>
      </c>
      <c r="DR288" s="804">
        <v>0</v>
      </c>
      <c r="DS288" s="804">
        <v>0</v>
      </c>
      <c r="DT288" s="804">
        <v>0</v>
      </c>
      <c r="DU288" s="804">
        <v>0</v>
      </c>
      <c r="DV288" s="804">
        <v>0</v>
      </c>
      <c r="DW288" s="804">
        <v>0</v>
      </c>
      <c r="DX288" s="804">
        <v>260504</v>
      </c>
      <c r="DY288" s="804">
        <v>58614</v>
      </c>
      <c r="DZ288" s="804">
        <v>6513</v>
      </c>
      <c r="EA288" s="804">
        <v>325631</v>
      </c>
      <c r="EB288" s="804">
        <v>2206363</v>
      </c>
      <c r="EC288" s="804">
        <v>495467</v>
      </c>
      <c r="ED288" s="804">
        <v>55052</v>
      </c>
      <c r="EE288" s="804">
        <v>2756882</v>
      </c>
      <c r="EF288" s="604" t="s">
        <v>450</v>
      </c>
      <c r="EG288" s="497" t="s">
        <v>570</v>
      </c>
      <c r="EH288" s="630" t="s">
        <v>568</v>
      </c>
      <c r="EI288" s="118" t="s">
        <v>1939</v>
      </c>
    </row>
    <row r="289" spans="1:139" ht="12.75" x14ac:dyDescent="0.2">
      <c r="A289" s="805">
        <v>282</v>
      </c>
      <c r="B289" s="606" t="s">
        <v>453</v>
      </c>
      <c r="C289" s="607" t="s">
        <v>1185</v>
      </c>
      <c r="D289" s="608" t="s">
        <v>1186</v>
      </c>
      <c r="E289" s="609" t="s">
        <v>452</v>
      </c>
      <c r="F289" s="802">
        <v>60597740</v>
      </c>
      <c r="G289" s="804">
        <v>0</v>
      </c>
      <c r="H289" s="804">
        <v>2768065</v>
      </c>
      <c r="I289" s="804">
        <v>171458</v>
      </c>
      <c r="J289" s="804">
        <v>0</v>
      </c>
      <c r="K289" s="804">
        <v>171458</v>
      </c>
      <c r="L289" s="804">
        <v>0</v>
      </c>
      <c r="M289" s="804">
        <v>2555566</v>
      </c>
      <c r="N289" s="804">
        <v>226304</v>
      </c>
      <c r="O289" s="804">
        <v>226304</v>
      </c>
      <c r="P289" s="804">
        <v>0</v>
      </c>
      <c r="Q289" s="804">
        <v>0</v>
      </c>
      <c r="R289" s="804">
        <v>54876347</v>
      </c>
      <c r="S289" s="804">
        <v>0.5</v>
      </c>
      <c r="T289" s="804">
        <v>0.4</v>
      </c>
      <c r="U289" s="804">
        <v>0.1</v>
      </c>
      <c r="V289" s="804">
        <v>0</v>
      </c>
      <c r="W289" s="804">
        <v>1</v>
      </c>
      <c r="X289" s="804">
        <v>27438173</v>
      </c>
      <c r="Y289" s="804">
        <v>21950539</v>
      </c>
      <c r="Z289" s="804">
        <v>5487635</v>
      </c>
      <c r="AA289" s="804">
        <v>0</v>
      </c>
      <c r="AB289" s="804">
        <v>54876347</v>
      </c>
      <c r="AC289" s="804">
        <v>581378</v>
      </c>
      <c r="AD289" s="804">
        <v>0</v>
      </c>
      <c r="AE289" s="804">
        <v>0</v>
      </c>
      <c r="AF289" s="804">
        <v>0</v>
      </c>
      <c r="AG289" s="804">
        <v>581378</v>
      </c>
      <c r="AH289" s="804">
        <v>26856795</v>
      </c>
      <c r="AI289" s="804">
        <v>21950539</v>
      </c>
      <c r="AJ289" s="804">
        <v>5487635</v>
      </c>
      <c r="AK289" s="804">
        <v>0</v>
      </c>
      <c r="AL289" s="804">
        <v>54294969</v>
      </c>
      <c r="AM289" s="804">
        <v>171458</v>
      </c>
      <c r="AN289" s="804">
        <v>171458</v>
      </c>
      <c r="AO289" s="804">
        <v>2555566</v>
      </c>
      <c r="AP289" s="804">
        <v>2555566</v>
      </c>
      <c r="AQ289" s="804">
        <v>226304</v>
      </c>
      <c r="AR289" s="804">
        <v>0</v>
      </c>
      <c r="AS289" s="804">
        <v>226304</v>
      </c>
      <c r="AT289" s="804">
        <v>0</v>
      </c>
      <c r="AU289" s="804">
        <v>0</v>
      </c>
      <c r="AV289" s="804">
        <v>0</v>
      </c>
      <c r="AW289" s="804">
        <v>0</v>
      </c>
      <c r="AX289" s="804">
        <v>581378</v>
      </c>
      <c r="AY289" s="804">
        <v>0</v>
      </c>
      <c r="AZ289" s="804">
        <v>0</v>
      </c>
      <c r="BA289" s="804">
        <v>581378</v>
      </c>
      <c r="BB289" s="804">
        <v>0</v>
      </c>
      <c r="BC289" s="804">
        <v>0</v>
      </c>
      <c r="BD289" s="804">
        <v>0</v>
      </c>
      <c r="BE289" s="804">
        <v>0</v>
      </c>
      <c r="BF289" s="804">
        <v>0</v>
      </c>
      <c r="BG289" s="804">
        <v>0</v>
      </c>
      <c r="BH289" s="804">
        <v>0</v>
      </c>
      <c r="BI289" s="804">
        <v>0</v>
      </c>
      <c r="BJ289" s="804">
        <v>0.5</v>
      </c>
      <c r="BK289" s="804">
        <v>0.4</v>
      </c>
      <c r="BL289" s="804">
        <v>0.1</v>
      </c>
      <c r="BM289" s="804">
        <v>0</v>
      </c>
      <c r="BN289" s="804">
        <v>1</v>
      </c>
      <c r="BO289" s="804">
        <v>1127601</v>
      </c>
      <c r="BP289" s="804">
        <v>902080</v>
      </c>
      <c r="BQ289" s="804">
        <v>225520</v>
      </c>
      <c r="BR289" s="804">
        <v>0</v>
      </c>
      <c r="BS289" s="804">
        <v>2255201</v>
      </c>
      <c r="BT289" s="804">
        <v>0.5</v>
      </c>
      <c r="BU289" s="804">
        <v>0.4</v>
      </c>
      <c r="BV289" s="804">
        <v>0.1</v>
      </c>
      <c r="BW289" s="804">
        <v>0</v>
      </c>
      <c r="BX289" s="804">
        <v>1</v>
      </c>
      <c r="BY289" s="804">
        <v>-117969</v>
      </c>
      <c r="BZ289" s="804">
        <v>-94375</v>
      </c>
      <c r="CA289" s="804">
        <v>-23594</v>
      </c>
      <c r="CB289" s="804">
        <v>0</v>
      </c>
      <c r="CC289" s="804">
        <v>-235938</v>
      </c>
      <c r="CD289" s="804">
        <v>1009632</v>
      </c>
      <c r="CE289" s="804">
        <v>807705</v>
      </c>
      <c r="CF289" s="804">
        <v>201926</v>
      </c>
      <c r="CG289" s="804">
        <v>0</v>
      </c>
      <c r="CH289" s="804">
        <v>2019263</v>
      </c>
      <c r="CI289" s="804">
        <v>27866427</v>
      </c>
      <c r="CJ289" s="804">
        <v>26292950</v>
      </c>
      <c r="CK289" s="804">
        <v>5689561</v>
      </c>
      <c r="CL289" s="804">
        <v>0</v>
      </c>
      <c r="CM289" s="804">
        <v>59848938</v>
      </c>
      <c r="CN289" s="804">
        <v>1014581</v>
      </c>
      <c r="CO289" s="804">
        <v>219945</v>
      </c>
      <c r="CP289" s="804">
        <v>0</v>
      </c>
      <c r="CQ289" s="804">
        <v>1234526</v>
      </c>
      <c r="CR289" s="804">
        <v>821787</v>
      </c>
      <c r="CS289" s="804">
        <v>198533</v>
      </c>
      <c r="CT289" s="804">
        <v>0</v>
      </c>
      <c r="CU289" s="804">
        <v>1020320</v>
      </c>
      <c r="CV289" s="804">
        <v>100922</v>
      </c>
      <c r="CW289" s="804">
        <v>23071</v>
      </c>
      <c r="CX289" s="804">
        <v>0</v>
      </c>
      <c r="CY289" s="804">
        <v>123993</v>
      </c>
      <c r="CZ289" s="804">
        <v>0</v>
      </c>
      <c r="DA289" s="804">
        <v>0</v>
      </c>
      <c r="DB289" s="804">
        <v>0</v>
      </c>
      <c r="DC289" s="804">
        <v>0</v>
      </c>
      <c r="DD289" s="804">
        <v>9846</v>
      </c>
      <c r="DE289" s="804">
        <v>2461</v>
      </c>
      <c r="DF289" s="804">
        <v>0</v>
      </c>
      <c r="DG289" s="804">
        <v>12307</v>
      </c>
      <c r="DH289" s="804">
        <v>14020</v>
      </c>
      <c r="DI289" s="804">
        <v>3505</v>
      </c>
      <c r="DJ289" s="804">
        <v>0</v>
      </c>
      <c r="DK289" s="804">
        <v>17525</v>
      </c>
      <c r="DL289" s="804">
        <v>3986</v>
      </c>
      <c r="DM289" s="804">
        <v>996</v>
      </c>
      <c r="DN289" s="804">
        <v>0</v>
      </c>
      <c r="DO289" s="804">
        <v>4982</v>
      </c>
      <c r="DP289" s="804">
        <v>0</v>
      </c>
      <c r="DQ289" s="804">
        <v>0</v>
      </c>
      <c r="DR289" s="804">
        <v>0</v>
      </c>
      <c r="DS289" s="804">
        <v>0</v>
      </c>
      <c r="DT289" s="804">
        <v>0</v>
      </c>
      <c r="DU289" s="804">
        <v>0</v>
      </c>
      <c r="DV289" s="804">
        <v>0</v>
      </c>
      <c r="DW289" s="804">
        <v>0</v>
      </c>
      <c r="DX289" s="804">
        <v>267950</v>
      </c>
      <c r="DY289" s="804">
        <v>66988</v>
      </c>
      <c r="DZ289" s="804">
        <v>0</v>
      </c>
      <c r="EA289" s="804">
        <v>334938</v>
      </c>
      <c r="EB289" s="804">
        <v>2233092</v>
      </c>
      <c r="EC289" s="804">
        <v>515499</v>
      </c>
      <c r="ED289" s="804">
        <v>0</v>
      </c>
      <c r="EE289" s="804">
        <v>2748591</v>
      </c>
      <c r="EF289" s="604" t="s">
        <v>452</v>
      </c>
      <c r="EG289" s="497" t="s">
        <v>604</v>
      </c>
      <c r="EH289" s="630" t="s">
        <v>551</v>
      </c>
      <c r="EI289" s="118" t="s">
        <v>1940</v>
      </c>
    </row>
    <row r="290" spans="1:139" ht="12.75" x14ac:dyDescent="0.2">
      <c r="A290" s="805">
        <v>283</v>
      </c>
      <c r="B290" s="606" t="s">
        <v>455</v>
      </c>
      <c r="C290" s="607" t="s">
        <v>1192</v>
      </c>
      <c r="D290" s="608" t="s">
        <v>1193</v>
      </c>
      <c r="E290" s="609" t="s">
        <v>454</v>
      </c>
      <c r="F290" s="802">
        <v>136714462</v>
      </c>
      <c r="G290" s="804">
        <v>122535</v>
      </c>
      <c r="H290" s="804">
        <v>0</v>
      </c>
      <c r="I290" s="804">
        <v>461465</v>
      </c>
      <c r="J290" s="804">
        <v>0</v>
      </c>
      <c r="K290" s="804">
        <v>461465</v>
      </c>
      <c r="L290" s="804">
        <v>0</v>
      </c>
      <c r="M290" s="804">
        <v>21934</v>
      </c>
      <c r="N290" s="804">
        <v>1044374</v>
      </c>
      <c r="O290" s="804">
        <v>1044374</v>
      </c>
      <c r="P290" s="804">
        <v>0</v>
      </c>
      <c r="Q290" s="804">
        <v>0</v>
      </c>
      <c r="R290" s="804">
        <v>135309224</v>
      </c>
      <c r="S290" s="804">
        <v>0.5</v>
      </c>
      <c r="T290" s="804">
        <v>0.49</v>
      </c>
      <c r="U290" s="804">
        <v>0</v>
      </c>
      <c r="V290" s="804">
        <v>0.01</v>
      </c>
      <c r="W290" s="804">
        <v>1</v>
      </c>
      <c r="X290" s="804">
        <v>67654612</v>
      </c>
      <c r="Y290" s="804">
        <v>66301520</v>
      </c>
      <c r="Z290" s="804">
        <v>0</v>
      </c>
      <c r="AA290" s="804">
        <v>1353092</v>
      </c>
      <c r="AB290" s="804">
        <v>135309224</v>
      </c>
      <c r="AC290" s="804">
        <v>112040</v>
      </c>
      <c r="AD290" s="804">
        <v>0</v>
      </c>
      <c r="AE290" s="804">
        <v>0</v>
      </c>
      <c r="AF290" s="804">
        <v>0</v>
      </c>
      <c r="AG290" s="804">
        <v>112040</v>
      </c>
      <c r="AH290" s="804">
        <v>67542572</v>
      </c>
      <c r="AI290" s="804">
        <v>66301520</v>
      </c>
      <c r="AJ290" s="804">
        <v>0</v>
      </c>
      <c r="AK290" s="804">
        <v>1353092</v>
      </c>
      <c r="AL290" s="804">
        <v>135197184</v>
      </c>
      <c r="AM290" s="804">
        <v>461465</v>
      </c>
      <c r="AN290" s="804">
        <v>461465</v>
      </c>
      <c r="AO290" s="804">
        <v>21934</v>
      </c>
      <c r="AP290" s="804">
        <v>21934</v>
      </c>
      <c r="AQ290" s="804">
        <v>1044374</v>
      </c>
      <c r="AR290" s="804">
        <v>0</v>
      </c>
      <c r="AS290" s="804">
        <v>1044374</v>
      </c>
      <c r="AT290" s="804">
        <v>0</v>
      </c>
      <c r="AU290" s="804">
        <v>0</v>
      </c>
      <c r="AV290" s="804">
        <v>0</v>
      </c>
      <c r="AW290" s="804">
        <v>0</v>
      </c>
      <c r="AX290" s="804">
        <v>112040</v>
      </c>
      <c r="AY290" s="804">
        <v>0</v>
      </c>
      <c r="AZ290" s="804">
        <v>0</v>
      </c>
      <c r="BA290" s="804">
        <v>112040</v>
      </c>
      <c r="BB290" s="804">
        <v>0</v>
      </c>
      <c r="BC290" s="804">
        <v>0</v>
      </c>
      <c r="BD290" s="804">
        <v>0</v>
      </c>
      <c r="BE290" s="804">
        <v>0</v>
      </c>
      <c r="BF290" s="804">
        <v>0</v>
      </c>
      <c r="BG290" s="804">
        <v>0</v>
      </c>
      <c r="BH290" s="804">
        <v>0</v>
      </c>
      <c r="BI290" s="804">
        <v>0</v>
      </c>
      <c r="BJ290" s="804">
        <v>0.25</v>
      </c>
      <c r="BK290" s="804">
        <v>0.74</v>
      </c>
      <c r="BL290" s="804">
        <v>0</v>
      </c>
      <c r="BM290" s="804">
        <v>0.01</v>
      </c>
      <c r="BN290" s="804">
        <v>1</v>
      </c>
      <c r="BO290" s="804">
        <v>761019</v>
      </c>
      <c r="BP290" s="804">
        <v>2252616</v>
      </c>
      <c r="BQ290" s="804">
        <v>0</v>
      </c>
      <c r="BR290" s="804">
        <v>30441</v>
      </c>
      <c r="BS290" s="804">
        <v>3044076</v>
      </c>
      <c r="BT290" s="804">
        <v>0</v>
      </c>
      <c r="BU290" s="804">
        <v>0.99</v>
      </c>
      <c r="BV290" s="804">
        <v>0</v>
      </c>
      <c r="BW290" s="804">
        <v>0.01</v>
      </c>
      <c r="BX290" s="804">
        <v>1</v>
      </c>
      <c r="BY290" s="804">
        <v>0</v>
      </c>
      <c r="BZ290" s="804">
        <v>421898</v>
      </c>
      <c r="CA290" s="804">
        <v>0</v>
      </c>
      <c r="CB290" s="804">
        <v>4262</v>
      </c>
      <c r="CC290" s="804">
        <v>426160</v>
      </c>
      <c r="CD290" s="804">
        <v>761019</v>
      </c>
      <c r="CE290" s="804">
        <v>2674514</v>
      </c>
      <c r="CF290" s="804">
        <v>0</v>
      </c>
      <c r="CG290" s="804">
        <v>34703</v>
      </c>
      <c r="CH290" s="804">
        <v>3470236</v>
      </c>
      <c r="CI290" s="804">
        <v>68303591</v>
      </c>
      <c r="CJ290" s="804">
        <v>70615847</v>
      </c>
      <c r="CK290" s="804">
        <v>0</v>
      </c>
      <c r="CL290" s="804">
        <v>1387795</v>
      </c>
      <c r="CM290" s="804">
        <v>140307233</v>
      </c>
      <c r="CN290" s="804">
        <v>2704604</v>
      </c>
      <c r="CO290" s="804">
        <v>0</v>
      </c>
      <c r="CP290" s="804">
        <v>54232</v>
      </c>
      <c r="CQ290" s="804">
        <v>2758836</v>
      </c>
      <c r="CR290" s="804">
        <v>4955591</v>
      </c>
      <c r="CS290" s="804">
        <v>0</v>
      </c>
      <c r="CT290" s="804">
        <v>101134</v>
      </c>
      <c r="CU290" s="804">
        <v>5056725</v>
      </c>
      <c r="CV290" s="804">
        <v>311431</v>
      </c>
      <c r="CW290" s="804">
        <v>0</v>
      </c>
      <c r="CX290" s="804">
        <v>6347</v>
      </c>
      <c r="CY290" s="804">
        <v>317778</v>
      </c>
      <c r="CZ290" s="804">
        <v>5096</v>
      </c>
      <c r="DA290" s="804">
        <v>0</v>
      </c>
      <c r="DB290" s="804">
        <v>104</v>
      </c>
      <c r="DC290" s="804">
        <v>5200</v>
      </c>
      <c r="DD290" s="804">
        <v>0</v>
      </c>
      <c r="DE290" s="804">
        <v>0</v>
      </c>
      <c r="DF290" s="804">
        <v>0</v>
      </c>
      <c r="DG290" s="804">
        <v>0</v>
      </c>
      <c r="DH290" s="804">
        <v>81233</v>
      </c>
      <c r="DI290" s="804">
        <v>0</v>
      </c>
      <c r="DJ290" s="804">
        <v>1658</v>
      </c>
      <c r="DK290" s="804">
        <v>82891</v>
      </c>
      <c r="DL290" s="804">
        <v>12146</v>
      </c>
      <c r="DM290" s="804">
        <v>0</v>
      </c>
      <c r="DN290" s="804">
        <v>248</v>
      </c>
      <c r="DO290" s="804">
        <v>12394</v>
      </c>
      <c r="DP290" s="804">
        <v>0</v>
      </c>
      <c r="DQ290" s="804">
        <v>0</v>
      </c>
      <c r="DR290" s="804">
        <v>0</v>
      </c>
      <c r="DS290" s="804">
        <v>0</v>
      </c>
      <c r="DT290" s="804">
        <v>0</v>
      </c>
      <c r="DU290" s="804">
        <v>0</v>
      </c>
      <c r="DV290" s="804">
        <v>0</v>
      </c>
      <c r="DW290" s="804">
        <v>0</v>
      </c>
      <c r="DX290" s="804">
        <v>1034528</v>
      </c>
      <c r="DY290" s="804">
        <v>0</v>
      </c>
      <c r="DZ290" s="804">
        <v>21113</v>
      </c>
      <c r="EA290" s="804">
        <v>1055641</v>
      </c>
      <c r="EB290" s="804">
        <v>9104629</v>
      </c>
      <c r="EC290" s="804">
        <v>0</v>
      </c>
      <c r="ED290" s="804">
        <v>184836</v>
      </c>
      <c r="EE290" s="804">
        <v>9289465</v>
      </c>
      <c r="EF290" s="604" t="s">
        <v>454</v>
      </c>
      <c r="EG290" s="497" t="s">
        <v>616</v>
      </c>
      <c r="EH290" s="630" t="s">
        <v>622</v>
      </c>
      <c r="EI290" s="118" t="s">
        <v>1941</v>
      </c>
    </row>
    <row r="291" spans="1:139" ht="12.75" x14ac:dyDescent="0.2">
      <c r="A291" s="805">
        <v>284</v>
      </c>
      <c r="B291" s="606" t="s">
        <v>457</v>
      </c>
      <c r="C291" s="607" t="s">
        <v>1192</v>
      </c>
      <c r="D291" s="608" t="s">
        <v>1195</v>
      </c>
      <c r="E291" s="609" t="s">
        <v>456</v>
      </c>
      <c r="F291" s="802">
        <v>74788463</v>
      </c>
      <c r="G291" s="804">
        <v>192250</v>
      </c>
      <c r="H291" s="804">
        <v>0</v>
      </c>
      <c r="I291" s="804">
        <v>327254</v>
      </c>
      <c r="J291" s="804">
        <v>0</v>
      </c>
      <c r="K291" s="804">
        <v>327254</v>
      </c>
      <c r="L291" s="804">
        <v>0</v>
      </c>
      <c r="M291" s="804">
        <v>22253</v>
      </c>
      <c r="N291" s="804">
        <v>0</v>
      </c>
      <c r="O291" s="804">
        <v>0</v>
      </c>
      <c r="P291" s="804">
        <v>0</v>
      </c>
      <c r="Q291" s="804">
        <v>0</v>
      </c>
      <c r="R291" s="804">
        <v>74631206</v>
      </c>
      <c r="S291" s="804">
        <v>0</v>
      </c>
      <c r="T291" s="804">
        <v>0.99</v>
      </c>
      <c r="U291" s="804">
        <v>0</v>
      </c>
      <c r="V291" s="804">
        <v>0.01</v>
      </c>
      <c r="W291" s="804">
        <v>1</v>
      </c>
      <c r="X291" s="804">
        <v>0</v>
      </c>
      <c r="Y291" s="804">
        <v>73884894</v>
      </c>
      <c r="Z291" s="804">
        <v>0</v>
      </c>
      <c r="AA291" s="804">
        <v>746312</v>
      </c>
      <c r="AB291" s="804">
        <v>74631206</v>
      </c>
      <c r="AC291" s="804">
        <v>0</v>
      </c>
      <c r="AD291" s="804">
        <v>0</v>
      </c>
      <c r="AE291" s="804">
        <v>0</v>
      </c>
      <c r="AF291" s="804">
        <v>0</v>
      </c>
      <c r="AG291" s="804">
        <v>0</v>
      </c>
      <c r="AH291" s="804">
        <v>0</v>
      </c>
      <c r="AI291" s="804">
        <v>73884894</v>
      </c>
      <c r="AJ291" s="804">
        <v>0</v>
      </c>
      <c r="AK291" s="804">
        <v>746312</v>
      </c>
      <c r="AL291" s="804">
        <v>74631206</v>
      </c>
      <c r="AM291" s="804">
        <v>327254</v>
      </c>
      <c r="AN291" s="804">
        <v>327254</v>
      </c>
      <c r="AO291" s="804">
        <v>22253</v>
      </c>
      <c r="AP291" s="804">
        <v>22253</v>
      </c>
      <c r="AQ291" s="804">
        <v>0</v>
      </c>
      <c r="AR291" s="804">
        <v>0</v>
      </c>
      <c r="AS291" s="804">
        <v>0</v>
      </c>
      <c r="AT291" s="804">
        <v>0</v>
      </c>
      <c r="AU291" s="804">
        <v>0</v>
      </c>
      <c r="AV291" s="804">
        <v>0</v>
      </c>
      <c r="AW291" s="804">
        <v>0</v>
      </c>
      <c r="AX291" s="804">
        <v>0</v>
      </c>
      <c r="AY291" s="804">
        <v>0</v>
      </c>
      <c r="AZ291" s="804">
        <v>0</v>
      </c>
      <c r="BA291" s="804">
        <v>0</v>
      </c>
      <c r="BB291" s="804">
        <v>0</v>
      </c>
      <c r="BC291" s="804">
        <v>0</v>
      </c>
      <c r="BD291" s="804">
        <v>0</v>
      </c>
      <c r="BE291" s="804">
        <v>0</v>
      </c>
      <c r="BF291" s="804">
        <v>0</v>
      </c>
      <c r="BG291" s="804">
        <v>0</v>
      </c>
      <c r="BH291" s="804">
        <v>0</v>
      </c>
      <c r="BI291" s="804">
        <v>0</v>
      </c>
      <c r="BJ291" s="804">
        <v>0</v>
      </c>
      <c r="BK291" s="804">
        <v>0.99</v>
      </c>
      <c r="BL291" s="804">
        <v>0</v>
      </c>
      <c r="BM291" s="804">
        <v>0.01</v>
      </c>
      <c r="BN291" s="804">
        <v>1</v>
      </c>
      <c r="BO291" s="804">
        <v>0</v>
      </c>
      <c r="BP291" s="804">
        <v>148154</v>
      </c>
      <c r="BQ291" s="804">
        <v>0</v>
      </c>
      <c r="BR291" s="804">
        <v>1497</v>
      </c>
      <c r="BS291" s="804">
        <v>149651</v>
      </c>
      <c r="BT291" s="804">
        <v>0</v>
      </c>
      <c r="BU291" s="804">
        <v>0.99</v>
      </c>
      <c r="BV291" s="804">
        <v>0</v>
      </c>
      <c r="BW291" s="804">
        <v>0.01</v>
      </c>
      <c r="BX291" s="804">
        <v>1</v>
      </c>
      <c r="BY291" s="804">
        <v>0</v>
      </c>
      <c r="BZ291" s="804">
        <v>-199835</v>
      </c>
      <c r="CA291" s="804">
        <v>0</v>
      </c>
      <c r="CB291" s="804">
        <v>-2019</v>
      </c>
      <c r="CC291" s="804">
        <v>-201854</v>
      </c>
      <c r="CD291" s="804">
        <v>0</v>
      </c>
      <c r="CE291" s="804">
        <v>-51681</v>
      </c>
      <c r="CF291" s="804">
        <v>0</v>
      </c>
      <c r="CG291" s="804">
        <v>-522</v>
      </c>
      <c r="CH291" s="804">
        <v>-52203</v>
      </c>
      <c r="CI291" s="804">
        <v>0</v>
      </c>
      <c r="CJ291" s="804">
        <v>74182720</v>
      </c>
      <c r="CK291" s="804">
        <v>0</v>
      </c>
      <c r="CL291" s="804">
        <v>745790</v>
      </c>
      <c r="CM291" s="804">
        <v>74928510</v>
      </c>
      <c r="CN291" s="804">
        <v>2962210</v>
      </c>
      <c r="CO291" s="804">
        <v>0</v>
      </c>
      <c r="CP291" s="804">
        <v>29912</v>
      </c>
      <c r="CQ291" s="804">
        <v>2992122</v>
      </c>
      <c r="CR291" s="804">
        <v>7132380</v>
      </c>
      <c r="CS291" s="804">
        <v>0</v>
      </c>
      <c r="CT291" s="804">
        <v>72034</v>
      </c>
      <c r="CU291" s="804">
        <v>7204414</v>
      </c>
      <c r="CV291" s="804">
        <v>343645</v>
      </c>
      <c r="CW291" s="804">
        <v>0</v>
      </c>
      <c r="CX291" s="804">
        <v>3460</v>
      </c>
      <c r="CY291" s="804">
        <v>347105</v>
      </c>
      <c r="CZ291" s="804">
        <v>20147</v>
      </c>
      <c r="DA291" s="804">
        <v>0</v>
      </c>
      <c r="DB291" s="804">
        <v>204</v>
      </c>
      <c r="DC291" s="804">
        <v>20351</v>
      </c>
      <c r="DD291" s="804">
        <v>0</v>
      </c>
      <c r="DE291" s="804">
        <v>0</v>
      </c>
      <c r="DF291" s="804">
        <v>0</v>
      </c>
      <c r="DG291" s="804">
        <v>0</v>
      </c>
      <c r="DH291" s="804">
        <v>20370</v>
      </c>
      <c r="DI291" s="804">
        <v>0</v>
      </c>
      <c r="DJ291" s="804">
        <v>206</v>
      </c>
      <c r="DK291" s="804">
        <v>20576</v>
      </c>
      <c r="DL291" s="804">
        <v>0</v>
      </c>
      <c r="DM291" s="804">
        <v>0</v>
      </c>
      <c r="DN291" s="804">
        <v>0</v>
      </c>
      <c r="DO291" s="804">
        <v>0</v>
      </c>
      <c r="DP291" s="804">
        <v>18338</v>
      </c>
      <c r="DQ291" s="804">
        <v>0</v>
      </c>
      <c r="DR291" s="804">
        <v>0</v>
      </c>
      <c r="DS291" s="804">
        <v>18338</v>
      </c>
      <c r="DT291" s="804">
        <v>0</v>
      </c>
      <c r="DU291" s="804">
        <v>0</v>
      </c>
      <c r="DV291" s="804">
        <v>0</v>
      </c>
      <c r="DW291" s="804">
        <v>0</v>
      </c>
      <c r="DX291" s="804">
        <v>952167</v>
      </c>
      <c r="DY291" s="804">
        <v>0</v>
      </c>
      <c r="DZ291" s="804">
        <v>9618</v>
      </c>
      <c r="EA291" s="804">
        <v>961785</v>
      </c>
      <c r="EB291" s="804">
        <v>11449257</v>
      </c>
      <c r="EC291" s="804">
        <v>0</v>
      </c>
      <c r="ED291" s="804">
        <v>115434</v>
      </c>
      <c r="EE291" s="804">
        <v>11564691</v>
      </c>
      <c r="EF291" s="604" t="s">
        <v>456</v>
      </c>
      <c r="EG291" s="497" t="s">
        <v>616</v>
      </c>
      <c r="EH291" s="630" t="s">
        <v>621</v>
      </c>
      <c r="EI291" s="118" t="s">
        <v>1942</v>
      </c>
    </row>
    <row r="292" spans="1:139" ht="12.75" x14ac:dyDescent="0.2">
      <c r="A292" s="805">
        <v>285</v>
      </c>
      <c r="B292" s="606" t="s">
        <v>459</v>
      </c>
      <c r="C292" s="607" t="s">
        <v>1190</v>
      </c>
      <c r="D292" s="608" t="s">
        <v>1191</v>
      </c>
      <c r="E292" s="609" t="s">
        <v>458</v>
      </c>
      <c r="F292" s="802">
        <v>65626044</v>
      </c>
      <c r="G292" s="804">
        <v>845694</v>
      </c>
      <c r="H292" s="804">
        <v>0</v>
      </c>
      <c r="I292" s="804">
        <v>284128</v>
      </c>
      <c r="J292" s="804">
        <v>0</v>
      </c>
      <c r="K292" s="804">
        <v>284128</v>
      </c>
      <c r="L292" s="804">
        <v>0</v>
      </c>
      <c r="M292" s="804">
        <v>0</v>
      </c>
      <c r="N292" s="804">
        <v>0</v>
      </c>
      <c r="O292" s="804">
        <v>0</v>
      </c>
      <c r="P292" s="804">
        <v>0</v>
      </c>
      <c r="Q292" s="804">
        <v>0</v>
      </c>
      <c r="R292" s="804">
        <v>66187610</v>
      </c>
      <c r="S292" s="804">
        <v>0.33</v>
      </c>
      <c r="T292" s="804">
        <v>0.3</v>
      </c>
      <c r="U292" s="804">
        <v>0.37</v>
      </c>
      <c r="V292" s="804">
        <v>0</v>
      </c>
      <c r="W292" s="804">
        <v>1</v>
      </c>
      <c r="X292" s="804">
        <v>21841911</v>
      </c>
      <c r="Y292" s="804">
        <v>19856283</v>
      </c>
      <c r="Z292" s="804">
        <v>24489416</v>
      </c>
      <c r="AA292" s="804">
        <v>0</v>
      </c>
      <c r="AB292" s="804">
        <v>66187610</v>
      </c>
      <c r="AC292" s="804">
        <v>0</v>
      </c>
      <c r="AD292" s="804">
        <v>0</v>
      </c>
      <c r="AE292" s="804">
        <v>0</v>
      </c>
      <c r="AF292" s="804">
        <v>0</v>
      </c>
      <c r="AG292" s="804">
        <v>0</v>
      </c>
      <c r="AH292" s="804">
        <v>21841911</v>
      </c>
      <c r="AI292" s="804">
        <v>19856283</v>
      </c>
      <c r="AJ292" s="804">
        <v>24489416</v>
      </c>
      <c r="AK292" s="804">
        <v>0</v>
      </c>
      <c r="AL292" s="804">
        <v>66187610</v>
      </c>
      <c r="AM292" s="804">
        <v>284128</v>
      </c>
      <c r="AN292" s="804">
        <v>284128</v>
      </c>
      <c r="AO292" s="804">
        <v>0</v>
      </c>
      <c r="AP292" s="804">
        <v>0</v>
      </c>
      <c r="AQ292" s="804">
        <v>0</v>
      </c>
      <c r="AR292" s="804">
        <v>0</v>
      </c>
      <c r="AS292" s="804">
        <v>0</v>
      </c>
      <c r="AT292" s="804">
        <v>0</v>
      </c>
      <c r="AU292" s="804">
        <v>0</v>
      </c>
      <c r="AV292" s="804">
        <v>0</v>
      </c>
      <c r="AW292" s="804">
        <v>0</v>
      </c>
      <c r="AX292" s="804">
        <v>0</v>
      </c>
      <c r="AY292" s="804">
        <v>0</v>
      </c>
      <c r="AZ292" s="804">
        <v>0</v>
      </c>
      <c r="BA292" s="804">
        <v>0</v>
      </c>
      <c r="BB292" s="804">
        <v>0</v>
      </c>
      <c r="BC292" s="804">
        <v>0</v>
      </c>
      <c r="BD292" s="804">
        <v>0</v>
      </c>
      <c r="BE292" s="804">
        <v>0</v>
      </c>
      <c r="BF292" s="804">
        <v>0</v>
      </c>
      <c r="BG292" s="804">
        <v>0</v>
      </c>
      <c r="BH292" s="804">
        <v>0</v>
      </c>
      <c r="BI292" s="804">
        <v>0</v>
      </c>
      <c r="BJ292" s="804">
        <v>0.25</v>
      </c>
      <c r="BK292" s="804">
        <v>0.48</v>
      </c>
      <c r="BL292" s="804">
        <v>0.27</v>
      </c>
      <c r="BM292" s="804">
        <v>0</v>
      </c>
      <c r="BN292" s="804">
        <v>1</v>
      </c>
      <c r="BO292" s="804">
        <v>297081</v>
      </c>
      <c r="BP292" s="804">
        <v>570395</v>
      </c>
      <c r="BQ292" s="804">
        <v>320847</v>
      </c>
      <c r="BR292" s="804">
        <v>0</v>
      </c>
      <c r="BS292" s="804">
        <v>1188323</v>
      </c>
      <c r="BT292" s="804">
        <v>0</v>
      </c>
      <c r="BU292" s="804">
        <v>0.64</v>
      </c>
      <c r="BV292" s="804">
        <v>0.36</v>
      </c>
      <c r="BW292" s="804">
        <v>0</v>
      </c>
      <c r="BX292" s="804">
        <v>1</v>
      </c>
      <c r="BY292" s="804">
        <v>0</v>
      </c>
      <c r="BZ292" s="804">
        <v>26763</v>
      </c>
      <c r="CA292" s="804">
        <v>15054</v>
      </c>
      <c r="CB292" s="804">
        <v>0</v>
      </c>
      <c r="CC292" s="804">
        <v>41817</v>
      </c>
      <c r="CD292" s="804">
        <v>297081</v>
      </c>
      <c r="CE292" s="804">
        <v>597158</v>
      </c>
      <c r="CF292" s="804">
        <v>335901</v>
      </c>
      <c r="CG292" s="804">
        <v>0</v>
      </c>
      <c r="CH292" s="804">
        <v>1230140</v>
      </c>
      <c r="CI292" s="804">
        <v>22138992</v>
      </c>
      <c r="CJ292" s="804">
        <v>20737569</v>
      </c>
      <c r="CK292" s="804">
        <v>24825317</v>
      </c>
      <c r="CL292" s="804">
        <v>0</v>
      </c>
      <c r="CM292" s="804">
        <v>67701878</v>
      </c>
      <c r="CN292" s="804">
        <v>795843</v>
      </c>
      <c r="CO292" s="804">
        <v>981540</v>
      </c>
      <c r="CP292" s="804">
        <v>0</v>
      </c>
      <c r="CQ292" s="804">
        <v>1777383</v>
      </c>
      <c r="CR292" s="804">
        <v>2231611</v>
      </c>
      <c r="CS292" s="804">
        <v>2752321</v>
      </c>
      <c r="CT292" s="804">
        <v>0</v>
      </c>
      <c r="CU292" s="804">
        <v>4983932</v>
      </c>
      <c r="CV292" s="804">
        <v>78732</v>
      </c>
      <c r="CW292" s="804">
        <v>97103</v>
      </c>
      <c r="CX292" s="804">
        <v>0</v>
      </c>
      <c r="CY292" s="804">
        <v>175835</v>
      </c>
      <c r="CZ292" s="804">
        <v>0</v>
      </c>
      <c r="DA292" s="804">
        <v>0</v>
      </c>
      <c r="DB292" s="804">
        <v>0</v>
      </c>
      <c r="DC292" s="804">
        <v>0</v>
      </c>
      <c r="DD292" s="804">
        <v>0</v>
      </c>
      <c r="DE292" s="804">
        <v>0</v>
      </c>
      <c r="DF292" s="804">
        <v>0</v>
      </c>
      <c r="DG292" s="804">
        <v>0</v>
      </c>
      <c r="DH292" s="804">
        <v>63023</v>
      </c>
      <c r="DI292" s="804">
        <v>77728</v>
      </c>
      <c r="DJ292" s="804">
        <v>0</v>
      </c>
      <c r="DK292" s="804">
        <v>140751</v>
      </c>
      <c r="DL292" s="804">
        <v>9984</v>
      </c>
      <c r="DM292" s="804">
        <v>12315</v>
      </c>
      <c r="DN292" s="804">
        <v>0</v>
      </c>
      <c r="DO292" s="804">
        <v>22299</v>
      </c>
      <c r="DP292" s="804">
        <v>0</v>
      </c>
      <c r="DQ292" s="804">
        <v>0</v>
      </c>
      <c r="DR292" s="804">
        <v>0</v>
      </c>
      <c r="DS292" s="804">
        <v>0</v>
      </c>
      <c r="DT292" s="804">
        <v>0</v>
      </c>
      <c r="DU292" s="804">
        <v>0</v>
      </c>
      <c r="DV292" s="804">
        <v>0</v>
      </c>
      <c r="DW292" s="804">
        <v>0</v>
      </c>
      <c r="DX292" s="804">
        <v>765796</v>
      </c>
      <c r="DY292" s="804">
        <v>944482</v>
      </c>
      <c r="DZ292" s="804">
        <v>0</v>
      </c>
      <c r="EA292" s="804">
        <v>1710278</v>
      </c>
      <c r="EB292" s="804">
        <v>3944989</v>
      </c>
      <c r="EC292" s="804">
        <v>4865489</v>
      </c>
      <c r="ED292" s="804">
        <v>0</v>
      </c>
      <c r="EE292" s="804">
        <v>8810478</v>
      </c>
      <c r="EF292" s="604" t="s">
        <v>458</v>
      </c>
      <c r="EG292" s="497" t="s">
        <v>623</v>
      </c>
      <c r="EH292" s="243" t="s">
        <v>523</v>
      </c>
      <c r="EI292" s="118" t="s">
        <v>1943</v>
      </c>
    </row>
    <row r="293" spans="1:139" ht="12.75" x14ac:dyDescent="0.2">
      <c r="A293" s="805">
        <v>286</v>
      </c>
      <c r="B293" s="606" t="s">
        <v>461</v>
      </c>
      <c r="C293" s="607" t="s">
        <v>1196</v>
      </c>
      <c r="D293" s="608" t="s">
        <v>1191</v>
      </c>
      <c r="E293" s="609" t="s">
        <v>460</v>
      </c>
      <c r="F293" s="802">
        <v>126963267</v>
      </c>
      <c r="G293" s="804">
        <v>767542</v>
      </c>
      <c r="H293" s="804">
        <v>0</v>
      </c>
      <c r="I293" s="804">
        <v>442570</v>
      </c>
      <c r="J293" s="804">
        <v>0</v>
      </c>
      <c r="K293" s="804">
        <v>442570</v>
      </c>
      <c r="L293" s="804">
        <v>0</v>
      </c>
      <c r="M293" s="804">
        <v>6415456</v>
      </c>
      <c r="N293" s="804">
        <v>0</v>
      </c>
      <c r="O293" s="804">
        <v>0</v>
      </c>
      <c r="P293" s="804">
        <v>0</v>
      </c>
      <c r="Q293" s="804">
        <v>0</v>
      </c>
      <c r="R293" s="804">
        <v>120872783</v>
      </c>
      <c r="S293" s="804">
        <v>0.33</v>
      </c>
      <c r="T293" s="804">
        <v>0.3</v>
      </c>
      <c r="U293" s="804">
        <v>0.37</v>
      </c>
      <c r="V293" s="804">
        <v>0</v>
      </c>
      <c r="W293" s="804">
        <v>1</v>
      </c>
      <c r="X293" s="804">
        <v>39888018</v>
      </c>
      <c r="Y293" s="804">
        <v>36261835</v>
      </c>
      <c r="Z293" s="804">
        <v>44722930</v>
      </c>
      <c r="AA293" s="804">
        <v>0</v>
      </c>
      <c r="AB293" s="804">
        <v>120872783</v>
      </c>
      <c r="AC293" s="804">
        <v>0</v>
      </c>
      <c r="AD293" s="804">
        <v>0</v>
      </c>
      <c r="AE293" s="804">
        <v>0</v>
      </c>
      <c r="AF293" s="804">
        <v>0</v>
      </c>
      <c r="AG293" s="804">
        <v>0</v>
      </c>
      <c r="AH293" s="804">
        <v>39888018</v>
      </c>
      <c r="AI293" s="804">
        <v>36261835</v>
      </c>
      <c r="AJ293" s="804">
        <v>44722930</v>
      </c>
      <c r="AK293" s="804">
        <v>0</v>
      </c>
      <c r="AL293" s="804">
        <v>120872783</v>
      </c>
      <c r="AM293" s="804">
        <v>442570</v>
      </c>
      <c r="AN293" s="804">
        <v>442570</v>
      </c>
      <c r="AO293" s="804">
        <v>6415456</v>
      </c>
      <c r="AP293" s="804">
        <v>6415456</v>
      </c>
      <c r="AQ293" s="804">
        <v>0</v>
      </c>
      <c r="AR293" s="804">
        <v>0</v>
      </c>
      <c r="AS293" s="804">
        <v>0</v>
      </c>
      <c r="AT293" s="804">
        <v>0</v>
      </c>
      <c r="AU293" s="804">
        <v>0</v>
      </c>
      <c r="AV293" s="804">
        <v>0</v>
      </c>
      <c r="AW293" s="804">
        <v>0</v>
      </c>
      <c r="AX293" s="804">
        <v>0</v>
      </c>
      <c r="AY293" s="804">
        <v>0</v>
      </c>
      <c r="AZ293" s="804">
        <v>0</v>
      </c>
      <c r="BA293" s="804">
        <v>0</v>
      </c>
      <c r="BB293" s="804">
        <v>0</v>
      </c>
      <c r="BC293" s="804">
        <v>0</v>
      </c>
      <c r="BD293" s="804">
        <v>0</v>
      </c>
      <c r="BE293" s="804">
        <v>0</v>
      </c>
      <c r="BF293" s="804">
        <v>0</v>
      </c>
      <c r="BG293" s="804">
        <v>0</v>
      </c>
      <c r="BH293" s="804">
        <v>0</v>
      </c>
      <c r="BI293" s="804">
        <v>0</v>
      </c>
      <c r="BJ293" s="804">
        <v>0.25</v>
      </c>
      <c r="BK293" s="804">
        <v>0.48</v>
      </c>
      <c r="BL293" s="804">
        <v>0.27</v>
      </c>
      <c r="BM293" s="804">
        <v>0</v>
      </c>
      <c r="BN293" s="804">
        <v>1</v>
      </c>
      <c r="BO293" s="804">
        <v>901340.99999999441</v>
      </c>
      <c r="BP293" s="804">
        <v>1730574</v>
      </c>
      <c r="BQ293" s="804">
        <v>973448</v>
      </c>
      <c r="BR293" s="804">
        <v>0</v>
      </c>
      <c r="BS293" s="804">
        <v>3605362.9999999944</v>
      </c>
      <c r="BT293" s="804">
        <v>0</v>
      </c>
      <c r="BU293" s="804">
        <v>0.64</v>
      </c>
      <c r="BV293" s="804">
        <v>0.36</v>
      </c>
      <c r="BW293" s="804">
        <v>0</v>
      </c>
      <c r="BX293" s="804">
        <v>1</v>
      </c>
      <c r="BY293" s="804">
        <v>0.59999999962747097</v>
      </c>
      <c r="BZ293" s="804">
        <v>-1576065</v>
      </c>
      <c r="CA293" s="804">
        <v>-886537</v>
      </c>
      <c r="CB293" s="804">
        <v>0</v>
      </c>
      <c r="CC293" s="804">
        <v>-2462601.4000000004</v>
      </c>
      <c r="CD293" s="804">
        <v>901342</v>
      </c>
      <c r="CE293" s="804">
        <v>154509</v>
      </c>
      <c r="CF293" s="804">
        <v>86911</v>
      </c>
      <c r="CG293" s="804">
        <v>0</v>
      </c>
      <c r="CH293" s="804">
        <v>1142761.599999994</v>
      </c>
      <c r="CI293" s="804">
        <v>40789360</v>
      </c>
      <c r="CJ293" s="804">
        <v>43274370</v>
      </c>
      <c r="CK293" s="804">
        <v>44809841</v>
      </c>
      <c r="CL293" s="804">
        <v>0</v>
      </c>
      <c r="CM293" s="804">
        <v>128873571</v>
      </c>
      <c r="CN293" s="804">
        <v>1710513</v>
      </c>
      <c r="CO293" s="804">
        <v>1792502</v>
      </c>
      <c r="CP293" s="804">
        <v>0</v>
      </c>
      <c r="CQ293" s="804">
        <v>3503015</v>
      </c>
      <c r="CR293" s="804">
        <v>2058733</v>
      </c>
      <c r="CS293" s="804">
        <v>2279574</v>
      </c>
      <c r="CT293" s="804">
        <v>0</v>
      </c>
      <c r="CU293" s="804">
        <v>4338307</v>
      </c>
      <c r="CV293" s="804">
        <v>163354</v>
      </c>
      <c r="CW293" s="804">
        <v>179269</v>
      </c>
      <c r="CX293" s="804">
        <v>0</v>
      </c>
      <c r="CY293" s="804">
        <v>342623</v>
      </c>
      <c r="CZ293" s="804">
        <v>3188</v>
      </c>
      <c r="DA293" s="804">
        <v>3932</v>
      </c>
      <c r="DB293" s="804">
        <v>0</v>
      </c>
      <c r="DC293" s="804">
        <v>7120</v>
      </c>
      <c r="DD293" s="804">
        <v>0</v>
      </c>
      <c r="DE293" s="804">
        <v>0</v>
      </c>
      <c r="DF293" s="804">
        <v>0</v>
      </c>
      <c r="DG293" s="804">
        <v>0</v>
      </c>
      <c r="DH293" s="804">
        <v>33616</v>
      </c>
      <c r="DI293" s="804">
        <v>36298</v>
      </c>
      <c r="DJ293" s="804">
        <v>0</v>
      </c>
      <c r="DK293" s="804">
        <v>69914</v>
      </c>
      <c r="DL293" s="804">
        <v>13595</v>
      </c>
      <c r="DM293" s="804">
        <v>16768</v>
      </c>
      <c r="DN293" s="804">
        <v>0</v>
      </c>
      <c r="DO293" s="804">
        <v>30363</v>
      </c>
      <c r="DP293" s="804">
        <v>0</v>
      </c>
      <c r="DQ293" s="804">
        <v>0</v>
      </c>
      <c r="DR293" s="804">
        <v>0</v>
      </c>
      <c r="DS293" s="804">
        <v>0</v>
      </c>
      <c r="DT293" s="804">
        <v>0</v>
      </c>
      <c r="DU293" s="804">
        <v>0</v>
      </c>
      <c r="DV293" s="804">
        <v>0</v>
      </c>
      <c r="DW293" s="804">
        <v>0</v>
      </c>
      <c r="DX293" s="804">
        <v>1070129</v>
      </c>
      <c r="DY293" s="804">
        <v>1316945</v>
      </c>
      <c r="DZ293" s="804">
        <v>0</v>
      </c>
      <c r="EA293" s="804">
        <v>2387074</v>
      </c>
      <c r="EB293" s="804">
        <v>5053128</v>
      </c>
      <c r="EC293" s="804">
        <v>5625288</v>
      </c>
      <c r="ED293" s="804">
        <v>0</v>
      </c>
      <c r="EE293" s="804">
        <v>10678416</v>
      </c>
      <c r="EF293" s="604" t="s">
        <v>460</v>
      </c>
      <c r="EG293" s="497" t="s">
        <v>623</v>
      </c>
      <c r="EH293" s="243" t="s">
        <v>523</v>
      </c>
      <c r="EI293" s="118" t="s">
        <v>1944</v>
      </c>
    </row>
    <row r="294" spans="1:139" ht="12.75" x14ac:dyDescent="0.2">
      <c r="A294" s="805">
        <v>287</v>
      </c>
      <c r="B294" s="606" t="s">
        <v>463</v>
      </c>
      <c r="C294" s="607" t="s">
        <v>524</v>
      </c>
      <c r="D294" s="608" t="s">
        <v>1187</v>
      </c>
      <c r="E294" s="609" t="s">
        <v>545</v>
      </c>
      <c r="F294" s="802">
        <v>111054729</v>
      </c>
      <c r="G294" s="804">
        <v>0</v>
      </c>
      <c r="H294" s="804">
        <v>2383129</v>
      </c>
      <c r="I294" s="804">
        <v>290095</v>
      </c>
      <c r="J294" s="804">
        <v>0</v>
      </c>
      <c r="K294" s="804">
        <v>290095</v>
      </c>
      <c r="L294" s="804">
        <v>0</v>
      </c>
      <c r="M294" s="804">
        <v>81842</v>
      </c>
      <c r="N294" s="804">
        <v>15344</v>
      </c>
      <c r="O294" s="804">
        <v>15344</v>
      </c>
      <c r="P294" s="804">
        <v>0</v>
      </c>
      <c r="Q294" s="804">
        <v>0</v>
      </c>
      <c r="R294" s="804">
        <v>108284319</v>
      </c>
      <c r="S294" s="804">
        <v>0.5</v>
      </c>
      <c r="T294" s="804">
        <v>0.49</v>
      </c>
      <c r="U294" s="804">
        <v>0</v>
      </c>
      <c r="V294" s="804">
        <v>0.01</v>
      </c>
      <c r="W294" s="804">
        <v>1</v>
      </c>
      <c r="X294" s="804">
        <v>54142160</v>
      </c>
      <c r="Y294" s="804">
        <v>53059316</v>
      </c>
      <c r="Z294" s="804">
        <v>0</v>
      </c>
      <c r="AA294" s="804">
        <v>1082843</v>
      </c>
      <c r="AB294" s="804">
        <v>108284319</v>
      </c>
      <c r="AC294" s="804">
        <v>298789</v>
      </c>
      <c r="AD294" s="804">
        <v>0</v>
      </c>
      <c r="AE294" s="804">
        <v>0</v>
      </c>
      <c r="AF294" s="804">
        <v>0</v>
      </c>
      <c r="AG294" s="804">
        <v>298789</v>
      </c>
      <c r="AH294" s="804">
        <v>53843371</v>
      </c>
      <c r="AI294" s="804">
        <v>53059316</v>
      </c>
      <c r="AJ294" s="804">
        <v>0</v>
      </c>
      <c r="AK294" s="804">
        <v>1082843</v>
      </c>
      <c r="AL294" s="804">
        <v>107985530</v>
      </c>
      <c r="AM294" s="804">
        <v>290095</v>
      </c>
      <c r="AN294" s="804">
        <v>290095</v>
      </c>
      <c r="AO294" s="804">
        <v>81842</v>
      </c>
      <c r="AP294" s="804">
        <v>81842</v>
      </c>
      <c r="AQ294" s="804">
        <v>15344</v>
      </c>
      <c r="AR294" s="804">
        <v>0</v>
      </c>
      <c r="AS294" s="804">
        <v>15344</v>
      </c>
      <c r="AT294" s="804">
        <v>0</v>
      </c>
      <c r="AU294" s="804">
        <v>0</v>
      </c>
      <c r="AV294" s="804">
        <v>0</v>
      </c>
      <c r="AW294" s="804">
        <v>0</v>
      </c>
      <c r="AX294" s="804">
        <v>298789</v>
      </c>
      <c r="AY294" s="804">
        <v>0</v>
      </c>
      <c r="AZ294" s="804">
        <v>0</v>
      </c>
      <c r="BA294" s="804">
        <v>298789</v>
      </c>
      <c r="BB294" s="804">
        <v>0</v>
      </c>
      <c r="BC294" s="804">
        <v>0</v>
      </c>
      <c r="BD294" s="804">
        <v>0</v>
      </c>
      <c r="BE294" s="804">
        <v>0</v>
      </c>
      <c r="BF294" s="804">
        <v>0</v>
      </c>
      <c r="BG294" s="804">
        <v>0</v>
      </c>
      <c r="BH294" s="804">
        <v>0</v>
      </c>
      <c r="BI294" s="804">
        <v>0</v>
      </c>
      <c r="BJ294" s="804">
        <v>0.5</v>
      </c>
      <c r="BK294" s="804">
        <v>0.49</v>
      </c>
      <c r="BL294" s="804">
        <v>0</v>
      </c>
      <c r="BM294" s="804">
        <v>0.01</v>
      </c>
      <c r="BN294" s="804">
        <v>1</v>
      </c>
      <c r="BO294" s="804">
        <v>-2357702</v>
      </c>
      <c r="BP294" s="804">
        <v>-2310547</v>
      </c>
      <c r="BQ294" s="804">
        <v>0</v>
      </c>
      <c r="BR294" s="804">
        <v>-47154</v>
      </c>
      <c r="BS294" s="804">
        <v>-4715403</v>
      </c>
      <c r="BT294" s="804">
        <v>0.5</v>
      </c>
      <c r="BU294" s="804">
        <v>0.49</v>
      </c>
      <c r="BV294" s="804">
        <v>0</v>
      </c>
      <c r="BW294" s="804">
        <v>0.01</v>
      </c>
      <c r="BX294" s="804">
        <v>1</v>
      </c>
      <c r="BY294" s="804">
        <v>1283620</v>
      </c>
      <c r="BZ294" s="804">
        <v>1257948</v>
      </c>
      <c r="CA294" s="804">
        <v>0</v>
      </c>
      <c r="CB294" s="804">
        <v>25672</v>
      </c>
      <c r="CC294" s="804">
        <v>2567240</v>
      </c>
      <c r="CD294" s="804">
        <v>-1074081</v>
      </c>
      <c r="CE294" s="804">
        <v>-1052600</v>
      </c>
      <c r="CF294" s="804">
        <v>0</v>
      </c>
      <c r="CG294" s="804">
        <v>-21482</v>
      </c>
      <c r="CH294" s="804">
        <v>-2148163</v>
      </c>
      <c r="CI294" s="804">
        <v>52769290</v>
      </c>
      <c r="CJ294" s="804">
        <v>52692786</v>
      </c>
      <c r="CK294" s="804">
        <v>0</v>
      </c>
      <c r="CL294" s="804">
        <v>1061361</v>
      </c>
      <c r="CM294" s="804">
        <v>106523437</v>
      </c>
      <c r="CN294" s="804">
        <v>2142497</v>
      </c>
      <c r="CO294" s="804">
        <v>0</v>
      </c>
      <c r="CP294" s="804">
        <v>43401</v>
      </c>
      <c r="CQ294" s="804">
        <v>2185898</v>
      </c>
      <c r="CR294" s="804">
        <v>2355207</v>
      </c>
      <c r="CS294" s="804">
        <v>0</v>
      </c>
      <c r="CT294" s="804">
        <v>47845</v>
      </c>
      <c r="CU294" s="804">
        <v>2403052</v>
      </c>
      <c r="CV294" s="804">
        <v>207242</v>
      </c>
      <c r="CW294" s="804">
        <v>0</v>
      </c>
      <c r="CX294" s="804">
        <v>4153</v>
      </c>
      <c r="CY294" s="804">
        <v>211395</v>
      </c>
      <c r="CZ294" s="804">
        <v>0</v>
      </c>
      <c r="DA294" s="804">
        <v>0</v>
      </c>
      <c r="DB294" s="804">
        <v>0</v>
      </c>
      <c r="DC294" s="804">
        <v>0</v>
      </c>
      <c r="DD294" s="804">
        <v>2301</v>
      </c>
      <c r="DE294" s="804">
        <v>0</v>
      </c>
      <c r="DF294" s="804">
        <v>47</v>
      </c>
      <c r="DG294" s="804">
        <v>2348</v>
      </c>
      <c r="DH294" s="804">
        <v>16453</v>
      </c>
      <c r="DI294" s="804">
        <v>0</v>
      </c>
      <c r="DJ294" s="804">
        <v>336</v>
      </c>
      <c r="DK294" s="804">
        <v>16789</v>
      </c>
      <c r="DL294" s="804">
        <v>5096</v>
      </c>
      <c r="DM294" s="804">
        <v>0</v>
      </c>
      <c r="DN294" s="804">
        <v>104</v>
      </c>
      <c r="DO294" s="804">
        <v>5200</v>
      </c>
      <c r="DP294" s="804">
        <v>0</v>
      </c>
      <c r="DQ294" s="804">
        <v>0</v>
      </c>
      <c r="DR294" s="804">
        <v>0</v>
      </c>
      <c r="DS294" s="804">
        <v>0</v>
      </c>
      <c r="DT294" s="804">
        <v>0</v>
      </c>
      <c r="DU294" s="804">
        <v>0</v>
      </c>
      <c r="DV294" s="804">
        <v>0</v>
      </c>
      <c r="DW294" s="804">
        <v>0</v>
      </c>
      <c r="DX294" s="804">
        <v>926049</v>
      </c>
      <c r="DY294" s="804">
        <v>0</v>
      </c>
      <c r="DZ294" s="804">
        <v>18899</v>
      </c>
      <c r="EA294" s="804">
        <v>944948</v>
      </c>
      <c r="EB294" s="804">
        <v>5654845</v>
      </c>
      <c r="EC294" s="804">
        <v>0</v>
      </c>
      <c r="ED294" s="804">
        <v>114785</v>
      </c>
      <c r="EE294" s="804">
        <v>5769630</v>
      </c>
      <c r="EF294" s="604" t="s">
        <v>545</v>
      </c>
      <c r="EG294" s="497" t="s">
        <v>524</v>
      </c>
      <c r="EH294" s="630" t="s">
        <v>544</v>
      </c>
      <c r="EI294" s="118" t="s">
        <v>1945</v>
      </c>
    </row>
    <row r="295" spans="1:139" ht="12.75" x14ac:dyDescent="0.2">
      <c r="A295" s="805">
        <v>288</v>
      </c>
      <c r="B295" s="606" t="s">
        <v>465</v>
      </c>
      <c r="C295" s="607" t="s">
        <v>1185</v>
      </c>
      <c r="D295" s="608" t="s">
        <v>1195</v>
      </c>
      <c r="E295" s="609" t="s">
        <v>464</v>
      </c>
      <c r="F295" s="802">
        <v>67448121</v>
      </c>
      <c r="G295" s="804">
        <v>18728</v>
      </c>
      <c r="H295" s="804">
        <v>0</v>
      </c>
      <c r="I295" s="804">
        <v>219227</v>
      </c>
      <c r="J295" s="804">
        <v>0</v>
      </c>
      <c r="K295" s="804">
        <v>219227</v>
      </c>
      <c r="L295" s="804">
        <v>0</v>
      </c>
      <c r="M295" s="804">
        <v>0</v>
      </c>
      <c r="N295" s="804">
        <v>17220</v>
      </c>
      <c r="O295" s="804">
        <v>17220</v>
      </c>
      <c r="P295" s="804">
        <v>0</v>
      </c>
      <c r="Q295" s="804">
        <v>0</v>
      </c>
      <c r="R295" s="804">
        <v>67230402</v>
      </c>
      <c r="S295" s="804">
        <v>0.5</v>
      </c>
      <c r="T295" s="804">
        <v>0.4</v>
      </c>
      <c r="U295" s="804">
        <v>0.1</v>
      </c>
      <c r="V295" s="804">
        <v>0</v>
      </c>
      <c r="W295" s="804">
        <v>1</v>
      </c>
      <c r="X295" s="804">
        <v>33615201</v>
      </c>
      <c r="Y295" s="804">
        <v>26892161</v>
      </c>
      <c r="Z295" s="804">
        <v>6723040</v>
      </c>
      <c r="AA295" s="804">
        <v>0</v>
      </c>
      <c r="AB295" s="804">
        <v>67230402</v>
      </c>
      <c r="AC295" s="804">
        <v>0</v>
      </c>
      <c r="AD295" s="804">
        <v>0</v>
      </c>
      <c r="AE295" s="804">
        <v>0</v>
      </c>
      <c r="AF295" s="804">
        <v>0</v>
      </c>
      <c r="AG295" s="804">
        <v>0</v>
      </c>
      <c r="AH295" s="804">
        <v>33615201</v>
      </c>
      <c r="AI295" s="804">
        <v>26892161</v>
      </c>
      <c r="AJ295" s="804">
        <v>6723040</v>
      </c>
      <c r="AK295" s="804">
        <v>0</v>
      </c>
      <c r="AL295" s="804">
        <v>67230402</v>
      </c>
      <c r="AM295" s="804">
        <v>219227</v>
      </c>
      <c r="AN295" s="804">
        <v>219227</v>
      </c>
      <c r="AO295" s="804">
        <v>0</v>
      </c>
      <c r="AP295" s="804">
        <v>0</v>
      </c>
      <c r="AQ295" s="804">
        <v>17220</v>
      </c>
      <c r="AR295" s="804">
        <v>0</v>
      </c>
      <c r="AS295" s="804">
        <v>17220</v>
      </c>
      <c r="AT295" s="804">
        <v>0</v>
      </c>
      <c r="AU295" s="804">
        <v>0</v>
      </c>
      <c r="AV295" s="804">
        <v>0</v>
      </c>
      <c r="AW295" s="804">
        <v>0</v>
      </c>
      <c r="AX295" s="804">
        <v>0</v>
      </c>
      <c r="AY295" s="804">
        <v>0</v>
      </c>
      <c r="AZ295" s="804">
        <v>0</v>
      </c>
      <c r="BA295" s="804">
        <v>0</v>
      </c>
      <c r="BB295" s="804">
        <v>0</v>
      </c>
      <c r="BC295" s="804">
        <v>0</v>
      </c>
      <c r="BD295" s="804">
        <v>0</v>
      </c>
      <c r="BE295" s="804">
        <v>0</v>
      </c>
      <c r="BF295" s="804">
        <v>0</v>
      </c>
      <c r="BG295" s="804">
        <v>0</v>
      </c>
      <c r="BH295" s="804">
        <v>0</v>
      </c>
      <c r="BI295" s="804">
        <v>0</v>
      </c>
      <c r="BJ295" s="804">
        <v>0.5</v>
      </c>
      <c r="BK295" s="804">
        <v>0.4</v>
      </c>
      <c r="BL295" s="804">
        <v>0.1</v>
      </c>
      <c r="BM295" s="804">
        <v>0</v>
      </c>
      <c r="BN295" s="804">
        <v>1</v>
      </c>
      <c r="BO295" s="804">
        <v>-554548</v>
      </c>
      <c r="BP295" s="804">
        <v>-443639</v>
      </c>
      <c r="BQ295" s="804">
        <v>-110910</v>
      </c>
      <c r="BR295" s="804">
        <v>0</v>
      </c>
      <c r="BS295" s="804">
        <v>-1109097</v>
      </c>
      <c r="BT295" s="804">
        <v>0.5</v>
      </c>
      <c r="BU295" s="804">
        <v>0.4</v>
      </c>
      <c r="BV295" s="804">
        <v>0.1</v>
      </c>
      <c r="BW295" s="804">
        <v>0</v>
      </c>
      <c r="BX295" s="804">
        <v>1</v>
      </c>
      <c r="BY295" s="804">
        <v>-946664</v>
      </c>
      <c r="BZ295" s="804">
        <v>-757331</v>
      </c>
      <c r="CA295" s="804">
        <v>-189333</v>
      </c>
      <c r="CB295" s="804">
        <v>0</v>
      </c>
      <c r="CC295" s="804">
        <v>-1893328</v>
      </c>
      <c r="CD295" s="804">
        <v>-1501212</v>
      </c>
      <c r="CE295" s="804">
        <v>-1200970</v>
      </c>
      <c r="CF295" s="804">
        <v>-300243</v>
      </c>
      <c r="CG295" s="804">
        <v>0</v>
      </c>
      <c r="CH295" s="804">
        <v>-3002425</v>
      </c>
      <c r="CI295" s="804">
        <v>32113989</v>
      </c>
      <c r="CJ295" s="804">
        <v>25927638</v>
      </c>
      <c r="CK295" s="804">
        <v>6422797</v>
      </c>
      <c r="CL295" s="804">
        <v>0</v>
      </c>
      <c r="CM295" s="804">
        <v>64464424</v>
      </c>
      <c r="CN295" s="804">
        <v>1078532</v>
      </c>
      <c r="CO295" s="804">
        <v>269461</v>
      </c>
      <c r="CP295" s="804">
        <v>0</v>
      </c>
      <c r="CQ295" s="804">
        <v>1347993</v>
      </c>
      <c r="CR295" s="804">
        <v>1611908</v>
      </c>
      <c r="CS295" s="804">
        <v>402977</v>
      </c>
      <c r="CT295" s="804">
        <v>0</v>
      </c>
      <c r="CU295" s="804">
        <v>2014885</v>
      </c>
      <c r="CV295" s="804">
        <v>130171</v>
      </c>
      <c r="CW295" s="804">
        <v>32543</v>
      </c>
      <c r="CX295" s="804">
        <v>0</v>
      </c>
      <c r="CY295" s="804">
        <v>162714</v>
      </c>
      <c r="CZ295" s="804">
        <v>0</v>
      </c>
      <c r="DA295" s="804">
        <v>0</v>
      </c>
      <c r="DB295" s="804">
        <v>0</v>
      </c>
      <c r="DC295" s="804">
        <v>0</v>
      </c>
      <c r="DD295" s="804">
        <v>5011</v>
      </c>
      <c r="DE295" s="804">
        <v>1253</v>
      </c>
      <c r="DF295" s="804">
        <v>0</v>
      </c>
      <c r="DG295" s="804">
        <v>6264</v>
      </c>
      <c r="DH295" s="804">
        <v>12954</v>
      </c>
      <c r="DI295" s="804">
        <v>3239</v>
      </c>
      <c r="DJ295" s="804">
        <v>0</v>
      </c>
      <c r="DK295" s="804">
        <v>16193</v>
      </c>
      <c r="DL295" s="804">
        <v>0</v>
      </c>
      <c r="DM295" s="804">
        <v>0</v>
      </c>
      <c r="DN295" s="804">
        <v>0</v>
      </c>
      <c r="DO295" s="804">
        <v>0</v>
      </c>
      <c r="DP295" s="804">
        <v>0</v>
      </c>
      <c r="DQ295" s="804">
        <v>0</v>
      </c>
      <c r="DR295" s="804">
        <v>0</v>
      </c>
      <c r="DS295" s="804">
        <v>0</v>
      </c>
      <c r="DT295" s="804">
        <v>0</v>
      </c>
      <c r="DU295" s="804">
        <v>0</v>
      </c>
      <c r="DV295" s="804">
        <v>0</v>
      </c>
      <c r="DW295" s="804">
        <v>0</v>
      </c>
      <c r="DX295" s="804">
        <v>887843</v>
      </c>
      <c r="DY295" s="804">
        <v>221961</v>
      </c>
      <c r="DZ295" s="804">
        <v>0</v>
      </c>
      <c r="EA295" s="804">
        <v>1109804</v>
      </c>
      <c r="EB295" s="804">
        <v>3726419</v>
      </c>
      <c r="EC295" s="804">
        <v>931434</v>
      </c>
      <c r="ED295" s="804">
        <v>0</v>
      </c>
      <c r="EE295" s="804">
        <v>4657853</v>
      </c>
      <c r="EF295" s="604" t="s">
        <v>464</v>
      </c>
      <c r="EG295" s="497" t="s">
        <v>612</v>
      </c>
      <c r="EH295" s="630" t="s">
        <v>551</v>
      </c>
      <c r="EI295" s="118" t="s">
        <v>1946</v>
      </c>
    </row>
    <row r="296" spans="1:139" ht="12.75" x14ac:dyDescent="0.2">
      <c r="A296" s="805">
        <v>289</v>
      </c>
      <c r="B296" s="606" t="s">
        <v>467</v>
      </c>
      <c r="C296" s="607" t="s">
        <v>1185</v>
      </c>
      <c r="D296" s="608" t="s">
        <v>1189</v>
      </c>
      <c r="E296" s="609" t="s">
        <v>466</v>
      </c>
      <c r="F296" s="802">
        <v>65189820</v>
      </c>
      <c r="G296" s="804">
        <v>0</v>
      </c>
      <c r="H296" s="804">
        <v>1678110</v>
      </c>
      <c r="I296" s="804">
        <v>161690</v>
      </c>
      <c r="J296" s="804">
        <v>0</v>
      </c>
      <c r="K296" s="804">
        <v>161690</v>
      </c>
      <c r="L296" s="804">
        <v>0</v>
      </c>
      <c r="M296" s="804">
        <v>0</v>
      </c>
      <c r="N296" s="804">
        <v>0</v>
      </c>
      <c r="O296" s="804">
        <v>0</v>
      </c>
      <c r="P296" s="804">
        <v>0</v>
      </c>
      <c r="Q296" s="804">
        <v>0</v>
      </c>
      <c r="R296" s="804">
        <v>63350020</v>
      </c>
      <c r="S296" s="804">
        <v>0.5</v>
      </c>
      <c r="T296" s="804">
        <v>0.4</v>
      </c>
      <c r="U296" s="804">
        <v>0.1</v>
      </c>
      <c r="V296" s="804">
        <v>0</v>
      </c>
      <c r="W296" s="804">
        <v>1</v>
      </c>
      <c r="X296" s="804">
        <v>31675010</v>
      </c>
      <c r="Y296" s="804">
        <v>25340008</v>
      </c>
      <c r="Z296" s="804">
        <v>6335002</v>
      </c>
      <c r="AA296" s="804">
        <v>0</v>
      </c>
      <c r="AB296" s="804">
        <v>63350020</v>
      </c>
      <c r="AC296" s="804">
        <v>0</v>
      </c>
      <c r="AD296" s="804">
        <v>0</v>
      </c>
      <c r="AE296" s="804">
        <v>0</v>
      </c>
      <c r="AF296" s="804">
        <v>0</v>
      </c>
      <c r="AG296" s="804">
        <v>0</v>
      </c>
      <c r="AH296" s="804">
        <v>31675010</v>
      </c>
      <c r="AI296" s="804">
        <v>25340008</v>
      </c>
      <c r="AJ296" s="804">
        <v>6335002</v>
      </c>
      <c r="AK296" s="804">
        <v>0</v>
      </c>
      <c r="AL296" s="804">
        <v>63350020</v>
      </c>
      <c r="AM296" s="804">
        <v>161690</v>
      </c>
      <c r="AN296" s="804">
        <v>161690</v>
      </c>
      <c r="AO296" s="804">
        <v>0</v>
      </c>
      <c r="AP296" s="804">
        <v>0</v>
      </c>
      <c r="AQ296" s="804">
        <v>0</v>
      </c>
      <c r="AR296" s="804">
        <v>0</v>
      </c>
      <c r="AS296" s="804">
        <v>0</v>
      </c>
      <c r="AT296" s="804">
        <v>0</v>
      </c>
      <c r="AU296" s="804">
        <v>0</v>
      </c>
      <c r="AV296" s="804">
        <v>0</v>
      </c>
      <c r="AW296" s="804">
        <v>0</v>
      </c>
      <c r="AX296" s="804">
        <v>0</v>
      </c>
      <c r="AY296" s="804">
        <v>0</v>
      </c>
      <c r="AZ296" s="804">
        <v>0</v>
      </c>
      <c r="BA296" s="804">
        <v>0</v>
      </c>
      <c r="BB296" s="804">
        <v>0</v>
      </c>
      <c r="BC296" s="804">
        <v>0</v>
      </c>
      <c r="BD296" s="804">
        <v>0</v>
      </c>
      <c r="BE296" s="804">
        <v>0</v>
      </c>
      <c r="BF296" s="804">
        <v>0</v>
      </c>
      <c r="BG296" s="804">
        <v>0</v>
      </c>
      <c r="BH296" s="804">
        <v>0</v>
      </c>
      <c r="BI296" s="804">
        <v>0</v>
      </c>
      <c r="BJ296" s="804">
        <v>0.25</v>
      </c>
      <c r="BK296" s="804">
        <v>0.35</v>
      </c>
      <c r="BL296" s="804">
        <v>0.4</v>
      </c>
      <c r="BM296" s="804">
        <v>0</v>
      </c>
      <c r="BN296" s="804">
        <v>1</v>
      </c>
      <c r="BO296" s="804">
        <v>-74952</v>
      </c>
      <c r="BP296" s="804">
        <v>-104932</v>
      </c>
      <c r="BQ296" s="804">
        <v>-119922</v>
      </c>
      <c r="BR296" s="804">
        <v>0</v>
      </c>
      <c r="BS296" s="804">
        <v>-299806</v>
      </c>
      <c r="BT296" s="804">
        <v>0.5</v>
      </c>
      <c r="BU296" s="804">
        <v>0.4</v>
      </c>
      <c r="BV296" s="804">
        <v>0.1</v>
      </c>
      <c r="BW296" s="804">
        <v>0</v>
      </c>
      <c r="BX296" s="804">
        <v>1</v>
      </c>
      <c r="BY296" s="804">
        <v>1284949</v>
      </c>
      <c r="BZ296" s="804">
        <v>1027959</v>
      </c>
      <c r="CA296" s="804">
        <v>256990</v>
      </c>
      <c r="CB296" s="804">
        <v>0</v>
      </c>
      <c r="CC296" s="804">
        <v>2569898</v>
      </c>
      <c r="CD296" s="804">
        <v>1209997</v>
      </c>
      <c r="CE296" s="804">
        <v>923027</v>
      </c>
      <c r="CF296" s="804">
        <v>137068</v>
      </c>
      <c r="CG296" s="804">
        <v>0</v>
      </c>
      <c r="CH296" s="804">
        <v>2270092</v>
      </c>
      <c r="CI296" s="804">
        <v>32885007</v>
      </c>
      <c r="CJ296" s="804">
        <v>26424725</v>
      </c>
      <c r="CK296" s="804">
        <v>6472070</v>
      </c>
      <c r="CL296" s="804">
        <v>0</v>
      </c>
      <c r="CM296" s="804">
        <v>65781802</v>
      </c>
      <c r="CN296" s="804">
        <v>1015632</v>
      </c>
      <c r="CO296" s="804">
        <v>253908</v>
      </c>
      <c r="CP296" s="804">
        <v>0</v>
      </c>
      <c r="CQ296" s="804">
        <v>1269540</v>
      </c>
      <c r="CR296" s="804">
        <v>860957</v>
      </c>
      <c r="CS296" s="804">
        <v>215239</v>
      </c>
      <c r="CT296" s="804">
        <v>0</v>
      </c>
      <c r="CU296" s="804">
        <v>1076196</v>
      </c>
      <c r="CV296" s="804">
        <v>91026</v>
      </c>
      <c r="CW296" s="804">
        <v>22757</v>
      </c>
      <c r="CX296" s="804">
        <v>0</v>
      </c>
      <c r="CY296" s="804">
        <v>113783</v>
      </c>
      <c r="CZ296" s="804">
        <v>5926</v>
      </c>
      <c r="DA296" s="804">
        <v>1482</v>
      </c>
      <c r="DB296" s="804">
        <v>0</v>
      </c>
      <c r="DC296" s="804">
        <v>7408</v>
      </c>
      <c r="DD296" s="804">
        <v>0</v>
      </c>
      <c r="DE296" s="804">
        <v>0</v>
      </c>
      <c r="DF296" s="804">
        <v>0</v>
      </c>
      <c r="DG296" s="804">
        <v>0</v>
      </c>
      <c r="DH296" s="804">
        <v>6778</v>
      </c>
      <c r="DI296" s="804">
        <v>1694</v>
      </c>
      <c r="DJ296" s="804">
        <v>0</v>
      </c>
      <c r="DK296" s="804">
        <v>8472</v>
      </c>
      <c r="DL296" s="804">
        <v>2582</v>
      </c>
      <c r="DM296" s="804">
        <v>646</v>
      </c>
      <c r="DN296" s="804">
        <v>0</v>
      </c>
      <c r="DO296" s="804">
        <v>3228</v>
      </c>
      <c r="DP296" s="804">
        <v>0</v>
      </c>
      <c r="DQ296" s="804">
        <v>0</v>
      </c>
      <c r="DR296" s="804">
        <v>0</v>
      </c>
      <c r="DS296" s="804">
        <v>0</v>
      </c>
      <c r="DT296" s="804">
        <v>0</v>
      </c>
      <c r="DU296" s="804">
        <v>0</v>
      </c>
      <c r="DV296" s="804">
        <v>0</v>
      </c>
      <c r="DW296" s="804">
        <v>0</v>
      </c>
      <c r="DX296" s="804">
        <v>407890</v>
      </c>
      <c r="DY296" s="804">
        <v>101973</v>
      </c>
      <c r="DZ296" s="804">
        <v>0</v>
      </c>
      <c r="EA296" s="804">
        <v>509863</v>
      </c>
      <c r="EB296" s="804">
        <v>2390791</v>
      </c>
      <c r="EC296" s="804">
        <v>597699</v>
      </c>
      <c r="ED296" s="804">
        <v>0</v>
      </c>
      <c r="EE296" s="804">
        <v>2988490</v>
      </c>
      <c r="EF296" s="604" t="s">
        <v>466</v>
      </c>
      <c r="EG296" s="497" t="s">
        <v>579</v>
      </c>
      <c r="EH296" s="630" t="s">
        <v>551</v>
      </c>
      <c r="EI296" s="118" t="s">
        <v>1947</v>
      </c>
    </row>
    <row r="297" spans="1:139" ht="12.75" x14ac:dyDescent="0.2">
      <c r="A297" s="805">
        <v>290</v>
      </c>
      <c r="B297" s="606" t="s">
        <v>469</v>
      </c>
      <c r="C297" s="607" t="s">
        <v>1185</v>
      </c>
      <c r="D297" s="608" t="s">
        <v>1186</v>
      </c>
      <c r="E297" s="609" t="s">
        <v>468</v>
      </c>
      <c r="F297" s="802">
        <v>36648242</v>
      </c>
      <c r="G297" s="804">
        <v>500523</v>
      </c>
      <c r="H297" s="804">
        <v>0</v>
      </c>
      <c r="I297" s="804">
        <v>172945</v>
      </c>
      <c r="J297" s="804">
        <v>0</v>
      </c>
      <c r="K297" s="804">
        <v>172945</v>
      </c>
      <c r="L297" s="804">
        <v>0</v>
      </c>
      <c r="M297" s="804">
        <v>0</v>
      </c>
      <c r="N297" s="804">
        <v>0</v>
      </c>
      <c r="O297" s="804">
        <v>0</v>
      </c>
      <c r="P297" s="804">
        <v>0</v>
      </c>
      <c r="Q297" s="804">
        <v>0</v>
      </c>
      <c r="R297" s="804">
        <v>36975820</v>
      </c>
      <c r="S297" s="804">
        <v>0.5</v>
      </c>
      <c r="T297" s="804">
        <v>0.4</v>
      </c>
      <c r="U297" s="804">
        <v>0.1</v>
      </c>
      <c r="V297" s="804">
        <v>0</v>
      </c>
      <c r="W297" s="804">
        <v>1</v>
      </c>
      <c r="X297" s="804">
        <v>18487910</v>
      </c>
      <c r="Y297" s="804">
        <v>14790328</v>
      </c>
      <c r="Z297" s="804">
        <v>3697582</v>
      </c>
      <c r="AA297" s="804">
        <v>0</v>
      </c>
      <c r="AB297" s="804">
        <v>36975820</v>
      </c>
      <c r="AC297" s="804">
        <v>0</v>
      </c>
      <c r="AD297" s="804">
        <v>0</v>
      </c>
      <c r="AE297" s="804">
        <v>0</v>
      </c>
      <c r="AF297" s="804">
        <v>0</v>
      </c>
      <c r="AG297" s="804">
        <v>0</v>
      </c>
      <c r="AH297" s="804">
        <v>18487910</v>
      </c>
      <c r="AI297" s="804">
        <v>14790328</v>
      </c>
      <c r="AJ297" s="804">
        <v>3697582</v>
      </c>
      <c r="AK297" s="804">
        <v>0</v>
      </c>
      <c r="AL297" s="804">
        <v>36975820</v>
      </c>
      <c r="AM297" s="804">
        <v>172945</v>
      </c>
      <c r="AN297" s="804">
        <v>172945</v>
      </c>
      <c r="AO297" s="804">
        <v>0</v>
      </c>
      <c r="AP297" s="804">
        <v>0</v>
      </c>
      <c r="AQ297" s="804">
        <v>0</v>
      </c>
      <c r="AR297" s="804">
        <v>0</v>
      </c>
      <c r="AS297" s="804">
        <v>0</v>
      </c>
      <c r="AT297" s="804">
        <v>0</v>
      </c>
      <c r="AU297" s="804">
        <v>0</v>
      </c>
      <c r="AV297" s="804">
        <v>0</v>
      </c>
      <c r="AW297" s="804">
        <v>0</v>
      </c>
      <c r="AX297" s="804">
        <v>0</v>
      </c>
      <c r="AY297" s="804">
        <v>0</v>
      </c>
      <c r="AZ297" s="804">
        <v>0</v>
      </c>
      <c r="BA297" s="804">
        <v>0</v>
      </c>
      <c r="BB297" s="804">
        <v>0</v>
      </c>
      <c r="BC297" s="804">
        <v>0</v>
      </c>
      <c r="BD297" s="804">
        <v>0</v>
      </c>
      <c r="BE297" s="804">
        <v>0</v>
      </c>
      <c r="BF297" s="804">
        <v>0</v>
      </c>
      <c r="BG297" s="804">
        <v>0</v>
      </c>
      <c r="BH297" s="804">
        <v>0</v>
      </c>
      <c r="BI297" s="804">
        <v>0</v>
      </c>
      <c r="BJ297" s="804">
        <v>0.5</v>
      </c>
      <c r="BK297" s="804">
        <v>0.4</v>
      </c>
      <c r="BL297" s="804">
        <v>0.1</v>
      </c>
      <c r="BM297" s="804">
        <v>0</v>
      </c>
      <c r="BN297" s="804">
        <v>1</v>
      </c>
      <c r="BO297" s="804">
        <v>-415573</v>
      </c>
      <c r="BP297" s="804">
        <v>-332459</v>
      </c>
      <c r="BQ297" s="804">
        <v>-83115</v>
      </c>
      <c r="BR297" s="804">
        <v>0</v>
      </c>
      <c r="BS297" s="804">
        <v>-831147</v>
      </c>
      <c r="BT297" s="804">
        <v>0</v>
      </c>
      <c r="BU297" s="804">
        <v>0.3</v>
      </c>
      <c r="BV297" s="804">
        <v>0.7</v>
      </c>
      <c r="BW297" s="804">
        <v>0</v>
      </c>
      <c r="BX297" s="804">
        <v>1</v>
      </c>
      <c r="BY297" s="804">
        <v>0.25</v>
      </c>
      <c r="BZ297" s="804">
        <v>234702</v>
      </c>
      <c r="CA297" s="804">
        <v>547637</v>
      </c>
      <c r="CB297" s="804">
        <v>0</v>
      </c>
      <c r="CC297" s="804">
        <v>782339.25</v>
      </c>
      <c r="CD297" s="804">
        <v>-415573</v>
      </c>
      <c r="CE297" s="804">
        <v>-97757</v>
      </c>
      <c r="CF297" s="804">
        <v>464522</v>
      </c>
      <c r="CG297" s="804">
        <v>0</v>
      </c>
      <c r="CH297" s="804">
        <v>-48807.75</v>
      </c>
      <c r="CI297" s="804">
        <v>18072337</v>
      </c>
      <c r="CJ297" s="804">
        <v>14865516</v>
      </c>
      <c r="CK297" s="804">
        <v>4162104</v>
      </c>
      <c r="CL297" s="804">
        <v>0</v>
      </c>
      <c r="CM297" s="804">
        <v>37099957</v>
      </c>
      <c r="CN297" s="804">
        <v>592799</v>
      </c>
      <c r="CO297" s="804">
        <v>148200</v>
      </c>
      <c r="CP297" s="804">
        <v>0</v>
      </c>
      <c r="CQ297" s="804">
        <v>740999</v>
      </c>
      <c r="CR297" s="804">
        <v>1283580</v>
      </c>
      <c r="CS297" s="804">
        <v>320895</v>
      </c>
      <c r="CT297" s="804">
        <v>0</v>
      </c>
      <c r="CU297" s="804">
        <v>1604475</v>
      </c>
      <c r="CV297" s="804">
        <v>111904</v>
      </c>
      <c r="CW297" s="804">
        <v>27976</v>
      </c>
      <c r="CX297" s="804">
        <v>0</v>
      </c>
      <c r="CY297" s="804">
        <v>139880</v>
      </c>
      <c r="CZ297" s="804">
        <v>0</v>
      </c>
      <c r="DA297" s="804">
        <v>0</v>
      </c>
      <c r="DB297" s="804">
        <v>0</v>
      </c>
      <c r="DC297" s="804">
        <v>0</v>
      </c>
      <c r="DD297" s="804">
        <v>2514</v>
      </c>
      <c r="DE297" s="804">
        <v>628</v>
      </c>
      <c r="DF297" s="804">
        <v>0</v>
      </c>
      <c r="DG297" s="804">
        <v>3142</v>
      </c>
      <c r="DH297" s="804">
        <v>17738</v>
      </c>
      <c r="DI297" s="804">
        <v>4435</v>
      </c>
      <c r="DJ297" s="804">
        <v>0</v>
      </c>
      <c r="DK297" s="804">
        <v>22173</v>
      </c>
      <c r="DL297" s="804">
        <v>5870</v>
      </c>
      <c r="DM297" s="804">
        <v>1467</v>
      </c>
      <c r="DN297" s="804">
        <v>0</v>
      </c>
      <c r="DO297" s="804">
        <v>7337</v>
      </c>
      <c r="DP297" s="804">
        <v>0</v>
      </c>
      <c r="DQ297" s="804">
        <v>0</v>
      </c>
      <c r="DR297" s="804">
        <v>0</v>
      </c>
      <c r="DS297" s="804">
        <v>0</v>
      </c>
      <c r="DT297" s="804">
        <v>0</v>
      </c>
      <c r="DU297" s="804">
        <v>0</v>
      </c>
      <c r="DV297" s="804">
        <v>0</v>
      </c>
      <c r="DW297" s="804">
        <v>0</v>
      </c>
      <c r="DX297" s="804">
        <v>770274</v>
      </c>
      <c r="DY297" s="804">
        <v>192569</v>
      </c>
      <c r="DZ297" s="804">
        <v>0</v>
      </c>
      <c r="EA297" s="804">
        <v>962843</v>
      </c>
      <c r="EB297" s="804">
        <v>2784679</v>
      </c>
      <c r="EC297" s="804">
        <v>696170</v>
      </c>
      <c r="ED297" s="804">
        <v>0</v>
      </c>
      <c r="EE297" s="804">
        <v>3480849</v>
      </c>
      <c r="EF297" s="604" t="s">
        <v>468</v>
      </c>
      <c r="EG297" s="497" t="s">
        <v>611</v>
      </c>
      <c r="EH297" s="630" t="s">
        <v>551</v>
      </c>
      <c r="EI297" s="118" t="s">
        <v>1948</v>
      </c>
    </row>
    <row r="298" spans="1:139" ht="12.75" x14ac:dyDescent="0.2">
      <c r="A298" s="805">
        <v>291</v>
      </c>
      <c r="B298" s="606" t="s">
        <v>471</v>
      </c>
      <c r="C298" s="607" t="s">
        <v>1185</v>
      </c>
      <c r="D298" s="608" t="s">
        <v>1186</v>
      </c>
      <c r="E298" s="609" t="s">
        <v>470</v>
      </c>
      <c r="F298" s="802">
        <v>33133314</v>
      </c>
      <c r="G298" s="804">
        <v>276750</v>
      </c>
      <c r="H298" s="804">
        <v>0</v>
      </c>
      <c r="I298" s="804">
        <v>225111</v>
      </c>
      <c r="J298" s="804">
        <v>0</v>
      </c>
      <c r="K298" s="804">
        <v>225111</v>
      </c>
      <c r="L298" s="804">
        <v>0</v>
      </c>
      <c r="M298" s="804">
        <v>0</v>
      </c>
      <c r="N298" s="804">
        <v>191220</v>
      </c>
      <c r="O298" s="804">
        <v>191220</v>
      </c>
      <c r="P298" s="804">
        <v>0</v>
      </c>
      <c r="Q298" s="804">
        <v>0</v>
      </c>
      <c r="R298" s="804">
        <v>32993733</v>
      </c>
      <c r="S298" s="804">
        <v>0.5</v>
      </c>
      <c r="T298" s="804">
        <v>0.4</v>
      </c>
      <c r="U298" s="804">
        <v>0.09</v>
      </c>
      <c r="V298" s="804">
        <v>0.01</v>
      </c>
      <c r="W298" s="804">
        <v>1</v>
      </c>
      <c r="X298" s="804">
        <v>16496867</v>
      </c>
      <c r="Y298" s="804">
        <v>13197493</v>
      </c>
      <c r="Z298" s="804">
        <v>2969436</v>
      </c>
      <c r="AA298" s="804">
        <v>329937</v>
      </c>
      <c r="AB298" s="804">
        <v>32993733</v>
      </c>
      <c r="AC298" s="804">
        <v>0</v>
      </c>
      <c r="AD298" s="804">
        <v>0</v>
      </c>
      <c r="AE298" s="804">
        <v>0</v>
      </c>
      <c r="AF298" s="804">
        <v>0</v>
      </c>
      <c r="AG298" s="804">
        <v>0</v>
      </c>
      <c r="AH298" s="804">
        <v>16496867</v>
      </c>
      <c r="AI298" s="804">
        <v>13197493</v>
      </c>
      <c r="AJ298" s="804">
        <v>2969436</v>
      </c>
      <c r="AK298" s="804">
        <v>329937</v>
      </c>
      <c r="AL298" s="804">
        <v>32993733</v>
      </c>
      <c r="AM298" s="804">
        <v>225111</v>
      </c>
      <c r="AN298" s="804">
        <v>225111</v>
      </c>
      <c r="AO298" s="804">
        <v>0</v>
      </c>
      <c r="AP298" s="804">
        <v>0</v>
      </c>
      <c r="AQ298" s="804">
        <v>191220</v>
      </c>
      <c r="AR298" s="804">
        <v>0</v>
      </c>
      <c r="AS298" s="804">
        <v>191220</v>
      </c>
      <c r="AT298" s="804">
        <v>0</v>
      </c>
      <c r="AU298" s="804">
        <v>0</v>
      </c>
      <c r="AV298" s="804">
        <v>0</v>
      </c>
      <c r="AW298" s="804">
        <v>0</v>
      </c>
      <c r="AX298" s="804">
        <v>0</v>
      </c>
      <c r="AY298" s="804">
        <v>0</v>
      </c>
      <c r="AZ298" s="804">
        <v>0</v>
      </c>
      <c r="BA298" s="804">
        <v>0</v>
      </c>
      <c r="BB298" s="804">
        <v>0</v>
      </c>
      <c r="BC298" s="804">
        <v>0</v>
      </c>
      <c r="BD298" s="804">
        <v>0</v>
      </c>
      <c r="BE298" s="804">
        <v>0</v>
      </c>
      <c r="BF298" s="804">
        <v>0</v>
      </c>
      <c r="BG298" s="804">
        <v>0</v>
      </c>
      <c r="BH298" s="804">
        <v>0</v>
      </c>
      <c r="BI298" s="804">
        <v>0</v>
      </c>
      <c r="BJ298" s="804">
        <v>0.24999999999999994</v>
      </c>
      <c r="BK298" s="804">
        <v>0.44</v>
      </c>
      <c r="BL298" s="804">
        <v>0.26</v>
      </c>
      <c r="BM298" s="804">
        <v>0.05</v>
      </c>
      <c r="BN298" s="804">
        <v>1</v>
      </c>
      <c r="BO298" s="804">
        <v>-19551</v>
      </c>
      <c r="BP298" s="804">
        <v>-34408</v>
      </c>
      <c r="BQ298" s="804">
        <v>-20332</v>
      </c>
      <c r="BR298" s="804">
        <v>-3910</v>
      </c>
      <c r="BS298" s="804">
        <v>-78201</v>
      </c>
      <c r="BT298" s="804">
        <v>0.5</v>
      </c>
      <c r="BU298" s="804">
        <v>0.4</v>
      </c>
      <c r="BV298" s="804">
        <v>0.09</v>
      </c>
      <c r="BW298" s="804">
        <v>0.01</v>
      </c>
      <c r="BX298" s="804">
        <v>1</v>
      </c>
      <c r="BY298" s="804">
        <v>64120</v>
      </c>
      <c r="BZ298" s="804">
        <v>51296</v>
      </c>
      <c r="CA298" s="804">
        <v>11542</v>
      </c>
      <c r="CB298" s="804">
        <v>1282</v>
      </c>
      <c r="CC298" s="804">
        <v>128240</v>
      </c>
      <c r="CD298" s="804">
        <v>44569</v>
      </c>
      <c r="CE298" s="804">
        <v>16888</v>
      </c>
      <c r="CF298" s="804">
        <v>-8790</v>
      </c>
      <c r="CG298" s="804">
        <v>-2628</v>
      </c>
      <c r="CH298" s="804">
        <v>50039</v>
      </c>
      <c r="CI298" s="804">
        <v>16541436</v>
      </c>
      <c r="CJ298" s="804">
        <v>13630712</v>
      </c>
      <c r="CK298" s="804">
        <v>2960646</v>
      </c>
      <c r="CL298" s="804">
        <v>327309</v>
      </c>
      <c r="CM298" s="804">
        <v>33460103</v>
      </c>
      <c r="CN298" s="804">
        <v>536622</v>
      </c>
      <c r="CO298" s="804">
        <v>119015</v>
      </c>
      <c r="CP298" s="804">
        <v>13224</v>
      </c>
      <c r="CQ298" s="804">
        <v>668861</v>
      </c>
      <c r="CR298" s="804">
        <v>2525959</v>
      </c>
      <c r="CS298" s="804">
        <v>568341</v>
      </c>
      <c r="CT298" s="804">
        <v>63149</v>
      </c>
      <c r="CU298" s="804">
        <v>3157449</v>
      </c>
      <c r="CV298" s="804">
        <v>106201</v>
      </c>
      <c r="CW298" s="804">
        <v>23895</v>
      </c>
      <c r="CX298" s="804">
        <v>2655</v>
      </c>
      <c r="CY298" s="804">
        <v>132751</v>
      </c>
      <c r="CZ298" s="804">
        <v>9213</v>
      </c>
      <c r="DA298" s="804">
        <v>2073</v>
      </c>
      <c r="DB298" s="804">
        <v>230</v>
      </c>
      <c r="DC298" s="804">
        <v>11516</v>
      </c>
      <c r="DD298" s="804">
        <v>14837</v>
      </c>
      <c r="DE298" s="804">
        <v>3338</v>
      </c>
      <c r="DF298" s="804">
        <v>371</v>
      </c>
      <c r="DG298" s="804">
        <v>18546</v>
      </c>
      <c r="DH298" s="804">
        <v>26456</v>
      </c>
      <c r="DI298" s="804">
        <v>5952</v>
      </c>
      <c r="DJ298" s="804">
        <v>661</v>
      </c>
      <c r="DK298" s="804">
        <v>33069</v>
      </c>
      <c r="DL298" s="804">
        <v>3727</v>
      </c>
      <c r="DM298" s="804">
        <v>839</v>
      </c>
      <c r="DN298" s="804">
        <v>93</v>
      </c>
      <c r="DO298" s="804">
        <v>4659</v>
      </c>
      <c r="DP298" s="804">
        <v>0</v>
      </c>
      <c r="DQ298" s="804">
        <v>0</v>
      </c>
      <c r="DR298" s="804">
        <v>0</v>
      </c>
      <c r="DS298" s="804">
        <v>0</v>
      </c>
      <c r="DT298" s="804">
        <v>0</v>
      </c>
      <c r="DU298" s="804">
        <v>0</v>
      </c>
      <c r="DV298" s="804">
        <v>0</v>
      </c>
      <c r="DW298" s="804">
        <v>0</v>
      </c>
      <c r="DX298" s="804">
        <v>451107</v>
      </c>
      <c r="DY298" s="804">
        <v>101499</v>
      </c>
      <c r="DZ298" s="804">
        <v>11278</v>
      </c>
      <c r="EA298" s="804">
        <v>563884</v>
      </c>
      <c r="EB298" s="804">
        <v>3674122</v>
      </c>
      <c r="EC298" s="804">
        <v>824952</v>
      </c>
      <c r="ED298" s="804">
        <v>91661</v>
      </c>
      <c r="EE298" s="804">
        <v>4590735</v>
      </c>
      <c r="EF298" s="604" t="s">
        <v>470</v>
      </c>
      <c r="EG298" s="497" t="s">
        <v>566</v>
      </c>
      <c r="EH298" s="630" t="s">
        <v>565</v>
      </c>
      <c r="EI298" s="118" t="s">
        <v>1949</v>
      </c>
    </row>
    <row r="299" spans="1:139" ht="12.75" x14ac:dyDescent="0.2">
      <c r="A299" s="805">
        <v>292</v>
      </c>
      <c r="B299" s="606" t="s">
        <v>473</v>
      </c>
      <c r="C299" s="607" t="s">
        <v>1185</v>
      </c>
      <c r="D299" s="608" t="s">
        <v>1188</v>
      </c>
      <c r="E299" s="609" t="s">
        <v>472</v>
      </c>
      <c r="F299" s="802">
        <v>29012875</v>
      </c>
      <c r="G299" s="804">
        <v>0</v>
      </c>
      <c r="H299" s="804">
        <v>88556</v>
      </c>
      <c r="I299" s="804">
        <v>106992</v>
      </c>
      <c r="J299" s="804">
        <v>0</v>
      </c>
      <c r="K299" s="804">
        <v>106992</v>
      </c>
      <c r="L299" s="804">
        <v>0</v>
      </c>
      <c r="M299" s="804">
        <v>0</v>
      </c>
      <c r="N299" s="804">
        <v>38666</v>
      </c>
      <c r="O299" s="804">
        <v>38666</v>
      </c>
      <c r="P299" s="804">
        <v>0</v>
      </c>
      <c r="Q299" s="804">
        <v>0</v>
      </c>
      <c r="R299" s="804">
        <v>28778661</v>
      </c>
      <c r="S299" s="804">
        <v>0.5</v>
      </c>
      <c r="T299" s="804">
        <v>0.4</v>
      </c>
      <c r="U299" s="804">
        <v>0.09</v>
      </c>
      <c r="V299" s="804">
        <v>0.01</v>
      </c>
      <c r="W299" s="804">
        <v>1</v>
      </c>
      <c r="X299" s="804">
        <v>14389331</v>
      </c>
      <c r="Y299" s="804">
        <v>11511464</v>
      </c>
      <c r="Z299" s="804">
        <v>2590079</v>
      </c>
      <c r="AA299" s="804">
        <v>287787</v>
      </c>
      <c r="AB299" s="804">
        <v>28778661</v>
      </c>
      <c r="AC299" s="804">
        <v>0</v>
      </c>
      <c r="AD299" s="804">
        <v>0</v>
      </c>
      <c r="AE299" s="804">
        <v>0</v>
      </c>
      <c r="AF299" s="804">
        <v>0</v>
      </c>
      <c r="AG299" s="804">
        <v>0</v>
      </c>
      <c r="AH299" s="804">
        <v>14389331</v>
      </c>
      <c r="AI299" s="804">
        <v>11511464</v>
      </c>
      <c r="AJ299" s="804">
        <v>2590079</v>
      </c>
      <c r="AK299" s="804">
        <v>287787</v>
      </c>
      <c r="AL299" s="804">
        <v>28778661</v>
      </c>
      <c r="AM299" s="804">
        <v>106992</v>
      </c>
      <c r="AN299" s="804">
        <v>106992</v>
      </c>
      <c r="AO299" s="804">
        <v>0</v>
      </c>
      <c r="AP299" s="804">
        <v>0</v>
      </c>
      <c r="AQ299" s="804">
        <v>38666</v>
      </c>
      <c r="AR299" s="804">
        <v>0</v>
      </c>
      <c r="AS299" s="804">
        <v>38666</v>
      </c>
      <c r="AT299" s="804">
        <v>0</v>
      </c>
      <c r="AU299" s="804">
        <v>0</v>
      </c>
      <c r="AV299" s="804">
        <v>0</v>
      </c>
      <c r="AW299" s="804">
        <v>0</v>
      </c>
      <c r="AX299" s="804">
        <v>0</v>
      </c>
      <c r="AY299" s="804">
        <v>0</v>
      </c>
      <c r="AZ299" s="804">
        <v>0</v>
      </c>
      <c r="BA299" s="804">
        <v>0</v>
      </c>
      <c r="BB299" s="804">
        <v>0</v>
      </c>
      <c r="BC299" s="804">
        <v>0</v>
      </c>
      <c r="BD299" s="804">
        <v>0</v>
      </c>
      <c r="BE299" s="804">
        <v>0</v>
      </c>
      <c r="BF299" s="804">
        <v>0</v>
      </c>
      <c r="BG299" s="804">
        <v>0</v>
      </c>
      <c r="BH299" s="804">
        <v>0</v>
      </c>
      <c r="BI299" s="804">
        <v>0</v>
      </c>
      <c r="BJ299" s="804">
        <v>0.25</v>
      </c>
      <c r="BK299" s="804">
        <v>0.4</v>
      </c>
      <c r="BL299" s="804">
        <v>0.33999999999999997</v>
      </c>
      <c r="BM299" s="804">
        <v>0.01</v>
      </c>
      <c r="BN299" s="804">
        <v>1</v>
      </c>
      <c r="BO299" s="804">
        <v>108171</v>
      </c>
      <c r="BP299" s="804">
        <v>173073</v>
      </c>
      <c r="BQ299" s="804">
        <v>147112</v>
      </c>
      <c r="BR299" s="804">
        <v>4327</v>
      </c>
      <c r="BS299" s="804">
        <v>432683</v>
      </c>
      <c r="BT299" s="804">
        <v>0.5</v>
      </c>
      <c r="BU299" s="804">
        <v>0.4</v>
      </c>
      <c r="BV299" s="804">
        <v>0.1</v>
      </c>
      <c r="BW299" s="804">
        <v>0</v>
      </c>
      <c r="BX299" s="804">
        <v>1</v>
      </c>
      <c r="BY299" s="804">
        <v>-99247</v>
      </c>
      <c r="BZ299" s="804">
        <v>-79397</v>
      </c>
      <c r="CA299" s="804">
        <v>-19849</v>
      </c>
      <c r="CB299" s="804">
        <v>0</v>
      </c>
      <c r="CC299" s="804">
        <v>-198493</v>
      </c>
      <c r="CD299" s="804">
        <v>8924</v>
      </c>
      <c r="CE299" s="804">
        <v>93676</v>
      </c>
      <c r="CF299" s="804">
        <v>127263</v>
      </c>
      <c r="CG299" s="804">
        <v>4327</v>
      </c>
      <c r="CH299" s="804">
        <v>234190</v>
      </c>
      <c r="CI299" s="804">
        <v>14398255</v>
      </c>
      <c r="CJ299" s="804">
        <v>11750798</v>
      </c>
      <c r="CK299" s="804">
        <v>2717342</v>
      </c>
      <c r="CL299" s="804">
        <v>292114</v>
      </c>
      <c r="CM299" s="804">
        <v>29158509</v>
      </c>
      <c r="CN299" s="804">
        <v>462931</v>
      </c>
      <c r="CO299" s="804">
        <v>103811</v>
      </c>
      <c r="CP299" s="804">
        <v>11535</v>
      </c>
      <c r="CQ299" s="804">
        <v>578277</v>
      </c>
      <c r="CR299" s="804">
        <v>1013539</v>
      </c>
      <c r="CS299" s="804">
        <v>228046</v>
      </c>
      <c r="CT299" s="804">
        <v>25338</v>
      </c>
      <c r="CU299" s="804">
        <v>1266923</v>
      </c>
      <c r="CV299" s="804">
        <v>57524</v>
      </c>
      <c r="CW299" s="804">
        <v>12943</v>
      </c>
      <c r="CX299" s="804">
        <v>1438</v>
      </c>
      <c r="CY299" s="804">
        <v>71905</v>
      </c>
      <c r="CZ299" s="804">
        <v>0</v>
      </c>
      <c r="DA299" s="804">
        <v>0</v>
      </c>
      <c r="DB299" s="804">
        <v>0</v>
      </c>
      <c r="DC299" s="804">
        <v>0</v>
      </c>
      <c r="DD299" s="804">
        <v>0</v>
      </c>
      <c r="DE299" s="804">
        <v>0</v>
      </c>
      <c r="DF299" s="804">
        <v>0</v>
      </c>
      <c r="DG299" s="804">
        <v>0</v>
      </c>
      <c r="DH299" s="804">
        <v>0</v>
      </c>
      <c r="DI299" s="804">
        <v>0</v>
      </c>
      <c r="DJ299" s="804">
        <v>0</v>
      </c>
      <c r="DK299" s="804">
        <v>0</v>
      </c>
      <c r="DL299" s="804">
        <v>638</v>
      </c>
      <c r="DM299" s="804">
        <v>143</v>
      </c>
      <c r="DN299" s="804">
        <v>16</v>
      </c>
      <c r="DO299" s="804">
        <v>797</v>
      </c>
      <c r="DP299" s="804">
        <v>0</v>
      </c>
      <c r="DQ299" s="804">
        <v>0</v>
      </c>
      <c r="DR299" s="804">
        <v>0</v>
      </c>
      <c r="DS299" s="804">
        <v>0</v>
      </c>
      <c r="DT299" s="804">
        <v>0</v>
      </c>
      <c r="DU299" s="804">
        <v>0</v>
      </c>
      <c r="DV299" s="804">
        <v>0</v>
      </c>
      <c r="DW299" s="804">
        <v>0</v>
      </c>
      <c r="DX299" s="804">
        <v>147554</v>
      </c>
      <c r="DY299" s="804">
        <v>33199</v>
      </c>
      <c r="DZ299" s="804">
        <v>3689</v>
      </c>
      <c r="EA299" s="804">
        <v>184442</v>
      </c>
      <c r="EB299" s="804">
        <v>1682186</v>
      </c>
      <c r="EC299" s="804">
        <v>378142</v>
      </c>
      <c r="ED299" s="804">
        <v>42016</v>
      </c>
      <c r="EE299" s="804">
        <v>2102344</v>
      </c>
      <c r="EF299" s="604" t="s">
        <v>472</v>
      </c>
      <c r="EG299" s="497" t="s">
        <v>600</v>
      </c>
      <c r="EH299" s="630" t="s">
        <v>551</v>
      </c>
      <c r="EI299" s="118" t="s">
        <v>1950</v>
      </c>
    </row>
    <row r="300" spans="1:139" ht="12.75" x14ac:dyDescent="0.2">
      <c r="A300" s="805">
        <v>293</v>
      </c>
      <c r="B300" s="606" t="s">
        <v>475</v>
      </c>
      <c r="C300" s="607" t="s">
        <v>1185</v>
      </c>
      <c r="D300" s="608" t="s">
        <v>1189</v>
      </c>
      <c r="E300" s="609" t="s">
        <v>474</v>
      </c>
      <c r="F300" s="802">
        <v>58996193</v>
      </c>
      <c r="G300" s="804">
        <v>0</v>
      </c>
      <c r="H300" s="804">
        <v>125560</v>
      </c>
      <c r="I300" s="804">
        <v>146294</v>
      </c>
      <c r="J300" s="804">
        <v>0</v>
      </c>
      <c r="K300" s="804">
        <v>146294</v>
      </c>
      <c r="L300" s="804">
        <v>0</v>
      </c>
      <c r="M300" s="804">
        <v>0</v>
      </c>
      <c r="N300" s="804">
        <v>0</v>
      </c>
      <c r="O300" s="804">
        <v>0</v>
      </c>
      <c r="P300" s="804">
        <v>0</v>
      </c>
      <c r="Q300" s="804">
        <v>0</v>
      </c>
      <c r="R300" s="804">
        <v>58724339</v>
      </c>
      <c r="S300" s="804">
        <v>0.5</v>
      </c>
      <c r="T300" s="804">
        <v>0.4</v>
      </c>
      <c r="U300" s="804">
        <v>0.1</v>
      </c>
      <c r="V300" s="804">
        <v>0</v>
      </c>
      <c r="W300" s="804">
        <v>1</v>
      </c>
      <c r="X300" s="804">
        <v>29362169</v>
      </c>
      <c r="Y300" s="804">
        <v>23489736</v>
      </c>
      <c r="Z300" s="804">
        <v>5872434</v>
      </c>
      <c r="AA300" s="804">
        <v>0</v>
      </c>
      <c r="AB300" s="804">
        <v>58724339</v>
      </c>
      <c r="AC300" s="804">
        <v>0</v>
      </c>
      <c r="AD300" s="804">
        <v>0</v>
      </c>
      <c r="AE300" s="804">
        <v>0</v>
      </c>
      <c r="AF300" s="804">
        <v>0</v>
      </c>
      <c r="AG300" s="804">
        <v>0</v>
      </c>
      <c r="AH300" s="804">
        <v>29362169</v>
      </c>
      <c r="AI300" s="804">
        <v>23489736</v>
      </c>
      <c r="AJ300" s="804">
        <v>5872434</v>
      </c>
      <c r="AK300" s="804">
        <v>0</v>
      </c>
      <c r="AL300" s="804">
        <v>58724339</v>
      </c>
      <c r="AM300" s="804">
        <v>146294</v>
      </c>
      <c r="AN300" s="804">
        <v>146294</v>
      </c>
      <c r="AO300" s="804">
        <v>0</v>
      </c>
      <c r="AP300" s="804">
        <v>0</v>
      </c>
      <c r="AQ300" s="804">
        <v>0</v>
      </c>
      <c r="AR300" s="804">
        <v>0</v>
      </c>
      <c r="AS300" s="804">
        <v>0</v>
      </c>
      <c r="AT300" s="804">
        <v>0</v>
      </c>
      <c r="AU300" s="804">
        <v>0</v>
      </c>
      <c r="AV300" s="804">
        <v>0</v>
      </c>
      <c r="AW300" s="804">
        <v>0</v>
      </c>
      <c r="AX300" s="804">
        <v>0</v>
      </c>
      <c r="AY300" s="804">
        <v>0</v>
      </c>
      <c r="AZ300" s="804">
        <v>0</v>
      </c>
      <c r="BA300" s="804">
        <v>0</v>
      </c>
      <c r="BB300" s="804">
        <v>0</v>
      </c>
      <c r="BC300" s="804">
        <v>0</v>
      </c>
      <c r="BD300" s="804">
        <v>0</v>
      </c>
      <c r="BE300" s="804">
        <v>0</v>
      </c>
      <c r="BF300" s="804">
        <v>0</v>
      </c>
      <c r="BG300" s="804">
        <v>0</v>
      </c>
      <c r="BH300" s="804">
        <v>0</v>
      </c>
      <c r="BI300" s="804">
        <v>0</v>
      </c>
      <c r="BJ300" s="804">
        <v>0.25</v>
      </c>
      <c r="BK300" s="804">
        <v>0.35</v>
      </c>
      <c r="BL300" s="804">
        <v>0.4</v>
      </c>
      <c r="BM300" s="804">
        <v>0</v>
      </c>
      <c r="BN300" s="804">
        <v>1</v>
      </c>
      <c r="BO300" s="804">
        <v>-206869</v>
      </c>
      <c r="BP300" s="804">
        <v>-289618</v>
      </c>
      <c r="BQ300" s="804">
        <v>-330992</v>
      </c>
      <c r="BR300" s="804">
        <v>0</v>
      </c>
      <c r="BS300" s="804">
        <v>-827479</v>
      </c>
      <c r="BT300" s="804">
        <v>0.5</v>
      </c>
      <c r="BU300" s="804">
        <v>0.4</v>
      </c>
      <c r="BV300" s="804">
        <v>0.1</v>
      </c>
      <c r="BW300" s="804">
        <v>0</v>
      </c>
      <c r="BX300" s="804">
        <v>1</v>
      </c>
      <c r="BY300" s="804">
        <v>-1736302</v>
      </c>
      <c r="BZ300" s="804">
        <v>-1389041</v>
      </c>
      <c r="CA300" s="804">
        <v>-347260</v>
      </c>
      <c r="CB300" s="804">
        <v>0</v>
      </c>
      <c r="CC300" s="804">
        <v>-3472603</v>
      </c>
      <c r="CD300" s="804">
        <v>-1943171</v>
      </c>
      <c r="CE300" s="804">
        <v>-1678659</v>
      </c>
      <c r="CF300" s="804">
        <v>-678252</v>
      </c>
      <c r="CG300" s="804">
        <v>0</v>
      </c>
      <c r="CH300" s="804">
        <v>-4300082</v>
      </c>
      <c r="CI300" s="804">
        <v>27418998</v>
      </c>
      <c r="CJ300" s="804">
        <v>21957371</v>
      </c>
      <c r="CK300" s="804">
        <v>5194182</v>
      </c>
      <c r="CL300" s="804">
        <v>0</v>
      </c>
      <c r="CM300" s="804">
        <v>54570551</v>
      </c>
      <c r="CN300" s="804">
        <v>941472</v>
      </c>
      <c r="CO300" s="804">
        <v>235368</v>
      </c>
      <c r="CP300" s="804">
        <v>0</v>
      </c>
      <c r="CQ300" s="804">
        <v>1176840</v>
      </c>
      <c r="CR300" s="804">
        <v>743761</v>
      </c>
      <c r="CS300" s="804">
        <v>185940</v>
      </c>
      <c r="CT300" s="804">
        <v>0</v>
      </c>
      <c r="CU300" s="804">
        <v>929701</v>
      </c>
      <c r="CV300" s="804">
        <v>86191</v>
      </c>
      <c r="CW300" s="804">
        <v>21548</v>
      </c>
      <c r="CX300" s="804">
        <v>0</v>
      </c>
      <c r="CY300" s="804">
        <v>107739</v>
      </c>
      <c r="CZ300" s="804">
        <v>0</v>
      </c>
      <c r="DA300" s="804">
        <v>0</v>
      </c>
      <c r="DB300" s="804">
        <v>0</v>
      </c>
      <c r="DC300" s="804">
        <v>0</v>
      </c>
      <c r="DD300" s="804">
        <v>0</v>
      </c>
      <c r="DE300" s="804">
        <v>0</v>
      </c>
      <c r="DF300" s="804">
        <v>0</v>
      </c>
      <c r="DG300" s="804">
        <v>0</v>
      </c>
      <c r="DH300" s="804">
        <v>18969</v>
      </c>
      <c r="DI300" s="804">
        <v>4742</v>
      </c>
      <c r="DJ300" s="804">
        <v>0</v>
      </c>
      <c r="DK300" s="804">
        <v>23711</v>
      </c>
      <c r="DL300" s="804">
        <v>3408</v>
      </c>
      <c r="DM300" s="804">
        <v>852</v>
      </c>
      <c r="DN300" s="804">
        <v>0</v>
      </c>
      <c r="DO300" s="804">
        <v>4260</v>
      </c>
      <c r="DP300" s="804">
        <v>0</v>
      </c>
      <c r="DQ300" s="804">
        <v>0</v>
      </c>
      <c r="DR300" s="804">
        <v>0</v>
      </c>
      <c r="DS300" s="804">
        <v>0</v>
      </c>
      <c r="DT300" s="804">
        <v>0</v>
      </c>
      <c r="DU300" s="804">
        <v>0</v>
      </c>
      <c r="DV300" s="804">
        <v>0</v>
      </c>
      <c r="DW300" s="804">
        <v>0</v>
      </c>
      <c r="DX300" s="804">
        <v>563166</v>
      </c>
      <c r="DY300" s="804">
        <v>140792</v>
      </c>
      <c r="DZ300" s="804">
        <v>0</v>
      </c>
      <c r="EA300" s="804">
        <v>703958</v>
      </c>
      <c r="EB300" s="804">
        <v>2356967</v>
      </c>
      <c r="EC300" s="804">
        <v>589242</v>
      </c>
      <c r="ED300" s="804">
        <v>0</v>
      </c>
      <c r="EE300" s="804">
        <v>2946209</v>
      </c>
      <c r="EF300" s="604" t="s">
        <v>474</v>
      </c>
      <c r="EG300" s="497" t="s">
        <v>579</v>
      </c>
      <c r="EH300" s="630" t="s">
        <v>551</v>
      </c>
      <c r="EI300" s="118" t="s">
        <v>1951</v>
      </c>
    </row>
    <row r="301" spans="1:139" ht="12.75" x14ac:dyDescent="0.2">
      <c r="A301" s="805">
        <v>294</v>
      </c>
      <c r="B301" s="606" t="s">
        <v>477</v>
      </c>
      <c r="C301" s="607" t="s">
        <v>524</v>
      </c>
      <c r="D301" s="608" t="s">
        <v>1186</v>
      </c>
      <c r="E301" s="609" t="s">
        <v>533</v>
      </c>
      <c r="F301" s="802">
        <v>88108251</v>
      </c>
      <c r="G301" s="804">
        <v>0</v>
      </c>
      <c r="H301" s="804">
        <v>801808</v>
      </c>
      <c r="I301" s="804">
        <v>259293</v>
      </c>
      <c r="J301" s="804">
        <v>0</v>
      </c>
      <c r="K301" s="804">
        <v>259293</v>
      </c>
      <c r="L301" s="804">
        <v>0</v>
      </c>
      <c r="M301" s="804">
        <v>0</v>
      </c>
      <c r="N301" s="804">
        <v>0</v>
      </c>
      <c r="O301" s="804">
        <v>0</v>
      </c>
      <c r="P301" s="804">
        <v>0</v>
      </c>
      <c r="Q301" s="804">
        <v>0</v>
      </c>
      <c r="R301" s="804">
        <v>87047150</v>
      </c>
      <c r="S301" s="804">
        <v>0.5</v>
      </c>
      <c r="T301" s="804">
        <v>0.49</v>
      </c>
      <c r="U301" s="804">
        <v>0</v>
      </c>
      <c r="V301" s="804">
        <v>0.01</v>
      </c>
      <c r="W301" s="804">
        <v>1</v>
      </c>
      <c r="X301" s="804">
        <v>43523574</v>
      </c>
      <c r="Y301" s="804">
        <v>42653104</v>
      </c>
      <c r="Z301" s="804">
        <v>0</v>
      </c>
      <c r="AA301" s="804">
        <v>870472</v>
      </c>
      <c r="AB301" s="804">
        <v>87047150</v>
      </c>
      <c r="AC301" s="804">
        <v>0</v>
      </c>
      <c r="AD301" s="804">
        <v>0</v>
      </c>
      <c r="AE301" s="804">
        <v>0</v>
      </c>
      <c r="AF301" s="804">
        <v>0</v>
      </c>
      <c r="AG301" s="804">
        <v>0</v>
      </c>
      <c r="AH301" s="804">
        <v>43523574</v>
      </c>
      <c r="AI301" s="804">
        <v>42653104</v>
      </c>
      <c r="AJ301" s="804">
        <v>0</v>
      </c>
      <c r="AK301" s="804">
        <v>870472</v>
      </c>
      <c r="AL301" s="804">
        <v>87047150</v>
      </c>
      <c r="AM301" s="804">
        <v>259293</v>
      </c>
      <c r="AN301" s="804">
        <v>259293</v>
      </c>
      <c r="AO301" s="804">
        <v>0</v>
      </c>
      <c r="AP301" s="804">
        <v>0</v>
      </c>
      <c r="AQ301" s="804">
        <v>0</v>
      </c>
      <c r="AR301" s="804">
        <v>0</v>
      </c>
      <c r="AS301" s="804">
        <v>0</v>
      </c>
      <c r="AT301" s="804">
        <v>0</v>
      </c>
      <c r="AU301" s="804">
        <v>0</v>
      </c>
      <c r="AV301" s="804">
        <v>0</v>
      </c>
      <c r="AW301" s="804">
        <v>0</v>
      </c>
      <c r="AX301" s="804">
        <v>0</v>
      </c>
      <c r="AY301" s="804">
        <v>0</v>
      </c>
      <c r="AZ301" s="804">
        <v>0</v>
      </c>
      <c r="BA301" s="804">
        <v>0</v>
      </c>
      <c r="BB301" s="804">
        <v>0</v>
      </c>
      <c r="BC301" s="804">
        <v>0</v>
      </c>
      <c r="BD301" s="804">
        <v>0</v>
      </c>
      <c r="BE301" s="804">
        <v>0</v>
      </c>
      <c r="BF301" s="804">
        <v>0</v>
      </c>
      <c r="BG301" s="804">
        <v>0</v>
      </c>
      <c r="BH301" s="804">
        <v>0</v>
      </c>
      <c r="BI301" s="804">
        <v>0</v>
      </c>
      <c r="BJ301" s="804">
        <v>0.25</v>
      </c>
      <c r="BK301" s="804">
        <v>0.74</v>
      </c>
      <c r="BL301" s="804">
        <v>0</v>
      </c>
      <c r="BM301" s="804">
        <v>0.01</v>
      </c>
      <c r="BN301" s="804">
        <v>1</v>
      </c>
      <c r="BO301" s="804">
        <v>455880</v>
      </c>
      <c r="BP301" s="804">
        <v>1349406</v>
      </c>
      <c r="BQ301" s="804">
        <v>0</v>
      </c>
      <c r="BR301" s="804">
        <v>18235</v>
      </c>
      <c r="BS301" s="804">
        <v>1823521</v>
      </c>
      <c r="BT301" s="804">
        <v>0</v>
      </c>
      <c r="BU301" s="804">
        <v>0.99</v>
      </c>
      <c r="BV301" s="804">
        <v>0</v>
      </c>
      <c r="BW301" s="804">
        <v>0.01</v>
      </c>
      <c r="BX301" s="804">
        <v>1</v>
      </c>
      <c r="BY301" s="804">
        <v>0</v>
      </c>
      <c r="BZ301" s="804">
        <v>-5064179</v>
      </c>
      <c r="CA301" s="804">
        <v>0</v>
      </c>
      <c r="CB301" s="804">
        <v>-51153</v>
      </c>
      <c r="CC301" s="804">
        <v>-5115332</v>
      </c>
      <c r="CD301" s="804">
        <v>455880</v>
      </c>
      <c r="CE301" s="804">
        <v>-3714773</v>
      </c>
      <c r="CF301" s="804">
        <v>0</v>
      </c>
      <c r="CG301" s="804">
        <v>-32918</v>
      </c>
      <c r="CH301" s="804">
        <v>-3291811</v>
      </c>
      <c r="CI301" s="804">
        <v>43979454</v>
      </c>
      <c r="CJ301" s="804">
        <v>39197624</v>
      </c>
      <c r="CK301" s="804">
        <v>0</v>
      </c>
      <c r="CL301" s="804">
        <v>837554</v>
      </c>
      <c r="CM301" s="804">
        <v>84014632</v>
      </c>
      <c r="CN301" s="804">
        <v>1709543</v>
      </c>
      <c r="CO301" s="804">
        <v>0</v>
      </c>
      <c r="CP301" s="804">
        <v>34889</v>
      </c>
      <c r="CQ301" s="804">
        <v>1744432</v>
      </c>
      <c r="CR301" s="804">
        <v>1965459</v>
      </c>
      <c r="CS301" s="804">
        <v>0</v>
      </c>
      <c r="CT301" s="804">
        <v>40111</v>
      </c>
      <c r="CU301" s="804">
        <v>2005570</v>
      </c>
      <c r="CV301" s="804">
        <v>193036</v>
      </c>
      <c r="CW301" s="804">
        <v>0</v>
      </c>
      <c r="CX301" s="804">
        <v>3940</v>
      </c>
      <c r="CY301" s="804">
        <v>196976</v>
      </c>
      <c r="CZ301" s="804">
        <v>3451</v>
      </c>
      <c r="DA301" s="804">
        <v>0</v>
      </c>
      <c r="DB301" s="804">
        <v>70</v>
      </c>
      <c r="DC301" s="804">
        <v>3521</v>
      </c>
      <c r="DD301" s="804">
        <v>561</v>
      </c>
      <c r="DE301" s="804">
        <v>0</v>
      </c>
      <c r="DF301" s="804">
        <v>11</v>
      </c>
      <c r="DG301" s="804">
        <v>572</v>
      </c>
      <c r="DH301" s="804">
        <v>26582</v>
      </c>
      <c r="DI301" s="804">
        <v>0</v>
      </c>
      <c r="DJ301" s="804">
        <v>542</v>
      </c>
      <c r="DK301" s="804">
        <v>27124</v>
      </c>
      <c r="DL301" s="804">
        <v>8022</v>
      </c>
      <c r="DM301" s="804">
        <v>0</v>
      </c>
      <c r="DN301" s="804">
        <v>164</v>
      </c>
      <c r="DO301" s="804">
        <v>8186</v>
      </c>
      <c r="DP301" s="804">
        <v>0</v>
      </c>
      <c r="DQ301" s="804">
        <v>0</v>
      </c>
      <c r="DR301" s="804">
        <v>0</v>
      </c>
      <c r="DS301" s="804">
        <v>0</v>
      </c>
      <c r="DT301" s="804">
        <v>0</v>
      </c>
      <c r="DU301" s="804">
        <v>0</v>
      </c>
      <c r="DV301" s="804">
        <v>0</v>
      </c>
      <c r="DW301" s="804">
        <v>0</v>
      </c>
      <c r="DX301" s="804">
        <v>493259</v>
      </c>
      <c r="DY301" s="804">
        <v>0</v>
      </c>
      <c r="DZ301" s="804">
        <v>10067</v>
      </c>
      <c r="EA301" s="804">
        <v>503326</v>
      </c>
      <c r="EB301" s="804">
        <v>4399913</v>
      </c>
      <c r="EC301" s="804">
        <v>0</v>
      </c>
      <c r="ED301" s="804">
        <v>89794</v>
      </c>
      <c r="EE301" s="804">
        <v>4489707</v>
      </c>
      <c r="EF301" s="604" t="s">
        <v>533</v>
      </c>
      <c r="EG301" s="497" t="s">
        <v>524</v>
      </c>
      <c r="EH301" s="630" t="s">
        <v>532</v>
      </c>
      <c r="EI301" s="118" t="s">
        <v>1952</v>
      </c>
    </row>
    <row r="302" spans="1:139" ht="12.75" x14ac:dyDescent="0.2">
      <c r="A302" s="805">
        <v>295</v>
      </c>
      <c r="B302" s="606" t="s">
        <v>479</v>
      </c>
      <c r="C302" s="607" t="s">
        <v>1185</v>
      </c>
      <c r="D302" s="608" t="s">
        <v>1194</v>
      </c>
      <c r="E302" s="609" t="s">
        <v>478</v>
      </c>
      <c r="F302" s="802">
        <v>10086819</v>
      </c>
      <c r="G302" s="804">
        <v>161824</v>
      </c>
      <c r="H302" s="804">
        <v>0</v>
      </c>
      <c r="I302" s="804">
        <v>80300</v>
      </c>
      <c r="J302" s="804">
        <v>0</v>
      </c>
      <c r="K302" s="804">
        <v>80300</v>
      </c>
      <c r="L302" s="804">
        <v>0</v>
      </c>
      <c r="M302" s="804">
        <v>0</v>
      </c>
      <c r="N302" s="804">
        <v>0</v>
      </c>
      <c r="O302" s="804">
        <v>0</v>
      </c>
      <c r="P302" s="804">
        <v>0</v>
      </c>
      <c r="Q302" s="804">
        <v>0</v>
      </c>
      <c r="R302" s="804">
        <v>10168343</v>
      </c>
      <c r="S302" s="804">
        <v>0.5</v>
      </c>
      <c r="T302" s="804">
        <v>0.4</v>
      </c>
      <c r="U302" s="804">
        <v>0.09</v>
      </c>
      <c r="V302" s="804">
        <v>0.01</v>
      </c>
      <c r="W302" s="804">
        <v>1</v>
      </c>
      <c r="X302" s="804">
        <v>5084172</v>
      </c>
      <c r="Y302" s="804">
        <v>4067337</v>
      </c>
      <c r="Z302" s="804">
        <v>915151</v>
      </c>
      <c r="AA302" s="804">
        <v>101683</v>
      </c>
      <c r="AB302" s="804">
        <v>10168343</v>
      </c>
      <c r="AC302" s="804">
        <v>0</v>
      </c>
      <c r="AD302" s="804">
        <v>0</v>
      </c>
      <c r="AE302" s="804">
        <v>0</v>
      </c>
      <c r="AF302" s="804">
        <v>0</v>
      </c>
      <c r="AG302" s="804">
        <v>0</v>
      </c>
      <c r="AH302" s="804">
        <v>5084172</v>
      </c>
      <c r="AI302" s="804">
        <v>4067337</v>
      </c>
      <c r="AJ302" s="804">
        <v>915151</v>
      </c>
      <c r="AK302" s="804">
        <v>101683</v>
      </c>
      <c r="AL302" s="804">
        <v>10168343</v>
      </c>
      <c r="AM302" s="804">
        <v>80300</v>
      </c>
      <c r="AN302" s="804">
        <v>80300</v>
      </c>
      <c r="AO302" s="804">
        <v>0</v>
      </c>
      <c r="AP302" s="804">
        <v>0</v>
      </c>
      <c r="AQ302" s="804">
        <v>0</v>
      </c>
      <c r="AR302" s="804">
        <v>0</v>
      </c>
      <c r="AS302" s="804">
        <v>0</v>
      </c>
      <c r="AT302" s="804">
        <v>0</v>
      </c>
      <c r="AU302" s="804">
        <v>0</v>
      </c>
      <c r="AV302" s="804">
        <v>0</v>
      </c>
      <c r="AW302" s="804">
        <v>0</v>
      </c>
      <c r="AX302" s="804">
        <v>0</v>
      </c>
      <c r="AY302" s="804">
        <v>0</v>
      </c>
      <c r="AZ302" s="804">
        <v>0</v>
      </c>
      <c r="BA302" s="804">
        <v>0</v>
      </c>
      <c r="BB302" s="804">
        <v>0</v>
      </c>
      <c r="BC302" s="804">
        <v>0</v>
      </c>
      <c r="BD302" s="804">
        <v>0</v>
      </c>
      <c r="BE302" s="804">
        <v>0</v>
      </c>
      <c r="BF302" s="804">
        <v>0</v>
      </c>
      <c r="BG302" s="804">
        <v>0</v>
      </c>
      <c r="BH302" s="804">
        <v>0</v>
      </c>
      <c r="BI302" s="804">
        <v>0</v>
      </c>
      <c r="BJ302" s="804">
        <v>0.5</v>
      </c>
      <c r="BK302" s="804">
        <v>0.4</v>
      </c>
      <c r="BL302" s="804">
        <v>0.09</v>
      </c>
      <c r="BM302" s="804">
        <v>0.01</v>
      </c>
      <c r="BN302" s="804">
        <v>1</v>
      </c>
      <c r="BO302" s="804">
        <v>451624</v>
      </c>
      <c r="BP302" s="804">
        <v>361300</v>
      </c>
      <c r="BQ302" s="804">
        <v>81293</v>
      </c>
      <c r="BR302" s="804">
        <v>9033</v>
      </c>
      <c r="BS302" s="804">
        <v>903250</v>
      </c>
      <c r="BT302" s="804">
        <v>0</v>
      </c>
      <c r="BU302" s="804">
        <v>0.4</v>
      </c>
      <c r="BV302" s="804">
        <v>0.59</v>
      </c>
      <c r="BW302" s="804">
        <v>0.01</v>
      </c>
      <c r="BX302" s="804">
        <v>1</v>
      </c>
      <c r="BY302" s="804">
        <v>0</v>
      </c>
      <c r="BZ302" s="804">
        <v>-94005</v>
      </c>
      <c r="CA302" s="804">
        <v>-138658</v>
      </c>
      <c r="CB302" s="804">
        <v>-2350</v>
      </c>
      <c r="CC302" s="804">
        <v>-235013</v>
      </c>
      <c r="CD302" s="804">
        <v>451624</v>
      </c>
      <c r="CE302" s="804">
        <v>267295</v>
      </c>
      <c r="CF302" s="804">
        <v>-57365</v>
      </c>
      <c r="CG302" s="804">
        <v>6683</v>
      </c>
      <c r="CH302" s="804">
        <v>668237</v>
      </c>
      <c r="CI302" s="804">
        <v>5535796</v>
      </c>
      <c r="CJ302" s="804">
        <v>4414932</v>
      </c>
      <c r="CK302" s="804">
        <v>857786</v>
      </c>
      <c r="CL302" s="804">
        <v>108366</v>
      </c>
      <c r="CM302" s="804">
        <v>10916880</v>
      </c>
      <c r="CN302" s="804">
        <v>163020</v>
      </c>
      <c r="CO302" s="804">
        <v>36679</v>
      </c>
      <c r="CP302" s="804">
        <v>4075</v>
      </c>
      <c r="CQ302" s="804">
        <v>203774</v>
      </c>
      <c r="CR302" s="804">
        <v>816662</v>
      </c>
      <c r="CS302" s="804">
        <v>183749</v>
      </c>
      <c r="CT302" s="804">
        <v>20417</v>
      </c>
      <c r="CU302" s="804">
        <v>1020828</v>
      </c>
      <c r="CV302" s="804">
        <v>33689</v>
      </c>
      <c r="CW302" s="804">
        <v>7580</v>
      </c>
      <c r="CX302" s="804">
        <v>842</v>
      </c>
      <c r="CY302" s="804">
        <v>42111</v>
      </c>
      <c r="CZ302" s="804">
        <v>0</v>
      </c>
      <c r="DA302" s="804">
        <v>0</v>
      </c>
      <c r="DB302" s="804">
        <v>0</v>
      </c>
      <c r="DC302" s="804">
        <v>0</v>
      </c>
      <c r="DD302" s="804">
        <v>17711</v>
      </c>
      <c r="DE302" s="804">
        <v>3985</v>
      </c>
      <c r="DF302" s="804">
        <v>443</v>
      </c>
      <c r="DG302" s="804">
        <v>22139</v>
      </c>
      <c r="DH302" s="804">
        <v>11712</v>
      </c>
      <c r="DI302" s="804">
        <v>2635</v>
      </c>
      <c r="DJ302" s="804">
        <v>293</v>
      </c>
      <c r="DK302" s="804">
        <v>14640</v>
      </c>
      <c r="DL302" s="804">
        <v>1331</v>
      </c>
      <c r="DM302" s="804">
        <v>299</v>
      </c>
      <c r="DN302" s="804">
        <v>33</v>
      </c>
      <c r="DO302" s="804">
        <v>1663</v>
      </c>
      <c r="DP302" s="804">
        <v>0</v>
      </c>
      <c r="DQ302" s="804">
        <v>0</v>
      </c>
      <c r="DR302" s="804">
        <v>0</v>
      </c>
      <c r="DS302" s="804">
        <v>0</v>
      </c>
      <c r="DT302" s="804">
        <v>0</v>
      </c>
      <c r="DU302" s="804">
        <v>0</v>
      </c>
      <c r="DV302" s="804">
        <v>0</v>
      </c>
      <c r="DW302" s="804">
        <v>0</v>
      </c>
      <c r="DX302" s="804">
        <v>214603</v>
      </c>
      <c r="DY302" s="804">
        <v>48286</v>
      </c>
      <c r="DZ302" s="804">
        <v>5365</v>
      </c>
      <c r="EA302" s="804">
        <v>268254</v>
      </c>
      <c r="EB302" s="804">
        <v>1258728</v>
      </c>
      <c r="EC302" s="804">
        <v>283213</v>
      </c>
      <c r="ED302" s="804">
        <v>31468</v>
      </c>
      <c r="EE302" s="804">
        <v>1573409</v>
      </c>
      <c r="EF302" s="604" t="s">
        <v>478</v>
      </c>
      <c r="EG302" s="497" t="s">
        <v>560</v>
      </c>
      <c r="EH302" s="630" t="s">
        <v>558</v>
      </c>
      <c r="EI302" s="118" t="s">
        <v>1953</v>
      </c>
    </row>
    <row r="303" spans="1:139" ht="14.25" x14ac:dyDescent="0.2">
      <c r="A303" s="805">
        <v>296</v>
      </c>
      <c r="B303" s="606" t="s">
        <v>481</v>
      </c>
      <c r="C303" s="607" t="s">
        <v>1185</v>
      </c>
      <c r="D303" s="608" t="s">
        <v>1187</v>
      </c>
      <c r="E303" s="609" t="s">
        <v>1983</v>
      </c>
      <c r="F303" s="802">
        <v>30653256</v>
      </c>
      <c r="G303" s="804">
        <v>0</v>
      </c>
      <c r="H303" s="804">
        <v>54933</v>
      </c>
      <c r="I303" s="804">
        <v>125618</v>
      </c>
      <c r="J303" s="804">
        <v>0</v>
      </c>
      <c r="K303" s="804">
        <v>125618</v>
      </c>
      <c r="L303" s="804">
        <v>0</v>
      </c>
      <c r="M303" s="804">
        <v>0</v>
      </c>
      <c r="N303" s="804">
        <v>0</v>
      </c>
      <c r="O303" s="804">
        <v>0</v>
      </c>
      <c r="P303" s="804">
        <v>0</v>
      </c>
      <c r="Q303" s="804">
        <v>0</v>
      </c>
      <c r="R303" s="804">
        <v>30472705</v>
      </c>
      <c r="S303" s="804">
        <v>0.5</v>
      </c>
      <c r="T303" s="804">
        <v>0.4</v>
      </c>
      <c r="U303" s="804">
        <v>0.09</v>
      </c>
      <c r="V303" s="804">
        <v>0.01</v>
      </c>
      <c r="W303" s="804">
        <v>1</v>
      </c>
      <c r="X303" s="804">
        <v>15236353</v>
      </c>
      <c r="Y303" s="804">
        <v>12189082</v>
      </c>
      <c r="Z303" s="804">
        <v>2742543</v>
      </c>
      <c r="AA303" s="804">
        <v>304727</v>
      </c>
      <c r="AB303" s="804">
        <v>30472705</v>
      </c>
      <c r="AC303" s="804">
        <v>0</v>
      </c>
      <c r="AD303" s="804">
        <v>0</v>
      </c>
      <c r="AE303" s="804">
        <v>0</v>
      </c>
      <c r="AF303" s="804">
        <v>0</v>
      </c>
      <c r="AG303" s="804">
        <v>0</v>
      </c>
      <c r="AH303" s="804">
        <v>15236353</v>
      </c>
      <c r="AI303" s="804">
        <v>12189082</v>
      </c>
      <c r="AJ303" s="804">
        <v>2742543</v>
      </c>
      <c r="AK303" s="804">
        <v>304727</v>
      </c>
      <c r="AL303" s="804">
        <v>30472705</v>
      </c>
      <c r="AM303" s="804">
        <v>125618</v>
      </c>
      <c r="AN303" s="804">
        <v>125618</v>
      </c>
      <c r="AO303" s="804">
        <v>0</v>
      </c>
      <c r="AP303" s="804">
        <v>0</v>
      </c>
      <c r="AQ303" s="804">
        <v>0</v>
      </c>
      <c r="AR303" s="804">
        <v>0</v>
      </c>
      <c r="AS303" s="804">
        <v>0</v>
      </c>
      <c r="AT303" s="804">
        <v>0</v>
      </c>
      <c r="AU303" s="804">
        <v>0</v>
      </c>
      <c r="AV303" s="804">
        <v>0</v>
      </c>
      <c r="AW303" s="804">
        <v>0</v>
      </c>
      <c r="AX303" s="804">
        <v>0</v>
      </c>
      <c r="AY303" s="804">
        <v>0</v>
      </c>
      <c r="AZ303" s="804">
        <v>0</v>
      </c>
      <c r="BA303" s="804">
        <v>0</v>
      </c>
      <c r="BB303" s="804">
        <v>0</v>
      </c>
      <c r="BC303" s="804">
        <v>0</v>
      </c>
      <c r="BD303" s="804">
        <v>0</v>
      </c>
      <c r="BE303" s="804">
        <v>0</v>
      </c>
      <c r="BF303" s="804">
        <v>0</v>
      </c>
      <c r="BG303" s="804">
        <v>0</v>
      </c>
      <c r="BH303" s="804">
        <v>0</v>
      </c>
      <c r="BI303" s="804">
        <v>0</v>
      </c>
      <c r="BJ303" s="804">
        <v>0.25</v>
      </c>
      <c r="BK303" s="804">
        <v>0.56000000000000005</v>
      </c>
      <c r="BL303" s="804">
        <v>0.17499999999999999</v>
      </c>
      <c r="BM303" s="804">
        <v>1.4999999999999999E-2</v>
      </c>
      <c r="BN303" s="804">
        <v>1</v>
      </c>
      <c r="BO303" s="804">
        <v>-132219</v>
      </c>
      <c r="BP303" s="804">
        <v>-296169</v>
      </c>
      <c r="BQ303" s="804">
        <v>-92553</v>
      </c>
      <c r="BR303" s="804">
        <v>-7933</v>
      </c>
      <c r="BS303" s="804">
        <v>-528874</v>
      </c>
      <c r="BT303" s="804">
        <v>0.5</v>
      </c>
      <c r="BU303" s="804">
        <v>0.4</v>
      </c>
      <c r="BV303" s="804">
        <v>0.09</v>
      </c>
      <c r="BW303" s="804">
        <v>0.01</v>
      </c>
      <c r="BX303" s="804">
        <v>1</v>
      </c>
      <c r="BY303" s="804">
        <v>714914</v>
      </c>
      <c r="BZ303" s="804">
        <v>571930</v>
      </c>
      <c r="CA303" s="804">
        <v>128684</v>
      </c>
      <c r="CB303" s="804">
        <v>14298</v>
      </c>
      <c r="CC303" s="804">
        <v>1429826</v>
      </c>
      <c r="CD303" s="804">
        <v>582695</v>
      </c>
      <c r="CE303" s="804">
        <v>275761</v>
      </c>
      <c r="CF303" s="804">
        <v>36131</v>
      </c>
      <c r="CG303" s="804">
        <v>6365</v>
      </c>
      <c r="CH303" s="804">
        <v>900952</v>
      </c>
      <c r="CI303" s="804">
        <v>15819048</v>
      </c>
      <c r="CJ303" s="804">
        <v>12590461</v>
      </c>
      <c r="CK303" s="804">
        <v>2778674</v>
      </c>
      <c r="CL303" s="804">
        <v>311092</v>
      </c>
      <c r="CM303" s="804">
        <v>31499275</v>
      </c>
      <c r="CN303" s="804">
        <v>488540</v>
      </c>
      <c r="CO303" s="804">
        <v>109922</v>
      </c>
      <c r="CP303" s="804">
        <v>12214</v>
      </c>
      <c r="CQ303" s="804">
        <v>610676</v>
      </c>
      <c r="CR303" s="804">
        <v>1094813</v>
      </c>
      <c r="CS303" s="804">
        <v>246333</v>
      </c>
      <c r="CT303" s="804">
        <v>27370</v>
      </c>
      <c r="CU303" s="804">
        <v>1368516</v>
      </c>
      <c r="CV303" s="804">
        <v>68824</v>
      </c>
      <c r="CW303" s="804">
        <v>15485</v>
      </c>
      <c r="CX303" s="804">
        <v>1721</v>
      </c>
      <c r="CY303" s="804">
        <v>86030</v>
      </c>
      <c r="CZ303" s="804">
        <v>6924</v>
      </c>
      <c r="DA303" s="804">
        <v>1558</v>
      </c>
      <c r="DB303" s="804">
        <v>173</v>
      </c>
      <c r="DC303" s="804">
        <v>8655</v>
      </c>
      <c r="DD303" s="804">
        <v>633</v>
      </c>
      <c r="DE303" s="804">
        <v>143</v>
      </c>
      <c r="DF303" s="804">
        <v>16</v>
      </c>
      <c r="DG303" s="804">
        <v>792</v>
      </c>
      <c r="DH303" s="804">
        <v>2477</v>
      </c>
      <c r="DI303" s="804">
        <v>558</v>
      </c>
      <c r="DJ303" s="804">
        <v>62</v>
      </c>
      <c r="DK303" s="804">
        <v>3097</v>
      </c>
      <c r="DL303" s="804">
        <v>2003</v>
      </c>
      <c r="DM303" s="804">
        <v>451</v>
      </c>
      <c r="DN303" s="804">
        <v>50</v>
      </c>
      <c r="DO303" s="804">
        <v>2504</v>
      </c>
      <c r="DP303" s="804">
        <v>0</v>
      </c>
      <c r="DQ303" s="804">
        <v>0</v>
      </c>
      <c r="DR303" s="804">
        <v>0</v>
      </c>
      <c r="DS303" s="804">
        <v>0</v>
      </c>
      <c r="DT303" s="804">
        <v>0</v>
      </c>
      <c r="DU303" s="804">
        <v>0</v>
      </c>
      <c r="DV303" s="804">
        <v>0</v>
      </c>
      <c r="DW303" s="804">
        <v>0</v>
      </c>
      <c r="DX303" s="804">
        <v>222253</v>
      </c>
      <c r="DY303" s="804">
        <v>50007</v>
      </c>
      <c r="DZ303" s="804">
        <v>5556</v>
      </c>
      <c r="EA303" s="804">
        <v>277816</v>
      </c>
      <c r="EB303" s="804">
        <v>1886467</v>
      </c>
      <c r="EC303" s="804">
        <v>424457</v>
      </c>
      <c r="ED303" s="804">
        <v>47162</v>
      </c>
      <c r="EE303" s="804">
        <v>2358086</v>
      </c>
      <c r="EF303" s="604" t="s">
        <v>480</v>
      </c>
      <c r="EG303" s="497" t="s">
        <v>590</v>
      </c>
      <c r="EH303" s="630" t="s">
        <v>588</v>
      </c>
      <c r="EI303" s="118" t="s">
        <v>1954</v>
      </c>
    </row>
    <row r="304" spans="1:139" ht="12.75" x14ac:dyDescent="0.2">
      <c r="A304" s="805">
        <v>297</v>
      </c>
      <c r="B304" s="606" t="s">
        <v>483</v>
      </c>
      <c r="C304" s="607" t="s">
        <v>1185</v>
      </c>
      <c r="D304" s="608" t="s">
        <v>1188</v>
      </c>
      <c r="E304" s="609" t="s">
        <v>482</v>
      </c>
      <c r="F304" s="802">
        <v>18357985</v>
      </c>
      <c r="G304" s="804">
        <v>196871</v>
      </c>
      <c r="H304" s="804">
        <v>0</v>
      </c>
      <c r="I304" s="804">
        <v>103497</v>
      </c>
      <c r="J304" s="804">
        <v>0</v>
      </c>
      <c r="K304" s="804">
        <v>103497</v>
      </c>
      <c r="L304" s="804">
        <v>0</v>
      </c>
      <c r="M304" s="804">
        <v>0</v>
      </c>
      <c r="N304" s="804">
        <v>205035</v>
      </c>
      <c r="O304" s="804">
        <v>52368</v>
      </c>
      <c r="P304" s="804">
        <v>152667</v>
      </c>
      <c r="Q304" s="804">
        <v>0</v>
      </c>
      <c r="R304" s="804">
        <v>18246324</v>
      </c>
      <c r="S304" s="804">
        <v>0.5</v>
      </c>
      <c r="T304" s="804">
        <v>0.4</v>
      </c>
      <c r="U304" s="804">
        <v>0.1</v>
      </c>
      <c r="V304" s="804">
        <v>0</v>
      </c>
      <c r="W304" s="804">
        <v>1</v>
      </c>
      <c r="X304" s="804">
        <v>9123162</v>
      </c>
      <c r="Y304" s="804">
        <v>7298530</v>
      </c>
      <c r="Z304" s="804">
        <v>1824632</v>
      </c>
      <c r="AA304" s="804">
        <v>0</v>
      </c>
      <c r="AB304" s="804">
        <v>18246324</v>
      </c>
      <c r="AC304" s="804">
        <v>0</v>
      </c>
      <c r="AD304" s="804">
        <v>0</v>
      </c>
      <c r="AE304" s="804">
        <v>0</v>
      </c>
      <c r="AF304" s="804">
        <v>0</v>
      </c>
      <c r="AG304" s="804">
        <v>0</v>
      </c>
      <c r="AH304" s="804">
        <v>9123162</v>
      </c>
      <c r="AI304" s="804">
        <v>7298530</v>
      </c>
      <c r="AJ304" s="804">
        <v>1824632</v>
      </c>
      <c r="AK304" s="804">
        <v>0</v>
      </c>
      <c r="AL304" s="804">
        <v>18246324</v>
      </c>
      <c r="AM304" s="804">
        <v>103497</v>
      </c>
      <c r="AN304" s="804">
        <v>103497</v>
      </c>
      <c r="AO304" s="804">
        <v>0</v>
      </c>
      <c r="AP304" s="804">
        <v>0</v>
      </c>
      <c r="AQ304" s="804">
        <v>52368</v>
      </c>
      <c r="AR304" s="804">
        <v>152667</v>
      </c>
      <c r="AS304" s="804">
        <v>205035</v>
      </c>
      <c r="AT304" s="804">
        <v>0</v>
      </c>
      <c r="AU304" s="804">
        <v>0</v>
      </c>
      <c r="AV304" s="804">
        <v>0</v>
      </c>
      <c r="AW304" s="804">
        <v>0</v>
      </c>
      <c r="AX304" s="804">
        <v>0</v>
      </c>
      <c r="AY304" s="804">
        <v>0</v>
      </c>
      <c r="AZ304" s="804">
        <v>0</v>
      </c>
      <c r="BA304" s="804">
        <v>0</v>
      </c>
      <c r="BB304" s="804">
        <v>0</v>
      </c>
      <c r="BC304" s="804">
        <v>0</v>
      </c>
      <c r="BD304" s="804">
        <v>0</v>
      </c>
      <c r="BE304" s="804">
        <v>0</v>
      </c>
      <c r="BF304" s="804">
        <v>0</v>
      </c>
      <c r="BG304" s="804">
        <v>0</v>
      </c>
      <c r="BH304" s="804">
        <v>0</v>
      </c>
      <c r="BI304" s="804">
        <v>0</v>
      </c>
      <c r="BJ304" s="804">
        <v>0.5</v>
      </c>
      <c r="BK304" s="804">
        <v>0.4</v>
      </c>
      <c r="BL304" s="804">
        <v>0.1</v>
      </c>
      <c r="BM304" s="804">
        <v>0</v>
      </c>
      <c r="BN304" s="804">
        <v>1</v>
      </c>
      <c r="BO304" s="804">
        <v>-24085</v>
      </c>
      <c r="BP304" s="804">
        <v>-19268</v>
      </c>
      <c r="BQ304" s="804">
        <v>-4817</v>
      </c>
      <c r="BR304" s="804">
        <v>0</v>
      </c>
      <c r="BS304" s="804">
        <v>-48170</v>
      </c>
      <c r="BT304" s="804">
        <v>0</v>
      </c>
      <c r="BU304" s="804">
        <v>0.6</v>
      </c>
      <c r="BV304" s="804">
        <v>0.4</v>
      </c>
      <c r="BW304" s="804">
        <v>0</v>
      </c>
      <c r="BX304" s="804">
        <v>1</v>
      </c>
      <c r="BY304" s="804">
        <v>0</v>
      </c>
      <c r="BZ304" s="804">
        <v>-316751</v>
      </c>
      <c r="CA304" s="804">
        <v>-211167</v>
      </c>
      <c r="CB304" s="804">
        <v>0</v>
      </c>
      <c r="CC304" s="804">
        <v>-527918</v>
      </c>
      <c r="CD304" s="804">
        <v>-24085</v>
      </c>
      <c r="CE304" s="804">
        <v>-336019</v>
      </c>
      <c r="CF304" s="804">
        <v>-215984</v>
      </c>
      <c r="CG304" s="804">
        <v>0</v>
      </c>
      <c r="CH304" s="804">
        <v>-576088</v>
      </c>
      <c r="CI304" s="804">
        <v>9099077</v>
      </c>
      <c r="CJ304" s="804">
        <v>7118376</v>
      </c>
      <c r="CK304" s="804">
        <v>1761315</v>
      </c>
      <c r="CL304" s="804">
        <v>0</v>
      </c>
      <c r="CM304" s="804">
        <v>17978768</v>
      </c>
      <c r="CN304" s="804">
        <v>294625</v>
      </c>
      <c r="CO304" s="804">
        <v>79250</v>
      </c>
      <c r="CP304" s="804">
        <v>0</v>
      </c>
      <c r="CQ304" s="804">
        <v>373875</v>
      </c>
      <c r="CR304" s="804">
        <v>782758</v>
      </c>
      <c r="CS304" s="804">
        <v>195689</v>
      </c>
      <c r="CT304" s="804">
        <v>0</v>
      </c>
      <c r="CU304" s="804">
        <v>978447</v>
      </c>
      <c r="CV304" s="804">
        <v>44292</v>
      </c>
      <c r="CW304" s="804">
        <v>11073</v>
      </c>
      <c r="CX304" s="804">
        <v>0</v>
      </c>
      <c r="CY304" s="804">
        <v>55365</v>
      </c>
      <c r="CZ304" s="804">
        <v>2076</v>
      </c>
      <c r="DA304" s="804">
        <v>519</v>
      </c>
      <c r="DB304" s="804">
        <v>0</v>
      </c>
      <c r="DC304" s="804">
        <v>2595</v>
      </c>
      <c r="DD304" s="804">
        <v>12910</v>
      </c>
      <c r="DE304" s="804">
        <v>3227</v>
      </c>
      <c r="DF304" s="804">
        <v>0</v>
      </c>
      <c r="DG304" s="804">
        <v>16137</v>
      </c>
      <c r="DH304" s="804">
        <v>14354</v>
      </c>
      <c r="DI304" s="804">
        <v>3588</v>
      </c>
      <c r="DJ304" s="804">
        <v>0</v>
      </c>
      <c r="DK304" s="804">
        <v>17942</v>
      </c>
      <c r="DL304" s="804">
        <v>1664</v>
      </c>
      <c r="DM304" s="804">
        <v>416</v>
      </c>
      <c r="DN304" s="804">
        <v>0</v>
      </c>
      <c r="DO304" s="804">
        <v>2080</v>
      </c>
      <c r="DP304" s="804">
        <v>0</v>
      </c>
      <c r="DQ304" s="804">
        <v>0</v>
      </c>
      <c r="DR304" s="804">
        <v>0</v>
      </c>
      <c r="DS304" s="804">
        <v>0</v>
      </c>
      <c r="DT304" s="804">
        <v>0</v>
      </c>
      <c r="DU304" s="804">
        <v>0</v>
      </c>
      <c r="DV304" s="804">
        <v>0</v>
      </c>
      <c r="DW304" s="804">
        <v>0</v>
      </c>
      <c r="DX304" s="804">
        <v>81637</v>
      </c>
      <c r="DY304" s="804">
        <v>20409</v>
      </c>
      <c r="DZ304" s="804">
        <v>0</v>
      </c>
      <c r="EA304" s="804">
        <v>102046</v>
      </c>
      <c r="EB304" s="804">
        <v>1234316</v>
      </c>
      <c r="EC304" s="804">
        <v>314171</v>
      </c>
      <c r="ED304" s="804">
        <v>0</v>
      </c>
      <c r="EE304" s="804">
        <v>1548487</v>
      </c>
      <c r="EF304" s="604" t="s">
        <v>482</v>
      </c>
      <c r="EG304" s="497" t="s">
        <v>595</v>
      </c>
      <c r="EH304" s="630" t="s">
        <v>551</v>
      </c>
      <c r="EI304" s="118" t="s">
        <v>1955</v>
      </c>
    </row>
    <row r="305" spans="1:139" ht="12.75" x14ac:dyDescent="0.2">
      <c r="A305" s="805">
        <v>298</v>
      </c>
      <c r="B305" s="606" t="s">
        <v>485</v>
      </c>
      <c r="C305" s="607" t="s">
        <v>1185</v>
      </c>
      <c r="D305" s="608" t="s">
        <v>1186</v>
      </c>
      <c r="E305" s="609" t="s">
        <v>484</v>
      </c>
      <c r="F305" s="802">
        <v>39177765</v>
      </c>
      <c r="G305" s="804">
        <v>366854</v>
      </c>
      <c r="H305" s="804">
        <v>0</v>
      </c>
      <c r="I305" s="804">
        <v>163212</v>
      </c>
      <c r="J305" s="804">
        <v>0</v>
      </c>
      <c r="K305" s="804">
        <v>163212</v>
      </c>
      <c r="L305" s="804">
        <v>0</v>
      </c>
      <c r="M305" s="804">
        <v>0</v>
      </c>
      <c r="N305" s="804">
        <v>209056</v>
      </c>
      <c r="O305" s="804">
        <v>209056</v>
      </c>
      <c r="P305" s="804">
        <v>0</v>
      </c>
      <c r="Q305" s="804">
        <v>0</v>
      </c>
      <c r="R305" s="804">
        <v>39172351</v>
      </c>
      <c r="S305" s="804">
        <v>0.5</v>
      </c>
      <c r="T305" s="804">
        <v>0.4</v>
      </c>
      <c r="U305" s="804">
        <v>0.1</v>
      </c>
      <c r="V305" s="804">
        <v>0</v>
      </c>
      <c r="W305" s="804">
        <v>1</v>
      </c>
      <c r="X305" s="804">
        <v>19586176</v>
      </c>
      <c r="Y305" s="804">
        <v>15668940</v>
      </c>
      <c r="Z305" s="804">
        <v>3917235</v>
      </c>
      <c r="AA305" s="804">
        <v>0</v>
      </c>
      <c r="AB305" s="804">
        <v>39172351</v>
      </c>
      <c r="AC305" s="804">
        <v>0</v>
      </c>
      <c r="AD305" s="804">
        <v>0</v>
      </c>
      <c r="AE305" s="804">
        <v>0</v>
      </c>
      <c r="AF305" s="804">
        <v>0</v>
      </c>
      <c r="AG305" s="804">
        <v>0</v>
      </c>
      <c r="AH305" s="804">
        <v>19586176</v>
      </c>
      <c r="AI305" s="804">
        <v>15668940</v>
      </c>
      <c r="AJ305" s="804">
        <v>3917235</v>
      </c>
      <c r="AK305" s="804">
        <v>0</v>
      </c>
      <c r="AL305" s="804">
        <v>39172351</v>
      </c>
      <c r="AM305" s="804">
        <v>163212</v>
      </c>
      <c r="AN305" s="804">
        <v>163212</v>
      </c>
      <c r="AO305" s="804">
        <v>0</v>
      </c>
      <c r="AP305" s="804">
        <v>0</v>
      </c>
      <c r="AQ305" s="804">
        <v>209056</v>
      </c>
      <c r="AR305" s="804">
        <v>0</v>
      </c>
      <c r="AS305" s="804">
        <v>209056</v>
      </c>
      <c r="AT305" s="804">
        <v>0</v>
      </c>
      <c r="AU305" s="804">
        <v>0</v>
      </c>
      <c r="AV305" s="804">
        <v>0</v>
      </c>
      <c r="AW305" s="804">
        <v>0</v>
      </c>
      <c r="AX305" s="804">
        <v>0</v>
      </c>
      <c r="AY305" s="804">
        <v>0</v>
      </c>
      <c r="AZ305" s="804">
        <v>0</v>
      </c>
      <c r="BA305" s="804">
        <v>0</v>
      </c>
      <c r="BB305" s="804">
        <v>0</v>
      </c>
      <c r="BC305" s="804">
        <v>0</v>
      </c>
      <c r="BD305" s="804">
        <v>0</v>
      </c>
      <c r="BE305" s="804">
        <v>0</v>
      </c>
      <c r="BF305" s="804">
        <v>0</v>
      </c>
      <c r="BG305" s="804">
        <v>0</v>
      </c>
      <c r="BH305" s="804">
        <v>0</v>
      </c>
      <c r="BI305" s="804">
        <v>0</v>
      </c>
      <c r="BJ305" s="804">
        <v>0.5</v>
      </c>
      <c r="BK305" s="804">
        <v>0.4</v>
      </c>
      <c r="BL305" s="804">
        <v>0.1</v>
      </c>
      <c r="BM305" s="804">
        <v>0</v>
      </c>
      <c r="BN305" s="804">
        <v>1</v>
      </c>
      <c r="BO305" s="804">
        <v>1324324</v>
      </c>
      <c r="BP305" s="804">
        <v>1059460</v>
      </c>
      <c r="BQ305" s="804">
        <v>264865</v>
      </c>
      <c r="BR305" s="804">
        <v>0</v>
      </c>
      <c r="BS305" s="804">
        <v>2648649</v>
      </c>
      <c r="BT305" s="804">
        <v>0.5</v>
      </c>
      <c r="BU305" s="804">
        <v>0.4</v>
      </c>
      <c r="BV305" s="804">
        <v>0.1</v>
      </c>
      <c r="BW305" s="804">
        <v>0</v>
      </c>
      <c r="BX305" s="804">
        <v>1</v>
      </c>
      <c r="BY305" s="804">
        <v>-1014902</v>
      </c>
      <c r="BZ305" s="804">
        <v>-811921</v>
      </c>
      <c r="CA305" s="804">
        <v>-202980</v>
      </c>
      <c r="CB305" s="804">
        <v>0</v>
      </c>
      <c r="CC305" s="804">
        <v>-2029803</v>
      </c>
      <c r="CD305" s="804">
        <v>309423</v>
      </c>
      <c r="CE305" s="804">
        <v>247538</v>
      </c>
      <c r="CF305" s="804">
        <v>61885</v>
      </c>
      <c r="CG305" s="804">
        <v>0</v>
      </c>
      <c r="CH305" s="804">
        <v>618846</v>
      </c>
      <c r="CI305" s="804">
        <v>19895599</v>
      </c>
      <c r="CJ305" s="804">
        <v>16288746</v>
      </c>
      <c r="CK305" s="804">
        <v>3979120</v>
      </c>
      <c r="CL305" s="804">
        <v>0</v>
      </c>
      <c r="CM305" s="804">
        <v>40163465</v>
      </c>
      <c r="CN305" s="804">
        <v>636393</v>
      </c>
      <c r="CO305" s="804">
        <v>157003</v>
      </c>
      <c r="CP305" s="804">
        <v>0</v>
      </c>
      <c r="CQ305" s="804">
        <v>793396</v>
      </c>
      <c r="CR305" s="804">
        <v>1262436</v>
      </c>
      <c r="CS305" s="804">
        <v>315609</v>
      </c>
      <c r="CT305" s="804">
        <v>0</v>
      </c>
      <c r="CU305" s="804">
        <v>1578045</v>
      </c>
      <c r="CV305" s="804">
        <v>105335</v>
      </c>
      <c r="CW305" s="804">
        <v>26334</v>
      </c>
      <c r="CX305" s="804">
        <v>0</v>
      </c>
      <c r="CY305" s="804">
        <v>131669</v>
      </c>
      <c r="CZ305" s="804">
        <v>866</v>
      </c>
      <c r="DA305" s="804">
        <v>217</v>
      </c>
      <c r="DB305" s="804">
        <v>0</v>
      </c>
      <c r="DC305" s="804">
        <v>1083</v>
      </c>
      <c r="DD305" s="804">
        <v>13596</v>
      </c>
      <c r="DE305" s="804">
        <v>3399</v>
      </c>
      <c r="DF305" s="804">
        <v>0</v>
      </c>
      <c r="DG305" s="804">
        <v>16995</v>
      </c>
      <c r="DH305" s="804">
        <v>30099</v>
      </c>
      <c r="DI305" s="804">
        <v>7525</v>
      </c>
      <c r="DJ305" s="804">
        <v>0</v>
      </c>
      <c r="DK305" s="804">
        <v>37624</v>
      </c>
      <c r="DL305" s="804">
        <v>6648</v>
      </c>
      <c r="DM305" s="804">
        <v>1662</v>
      </c>
      <c r="DN305" s="804">
        <v>0</v>
      </c>
      <c r="DO305" s="804">
        <v>8310</v>
      </c>
      <c r="DP305" s="804">
        <v>0</v>
      </c>
      <c r="DQ305" s="804">
        <v>0</v>
      </c>
      <c r="DR305" s="804">
        <v>0</v>
      </c>
      <c r="DS305" s="804">
        <v>0</v>
      </c>
      <c r="DT305" s="804">
        <v>0</v>
      </c>
      <c r="DU305" s="804">
        <v>0</v>
      </c>
      <c r="DV305" s="804">
        <v>0</v>
      </c>
      <c r="DW305" s="804">
        <v>0</v>
      </c>
      <c r="DX305" s="804">
        <v>458348</v>
      </c>
      <c r="DY305" s="804">
        <v>114587</v>
      </c>
      <c r="DZ305" s="804">
        <v>0</v>
      </c>
      <c r="EA305" s="804">
        <v>572935</v>
      </c>
      <c r="EB305" s="804">
        <v>2513721</v>
      </c>
      <c r="EC305" s="804">
        <v>626336</v>
      </c>
      <c r="ED305" s="804">
        <v>0</v>
      </c>
      <c r="EE305" s="804">
        <v>3140057</v>
      </c>
      <c r="EF305" s="604" t="s">
        <v>484</v>
      </c>
      <c r="EG305" s="497" t="s">
        <v>604</v>
      </c>
      <c r="EH305" s="630" t="s">
        <v>551</v>
      </c>
      <c r="EI305" s="118" t="s">
        <v>1956</v>
      </c>
    </row>
    <row r="306" spans="1:139" ht="12.75" x14ac:dyDescent="0.2">
      <c r="A306" s="805">
        <v>299</v>
      </c>
      <c r="B306" s="606" t="s">
        <v>1132</v>
      </c>
      <c r="C306" s="607" t="s">
        <v>1185</v>
      </c>
      <c r="D306" s="608" t="s">
        <v>1194</v>
      </c>
      <c r="E306" s="609" t="s">
        <v>1131</v>
      </c>
      <c r="F306" s="802">
        <v>73165615</v>
      </c>
      <c r="G306" s="804">
        <v>91245</v>
      </c>
      <c r="H306" s="804">
        <v>0</v>
      </c>
      <c r="I306" s="804">
        <v>245044</v>
      </c>
      <c r="J306" s="804">
        <v>0</v>
      </c>
      <c r="K306" s="804">
        <v>245044</v>
      </c>
      <c r="L306" s="804">
        <v>0</v>
      </c>
      <c r="M306" s="804">
        <v>368640</v>
      </c>
      <c r="N306" s="804">
        <v>512159</v>
      </c>
      <c r="O306" s="804">
        <v>512159</v>
      </c>
      <c r="P306" s="804">
        <v>0</v>
      </c>
      <c r="Q306" s="804">
        <v>0</v>
      </c>
      <c r="R306" s="804">
        <v>72131017</v>
      </c>
      <c r="S306" s="804">
        <v>0.5</v>
      </c>
      <c r="T306" s="804">
        <v>0.4</v>
      </c>
      <c r="U306" s="804">
        <v>0.1</v>
      </c>
      <c r="V306" s="804">
        <v>0</v>
      </c>
      <c r="W306" s="804">
        <v>1</v>
      </c>
      <c r="X306" s="804">
        <v>36065508</v>
      </c>
      <c r="Y306" s="804">
        <v>28852407</v>
      </c>
      <c r="Z306" s="804">
        <v>7213102</v>
      </c>
      <c r="AA306" s="804">
        <v>0</v>
      </c>
      <c r="AB306" s="804">
        <v>72131017</v>
      </c>
      <c r="AC306" s="804">
        <v>0</v>
      </c>
      <c r="AD306" s="804">
        <v>0</v>
      </c>
      <c r="AE306" s="804">
        <v>0</v>
      </c>
      <c r="AF306" s="804">
        <v>0</v>
      </c>
      <c r="AG306" s="804">
        <v>0</v>
      </c>
      <c r="AH306" s="804">
        <v>36065508</v>
      </c>
      <c r="AI306" s="804">
        <v>28852407</v>
      </c>
      <c r="AJ306" s="804">
        <v>7213102</v>
      </c>
      <c r="AK306" s="804">
        <v>0</v>
      </c>
      <c r="AL306" s="804">
        <v>72131017</v>
      </c>
      <c r="AM306" s="804">
        <v>245044</v>
      </c>
      <c r="AN306" s="804">
        <v>245044</v>
      </c>
      <c r="AO306" s="804">
        <v>368640</v>
      </c>
      <c r="AP306" s="804">
        <v>368640</v>
      </c>
      <c r="AQ306" s="804">
        <v>512159</v>
      </c>
      <c r="AR306" s="804">
        <v>0</v>
      </c>
      <c r="AS306" s="804">
        <v>512159</v>
      </c>
      <c r="AT306" s="804">
        <v>0</v>
      </c>
      <c r="AU306" s="804">
        <v>0</v>
      </c>
      <c r="AV306" s="804">
        <v>0</v>
      </c>
      <c r="AW306" s="804">
        <v>0</v>
      </c>
      <c r="AX306" s="804">
        <v>0</v>
      </c>
      <c r="AY306" s="804">
        <v>0</v>
      </c>
      <c r="AZ306" s="804">
        <v>0</v>
      </c>
      <c r="BA306" s="804">
        <v>0</v>
      </c>
      <c r="BB306" s="804">
        <v>0</v>
      </c>
      <c r="BC306" s="804">
        <v>0</v>
      </c>
      <c r="BD306" s="804">
        <v>0</v>
      </c>
      <c r="BE306" s="804">
        <v>0</v>
      </c>
      <c r="BF306" s="804">
        <v>0</v>
      </c>
      <c r="BG306" s="804">
        <v>0</v>
      </c>
      <c r="BH306" s="804">
        <v>0</v>
      </c>
      <c r="BI306" s="804">
        <v>0</v>
      </c>
      <c r="BJ306" s="804">
        <v>0.5</v>
      </c>
      <c r="BK306" s="804">
        <v>0.4</v>
      </c>
      <c r="BL306" s="804">
        <v>0.1</v>
      </c>
      <c r="BM306" s="804">
        <v>0</v>
      </c>
      <c r="BN306" s="804">
        <v>1</v>
      </c>
      <c r="BO306" s="804">
        <v>360402</v>
      </c>
      <c r="BP306" s="804">
        <v>288322</v>
      </c>
      <c r="BQ306" s="804">
        <v>72080</v>
      </c>
      <c r="BR306" s="804">
        <v>0</v>
      </c>
      <c r="BS306" s="804">
        <v>720804</v>
      </c>
      <c r="BT306" s="804">
        <v>0</v>
      </c>
      <c r="BU306" s="804">
        <v>0.8</v>
      </c>
      <c r="BV306" s="804">
        <v>0.2</v>
      </c>
      <c r="BW306" s="804">
        <v>0</v>
      </c>
      <c r="BX306" s="804">
        <v>1</v>
      </c>
      <c r="BY306" s="804">
        <v>-0.7199999988079071</v>
      </c>
      <c r="BZ306" s="804">
        <v>415295</v>
      </c>
      <c r="CA306" s="804">
        <v>103824</v>
      </c>
      <c r="CB306" s="804">
        <v>0</v>
      </c>
      <c r="CC306" s="804">
        <v>519118.28000000119</v>
      </c>
      <c r="CD306" s="804">
        <v>360401</v>
      </c>
      <c r="CE306" s="804">
        <v>703617</v>
      </c>
      <c r="CF306" s="804">
        <v>175904</v>
      </c>
      <c r="CG306" s="804">
        <v>0</v>
      </c>
      <c r="CH306" s="804">
        <v>1239922.2800000012</v>
      </c>
      <c r="CI306" s="804">
        <v>36425909</v>
      </c>
      <c r="CJ306" s="804">
        <v>30681867</v>
      </c>
      <c r="CK306" s="804">
        <v>7389006</v>
      </c>
      <c r="CL306" s="804">
        <v>0</v>
      </c>
      <c r="CM306" s="804">
        <v>74496782</v>
      </c>
      <c r="CN306" s="804">
        <v>1191712</v>
      </c>
      <c r="CO306" s="804">
        <v>289102</v>
      </c>
      <c r="CP306" s="804">
        <v>0</v>
      </c>
      <c r="CQ306" s="804">
        <v>1480814</v>
      </c>
      <c r="CR306" s="804">
        <v>1837694</v>
      </c>
      <c r="CS306" s="804">
        <v>459424</v>
      </c>
      <c r="CT306" s="804">
        <v>0</v>
      </c>
      <c r="CU306" s="804">
        <v>2297118</v>
      </c>
      <c r="CV306" s="804">
        <v>162698</v>
      </c>
      <c r="CW306" s="804">
        <v>40675</v>
      </c>
      <c r="CX306" s="804">
        <v>0</v>
      </c>
      <c r="CY306" s="804">
        <v>203373</v>
      </c>
      <c r="CZ306" s="804">
        <v>764</v>
      </c>
      <c r="DA306" s="804">
        <v>191</v>
      </c>
      <c r="DB306" s="804">
        <v>0</v>
      </c>
      <c r="DC306" s="804">
        <v>955</v>
      </c>
      <c r="DD306" s="804">
        <v>20660</v>
      </c>
      <c r="DE306" s="804">
        <v>5165</v>
      </c>
      <c r="DF306" s="804">
        <v>0</v>
      </c>
      <c r="DG306" s="804">
        <v>25825</v>
      </c>
      <c r="DH306" s="804">
        <v>8683</v>
      </c>
      <c r="DI306" s="804">
        <v>2171</v>
      </c>
      <c r="DJ306" s="804">
        <v>0</v>
      </c>
      <c r="DK306" s="804">
        <v>10854</v>
      </c>
      <c r="DL306" s="804">
        <v>4992</v>
      </c>
      <c r="DM306" s="804">
        <v>1248</v>
      </c>
      <c r="DN306" s="804">
        <v>0</v>
      </c>
      <c r="DO306" s="804">
        <v>6240</v>
      </c>
      <c r="DP306" s="804">
        <v>0</v>
      </c>
      <c r="DQ306" s="804">
        <v>0</v>
      </c>
      <c r="DR306" s="804">
        <v>0</v>
      </c>
      <c r="DS306" s="804">
        <v>0</v>
      </c>
      <c r="DT306" s="804">
        <v>0</v>
      </c>
      <c r="DU306" s="804">
        <v>0</v>
      </c>
      <c r="DV306" s="804">
        <v>0</v>
      </c>
      <c r="DW306" s="804">
        <v>0</v>
      </c>
      <c r="DX306" s="804">
        <v>644127</v>
      </c>
      <c r="DY306" s="804">
        <v>161032</v>
      </c>
      <c r="DZ306" s="804">
        <v>0</v>
      </c>
      <c r="EA306" s="804">
        <v>805159</v>
      </c>
      <c r="EB306" s="804">
        <v>3871330</v>
      </c>
      <c r="EC306" s="804">
        <v>959008</v>
      </c>
      <c r="ED306" s="804">
        <v>0</v>
      </c>
      <c r="EE306" s="804">
        <v>4830338</v>
      </c>
      <c r="EF306" s="604" t="s">
        <v>1131</v>
      </c>
      <c r="EG306" s="497" t="s">
        <v>606</v>
      </c>
      <c r="EH306" s="630" t="s">
        <v>558</v>
      </c>
      <c r="EI306" s="118" t="s">
        <v>1957</v>
      </c>
    </row>
    <row r="307" spans="1:139" ht="12.75" x14ac:dyDescent="0.2">
      <c r="A307" s="805">
        <v>300</v>
      </c>
      <c r="B307" s="606" t="s">
        <v>487</v>
      </c>
      <c r="C307" s="607" t="s">
        <v>1196</v>
      </c>
      <c r="D307" s="608" t="s">
        <v>1191</v>
      </c>
      <c r="E307" s="609" t="s">
        <v>486</v>
      </c>
      <c r="F307" s="802">
        <v>2329775783</v>
      </c>
      <c r="G307" s="804">
        <v>2785831</v>
      </c>
      <c r="H307" s="804">
        <v>0</v>
      </c>
      <c r="I307" s="804">
        <v>3314261</v>
      </c>
      <c r="J307" s="804">
        <v>0</v>
      </c>
      <c r="K307" s="804">
        <v>3314261</v>
      </c>
      <c r="L307" s="804">
        <v>0</v>
      </c>
      <c r="M307" s="804">
        <v>0</v>
      </c>
      <c r="N307" s="804">
        <v>0</v>
      </c>
      <c r="O307" s="804">
        <v>0</v>
      </c>
      <c r="P307" s="804">
        <v>0</v>
      </c>
      <c r="Q307" s="804">
        <v>0</v>
      </c>
      <c r="R307" s="804">
        <v>2329247353</v>
      </c>
      <c r="S307" s="804">
        <v>0.33</v>
      </c>
      <c r="T307" s="804">
        <v>0.3</v>
      </c>
      <c r="U307" s="804">
        <v>0.37</v>
      </c>
      <c r="V307" s="804">
        <v>0</v>
      </c>
      <c r="W307" s="804">
        <v>1</v>
      </c>
      <c r="X307" s="804">
        <v>768651626</v>
      </c>
      <c r="Y307" s="804">
        <v>698774206</v>
      </c>
      <c r="Z307" s="804">
        <v>861821521</v>
      </c>
      <c r="AA307" s="804">
        <v>0</v>
      </c>
      <c r="AB307" s="804">
        <v>2329247353</v>
      </c>
      <c r="AC307" s="804">
        <v>0</v>
      </c>
      <c r="AD307" s="804">
        <v>0</v>
      </c>
      <c r="AE307" s="804">
        <v>0</v>
      </c>
      <c r="AF307" s="804">
        <v>0</v>
      </c>
      <c r="AG307" s="804">
        <v>0</v>
      </c>
      <c r="AH307" s="804">
        <v>768651626</v>
      </c>
      <c r="AI307" s="804">
        <v>698774206</v>
      </c>
      <c r="AJ307" s="804">
        <v>861821521</v>
      </c>
      <c r="AK307" s="804">
        <v>0</v>
      </c>
      <c r="AL307" s="804">
        <v>2329247353</v>
      </c>
      <c r="AM307" s="804">
        <v>3314261</v>
      </c>
      <c r="AN307" s="804">
        <v>3314261</v>
      </c>
      <c r="AO307" s="804">
        <v>0</v>
      </c>
      <c r="AP307" s="804">
        <v>0</v>
      </c>
      <c r="AQ307" s="804">
        <v>0</v>
      </c>
      <c r="AR307" s="804">
        <v>0</v>
      </c>
      <c r="AS307" s="804">
        <v>0</v>
      </c>
      <c r="AT307" s="804">
        <v>0</v>
      </c>
      <c r="AU307" s="804">
        <v>0</v>
      </c>
      <c r="AV307" s="804">
        <v>0</v>
      </c>
      <c r="AW307" s="804">
        <v>0</v>
      </c>
      <c r="AX307" s="804">
        <v>0</v>
      </c>
      <c r="AY307" s="804">
        <v>0</v>
      </c>
      <c r="AZ307" s="804">
        <v>0</v>
      </c>
      <c r="BA307" s="804">
        <v>0</v>
      </c>
      <c r="BB307" s="804">
        <v>0</v>
      </c>
      <c r="BC307" s="804">
        <v>0</v>
      </c>
      <c r="BD307" s="804">
        <v>0</v>
      </c>
      <c r="BE307" s="804">
        <v>0</v>
      </c>
      <c r="BF307" s="804">
        <v>0</v>
      </c>
      <c r="BG307" s="804">
        <v>0</v>
      </c>
      <c r="BH307" s="804">
        <v>0</v>
      </c>
      <c r="BI307" s="804">
        <v>0</v>
      </c>
      <c r="BJ307" s="804">
        <v>0.25</v>
      </c>
      <c r="BK307" s="804">
        <v>0.48</v>
      </c>
      <c r="BL307" s="804">
        <v>0.27</v>
      </c>
      <c r="BM307" s="804">
        <v>0</v>
      </c>
      <c r="BN307" s="804">
        <v>1</v>
      </c>
      <c r="BO307" s="804">
        <v>23869149</v>
      </c>
      <c r="BP307" s="804">
        <v>45828767</v>
      </c>
      <c r="BQ307" s="804">
        <v>25778681</v>
      </c>
      <c r="BR307" s="804">
        <v>0</v>
      </c>
      <c r="BS307" s="804">
        <v>95476597</v>
      </c>
      <c r="BT307" s="804">
        <v>0</v>
      </c>
      <c r="BU307" s="804">
        <v>0.64</v>
      </c>
      <c r="BV307" s="804">
        <v>0.36</v>
      </c>
      <c r="BW307" s="804">
        <v>0</v>
      </c>
      <c r="BX307" s="804">
        <v>1</v>
      </c>
      <c r="BY307" s="804">
        <v>-0.39899969100952148</v>
      </c>
      <c r="BZ307" s="804">
        <v>2856578</v>
      </c>
      <c r="CA307" s="804">
        <v>1606825</v>
      </c>
      <c r="CB307" s="804">
        <v>0</v>
      </c>
      <c r="CC307" s="804">
        <v>4463402.601000309</v>
      </c>
      <c r="CD307" s="804">
        <v>23869149</v>
      </c>
      <c r="CE307" s="804">
        <v>48685345</v>
      </c>
      <c r="CF307" s="804">
        <v>27385506</v>
      </c>
      <c r="CG307" s="804">
        <v>0</v>
      </c>
      <c r="CH307" s="804">
        <v>99939999.601000309</v>
      </c>
      <c r="CI307" s="804">
        <v>792520775</v>
      </c>
      <c r="CJ307" s="804">
        <v>750773812</v>
      </c>
      <c r="CK307" s="804">
        <v>889207027</v>
      </c>
      <c r="CL307" s="804">
        <v>0</v>
      </c>
      <c r="CM307" s="804">
        <v>2432501614</v>
      </c>
      <c r="CN307" s="804">
        <v>28006982</v>
      </c>
      <c r="CO307" s="804">
        <v>34541945</v>
      </c>
      <c r="CP307" s="804">
        <v>0</v>
      </c>
      <c r="CQ307" s="804">
        <v>62548927</v>
      </c>
      <c r="CR307" s="804">
        <v>1446766</v>
      </c>
      <c r="CS307" s="804">
        <v>1784345</v>
      </c>
      <c r="CT307" s="804">
        <v>0</v>
      </c>
      <c r="CU307" s="804">
        <v>3231111</v>
      </c>
      <c r="CV307" s="804">
        <v>650822</v>
      </c>
      <c r="CW307" s="804">
        <v>802681</v>
      </c>
      <c r="CX307" s="804">
        <v>0</v>
      </c>
      <c r="CY307" s="804">
        <v>1453503</v>
      </c>
      <c r="CZ307" s="804">
        <v>0</v>
      </c>
      <c r="DA307" s="804">
        <v>0</v>
      </c>
      <c r="DB307" s="804">
        <v>0</v>
      </c>
      <c r="DC307" s="804">
        <v>0</v>
      </c>
      <c r="DD307" s="804">
        <v>0</v>
      </c>
      <c r="DE307" s="804">
        <v>0</v>
      </c>
      <c r="DF307" s="804">
        <v>0</v>
      </c>
      <c r="DG307" s="804">
        <v>0</v>
      </c>
      <c r="DH307" s="804">
        <v>20481</v>
      </c>
      <c r="DI307" s="804">
        <v>25260</v>
      </c>
      <c r="DJ307" s="804">
        <v>0</v>
      </c>
      <c r="DK307" s="804">
        <v>45741</v>
      </c>
      <c r="DL307" s="804">
        <v>103439</v>
      </c>
      <c r="DM307" s="804">
        <v>127574</v>
      </c>
      <c r="DN307" s="804">
        <v>0</v>
      </c>
      <c r="DO307" s="804">
        <v>231013</v>
      </c>
      <c r="DP307" s="804">
        <v>0</v>
      </c>
      <c r="DQ307" s="804">
        <v>0</v>
      </c>
      <c r="DR307" s="804">
        <v>0</v>
      </c>
      <c r="DS307" s="804">
        <v>0</v>
      </c>
      <c r="DT307" s="804">
        <v>0</v>
      </c>
      <c r="DU307" s="804">
        <v>0</v>
      </c>
      <c r="DV307" s="804">
        <v>0</v>
      </c>
      <c r="DW307" s="804">
        <v>0</v>
      </c>
      <c r="DX307" s="804">
        <v>2306314</v>
      </c>
      <c r="DY307" s="804">
        <v>2844454</v>
      </c>
      <c r="DZ307" s="804">
        <v>0</v>
      </c>
      <c r="EA307" s="804">
        <v>5150768</v>
      </c>
      <c r="EB307" s="804">
        <v>32534804</v>
      </c>
      <c r="EC307" s="804">
        <v>40126259</v>
      </c>
      <c r="ED307" s="804">
        <v>0</v>
      </c>
      <c r="EE307" s="804">
        <v>72661063</v>
      </c>
      <c r="EF307" s="604" t="s">
        <v>486</v>
      </c>
      <c r="EG307" s="497" t="s">
        <v>623</v>
      </c>
      <c r="EH307" s="243" t="s">
        <v>523</v>
      </c>
      <c r="EI307" s="118" t="s">
        <v>1958</v>
      </c>
    </row>
    <row r="308" spans="1:139" ht="14.25" x14ac:dyDescent="0.2">
      <c r="A308" s="805">
        <v>301</v>
      </c>
      <c r="B308" s="606" t="s">
        <v>489</v>
      </c>
      <c r="C308" s="611" t="s">
        <v>1192</v>
      </c>
      <c r="D308" s="612" t="s">
        <v>1187</v>
      </c>
      <c r="E308" s="609" t="s">
        <v>1978</v>
      </c>
      <c r="F308" s="802">
        <v>83860976</v>
      </c>
      <c r="G308" s="804">
        <v>0</v>
      </c>
      <c r="H308" s="804">
        <v>934068</v>
      </c>
      <c r="I308" s="804">
        <v>368903</v>
      </c>
      <c r="J308" s="804">
        <v>0</v>
      </c>
      <c r="K308" s="804">
        <v>368903</v>
      </c>
      <c r="L308" s="804">
        <v>0</v>
      </c>
      <c r="M308" s="804">
        <v>0</v>
      </c>
      <c r="N308" s="804">
        <v>0</v>
      </c>
      <c r="O308" s="804">
        <v>0</v>
      </c>
      <c r="P308" s="804">
        <v>0</v>
      </c>
      <c r="Q308" s="804">
        <v>0</v>
      </c>
      <c r="R308" s="804">
        <v>82558005</v>
      </c>
      <c r="S308" s="804">
        <v>0</v>
      </c>
      <c r="T308" s="804">
        <v>0.99</v>
      </c>
      <c r="U308" s="804">
        <v>0</v>
      </c>
      <c r="V308" s="804">
        <v>0.01</v>
      </c>
      <c r="W308" s="804">
        <v>1</v>
      </c>
      <c r="X308" s="804">
        <v>0</v>
      </c>
      <c r="Y308" s="804">
        <v>81732425</v>
      </c>
      <c r="Z308" s="804">
        <v>0</v>
      </c>
      <c r="AA308" s="804">
        <v>825580</v>
      </c>
      <c r="AB308" s="804">
        <v>82558005</v>
      </c>
      <c r="AC308" s="804">
        <v>0</v>
      </c>
      <c r="AD308" s="804">
        <v>0</v>
      </c>
      <c r="AE308" s="804">
        <v>0</v>
      </c>
      <c r="AF308" s="804">
        <v>0</v>
      </c>
      <c r="AG308" s="804">
        <v>0</v>
      </c>
      <c r="AH308" s="804">
        <v>0</v>
      </c>
      <c r="AI308" s="804">
        <v>81732425</v>
      </c>
      <c r="AJ308" s="804">
        <v>0</v>
      </c>
      <c r="AK308" s="804">
        <v>825580</v>
      </c>
      <c r="AL308" s="804">
        <v>82558005</v>
      </c>
      <c r="AM308" s="804">
        <v>368903</v>
      </c>
      <c r="AN308" s="804">
        <v>368903</v>
      </c>
      <c r="AO308" s="804">
        <v>0</v>
      </c>
      <c r="AP308" s="804">
        <v>0</v>
      </c>
      <c r="AQ308" s="804">
        <v>0</v>
      </c>
      <c r="AR308" s="804">
        <v>0</v>
      </c>
      <c r="AS308" s="804">
        <v>0</v>
      </c>
      <c r="AT308" s="804">
        <v>0</v>
      </c>
      <c r="AU308" s="804">
        <v>0</v>
      </c>
      <c r="AV308" s="804">
        <v>0</v>
      </c>
      <c r="AW308" s="804">
        <v>0</v>
      </c>
      <c r="AX308" s="804">
        <v>0</v>
      </c>
      <c r="AY308" s="804">
        <v>0</v>
      </c>
      <c r="AZ308" s="804">
        <v>0</v>
      </c>
      <c r="BA308" s="804">
        <v>0</v>
      </c>
      <c r="BB308" s="804">
        <v>0</v>
      </c>
      <c r="BC308" s="804">
        <v>0</v>
      </c>
      <c r="BD308" s="804">
        <v>0</v>
      </c>
      <c r="BE308" s="804">
        <v>0</v>
      </c>
      <c r="BF308" s="804">
        <v>0</v>
      </c>
      <c r="BG308" s="804">
        <v>0</v>
      </c>
      <c r="BH308" s="804">
        <v>0</v>
      </c>
      <c r="BI308" s="804">
        <v>0</v>
      </c>
      <c r="BJ308" s="804">
        <v>0</v>
      </c>
      <c r="BK308" s="804">
        <v>0.99</v>
      </c>
      <c r="BL308" s="804">
        <v>0</v>
      </c>
      <c r="BM308" s="804">
        <v>0.01</v>
      </c>
      <c r="BN308" s="804">
        <v>1</v>
      </c>
      <c r="BO308" s="804">
        <v>0</v>
      </c>
      <c r="BP308" s="804">
        <v>1760181</v>
      </c>
      <c r="BQ308" s="804">
        <v>0</v>
      </c>
      <c r="BR308" s="804">
        <v>17780</v>
      </c>
      <c r="BS308" s="804">
        <v>1777961</v>
      </c>
      <c r="BT308" s="804">
        <v>0</v>
      </c>
      <c r="BU308" s="804">
        <v>0.99</v>
      </c>
      <c r="BV308" s="804">
        <v>0</v>
      </c>
      <c r="BW308" s="804">
        <v>0.01</v>
      </c>
      <c r="BX308" s="804">
        <v>1</v>
      </c>
      <c r="BY308" s="804">
        <v>0</v>
      </c>
      <c r="BZ308" s="804">
        <v>-103761</v>
      </c>
      <c r="CA308" s="804">
        <v>0</v>
      </c>
      <c r="CB308" s="804">
        <v>-1048</v>
      </c>
      <c r="CC308" s="804">
        <v>-104809</v>
      </c>
      <c r="CD308" s="804">
        <v>0</v>
      </c>
      <c r="CE308" s="804">
        <v>1656420</v>
      </c>
      <c r="CF308" s="804">
        <v>0</v>
      </c>
      <c r="CG308" s="804">
        <v>16732</v>
      </c>
      <c r="CH308" s="804">
        <v>1673152</v>
      </c>
      <c r="CI308" s="804">
        <v>0</v>
      </c>
      <c r="CJ308" s="804">
        <v>83757748</v>
      </c>
      <c r="CK308" s="804">
        <v>0</v>
      </c>
      <c r="CL308" s="804">
        <v>842312</v>
      </c>
      <c r="CM308" s="804">
        <v>84600060</v>
      </c>
      <c r="CN308" s="804">
        <v>3275849</v>
      </c>
      <c r="CO308" s="804">
        <v>0</v>
      </c>
      <c r="CP308" s="804">
        <v>33089</v>
      </c>
      <c r="CQ308" s="804">
        <v>3308938</v>
      </c>
      <c r="CR308" s="804">
        <v>7988467</v>
      </c>
      <c r="CS308" s="804">
        <v>0</v>
      </c>
      <c r="CT308" s="804">
        <v>80692</v>
      </c>
      <c r="CU308" s="804">
        <v>8069159</v>
      </c>
      <c r="CV308" s="804">
        <v>406892</v>
      </c>
      <c r="CW308" s="804">
        <v>0</v>
      </c>
      <c r="CX308" s="804">
        <v>4110</v>
      </c>
      <c r="CY308" s="804">
        <v>411002</v>
      </c>
      <c r="CZ308" s="804">
        <v>8756</v>
      </c>
      <c r="DA308" s="804">
        <v>0</v>
      </c>
      <c r="DB308" s="804">
        <v>88</v>
      </c>
      <c r="DC308" s="804">
        <v>8844</v>
      </c>
      <c r="DD308" s="804">
        <v>0</v>
      </c>
      <c r="DE308" s="804">
        <v>0</v>
      </c>
      <c r="DF308" s="804">
        <v>0</v>
      </c>
      <c r="DG308" s="804">
        <v>0</v>
      </c>
      <c r="DH308" s="804">
        <v>25959</v>
      </c>
      <c r="DI308" s="804">
        <v>0</v>
      </c>
      <c r="DJ308" s="804">
        <v>262</v>
      </c>
      <c r="DK308" s="804">
        <v>26221</v>
      </c>
      <c r="DL308" s="804">
        <v>5148</v>
      </c>
      <c r="DM308" s="804">
        <v>0</v>
      </c>
      <c r="DN308" s="804">
        <v>52</v>
      </c>
      <c r="DO308" s="804">
        <v>5200</v>
      </c>
      <c r="DP308" s="804">
        <v>0</v>
      </c>
      <c r="DQ308" s="804">
        <v>0</v>
      </c>
      <c r="DR308" s="804">
        <v>0</v>
      </c>
      <c r="DS308" s="804">
        <v>0</v>
      </c>
      <c r="DT308" s="804">
        <v>0</v>
      </c>
      <c r="DU308" s="804">
        <v>0</v>
      </c>
      <c r="DV308" s="804">
        <v>0</v>
      </c>
      <c r="DW308" s="804">
        <v>0</v>
      </c>
      <c r="DX308" s="804">
        <v>1849216</v>
      </c>
      <c r="DY308" s="804">
        <v>0</v>
      </c>
      <c r="DZ308" s="804">
        <v>18679</v>
      </c>
      <c r="EA308" s="804">
        <v>1867895</v>
      </c>
      <c r="EB308" s="804">
        <v>13560287</v>
      </c>
      <c r="EC308" s="804">
        <v>0</v>
      </c>
      <c r="ED308" s="804">
        <v>136972</v>
      </c>
      <c r="EE308" s="804">
        <v>13697259</v>
      </c>
      <c r="EF308" s="604" t="s">
        <v>488</v>
      </c>
      <c r="EG308" s="497" t="s">
        <v>616</v>
      </c>
      <c r="EH308" s="630" t="s">
        <v>617</v>
      </c>
      <c r="EI308" s="118" t="s">
        <v>1959</v>
      </c>
    </row>
    <row r="309" spans="1:139" ht="12.75" x14ac:dyDescent="0.2">
      <c r="A309" s="805">
        <v>302</v>
      </c>
      <c r="B309" s="606" t="s">
        <v>491</v>
      </c>
      <c r="C309" s="607" t="s">
        <v>524</v>
      </c>
      <c r="D309" s="608" t="s">
        <v>1194</v>
      </c>
      <c r="E309" s="609" t="s">
        <v>490</v>
      </c>
      <c r="F309" s="802">
        <v>152574806</v>
      </c>
      <c r="G309" s="804">
        <v>0</v>
      </c>
      <c r="H309" s="804">
        <v>415982</v>
      </c>
      <c r="I309" s="804">
        <v>616375</v>
      </c>
      <c r="J309" s="804">
        <v>0</v>
      </c>
      <c r="K309" s="804">
        <v>616375</v>
      </c>
      <c r="L309" s="804">
        <v>0</v>
      </c>
      <c r="M309" s="804">
        <v>0</v>
      </c>
      <c r="N309" s="804">
        <v>1549194</v>
      </c>
      <c r="O309" s="804">
        <v>1549194</v>
      </c>
      <c r="P309" s="804">
        <v>0</v>
      </c>
      <c r="Q309" s="804">
        <v>0</v>
      </c>
      <c r="R309" s="804">
        <v>149993255</v>
      </c>
      <c r="S309" s="804">
        <v>0.5</v>
      </c>
      <c r="T309" s="804">
        <v>0.49</v>
      </c>
      <c r="U309" s="804">
        <v>0</v>
      </c>
      <c r="V309" s="804">
        <v>0.01</v>
      </c>
      <c r="W309" s="804">
        <v>1</v>
      </c>
      <c r="X309" s="804">
        <v>74996627</v>
      </c>
      <c r="Y309" s="804">
        <v>73496695</v>
      </c>
      <c r="Z309" s="804">
        <v>0</v>
      </c>
      <c r="AA309" s="804">
        <v>1499933</v>
      </c>
      <c r="AB309" s="804">
        <v>149993255</v>
      </c>
      <c r="AC309" s="804">
        <v>0</v>
      </c>
      <c r="AD309" s="804">
        <v>0</v>
      </c>
      <c r="AE309" s="804">
        <v>0</v>
      </c>
      <c r="AF309" s="804">
        <v>0</v>
      </c>
      <c r="AG309" s="804">
        <v>0</v>
      </c>
      <c r="AH309" s="804">
        <v>74996627</v>
      </c>
      <c r="AI309" s="804">
        <v>73496695</v>
      </c>
      <c r="AJ309" s="804">
        <v>0</v>
      </c>
      <c r="AK309" s="804">
        <v>1499933</v>
      </c>
      <c r="AL309" s="804">
        <v>149993255</v>
      </c>
      <c r="AM309" s="804">
        <v>616375</v>
      </c>
      <c r="AN309" s="804">
        <v>616375</v>
      </c>
      <c r="AO309" s="804">
        <v>0</v>
      </c>
      <c r="AP309" s="804">
        <v>0</v>
      </c>
      <c r="AQ309" s="804">
        <v>1549194</v>
      </c>
      <c r="AR309" s="804">
        <v>0</v>
      </c>
      <c r="AS309" s="804">
        <v>1549194</v>
      </c>
      <c r="AT309" s="804">
        <v>0</v>
      </c>
      <c r="AU309" s="804">
        <v>0</v>
      </c>
      <c r="AV309" s="804">
        <v>0</v>
      </c>
      <c r="AW309" s="804">
        <v>0</v>
      </c>
      <c r="AX309" s="804">
        <v>0</v>
      </c>
      <c r="AY309" s="804">
        <v>0</v>
      </c>
      <c r="AZ309" s="804">
        <v>0</v>
      </c>
      <c r="BA309" s="804">
        <v>0</v>
      </c>
      <c r="BB309" s="804">
        <v>0</v>
      </c>
      <c r="BC309" s="804">
        <v>0</v>
      </c>
      <c r="BD309" s="804">
        <v>0</v>
      </c>
      <c r="BE309" s="804">
        <v>0</v>
      </c>
      <c r="BF309" s="804">
        <v>0</v>
      </c>
      <c r="BG309" s="804">
        <v>0</v>
      </c>
      <c r="BH309" s="804">
        <v>0</v>
      </c>
      <c r="BI309" s="804">
        <v>0</v>
      </c>
      <c r="BJ309" s="804">
        <v>0.5</v>
      </c>
      <c r="BK309" s="804">
        <v>0.49</v>
      </c>
      <c r="BL309" s="804">
        <v>0</v>
      </c>
      <c r="BM309" s="804">
        <v>0.01</v>
      </c>
      <c r="BN309" s="804">
        <v>1</v>
      </c>
      <c r="BO309" s="804">
        <v>327880</v>
      </c>
      <c r="BP309" s="804">
        <v>321323</v>
      </c>
      <c r="BQ309" s="804">
        <v>0</v>
      </c>
      <c r="BR309" s="804">
        <v>6558</v>
      </c>
      <c r="BS309" s="804">
        <v>655761</v>
      </c>
      <c r="BT309" s="804">
        <v>0.5</v>
      </c>
      <c r="BU309" s="804">
        <v>0.49</v>
      </c>
      <c r="BV309" s="804">
        <v>0</v>
      </c>
      <c r="BW309" s="804">
        <v>0.01</v>
      </c>
      <c r="BX309" s="804">
        <v>1</v>
      </c>
      <c r="BY309" s="804">
        <v>1315337</v>
      </c>
      <c r="BZ309" s="804">
        <v>1289031</v>
      </c>
      <c r="CA309" s="804">
        <v>0</v>
      </c>
      <c r="CB309" s="804">
        <v>26307</v>
      </c>
      <c r="CC309" s="804">
        <v>2630675</v>
      </c>
      <c r="CD309" s="804">
        <v>1643218</v>
      </c>
      <c r="CE309" s="804">
        <v>1610354</v>
      </c>
      <c r="CF309" s="804">
        <v>0</v>
      </c>
      <c r="CG309" s="804">
        <v>32864</v>
      </c>
      <c r="CH309" s="804">
        <v>3286436</v>
      </c>
      <c r="CI309" s="804">
        <v>76639845</v>
      </c>
      <c r="CJ309" s="804">
        <v>77272618</v>
      </c>
      <c r="CK309" s="804">
        <v>0</v>
      </c>
      <c r="CL309" s="804">
        <v>1532797</v>
      </c>
      <c r="CM309" s="804">
        <v>155445260</v>
      </c>
      <c r="CN309" s="804">
        <v>3007851</v>
      </c>
      <c r="CO309" s="804">
        <v>0</v>
      </c>
      <c r="CP309" s="804">
        <v>60118</v>
      </c>
      <c r="CQ309" s="804">
        <v>3067969</v>
      </c>
      <c r="CR309" s="804">
        <v>6388505</v>
      </c>
      <c r="CS309" s="804">
        <v>0</v>
      </c>
      <c r="CT309" s="804">
        <v>130378</v>
      </c>
      <c r="CU309" s="804">
        <v>6518883</v>
      </c>
      <c r="CV309" s="804">
        <v>350141</v>
      </c>
      <c r="CW309" s="804">
        <v>0</v>
      </c>
      <c r="CX309" s="804">
        <v>7146</v>
      </c>
      <c r="CY309" s="804">
        <v>357287</v>
      </c>
      <c r="CZ309" s="804">
        <v>16830</v>
      </c>
      <c r="DA309" s="804">
        <v>0</v>
      </c>
      <c r="DB309" s="804">
        <v>343</v>
      </c>
      <c r="DC309" s="804">
        <v>17173</v>
      </c>
      <c r="DD309" s="804">
        <v>81331</v>
      </c>
      <c r="DE309" s="804">
        <v>0</v>
      </c>
      <c r="DF309" s="804">
        <v>1660</v>
      </c>
      <c r="DG309" s="804">
        <v>82991</v>
      </c>
      <c r="DH309" s="804">
        <v>93596</v>
      </c>
      <c r="DI309" s="804">
        <v>0</v>
      </c>
      <c r="DJ309" s="804">
        <v>1910</v>
      </c>
      <c r="DK309" s="804">
        <v>95506</v>
      </c>
      <c r="DL309" s="804">
        <v>13539</v>
      </c>
      <c r="DM309" s="804">
        <v>0</v>
      </c>
      <c r="DN309" s="804">
        <v>276</v>
      </c>
      <c r="DO309" s="804">
        <v>13815</v>
      </c>
      <c r="DP309" s="804">
        <v>0</v>
      </c>
      <c r="DQ309" s="804">
        <v>0</v>
      </c>
      <c r="DR309" s="804">
        <v>0</v>
      </c>
      <c r="DS309" s="804">
        <v>0</v>
      </c>
      <c r="DT309" s="804">
        <v>0</v>
      </c>
      <c r="DU309" s="804">
        <v>0</v>
      </c>
      <c r="DV309" s="804">
        <v>0</v>
      </c>
      <c r="DW309" s="804">
        <v>0</v>
      </c>
      <c r="DX309" s="804">
        <v>1372747</v>
      </c>
      <c r="DY309" s="804">
        <v>0</v>
      </c>
      <c r="DZ309" s="804">
        <v>28015</v>
      </c>
      <c r="EA309" s="804">
        <v>1400762</v>
      </c>
      <c r="EB309" s="804">
        <v>11324540</v>
      </c>
      <c r="EC309" s="804">
        <v>0</v>
      </c>
      <c r="ED309" s="804">
        <v>229846</v>
      </c>
      <c r="EE309" s="804">
        <v>11554386</v>
      </c>
      <c r="EF309" s="604" t="s">
        <v>490</v>
      </c>
      <c r="EG309" s="497" t="s">
        <v>524</v>
      </c>
      <c r="EH309" s="630" t="s">
        <v>615</v>
      </c>
      <c r="EI309" s="118" t="s">
        <v>1960</v>
      </c>
    </row>
    <row r="310" spans="1:139" ht="12.75" x14ac:dyDescent="0.2">
      <c r="A310" s="805">
        <v>303</v>
      </c>
      <c r="B310" s="606" t="s">
        <v>493</v>
      </c>
      <c r="C310" s="607" t="s">
        <v>1185</v>
      </c>
      <c r="D310" s="608" t="s">
        <v>1186</v>
      </c>
      <c r="E310" s="609" t="s">
        <v>492</v>
      </c>
      <c r="F310" s="802">
        <v>63217939</v>
      </c>
      <c r="G310" s="804">
        <v>152381</v>
      </c>
      <c r="H310" s="804">
        <v>0</v>
      </c>
      <c r="I310" s="804">
        <v>203160</v>
      </c>
      <c r="J310" s="804">
        <v>0</v>
      </c>
      <c r="K310" s="804">
        <v>203160</v>
      </c>
      <c r="L310" s="804">
        <v>0</v>
      </c>
      <c r="M310" s="804">
        <v>0</v>
      </c>
      <c r="N310" s="804">
        <v>320000</v>
      </c>
      <c r="O310" s="804">
        <v>320000</v>
      </c>
      <c r="P310" s="804">
        <v>0</v>
      </c>
      <c r="Q310" s="804">
        <v>0</v>
      </c>
      <c r="R310" s="804">
        <v>62847160</v>
      </c>
      <c r="S310" s="804">
        <v>0.5</v>
      </c>
      <c r="T310" s="804">
        <v>0.4</v>
      </c>
      <c r="U310" s="804">
        <v>0.09</v>
      </c>
      <c r="V310" s="804">
        <v>0.01</v>
      </c>
      <c r="W310" s="804">
        <v>1</v>
      </c>
      <c r="X310" s="804">
        <v>31423580</v>
      </c>
      <c r="Y310" s="804">
        <v>25138864</v>
      </c>
      <c r="Z310" s="804">
        <v>5656244</v>
      </c>
      <c r="AA310" s="804">
        <v>628472</v>
      </c>
      <c r="AB310" s="804">
        <v>62847160</v>
      </c>
      <c r="AC310" s="804">
        <v>0</v>
      </c>
      <c r="AD310" s="804">
        <v>0</v>
      </c>
      <c r="AE310" s="804">
        <v>0</v>
      </c>
      <c r="AF310" s="804">
        <v>0</v>
      </c>
      <c r="AG310" s="804">
        <v>0</v>
      </c>
      <c r="AH310" s="804">
        <v>31423580</v>
      </c>
      <c r="AI310" s="804">
        <v>25138864</v>
      </c>
      <c r="AJ310" s="804">
        <v>5656244</v>
      </c>
      <c r="AK310" s="804">
        <v>628472</v>
      </c>
      <c r="AL310" s="804">
        <v>62847160</v>
      </c>
      <c r="AM310" s="804">
        <v>203160</v>
      </c>
      <c r="AN310" s="804">
        <v>203160</v>
      </c>
      <c r="AO310" s="804">
        <v>0</v>
      </c>
      <c r="AP310" s="804">
        <v>0</v>
      </c>
      <c r="AQ310" s="804">
        <v>320000</v>
      </c>
      <c r="AR310" s="804">
        <v>0</v>
      </c>
      <c r="AS310" s="804">
        <v>320000</v>
      </c>
      <c r="AT310" s="804">
        <v>0</v>
      </c>
      <c r="AU310" s="804">
        <v>0</v>
      </c>
      <c r="AV310" s="804">
        <v>0</v>
      </c>
      <c r="AW310" s="804">
        <v>0</v>
      </c>
      <c r="AX310" s="804">
        <v>0</v>
      </c>
      <c r="AY310" s="804">
        <v>0</v>
      </c>
      <c r="AZ310" s="804">
        <v>0</v>
      </c>
      <c r="BA310" s="804">
        <v>0</v>
      </c>
      <c r="BB310" s="804">
        <v>0</v>
      </c>
      <c r="BC310" s="804">
        <v>0</v>
      </c>
      <c r="BD310" s="804">
        <v>0</v>
      </c>
      <c r="BE310" s="804">
        <v>0</v>
      </c>
      <c r="BF310" s="804">
        <v>0</v>
      </c>
      <c r="BG310" s="804">
        <v>0</v>
      </c>
      <c r="BH310" s="804">
        <v>0</v>
      </c>
      <c r="BI310" s="804">
        <v>0</v>
      </c>
      <c r="BJ310" s="804">
        <v>0.5</v>
      </c>
      <c r="BK310" s="804">
        <v>0.4</v>
      </c>
      <c r="BL310" s="804">
        <v>0.09</v>
      </c>
      <c r="BM310" s="804">
        <v>0.01</v>
      </c>
      <c r="BN310" s="804">
        <v>1</v>
      </c>
      <c r="BO310" s="804">
        <v>1328843.0000000028</v>
      </c>
      <c r="BP310" s="804">
        <v>1063075</v>
      </c>
      <c r="BQ310" s="804">
        <v>239192</v>
      </c>
      <c r="BR310" s="804">
        <v>26577</v>
      </c>
      <c r="BS310" s="804">
        <v>2657687.0000000028</v>
      </c>
      <c r="BT310" s="804">
        <v>0.5</v>
      </c>
      <c r="BU310" s="804">
        <v>0.4</v>
      </c>
      <c r="BV310" s="804">
        <v>0.09</v>
      </c>
      <c r="BW310" s="804">
        <v>0.01</v>
      </c>
      <c r="BX310" s="804">
        <v>1</v>
      </c>
      <c r="BY310" s="804">
        <v>11219.200000000186</v>
      </c>
      <c r="BZ310" s="804">
        <v>8974</v>
      </c>
      <c r="CA310" s="804">
        <v>2019</v>
      </c>
      <c r="CB310" s="804">
        <v>224</v>
      </c>
      <c r="CC310" s="804">
        <v>22436.200000000186</v>
      </c>
      <c r="CD310" s="804">
        <v>1340062</v>
      </c>
      <c r="CE310" s="804">
        <v>1072049</v>
      </c>
      <c r="CF310" s="804">
        <v>241211</v>
      </c>
      <c r="CG310" s="804">
        <v>26801</v>
      </c>
      <c r="CH310" s="804">
        <v>2680123.200000003</v>
      </c>
      <c r="CI310" s="804">
        <v>32763642</v>
      </c>
      <c r="CJ310" s="804">
        <v>26734073</v>
      </c>
      <c r="CK310" s="804">
        <v>5897455</v>
      </c>
      <c r="CL310" s="804">
        <v>655273</v>
      </c>
      <c r="CM310" s="804">
        <v>66050443</v>
      </c>
      <c r="CN310" s="804">
        <v>1020395</v>
      </c>
      <c r="CO310" s="804">
        <v>226703</v>
      </c>
      <c r="CP310" s="804">
        <v>25189</v>
      </c>
      <c r="CQ310" s="804">
        <v>1272287</v>
      </c>
      <c r="CR310" s="804">
        <v>1356943</v>
      </c>
      <c r="CS310" s="804">
        <v>305312</v>
      </c>
      <c r="CT310" s="804">
        <v>33924</v>
      </c>
      <c r="CU310" s="804">
        <v>1696179</v>
      </c>
      <c r="CV310" s="804">
        <v>120366</v>
      </c>
      <c r="CW310" s="804">
        <v>27082</v>
      </c>
      <c r="CX310" s="804">
        <v>3009</v>
      </c>
      <c r="CY310" s="804">
        <v>150457</v>
      </c>
      <c r="CZ310" s="804">
        <v>8940</v>
      </c>
      <c r="DA310" s="804">
        <v>2012</v>
      </c>
      <c r="DB310" s="804">
        <v>224</v>
      </c>
      <c r="DC310" s="804">
        <v>11176</v>
      </c>
      <c r="DD310" s="804">
        <v>2480</v>
      </c>
      <c r="DE310" s="804">
        <v>558</v>
      </c>
      <c r="DF310" s="804">
        <v>62</v>
      </c>
      <c r="DG310" s="804">
        <v>3100</v>
      </c>
      <c r="DH310" s="804">
        <v>37216</v>
      </c>
      <c r="DI310" s="804">
        <v>8373</v>
      </c>
      <c r="DJ310" s="804">
        <v>930</v>
      </c>
      <c r="DK310" s="804">
        <v>46519</v>
      </c>
      <c r="DL310" s="804">
        <v>6300</v>
      </c>
      <c r="DM310" s="804">
        <v>1417</v>
      </c>
      <c r="DN310" s="804">
        <v>157</v>
      </c>
      <c r="DO310" s="804">
        <v>7874</v>
      </c>
      <c r="DP310" s="804">
        <v>0</v>
      </c>
      <c r="DQ310" s="804">
        <v>0</v>
      </c>
      <c r="DR310" s="804">
        <v>0</v>
      </c>
      <c r="DS310" s="804">
        <v>0</v>
      </c>
      <c r="DT310" s="804">
        <v>2080</v>
      </c>
      <c r="DU310" s="804">
        <v>468</v>
      </c>
      <c r="DV310" s="804">
        <v>52</v>
      </c>
      <c r="DW310" s="804">
        <v>2600</v>
      </c>
      <c r="DX310" s="804">
        <v>607407</v>
      </c>
      <c r="DY310" s="804">
        <v>136667</v>
      </c>
      <c r="DZ310" s="804">
        <v>15185</v>
      </c>
      <c r="EA310" s="804">
        <v>759259</v>
      </c>
      <c r="EB310" s="804">
        <v>3162127</v>
      </c>
      <c r="EC310" s="804">
        <v>708592</v>
      </c>
      <c r="ED310" s="804">
        <v>78732</v>
      </c>
      <c r="EE310" s="804">
        <v>3949451</v>
      </c>
      <c r="EF310" s="604" t="s">
        <v>492</v>
      </c>
      <c r="EG310" s="497" t="s">
        <v>575</v>
      </c>
      <c r="EH310" s="630" t="s">
        <v>573</v>
      </c>
      <c r="EI310" s="118" t="s">
        <v>1961</v>
      </c>
    </row>
    <row r="311" spans="1:139" ht="12.75" x14ac:dyDescent="0.2">
      <c r="A311" s="805">
        <v>304</v>
      </c>
      <c r="B311" s="606" t="s">
        <v>495</v>
      </c>
      <c r="C311" s="607" t="s">
        <v>524</v>
      </c>
      <c r="D311" s="608" t="s">
        <v>1186</v>
      </c>
      <c r="E311" s="609" t="s">
        <v>908</v>
      </c>
      <c r="F311" s="802">
        <v>90801068</v>
      </c>
      <c r="G311" s="804">
        <v>0</v>
      </c>
      <c r="H311" s="804">
        <v>468422</v>
      </c>
      <c r="I311" s="804">
        <v>236763</v>
      </c>
      <c r="J311" s="804">
        <v>0</v>
      </c>
      <c r="K311" s="804">
        <v>236763</v>
      </c>
      <c r="L311" s="804">
        <v>0</v>
      </c>
      <c r="M311" s="804">
        <v>0</v>
      </c>
      <c r="N311" s="804">
        <v>16748</v>
      </c>
      <c r="O311" s="804">
        <v>16748</v>
      </c>
      <c r="P311" s="804">
        <v>0</v>
      </c>
      <c r="Q311" s="804">
        <v>0</v>
      </c>
      <c r="R311" s="804">
        <v>90079135</v>
      </c>
      <c r="S311" s="804">
        <v>0.5</v>
      </c>
      <c r="T311" s="804">
        <v>0.49</v>
      </c>
      <c r="U311" s="804">
        <v>0</v>
      </c>
      <c r="V311" s="804">
        <v>0.01</v>
      </c>
      <c r="W311" s="804">
        <v>1</v>
      </c>
      <c r="X311" s="804">
        <v>45039568</v>
      </c>
      <c r="Y311" s="804">
        <v>44138776</v>
      </c>
      <c r="Z311" s="804">
        <v>0</v>
      </c>
      <c r="AA311" s="804">
        <v>900791</v>
      </c>
      <c r="AB311" s="804">
        <v>90079135</v>
      </c>
      <c r="AC311" s="804">
        <v>0</v>
      </c>
      <c r="AD311" s="804">
        <v>0</v>
      </c>
      <c r="AE311" s="804">
        <v>0</v>
      </c>
      <c r="AF311" s="804">
        <v>0</v>
      </c>
      <c r="AG311" s="804">
        <v>0</v>
      </c>
      <c r="AH311" s="804">
        <v>45039568</v>
      </c>
      <c r="AI311" s="804">
        <v>44138776</v>
      </c>
      <c r="AJ311" s="804">
        <v>0</v>
      </c>
      <c r="AK311" s="804">
        <v>900791</v>
      </c>
      <c r="AL311" s="804">
        <v>90079135</v>
      </c>
      <c r="AM311" s="804">
        <v>236763</v>
      </c>
      <c r="AN311" s="804">
        <v>236763</v>
      </c>
      <c r="AO311" s="804">
        <v>0</v>
      </c>
      <c r="AP311" s="804">
        <v>0</v>
      </c>
      <c r="AQ311" s="804">
        <v>16748</v>
      </c>
      <c r="AR311" s="804">
        <v>0</v>
      </c>
      <c r="AS311" s="804">
        <v>16748</v>
      </c>
      <c r="AT311" s="804">
        <v>0</v>
      </c>
      <c r="AU311" s="804">
        <v>0</v>
      </c>
      <c r="AV311" s="804">
        <v>0</v>
      </c>
      <c r="AW311" s="804">
        <v>0</v>
      </c>
      <c r="AX311" s="804">
        <v>0</v>
      </c>
      <c r="AY311" s="804">
        <v>0</v>
      </c>
      <c r="AZ311" s="804">
        <v>0</v>
      </c>
      <c r="BA311" s="804">
        <v>0</v>
      </c>
      <c r="BB311" s="804">
        <v>0</v>
      </c>
      <c r="BC311" s="804">
        <v>0</v>
      </c>
      <c r="BD311" s="804">
        <v>0</v>
      </c>
      <c r="BE311" s="804">
        <v>0</v>
      </c>
      <c r="BF311" s="804">
        <v>0</v>
      </c>
      <c r="BG311" s="804">
        <v>0</v>
      </c>
      <c r="BH311" s="804">
        <v>0</v>
      </c>
      <c r="BI311" s="804">
        <v>0</v>
      </c>
      <c r="BJ311" s="804">
        <v>0.25</v>
      </c>
      <c r="BK311" s="804">
        <v>0.74</v>
      </c>
      <c r="BL311" s="804">
        <v>0</v>
      </c>
      <c r="BM311" s="804">
        <v>0.01</v>
      </c>
      <c r="BN311" s="804">
        <v>1</v>
      </c>
      <c r="BO311" s="804">
        <v>-398020</v>
      </c>
      <c r="BP311" s="804">
        <v>-1178138</v>
      </c>
      <c r="BQ311" s="804">
        <v>0</v>
      </c>
      <c r="BR311" s="804">
        <v>-15921</v>
      </c>
      <c r="BS311" s="804">
        <v>-1592079</v>
      </c>
      <c r="BT311" s="804">
        <v>0</v>
      </c>
      <c r="BU311" s="804">
        <v>0.99</v>
      </c>
      <c r="BV311" s="804">
        <v>0</v>
      </c>
      <c r="BW311" s="804">
        <v>0.01</v>
      </c>
      <c r="BX311" s="804">
        <v>1</v>
      </c>
      <c r="BY311" s="804">
        <v>0</v>
      </c>
      <c r="BZ311" s="804">
        <v>-1242401</v>
      </c>
      <c r="CA311" s="804">
        <v>0</v>
      </c>
      <c r="CB311" s="804">
        <v>-12550</v>
      </c>
      <c r="CC311" s="804">
        <v>-1254951</v>
      </c>
      <c r="CD311" s="804">
        <v>-398020</v>
      </c>
      <c r="CE311" s="804">
        <v>-2420539</v>
      </c>
      <c r="CF311" s="804">
        <v>0</v>
      </c>
      <c r="CG311" s="804">
        <v>-28471</v>
      </c>
      <c r="CH311" s="804">
        <v>-2847030</v>
      </c>
      <c r="CI311" s="804">
        <v>44641548</v>
      </c>
      <c r="CJ311" s="804">
        <v>41971748</v>
      </c>
      <c r="CK311" s="804">
        <v>0</v>
      </c>
      <c r="CL311" s="804">
        <v>872320</v>
      </c>
      <c r="CM311" s="804">
        <v>87485616</v>
      </c>
      <c r="CN311" s="804">
        <v>1769760</v>
      </c>
      <c r="CO311" s="804">
        <v>0</v>
      </c>
      <c r="CP311" s="804">
        <v>36104</v>
      </c>
      <c r="CQ311" s="804">
        <v>1805864</v>
      </c>
      <c r="CR311" s="804">
        <v>1488400</v>
      </c>
      <c r="CS311" s="804">
        <v>0</v>
      </c>
      <c r="CT311" s="804">
        <v>30376</v>
      </c>
      <c r="CU311" s="804">
        <v>1518776</v>
      </c>
      <c r="CV311" s="804">
        <v>188547</v>
      </c>
      <c r="CW311" s="804">
        <v>0</v>
      </c>
      <c r="CX311" s="804">
        <v>3848</v>
      </c>
      <c r="CY311" s="804">
        <v>192395</v>
      </c>
      <c r="CZ311" s="804">
        <v>0</v>
      </c>
      <c r="DA311" s="804">
        <v>0</v>
      </c>
      <c r="DB311" s="804">
        <v>0</v>
      </c>
      <c r="DC311" s="804">
        <v>0</v>
      </c>
      <c r="DD311" s="804">
        <v>3097</v>
      </c>
      <c r="DE311" s="804">
        <v>0</v>
      </c>
      <c r="DF311" s="804">
        <v>63</v>
      </c>
      <c r="DG311" s="804">
        <v>3160</v>
      </c>
      <c r="DH311" s="804">
        <v>4901</v>
      </c>
      <c r="DI311" s="804">
        <v>0</v>
      </c>
      <c r="DJ311" s="804">
        <v>100</v>
      </c>
      <c r="DK311" s="804">
        <v>5001</v>
      </c>
      <c r="DL311" s="804">
        <v>10</v>
      </c>
      <c r="DM311" s="804">
        <v>0</v>
      </c>
      <c r="DN311" s="804">
        <v>0</v>
      </c>
      <c r="DO311" s="804">
        <v>10</v>
      </c>
      <c r="DP311" s="804">
        <v>0</v>
      </c>
      <c r="DQ311" s="804">
        <v>0</v>
      </c>
      <c r="DR311" s="804">
        <v>0</v>
      </c>
      <c r="DS311" s="804">
        <v>0</v>
      </c>
      <c r="DT311" s="804">
        <v>0</v>
      </c>
      <c r="DU311" s="804">
        <v>0</v>
      </c>
      <c r="DV311" s="804">
        <v>0</v>
      </c>
      <c r="DW311" s="804">
        <v>0</v>
      </c>
      <c r="DX311" s="804">
        <v>1108204</v>
      </c>
      <c r="DY311" s="804">
        <v>0</v>
      </c>
      <c r="DZ311" s="804">
        <v>22616</v>
      </c>
      <c r="EA311" s="804">
        <v>1130820</v>
      </c>
      <c r="EB311" s="804">
        <v>4562919</v>
      </c>
      <c r="EC311" s="804">
        <v>0</v>
      </c>
      <c r="ED311" s="804">
        <v>93107</v>
      </c>
      <c r="EE311" s="804">
        <v>4656026</v>
      </c>
      <c r="EF311" s="604" t="s">
        <v>908</v>
      </c>
      <c r="EG311" s="497" t="s">
        <v>524</v>
      </c>
      <c r="EH311" s="630" t="s">
        <v>532</v>
      </c>
      <c r="EI311" s="118" t="s">
        <v>1962</v>
      </c>
    </row>
    <row r="312" spans="1:139" ht="12.75" x14ac:dyDescent="0.2">
      <c r="A312" s="805">
        <v>305</v>
      </c>
      <c r="B312" s="606" t="s">
        <v>497</v>
      </c>
      <c r="C312" s="607" t="s">
        <v>1192</v>
      </c>
      <c r="D312" s="608" t="s">
        <v>1187</v>
      </c>
      <c r="E312" s="609" t="s">
        <v>496</v>
      </c>
      <c r="F312" s="802">
        <v>73274036</v>
      </c>
      <c r="G312" s="804">
        <v>0</v>
      </c>
      <c r="H312" s="804">
        <v>435903</v>
      </c>
      <c r="I312" s="804">
        <v>325143</v>
      </c>
      <c r="J312" s="804">
        <v>0</v>
      </c>
      <c r="K312" s="804">
        <v>325143</v>
      </c>
      <c r="L312" s="804">
        <v>0</v>
      </c>
      <c r="M312" s="804">
        <v>55890</v>
      </c>
      <c r="N312" s="804">
        <v>0</v>
      </c>
      <c r="O312" s="804">
        <v>0</v>
      </c>
      <c r="P312" s="804">
        <v>0</v>
      </c>
      <c r="Q312" s="804">
        <v>0</v>
      </c>
      <c r="R312" s="804">
        <v>72457100</v>
      </c>
      <c r="S312" s="804">
        <v>0</v>
      </c>
      <c r="T312" s="804">
        <v>0.99</v>
      </c>
      <c r="U312" s="804">
        <v>0</v>
      </c>
      <c r="V312" s="804">
        <v>0.01</v>
      </c>
      <c r="W312" s="804">
        <v>1</v>
      </c>
      <c r="X312" s="804">
        <v>0</v>
      </c>
      <c r="Y312" s="804">
        <v>71732529</v>
      </c>
      <c r="Z312" s="804">
        <v>0</v>
      </c>
      <c r="AA312" s="804">
        <v>724571</v>
      </c>
      <c r="AB312" s="804">
        <v>72457100</v>
      </c>
      <c r="AC312" s="804">
        <v>0</v>
      </c>
      <c r="AD312" s="804">
        <v>0</v>
      </c>
      <c r="AE312" s="804">
        <v>0</v>
      </c>
      <c r="AF312" s="804">
        <v>0</v>
      </c>
      <c r="AG312" s="804">
        <v>0</v>
      </c>
      <c r="AH312" s="804">
        <v>0</v>
      </c>
      <c r="AI312" s="804">
        <v>71732529</v>
      </c>
      <c r="AJ312" s="804">
        <v>0</v>
      </c>
      <c r="AK312" s="804">
        <v>724571</v>
      </c>
      <c r="AL312" s="804">
        <v>72457100</v>
      </c>
      <c r="AM312" s="804">
        <v>325143</v>
      </c>
      <c r="AN312" s="804">
        <v>325143</v>
      </c>
      <c r="AO312" s="804">
        <v>55890</v>
      </c>
      <c r="AP312" s="804">
        <v>55890</v>
      </c>
      <c r="AQ312" s="804">
        <v>0</v>
      </c>
      <c r="AR312" s="804">
        <v>0</v>
      </c>
      <c r="AS312" s="804">
        <v>0</v>
      </c>
      <c r="AT312" s="804">
        <v>0</v>
      </c>
      <c r="AU312" s="804">
        <v>0</v>
      </c>
      <c r="AV312" s="804">
        <v>0</v>
      </c>
      <c r="AW312" s="804">
        <v>0</v>
      </c>
      <c r="AX312" s="804">
        <v>0</v>
      </c>
      <c r="AY312" s="804">
        <v>0</v>
      </c>
      <c r="AZ312" s="804">
        <v>0</v>
      </c>
      <c r="BA312" s="804">
        <v>0</v>
      </c>
      <c r="BB312" s="804">
        <v>0</v>
      </c>
      <c r="BC312" s="804">
        <v>0</v>
      </c>
      <c r="BD312" s="804">
        <v>0</v>
      </c>
      <c r="BE312" s="804">
        <v>0</v>
      </c>
      <c r="BF312" s="804">
        <v>0</v>
      </c>
      <c r="BG312" s="804">
        <v>0</v>
      </c>
      <c r="BH312" s="804">
        <v>0</v>
      </c>
      <c r="BI312" s="804">
        <v>0</v>
      </c>
      <c r="BJ312" s="804">
        <v>0</v>
      </c>
      <c r="BK312" s="804">
        <v>0.99</v>
      </c>
      <c r="BL312" s="804">
        <v>0</v>
      </c>
      <c r="BM312" s="804">
        <v>0.01</v>
      </c>
      <c r="BN312" s="804">
        <v>1</v>
      </c>
      <c r="BO312" s="804">
        <v>0</v>
      </c>
      <c r="BP312" s="804">
        <v>560583</v>
      </c>
      <c r="BQ312" s="804">
        <v>0</v>
      </c>
      <c r="BR312" s="804">
        <v>5662</v>
      </c>
      <c r="BS312" s="804">
        <v>566245</v>
      </c>
      <c r="BT312" s="804">
        <v>0</v>
      </c>
      <c r="BU312" s="804">
        <v>0.99</v>
      </c>
      <c r="BV312" s="804">
        <v>0</v>
      </c>
      <c r="BW312" s="804">
        <v>0.01</v>
      </c>
      <c r="BX312" s="804">
        <v>1</v>
      </c>
      <c r="BY312" s="804">
        <v>0</v>
      </c>
      <c r="BZ312" s="804">
        <v>-385590</v>
      </c>
      <c r="CA312" s="804">
        <v>0</v>
      </c>
      <c r="CB312" s="804">
        <v>-3895</v>
      </c>
      <c r="CC312" s="804">
        <v>-389485</v>
      </c>
      <c r="CD312" s="804">
        <v>0</v>
      </c>
      <c r="CE312" s="804">
        <v>174993</v>
      </c>
      <c r="CF312" s="804">
        <v>0</v>
      </c>
      <c r="CG312" s="804">
        <v>1767</v>
      </c>
      <c r="CH312" s="804">
        <v>176760</v>
      </c>
      <c r="CI312" s="804">
        <v>0</v>
      </c>
      <c r="CJ312" s="804">
        <v>72288555</v>
      </c>
      <c r="CK312" s="804">
        <v>0</v>
      </c>
      <c r="CL312" s="804">
        <v>726338</v>
      </c>
      <c r="CM312" s="804">
        <v>73014893</v>
      </c>
      <c r="CN312" s="804">
        <v>2877291</v>
      </c>
      <c r="CO312" s="804">
        <v>0</v>
      </c>
      <c r="CP312" s="804">
        <v>29041</v>
      </c>
      <c r="CQ312" s="804">
        <v>2906332</v>
      </c>
      <c r="CR312" s="804">
        <v>7054590</v>
      </c>
      <c r="CS312" s="804">
        <v>0</v>
      </c>
      <c r="CT312" s="804">
        <v>71073</v>
      </c>
      <c r="CU312" s="804">
        <v>7125663</v>
      </c>
      <c r="CV312" s="804">
        <v>358368</v>
      </c>
      <c r="CW312" s="804">
        <v>0</v>
      </c>
      <c r="CX312" s="804">
        <v>3605</v>
      </c>
      <c r="CY312" s="804">
        <v>361973</v>
      </c>
      <c r="CZ312" s="804">
        <v>31450</v>
      </c>
      <c r="DA312" s="804">
        <v>0</v>
      </c>
      <c r="DB312" s="804">
        <v>318</v>
      </c>
      <c r="DC312" s="804">
        <v>31768</v>
      </c>
      <c r="DD312" s="804">
        <v>0</v>
      </c>
      <c r="DE312" s="804">
        <v>0</v>
      </c>
      <c r="DF312" s="804">
        <v>0</v>
      </c>
      <c r="DG312" s="804">
        <v>0</v>
      </c>
      <c r="DH312" s="804">
        <v>30604</v>
      </c>
      <c r="DI312" s="804">
        <v>0</v>
      </c>
      <c r="DJ312" s="804">
        <v>309</v>
      </c>
      <c r="DK312" s="804">
        <v>30913</v>
      </c>
      <c r="DL312" s="804">
        <v>15445</v>
      </c>
      <c r="DM312" s="804">
        <v>0</v>
      </c>
      <c r="DN312" s="804">
        <v>156</v>
      </c>
      <c r="DO312" s="804">
        <v>15601</v>
      </c>
      <c r="DP312" s="804">
        <v>0</v>
      </c>
      <c r="DQ312" s="804">
        <v>0</v>
      </c>
      <c r="DR312" s="804">
        <v>0</v>
      </c>
      <c r="DS312" s="804">
        <v>0</v>
      </c>
      <c r="DT312" s="804">
        <v>0</v>
      </c>
      <c r="DU312" s="804">
        <v>0</v>
      </c>
      <c r="DV312" s="804">
        <v>0</v>
      </c>
      <c r="DW312" s="804">
        <v>0</v>
      </c>
      <c r="DX312" s="804">
        <v>2368029</v>
      </c>
      <c r="DY312" s="804">
        <v>0</v>
      </c>
      <c r="DZ312" s="804">
        <v>23919</v>
      </c>
      <c r="EA312" s="804">
        <v>2391948</v>
      </c>
      <c r="EB312" s="804">
        <v>12735777</v>
      </c>
      <c r="EC312" s="804">
        <v>0</v>
      </c>
      <c r="ED312" s="804">
        <v>128421</v>
      </c>
      <c r="EE312" s="804">
        <v>12864198</v>
      </c>
      <c r="EF312" s="604" t="s">
        <v>496</v>
      </c>
      <c r="EG312" s="497" t="s">
        <v>616</v>
      </c>
      <c r="EH312" s="630" t="s">
        <v>618</v>
      </c>
      <c r="EI312" s="118" t="s">
        <v>1963</v>
      </c>
    </row>
    <row r="313" spans="1:139" ht="12.75" x14ac:dyDescent="0.2">
      <c r="A313" s="805">
        <v>306</v>
      </c>
      <c r="B313" s="606" t="s">
        <v>499</v>
      </c>
      <c r="C313" s="607" t="s">
        <v>1185</v>
      </c>
      <c r="D313" s="608" t="s">
        <v>1186</v>
      </c>
      <c r="E313" s="609" t="s">
        <v>498</v>
      </c>
      <c r="F313" s="802">
        <v>47980966</v>
      </c>
      <c r="G313" s="804">
        <v>0</v>
      </c>
      <c r="H313" s="804">
        <v>24594</v>
      </c>
      <c r="I313" s="804">
        <v>129869</v>
      </c>
      <c r="J313" s="804">
        <v>0</v>
      </c>
      <c r="K313" s="804">
        <v>129869</v>
      </c>
      <c r="L313" s="804">
        <v>0</v>
      </c>
      <c r="M313" s="804">
        <v>0</v>
      </c>
      <c r="N313" s="804">
        <v>0</v>
      </c>
      <c r="O313" s="804">
        <v>0</v>
      </c>
      <c r="P313" s="804">
        <v>0</v>
      </c>
      <c r="Q313" s="804">
        <v>0</v>
      </c>
      <c r="R313" s="804">
        <v>47826503</v>
      </c>
      <c r="S313" s="804">
        <v>0.5</v>
      </c>
      <c r="T313" s="804">
        <v>0.4</v>
      </c>
      <c r="U313" s="804">
        <v>0.1</v>
      </c>
      <c r="V313" s="804">
        <v>0</v>
      </c>
      <c r="W313" s="804">
        <v>1</v>
      </c>
      <c r="X313" s="804">
        <v>23913252</v>
      </c>
      <c r="Y313" s="804">
        <v>19130601</v>
      </c>
      <c r="Z313" s="804">
        <v>4782650</v>
      </c>
      <c r="AA313" s="804">
        <v>0</v>
      </c>
      <c r="AB313" s="804">
        <v>47826503</v>
      </c>
      <c r="AC313" s="804">
        <v>0</v>
      </c>
      <c r="AD313" s="804">
        <v>0</v>
      </c>
      <c r="AE313" s="804">
        <v>0</v>
      </c>
      <c r="AF313" s="804">
        <v>0</v>
      </c>
      <c r="AG313" s="804">
        <v>0</v>
      </c>
      <c r="AH313" s="804">
        <v>23913252</v>
      </c>
      <c r="AI313" s="804">
        <v>19130601</v>
      </c>
      <c r="AJ313" s="804">
        <v>4782650</v>
      </c>
      <c r="AK313" s="804">
        <v>0</v>
      </c>
      <c r="AL313" s="804">
        <v>47826503</v>
      </c>
      <c r="AM313" s="804">
        <v>129869</v>
      </c>
      <c r="AN313" s="804">
        <v>129869</v>
      </c>
      <c r="AO313" s="804">
        <v>0</v>
      </c>
      <c r="AP313" s="804">
        <v>0</v>
      </c>
      <c r="AQ313" s="804">
        <v>0</v>
      </c>
      <c r="AR313" s="804">
        <v>0</v>
      </c>
      <c r="AS313" s="804">
        <v>0</v>
      </c>
      <c r="AT313" s="804">
        <v>0</v>
      </c>
      <c r="AU313" s="804">
        <v>0</v>
      </c>
      <c r="AV313" s="804">
        <v>0</v>
      </c>
      <c r="AW313" s="804">
        <v>0</v>
      </c>
      <c r="AX313" s="804">
        <v>0</v>
      </c>
      <c r="AY313" s="804">
        <v>0</v>
      </c>
      <c r="AZ313" s="804">
        <v>0</v>
      </c>
      <c r="BA313" s="804">
        <v>0</v>
      </c>
      <c r="BB313" s="804">
        <v>0</v>
      </c>
      <c r="BC313" s="804">
        <v>0</v>
      </c>
      <c r="BD313" s="804">
        <v>0</v>
      </c>
      <c r="BE313" s="804">
        <v>0</v>
      </c>
      <c r="BF313" s="804">
        <v>0</v>
      </c>
      <c r="BG313" s="804">
        <v>0</v>
      </c>
      <c r="BH313" s="804">
        <v>0</v>
      </c>
      <c r="BI313" s="804">
        <v>0</v>
      </c>
      <c r="BJ313" s="804">
        <v>0.5</v>
      </c>
      <c r="BK313" s="804">
        <v>0.4</v>
      </c>
      <c r="BL313" s="804">
        <v>0.1</v>
      </c>
      <c r="BM313" s="804">
        <v>0</v>
      </c>
      <c r="BN313" s="804">
        <v>1</v>
      </c>
      <c r="BO313" s="804">
        <v>451049</v>
      </c>
      <c r="BP313" s="804">
        <v>360839</v>
      </c>
      <c r="BQ313" s="804">
        <v>90210</v>
      </c>
      <c r="BR313" s="804">
        <v>0</v>
      </c>
      <c r="BS313" s="804">
        <v>902098</v>
      </c>
      <c r="BT313" s="804">
        <v>0</v>
      </c>
      <c r="BU313" s="804">
        <v>0.3</v>
      </c>
      <c r="BV313" s="804">
        <v>0.7</v>
      </c>
      <c r="BW313" s="804">
        <v>0</v>
      </c>
      <c r="BX313" s="804">
        <v>1</v>
      </c>
      <c r="BY313" s="804">
        <v>0</v>
      </c>
      <c r="BZ313" s="804">
        <v>141855</v>
      </c>
      <c r="CA313" s="804">
        <v>330994</v>
      </c>
      <c r="CB313" s="804">
        <v>0</v>
      </c>
      <c r="CC313" s="804">
        <v>472849</v>
      </c>
      <c r="CD313" s="804">
        <v>451049</v>
      </c>
      <c r="CE313" s="804">
        <v>502694</v>
      </c>
      <c r="CF313" s="804">
        <v>421204</v>
      </c>
      <c r="CG313" s="804">
        <v>0</v>
      </c>
      <c r="CH313" s="804">
        <v>1374947</v>
      </c>
      <c r="CI313" s="804">
        <v>24364301</v>
      </c>
      <c r="CJ313" s="804">
        <v>19763164</v>
      </c>
      <c r="CK313" s="804">
        <v>5203854</v>
      </c>
      <c r="CL313" s="804">
        <v>0</v>
      </c>
      <c r="CM313" s="804">
        <v>49331319</v>
      </c>
      <c r="CN313" s="804">
        <v>766758</v>
      </c>
      <c r="CO313" s="804">
        <v>191689</v>
      </c>
      <c r="CP313" s="804">
        <v>0</v>
      </c>
      <c r="CQ313" s="804">
        <v>958447</v>
      </c>
      <c r="CR313" s="804">
        <v>743590</v>
      </c>
      <c r="CS313" s="804">
        <v>185898</v>
      </c>
      <c r="CT313" s="804">
        <v>0</v>
      </c>
      <c r="CU313" s="804">
        <v>929488</v>
      </c>
      <c r="CV313" s="804">
        <v>87566</v>
      </c>
      <c r="CW313" s="804">
        <v>21892</v>
      </c>
      <c r="CX313" s="804">
        <v>0</v>
      </c>
      <c r="CY313" s="804">
        <v>109458</v>
      </c>
      <c r="CZ313" s="804">
        <v>0</v>
      </c>
      <c r="DA313" s="804">
        <v>0</v>
      </c>
      <c r="DB313" s="804">
        <v>0</v>
      </c>
      <c r="DC313" s="804">
        <v>0</v>
      </c>
      <c r="DD313" s="804">
        <v>0</v>
      </c>
      <c r="DE313" s="804">
        <v>0</v>
      </c>
      <c r="DF313" s="804">
        <v>0</v>
      </c>
      <c r="DG313" s="804">
        <v>0</v>
      </c>
      <c r="DH313" s="804">
        <v>6252</v>
      </c>
      <c r="DI313" s="804">
        <v>1563</v>
      </c>
      <c r="DJ313" s="804">
        <v>0</v>
      </c>
      <c r="DK313" s="804">
        <v>7815</v>
      </c>
      <c r="DL313" s="804">
        <v>3328</v>
      </c>
      <c r="DM313" s="804">
        <v>832</v>
      </c>
      <c r="DN313" s="804">
        <v>0</v>
      </c>
      <c r="DO313" s="804">
        <v>4160</v>
      </c>
      <c r="DP313" s="804">
        <v>0</v>
      </c>
      <c r="DQ313" s="804">
        <v>0</v>
      </c>
      <c r="DR313" s="804">
        <v>0</v>
      </c>
      <c r="DS313" s="804">
        <v>0</v>
      </c>
      <c r="DT313" s="804">
        <v>0</v>
      </c>
      <c r="DU313" s="804">
        <v>0</v>
      </c>
      <c r="DV313" s="804">
        <v>0</v>
      </c>
      <c r="DW313" s="804">
        <v>0</v>
      </c>
      <c r="DX313" s="804">
        <v>396989</v>
      </c>
      <c r="DY313" s="804">
        <v>99247</v>
      </c>
      <c r="DZ313" s="804">
        <v>0</v>
      </c>
      <c r="EA313" s="804">
        <v>496236</v>
      </c>
      <c r="EB313" s="804">
        <v>2004483</v>
      </c>
      <c r="EC313" s="804">
        <v>501121</v>
      </c>
      <c r="ED313" s="804">
        <v>0</v>
      </c>
      <c r="EE313" s="804">
        <v>2505604</v>
      </c>
      <c r="EF313" s="604" t="s">
        <v>498</v>
      </c>
      <c r="EG313" s="497" t="s">
        <v>611</v>
      </c>
      <c r="EH313" s="630" t="s">
        <v>551</v>
      </c>
      <c r="EI313" s="118" t="s">
        <v>1964</v>
      </c>
    </row>
    <row r="314" spans="1:139" ht="12.75" x14ac:dyDescent="0.2">
      <c r="A314" s="805">
        <v>307</v>
      </c>
      <c r="B314" s="606" t="s">
        <v>501</v>
      </c>
      <c r="C314" s="607" t="s">
        <v>524</v>
      </c>
      <c r="D314" s="608" t="s">
        <v>1186</v>
      </c>
      <c r="E314" s="609" t="s">
        <v>536</v>
      </c>
      <c r="F314" s="802">
        <v>73729827</v>
      </c>
      <c r="G314" s="804">
        <v>558848</v>
      </c>
      <c r="H314" s="804">
        <v>0</v>
      </c>
      <c r="I314" s="804">
        <v>200867</v>
      </c>
      <c r="J314" s="804">
        <v>0</v>
      </c>
      <c r="K314" s="804">
        <v>200867</v>
      </c>
      <c r="L314" s="804">
        <v>0</v>
      </c>
      <c r="M314" s="804">
        <v>0</v>
      </c>
      <c r="N314" s="804">
        <v>12350</v>
      </c>
      <c r="O314" s="804">
        <v>12350</v>
      </c>
      <c r="P314" s="804">
        <v>0</v>
      </c>
      <c r="Q314" s="804">
        <v>0</v>
      </c>
      <c r="R314" s="804">
        <v>74075458</v>
      </c>
      <c r="S314" s="804">
        <v>0.5</v>
      </c>
      <c r="T314" s="804">
        <v>0.49</v>
      </c>
      <c r="U314" s="804">
        <v>0</v>
      </c>
      <c r="V314" s="804">
        <v>0.01</v>
      </c>
      <c r="W314" s="804">
        <v>1</v>
      </c>
      <c r="X314" s="804">
        <v>37037729</v>
      </c>
      <c r="Y314" s="804">
        <v>36296974</v>
      </c>
      <c r="Z314" s="804">
        <v>0</v>
      </c>
      <c r="AA314" s="804">
        <v>740755</v>
      </c>
      <c r="AB314" s="804">
        <v>74075458</v>
      </c>
      <c r="AC314" s="804">
        <v>0</v>
      </c>
      <c r="AD314" s="804">
        <v>0</v>
      </c>
      <c r="AE314" s="804">
        <v>0</v>
      </c>
      <c r="AF314" s="804">
        <v>0</v>
      </c>
      <c r="AG314" s="804">
        <v>0</v>
      </c>
      <c r="AH314" s="804">
        <v>37037729</v>
      </c>
      <c r="AI314" s="804">
        <v>36296974</v>
      </c>
      <c r="AJ314" s="804">
        <v>0</v>
      </c>
      <c r="AK314" s="804">
        <v>740755</v>
      </c>
      <c r="AL314" s="804">
        <v>74075458</v>
      </c>
      <c r="AM314" s="804">
        <v>200867</v>
      </c>
      <c r="AN314" s="804">
        <v>200867</v>
      </c>
      <c r="AO314" s="804">
        <v>0</v>
      </c>
      <c r="AP314" s="804">
        <v>0</v>
      </c>
      <c r="AQ314" s="804">
        <v>12350</v>
      </c>
      <c r="AR314" s="804">
        <v>0</v>
      </c>
      <c r="AS314" s="804">
        <v>12350</v>
      </c>
      <c r="AT314" s="804">
        <v>0</v>
      </c>
      <c r="AU314" s="804">
        <v>0</v>
      </c>
      <c r="AV314" s="804">
        <v>0</v>
      </c>
      <c r="AW314" s="804">
        <v>0</v>
      </c>
      <c r="AX314" s="804">
        <v>0</v>
      </c>
      <c r="AY314" s="804">
        <v>0</v>
      </c>
      <c r="AZ314" s="804">
        <v>0</v>
      </c>
      <c r="BA314" s="804">
        <v>0</v>
      </c>
      <c r="BB314" s="804">
        <v>0</v>
      </c>
      <c r="BC314" s="804">
        <v>0</v>
      </c>
      <c r="BD314" s="804">
        <v>0</v>
      </c>
      <c r="BE314" s="804">
        <v>0</v>
      </c>
      <c r="BF314" s="804">
        <v>0</v>
      </c>
      <c r="BG314" s="804">
        <v>0</v>
      </c>
      <c r="BH314" s="804">
        <v>0</v>
      </c>
      <c r="BI314" s="804">
        <v>0</v>
      </c>
      <c r="BJ314" s="804">
        <v>0.25</v>
      </c>
      <c r="BK314" s="804">
        <v>0.74</v>
      </c>
      <c r="BL314" s="804">
        <v>0</v>
      </c>
      <c r="BM314" s="804">
        <v>0.01</v>
      </c>
      <c r="BN314" s="804">
        <v>1</v>
      </c>
      <c r="BO314" s="804">
        <v>-907463</v>
      </c>
      <c r="BP314" s="804">
        <v>-2686091</v>
      </c>
      <c r="BQ314" s="804">
        <v>0</v>
      </c>
      <c r="BR314" s="804">
        <v>-36299</v>
      </c>
      <c r="BS314" s="804">
        <v>-3629853</v>
      </c>
      <c r="BT314" s="804">
        <v>0</v>
      </c>
      <c r="BU314" s="804">
        <v>0.99</v>
      </c>
      <c r="BV314" s="804">
        <v>0</v>
      </c>
      <c r="BW314" s="804">
        <v>0.01</v>
      </c>
      <c r="BX314" s="804">
        <v>1</v>
      </c>
      <c r="BY314" s="804">
        <v>0.14000000059604645</v>
      </c>
      <c r="BZ314" s="804">
        <v>-5480732</v>
      </c>
      <c r="CA314" s="804">
        <v>0</v>
      </c>
      <c r="CB314" s="804">
        <v>-55361</v>
      </c>
      <c r="CC314" s="804">
        <v>-5536092.8599999994</v>
      </c>
      <c r="CD314" s="804">
        <v>-907463</v>
      </c>
      <c r="CE314" s="804">
        <v>-8166823</v>
      </c>
      <c r="CF314" s="804">
        <v>0</v>
      </c>
      <c r="CG314" s="804">
        <v>-91660</v>
      </c>
      <c r="CH314" s="804">
        <v>-9165945.8599999994</v>
      </c>
      <c r="CI314" s="804">
        <v>36130266</v>
      </c>
      <c r="CJ314" s="804">
        <v>28343368</v>
      </c>
      <c r="CK314" s="804">
        <v>0</v>
      </c>
      <c r="CL314" s="804">
        <v>649095</v>
      </c>
      <c r="CM314" s="804">
        <v>65122729</v>
      </c>
      <c r="CN314" s="804">
        <v>1455284</v>
      </c>
      <c r="CO314" s="804">
        <v>0</v>
      </c>
      <c r="CP314" s="804">
        <v>29690</v>
      </c>
      <c r="CQ314" s="804">
        <v>1484974</v>
      </c>
      <c r="CR314" s="804">
        <v>1295433</v>
      </c>
      <c r="CS314" s="804">
        <v>0</v>
      </c>
      <c r="CT314" s="804">
        <v>26437</v>
      </c>
      <c r="CU314" s="804">
        <v>1321870</v>
      </c>
      <c r="CV314" s="804">
        <v>140346</v>
      </c>
      <c r="CW314" s="804">
        <v>0</v>
      </c>
      <c r="CX314" s="804">
        <v>2864</v>
      </c>
      <c r="CY314" s="804">
        <v>143210</v>
      </c>
      <c r="CZ314" s="804">
        <v>3858</v>
      </c>
      <c r="DA314" s="804">
        <v>0</v>
      </c>
      <c r="DB314" s="804">
        <v>79</v>
      </c>
      <c r="DC314" s="804">
        <v>3937</v>
      </c>
      <c r="DD314" s="804">
        <v>1350</v>
      </c>
      <c r="DE314" s="804">
        <v>0</v>
      </c>
      <c r="DF314" s="804">
        <v>28</v>
      </c>
      <c r="DG314" s="804">
        <v>1378</v>
      </c>
      <c r="DH314" s="804">
        <v>19426</v>
      </c>
      <c r="DI314" s="804">
        <v>0</v>
      </c>
      <c r="DJ314" s="804">
        <v>396</v>
      </c>
      <c r="DK314" s="804">
        <v>19822</v>
      </c>
      <c r="DL314" s="804">
        <v>5606</v>
      </c>
      <c r="DM314" s="804">
        <v>0</v>
      </c>
      <c r="DN314" s="804">
        <v>114</v>
      </c>
      <c r="DO314" s="804">
        <v>5720</v>
      </c>
      <c r="DP314" s="804">
        <v>0</v>
      </c>
      <c r="DQ314" s="804">
        <v>0</v>
      </c>
      <c r="DR314" s="804">
        <v>0</v>
      </c>
      <c r="DS314" s="804">
        <v>0</v>
      </c>
      <c r="DT314" s="804">
        <v>0</v>
      </c>
      <c r="DU314" s="804">
        <v>0</v>
      </c>
      <c r="DV314" s="804">
        <v>0</v>
      </c>
      <c r="DW314" s="804">
        <v>0</v>
      </c>
      <c r="DX314" s="804">
        <v>367770</v>
      </c>
      <c r="DY314" s="804">
        <v>0</v>
      </c>
      <c r="DZ314" s="804">
        <v>7506</v>
      </c>
      <c r="EA314" s="804">
        <v>375276</v>
      </c>
      <c r="EB314" s="804">
        <v>3289073</v>
      </c>
      <c r="EC314" s="804">
        <v>0</v>
      </c>
      <c r="ED314" s="804">
        <v>67114</v>
      </c>
      <c r="EE314" s="804">
        <v>3356187</v>
      </c>
      <c r="EF314" s="604" t="s">
        <v>536</v>
      </c>
      <c r="EG314" s="806" t="s">
        <v>524</v>
      </c>
      <c r="EH314" s="807" t="s">
        <v>532</v>
      </c>
      <c r="EI314" s="118" t="s">
        <v>1965</v>
      </c>
    </row>
    <row r="315" spans="1:139" ht="12.75" x14ac:dyDescent="0.2">
      <c r="A315" s="805">
        <v>308</v>
      </c>
      <c r="B315" s="606" t="s">
        <v>503</v>
      </c>
      <c r="C315" s="607" t="s">
        <v>1192</v>
      </c>
      <c r="D315" s="608" t="s">
        <v>1195</v>
      </c>
      <c r="E315" s="609" t="s">
        <v>502</v>
      </c>
      <c r="F315" s="802">
        <v>74806964.632981285</v>
      </c>
      <c r="G315" s="804">
        <v>293619.11999999994</v>
      </c>
      <c r="H315" s="804">
        <v>0</v>
      </c>
      <c r="I315" s="804">
        <v>330903</v>
      </c>
      <c r="J315" s="804">
        <v>0</v>
      </c>
      <c r="K315" s="804">
        <v>330903</v>
      </c>
      <c r="L315" s="804">
        <v>0</v>
      </c>
      <c r="M315" s="804">
        <v>285429</v>
      </c>
      <c r="N315" s="804">
        <v>5115</v>
      </c>
      <c r="O315" s="804">
        <v>5115</v>
      </c>
      <c r="P315" s="804">
        <v>0</v>
      </c>
      <c r="Q315" s="804">
        <v>0</v>
      </c>
      <c r="R315" s="804">
        <v>74479137</v>
      </c>
      <c r="S315" s="804">
        <v>0</v>
      </c>
      <c r="T315" s="804">
        <v>0.99</v>
      </c>
      <c r="U315" s="804">
        <v>0</v>
      </c>
      <c r="V315" s="804">
        <v>0.01</v>
      </c>
      <c r="W315" s="804">
        <v>1</v>
      </c>
      <c r="X315" s="804">
        <v>0</v>
      </c>
      <c r="Y315" s="804">
        <v>73734346</v>
      </c>
      <c r="Z315" s="804">
        <v>0</v>
      </c>
      <c r="AA315" s="804">
        <v>744791</v>
      </c>
      <c r="AB315" s="804">
        <v>74479137</v>
      </c>
      <c r="AC315" s="804">
        <v>0</v>
      </c>
      <c r="AD315" s="804">
        <v>0</v>
      </c>
      <c r="AE315" s="804">
        <v>0</v>
      </c>
      <c r="AF315" s="804">
        <v>0</v>
      </c>
      <c r="AG315" s="804">
        <v>0</v>
      </c>
      <c r="AH315" s="804">
        <v>0</v>
      </c>
      <c r="AI315" s="804">
        <v>73734346</v>
      </c>
      <c r="AJ315" s="804">
        <v>0</v>
      </c>
      <c r="AK315" s="804">
        <v>744791</v>
      </c>
      <c r="AL315" s="804">
        <v>74479137</v>
      </c>
      <c r="AM315" s="804">
        <v>330903</v>
      </c>
      <c r="AN315" s="804">
        <v>330903</v>
      </c>
      <c r="AO315" s="804">
        <v>285429</v>
      </c>
      <c r="AP315" s="804">
        <v>285429</v>
      </c>
      <c r="AQ315" s="804">
        <v>5115</v>
      </c>
      <c r="AR315" s="804">
        <v>0</v>
      </c>
      <c r="AS315" s="804">
        <v>5115</v>
      </c>
      <c r="AT315" s="804">
        <v>0</v>
      </c>
      <c r="AU315" s="804">
        <v>0</v>
      </c>
      <c r="AV315" s="804">
        <v>0</v>
      </c>
      <c r="AW315" s="804">
        <v>0</v>
      </c>
      <c r="AX315" s="804">
        <v>0</v>
      </c>
      <c r="AY315" s="804">
        <v>0</v>
      </c>
      <c r="AZ315" s="804">
        <v>0</v>
      </c>
      <c r="BA315" s="804">
        <v>0</v>
      </c>
      <c r="BB315" s="804">
        <v>0</v>
      </c>
      <c r="BC315" s="804">
        <v>0</v>
      </c>
      <c r="BD315" s="804">
        <v>0</v>
      </c>
      <c r="BE315" s="804">
        <v>0</v>
      </c>
      <c r="BF315" s="804">
        <v>0</v>
      </c>
      <c r="BG315" s="804">
        <v>0</v>
      </c>
      <c r="BH315" s="804">
        <v>0</v>
      </c>
      <c r="BI315" s="804">
        <v>0</v>
      </c>
      <c r="BJ315" s="804">
        <v>0</v>
      </c>
      <c r="BK315" s="804">
        <v>0.99</v>
      </c>
      <c r="BL315" s="804">
        <v>0</v>
      </c>
      <c r="BM315" s="804">
        <v>0.01</v>
      </c>
      <c r="BN315" s="804">
        <v>1</v>
      </c>
      <c r="BO315" s="804">
        <v>0</v>
      </c>
      <c r="BP315" s="804">
        <v>-659293</v>
      </c>
      <c r="BQ315" s="804">
        <v>0</v>
      </c>
      <c r="BR315" s="804">
        <v>-6660</v>
      </c>
      <c r="BS315" s="804">
        <v>-665953</v>
      </c>
      <c r="BT315" s="804">
        <v>0</v>
      </c>
      <c r="BU315" s="804">
        <v>0.99</v>
      </c>
      <c r="BV315" s="804">
        <v>0</v>
      </c>
      <c r="BW315" s="804">
        <v>0.01</v>
      </c>
      <c r="BX315" s="804">
        <v>1</v>
      </c>
      <c r="BY315" s="804">
        <v>0</v>
      </c>
      <c r="BZ315" s="804">
        <v>538950</v>
      </c>
      <c r="CA315" s="804">
        <v>0</v>
      </c>
      <c r="CB315" s="804">
        <v>5444</v>
      </c>
      <c r="CC315" s="804">
        <v>544394</v>
      </c>
      <c r="CD315" s="804">
        <v>0</v>
      </c>
      <c r="CE315" s="804">
        <v>-120343</v>
      </c>
      <c r="CF315" s="804">
        <v>0</v>
      </c>
      <c r="CG315" s="804">
        <v>-1216</v>
      </c>
      <c r="CH315" s="804">
        <v>-121559</v>
      </c>
      <c r="CI315" s="804">
        <v>0</v>
      </c>
      <c r="CJ315" s="804">
        <v>74235450</v>
      </c>
      <c r="CK315" s="804">
        <v>0</v>
      </c>
      <c r="CL315" s="804">
        <v>743575</v>
      </c>
      <c r="CM315" s="804">
        <v>74979025</v>
      </c>
      <c r="CN315" s="804">
        <v>2966929</v>
      </c>
      <c r="CO315" s="804">
        <v>0</v>
      </c>
      <c r="CP315" s="804">
        <v>29851</v>
      </c>
      <c r="CQ315" s="804">
        <v>2996780</v>
      </c>
      <c r="CR315" s="804">
        <v>6805294</v>
      </c>
      <c r="CS315" s="804">
        <v>0</v>
      </c>
      <c r="CT315" s="804">
        <v>68740</v>
      </c>
      <c r="CU315" s="804">
        <v>6874034</v>
      </c>
      <c r="CV315" s="804">
        <v>363542</v>
      </c>
      <c r="CW315" s="804">
        <v>0</v>
      </c>
      <c r="CX315" s="804">
        <v>3672</v>
      </c>
      <c r="CY315" s="804">
        <v>367214</v>
      </c>
      <c r="CZ315" s="804">
        <v>22865</v>
      </c>
      <c r="DA315" s="804">
        <v>0</v>
      </c>
      <c r="DB315" s="804">
        <v>231</v>
      </c>
      <c r="DC315" s="804">
        <v>23096</v>
      </c>
      <c r="DD315" s="804">
        <v>0</v>
      </c>
      <c r="DE315" s="804">
        <v>0</v>
      </c>
      <c r="DF315" s="804">
        <v>0</v>
      </c>
      <c r="DG315" s="804">
        <v>0</v>
      </c>
      <c r="DH315" s="804">
        <v>40535</v>
      </c>
      <c r="DI315" s="804">
        <v>0</v>
      </c>
      <c r="DJ315" s="804">
        <v>409</v>
      </c>
      <c r="DK315" s="804">
        <v>40944</v>
      </c>
      <c r="DL315" s="804">
        <v>11534</v>
      </c>
      <c r="DM315" s="804">
        <v>0</v>
      </c>
      <c r="DN315" s="804">
        <v>117</v>
      </c>
      <c r="DO315" s="804">
        <v>11651</v>
      </c>
      <c r="DP315" s="804">
        <v>0</v>
      </c>
      <c r="DQ315" s="804">
        <v>0</v>
      </c>
      <c r="DR315" s="804">
        <v>0</v>
      </c>
      <c r="DS315" s="804">
        <v>0</v>
      </c>
      <c r="DT315" s="804">
        <v>0</v>
      </c>
      <c r="DU315" s="804">
        <v>0</v>
      </c>
      <c r="DV315" s="804">
        <v>0</v>
      </c>
      <c r="DW315" s="804">
        <v>0</v>
      </c>
      <c r="DX315" s="804">
        <v>1492330</v>
      </c>
      <c r="DY315" s="804">
        <v>0</v>
      </c>
      <c r="DZ315" s="804">
        <v>15074</v>
      </c>
      <c r="EA315" s="804">
        <v>1507404</v>
      </c>
      <c r="EB315" s="804">
        <v>11703029</v>
      </c>
      <c r="EC315" s="804">
        <v>0</v>
      </c>
      <c r="ED315" s="804">
        <v>118094</v>
      </c>
      <c r="EE315" s="804">
        <v>11821123</v>
      </c>
      <c r="EF315" s="604" t="s">
        <v>502</v>
      </c>
      <c r="EG315" s="808" t="s">
        <v>616</v>
      </c>
      <c r="EH315" s="807" t="s">
        <v>621</v>
      </c>
      <c r="EI315" s="118" t="s">
        <v>1966</v>
      </c>
    </row>
    <row r="316" spans="1:139" ht="12.75" x14ac:dyDescent="0.2">
      <c r="A316" s="805">
        <v>309</v>
      </c>
      <c r="B316" s="606" t="s">
        <v>505</v>
      </c>
      <c r="C316" s="607" t="s">
        <v>1185</v>
      </c>
      <c r="D316" s="608" t="s">
        <v>1195</v>
      </c>
      <c r="E316" s="609" t="s">
        <v>504</v>
      </c>
      <c r="F316" s="802">
        <v>40200786</v>
      </c>
      <c r="G316" s="804">
        <v>0</v>
      </c>
      <c r="H316" s="804">
        <v>48670</v>
      </c>
      <c r="I316" s="804">
        <v>130944</v>
      </c>
      <c r="J316" s="804">
        <v>0</v>
      </c>
      <c r="K316" s="804">
        <v>130944</v>
      </c>
      <c r="L316" s="804">
        <v>0</v>
      </c>
      <c r="M316" s="804">
        <v>0</v>
      </c>
      <c r="N316" s="804">
        <v>4506</v>
      </c>
      <c r="O316" s="804">
        <v>4506</v>
      </c>
      <c r="P316" s="804">
        <v>0</v>
      </c>
      <c r="Q316" s="804">
        <v>0</v>
      </c>
      <c r="R316" s="804">
        <v>40016666</v>
      </c>
      <c r="S316" s="804">
        <v>0.5</v>
      </c>
      <c r="T316" s="804">
        <v>0.4</v>
      </c>
      <c r="U316" s="804">
        <v>0.09</v>
      </c>
      <c r="V316" s="804">
        <v>0.01</v>
      </c>
      <c r="W316" s="804">
        <v>1</v>
      </c>
      <c r="X316" s="804">
        <v>20008333</v>
      </c>
      <c r="Y316" s="804">
        <v>16006666</v>
      </c>
      <c r="Z316" s="804">
        <v>3601500</v>
      </c>
      <c r="AA316" s="804">
        <v>400167</v>
      </c>
      <c r="AB316" s="804">
        <v>40016666</v>
      </c>
      <c r="AC316" s="804">
        <v>0</v>
      </c>
      <c r="AD316" s="804">
        <v>0</v>
      </c>
      <c r="AE316" s="804">
        <v>0</v>
      </c>
      <c r="AF316" s="804">
        <v>0</v>
      </c>
      <c r="AG316" s="804">
        <v>0</v>
      </c>
      <c r="AH316" s="804">
        <v>20008333</v>
      </c>
      <c r="AI316" s="804">
        <v>16006666</v>
      </c>
      <c r="AJ316" s="804">
        <v>3601500</v>
      </c>
      <c r="AK316" s="804">
        <v>400167</v>
      </c>
      <c r="AL316" s="804">
        <v>40016666</v>
      </c>
      <c r="AM316" s="804">
        <v>130944</v>
      </c>
      <c r="AN316" s="804">
        <v>130944</v>
      </c>
      <c r="AO316" s="804">
        <v>0</v>
      </c>
      <c r="AP316" s="804">
        <v>0</v>
      </c>
      <c r="AQ316" s="804">
        <v>4506</v>
      </c>
      <c r="AR316" s="804">
        <v>0</v>
      </c>
      <c r="AS316" s="804">
        <v>4506</v>
      </c>
      <c r="AT316" s="804">
        <v>0</v>
      </c>
      <c r="AU316" s="804">
        <v>0</v>
      </c>
      <c r="AV316" s="804">
        <v>0</v>
      </c>
      <c r="AW316" s="804">
        <v>0</v>
      </c>
      <c r="AX316" s="804">
        <v>0</v>
      </c>
      <c r="AY316" s="804">
        <v>0</v>
      </c>
      <c r="AZ316" s="804">
        <v>0</v>
      </c>
      <c r="BA316" s="804">
        <v>0</v>
      </c>
      <c r="BB316" s="804">
        <v>0</v>
      </c>
      <c r="BC316" s="804">
        <v>0</v>
      </c>
      <c r="BD316" s="804">
        <v>0</v>
      </c>
      <c r="BE316" s="804">
        <v>0</v>
      </c>
      <c r="BF316" s="804">
        <v>0</v>
      </c>
      <c r="BG316" s="804">
        <v>0</v>
      </c>
      <c r="BH316" s="804">
        <v>0</v>
      </c>
      <c r="BI316" s="804">
        <v>0</v>
      </c>
      <c r="BJ316" s="804">
        <v>0.25</v>
      </c>
      <c r="BK316" s="804">
        <v>0</v>
      </c>
      <c r="BL316" s="804">
        <v>0.74</v>
      </c>
      <c r="BM316" s="804">
        <v>0.01</v>
      </c>
      <c r="BN316" s="804">
        <v>1</v>
      </c>
      <c r="BO316" s="804">
        <v>610763</v>
      </c>
      <c r="BP316" s="804">
        <v>0</v>
      </c>
      <c r="BQ316" s="804">
        <v>1807859</v>
      </c>
      <c r="BR316" s="804">
        <v>24431</v>
      </c>
      <c r="BS316" s="804">
        <v>2443053</v>
      </c>
      <c r="BT316" s="804">
        <v>0.5</v>
      </c>
      <c r="BU316" s="804">
        <v>0.4</v>
      </c>
      <c r="BV316" s="804">
        <v>0.09</v>
      </c>
      <c r="BW316" s="804">
        <v>0.01</v>
      </c>
      <c r="BX316" s="804">
        <v>1</v>
      </c>
      <c r="BY316" s="804">
        <v>-50948.5</v>
      </c>
      <c r="BZ316" s="804">
        <v>-40759</v>
      </c>
      <c r="CA316" s="804">
        <v>-9171</v>
      </c>
      <c r="CB316" s="804">
        <v>-1019</v>
      </c>
      <c r="CC316" s="804">
        <v>-101897.5</v>
      </c>
      <c r="CD316" s="804">
        <v>559815</v>
      </c>
      <c r="CE316" s="804">
        <v>-40759</v>
      </c>
      <c r="CF316" s="804">
        <v>1798688</v>
      </c>
      <c r="CG316" s="804">
        <v>23412</v>
      </c>
      <c r="CH316" s="804">
        <v>2341155.5</v>
      </c>
      <c r="CI316" s="804">
        <v>20568148</v>
      </c>
      <c r="CJ316" s="804">
        <v>16101357</v>
      </c>
      <c r="CK316" s="804">
        <v>5400188</v>
      </c>
      <c r="CL316" s="804">
        <v>423579</v>
      </c>
      <c r="CM316" s="804">
        <v>42493272</v>
      </c>
      <c r="CN316" s="804">
        <v>641730</v>
      </c>
      <c r="CO316" s="804">
        <v>144349</v>
      </c>
      <c r="CP316" s="804">
        <v>16039</v>
      </c>
      <c r="CQ316" s="804">
        <v>802118</v>
      </c>
      <c r="CR316" s="804">
        <v>1008067</v>
      </c>
      <c r="CS316" s="804">
        <v>226815</v>
      </c>
      <c r="CT316" s="804">
        <v>25202</v>
      </c>
      <c r="CU316" s="804">
        <v>1260084</v>
      </c>
      <c r="CV316" s="804">
        <v>75335</v>
      </c>
      <c r="CW316" s="804">
        <v>16950</v>
      </c>
      <c r="CX316" s="804">
        <v>1883</v>
      </c>
      <c r="CY316" s="804">
        <v>94168</v>
      </c>
      <c r="CZ316" s="804">
        <v>0</v>
      </c>
      <c r="DA316" s="804">
        <v>0</v>
      </c>
      <c r="DB316" s="804">
        <v>0</v>
      </c>
      <c r="DC316" s="804">
        <v>0</v>
      </c>
      <c r="DD316" s="804">
        <v>0</v>
      </c>
      <c r="DE316" s="804">
        <v>0</v>
      </c>
      <c r="DF316" s="804">
        <v>0</v>
      </c>
      <c r="DG316" s="804">
        <v>0</v>
      </c>
      <c r="DH316" s="804">
        <v>4773</v>
      </c>
      <c r="DI316" s="804">
        <v>1074</v>
      </c>
      <c r="DJ316" s="804">
        <v>119</v>
      </c>
      <c r="DK316" s="804">
        <v>5966</v>
      </c>
      <c r="DL316" s="804">
        <v>2829</v>
      </c>
      <c r="DM316" s="804">
        <v>637</v>
      </c>
      <c r="DN316" s="804">
        <v>71</v>
      </c>
      <c r="DO316" s="804">
        <v>3537</v>
      </c>
      <c r="DP316" s="804">
        <v>0</v>
      </c>
      <c r="DQ316" s="804">
        <v>0</v>
      </c>
      <c r="DR316" s="804">
        <v>0</v>
      </c>
      <c r="DS316" s="804">
        <v>0</v>
      </c>
      <c r="DT316" s="804">
        <v>0</v>
      </c>
      <c r="DU316" s="804">
        <v>0</v>
      </c>
      <c r="DV316" s="804">
        <v>0</v>
      </c>
      <c r="DW316" s="804">
        <v>0</v>
      </c>
      <c r="DX316" s="804">
        <v>544238</v>
      </c>
      <c r="DY316" s="804">
        <v>122453</v>
      </c>
      <c r="DZ316" s="804">
        <v>13606</v>
      </c>
      <c r="EA316" s="804">
        <v>680297</v>
      </c>
      <c r="EB316" s="804">
        <v>2276972</v>
      </c>
      <c r="EC316" s="804">
        <v>512278</v>
      </c>
      <c r="ED316" s="804">
        <v>56920</v>
      </c>
      <c r="EE316" s="804">
        <v>2846170</v>
      </c>
      <c r="EF316" s="604" t="s">
        <v>504</v>
      </c>
      <c r="EG316" s="808" t="s">
        <v>578</v>
      </c>
      <c r="EH316" s="807" t="s">
        <v>577</v>
      </c>
      <c r="EI316" s="118" t="s">
        <v>1967</v>
      </c>
    </row>
    <row r="317" spans="1:139" ht="12.75" x14ac:dyDescent="0.2">
      <c r="A317" s="805">
        <v>310</v>
      </c>
      <c r="B317" s="610" t="s">
        <v>507</v>
      </c>
      <c r="C317" s="607" t="s">
        <v>1185</v>
      </c>
      <c r="D317" s="608" t="s">
        <v>1186</v>
      </c>
      <c r="E317" s="613" t="s">
        <v>506</v>
      </c>
      <c r="F317" s="802">
        <v>31255061</v>
      </c>
      <c r="G317" s="804">
        <v>72830</v>
      </c>
      <c r="H317" s="804">
        <v>0</v>
      </c>
      <c r="I317" s="804">
        <v>125135</v>
      </c>
      <c r="J317" s="804">
        <v>0</v>
      </c>
      <c r="K317" s="804">
        <v>125135</v>
      </c>
      <c r="L317" s="804">
        <v>0</v>
      </c>
      <c r="M317" s="804">
        <v>0</v>
      </c>
      <c r="N317" s="804">
        <v>0</v>
      </c>
      <c r="O317" s="804">
        <v>0</v>
      </c>
      <c r="P317" s="804">
        <v>0</v>
      </c>
      <c r="Q317" s="804">
        <v>0</v>
      </c>
      <c r="R317" s="804">
        <v>31202756</v>
      </c>
      <c r="S317" s="804">
        <v>0.5</v>
      </c>
      <c r="T317" s="804">
        <v>0.4</v>
      </c>
      <c r="U317" s="804">
        <v>0.1</v>
      </c>
      <c r="V317" s="804">
        <v>0</v>
      </c>
      <c r="W317" s="804">
        <v>1</v>
      </c>
      <c r="X317" s="804">
        <v>15601378</v>
      </c>
      <c r="Y317" s="804">
        <v>12481102</v>
      </c>
      <c r="Z317" s="804">
        <v>3120276</v>
      </c>
      <c r="AA317" s="804">
        <v>0</v>
      </c>
      <c r="AB317" s="804">
        <v>31202756</v>
      </c>
      <c r="AC317" s="804">
        <v>0</v>
      </c>
      <c r="AD317" s="804">
        <v>0</v>
      </c>
      <c r="AE317" s="804">
        <v>0</v>
      </c>
      <c r="AF317" s="804">
        <v>0</v>
      </c>
      <c r="AG317" s="804">
        <v>0</v>
      </c>
      <c r="AH317" s="804">
        <v>15601378</v>
      </c>
      <c r="AI317" s="804">
        <v>12481102</v>
      </c>
      <c r="AJ317" s="804">
        <v>3120276</v>
      </c>
      <c r="AK317" s="804">
        <v>0</v>
      </c>
      <c r="AL317" s="804">
        <v>31202756</v>
      </c>
      <c r="AM317" s="804">
        <v>125135</v>
      </c>
      <c r="AN317" s="804">
        <v>125135</v>
      </c>
      <c r="AO317" s="804">
        <v>0</v>
      </c>
      <c r="AP317" s="804">
        <v>0</v>
      </c>
      <c r="AQ317" s="804">
        <v>0</v>
      </c>
      <c r="AR317" s="804">
        <v>0</v>
      </c>
      <c r="AS317" s="804">
        <v>0</v>
      </c>
      <c r="AT317" s="804">
        <v>0</v>
      </c>
      <c r="AU317" s="804">
        <v>0</v>
      </c>
      <c r="AV317" s="804">
        <v>0</v>
      </c>
      <c r="AW317" s="804">
        <v>0</v>
      </c>
      <c r="AX317" s="804">
        <v>0</v>
      </c>
      <c r="AY317" s="804">
        <v>0</v>
      </c>
      <c r="AZ317" s="804">
        <v>0</v>
      </c>
      <c r="BA317" s="804">
        <v>0</v>
      </c>
      <c r="BB317" s="804">
        <v>0</v>
      </c>
      <c r="BC317" s="804">
        <v>0</v>
      </c>
      <c r="BD317" s="804">
        <v>0</v>
      </c>
      <c r="BE317" s="804">
        <v>0</v>
      </c>
      <c r="BF317" s="804">
        <v>0</v>
      </c>
      <c r="BG317" s="804">
        <v>0</v>
      </c>
      <c r="BH317" s="804">
        <v>0</v>
      </c>
      <c r="BI317" s="804">
        <v>0</v>
      </c>
      <c r="BJ317" s="804">
        <v>0.24999999999999994</v>
      </c>
      <c r="BK317" s="804">
        <v>0.2</v>
      </c>
      <c r="BL317" s="804">
        <v>0.55000000000000004</v>
      </c>
      <c r="BM317" s="804">
        <v>0</v>
      </c>
      <c r="BN317" s="804">
        <v>1</v>
      </c>
      <c r="BO317" s="804">
        <v>62282</v>
      </c>
      <c r="BP317" s="804">
        <v>49826</v>
      </c>
      <c r="BQ317" s="804">
        <v>137020</v>
      </c>
      <c r="BR317" s="804">
        <v>0</v>
      </c>
      <c r="BS317" s="804">
        <v>249128</v>
      </c>
      <c r="BT317" s="804">
        <v>0.5</v>
      </c>
      <c r="BU317" s="804">
        <v>0.4</v>
      </c>
      <c r="BV317" s="804">
        <v>0.1</v>
      </c>
      <c r="BW317" s="804">
        <v>0</v>
      </c>
      <c r="BX317" s="804">
        <v>1</v>
      </c>
      <c r="BY317" s="804">
        <v>-109672</v>
      </c>
      <c r="BZ317" s="804">
        <v>-87738</v>
      </c>
      <c r="CA317" s="804">
        <v>-21935</v>
      </c>
      <c r="CB317" s="804">
        <v>0</v>
      </c>
      <c r="CC317" s="804">
        <v>-219345</v>
      </c>
      <c r="CD317" s="804">
        <v>-47390</v>
      </c>
      <c r="CE317" s="804">
        <v>-37912</v>
      </c>
      <c r="CF317" s="804">
        <v>115085</v>
      </c>
      <c r="CG317" s="804">
        <v>0</v>
      </c>
      <c r="CH317" s="804">
        <v>29783</v>
      </c>
      <c r="CI317" s="804">
        <v>15553988</v>
      </c>
      <c r="CJ317" s="804">
        <v>12568325</v>
      </c>
      <c r="CK317" s="804">
        <v>3235361</v>
      </c>
      <c r="CL317" s="804">
        <v>0</v>
      </c>
      <c r="CM317" s="804">
        <v>31357674</v>
      </c>
      <c r="CN317" s="804">
        <v>500245</v>
      </c>
      <c r="CO317" s="804">
        <v>125061</v>
      </c>
      <c r="CP317" s="804">
        <v>0</v>
      </c>
      <c r="CQ317" s="804">
        <v>625306</v>
      </c>
      <c r="CR317" s="804">
        <v>1067274</v>
      </c>
      <c r="CS317" s="804">
        <v>266818</v>
      </c>
      <c r="CT317" s="804">
        <v>0</v>
      </c>
      <c r="CU317" s="804">
        <v>1334092</v>
      </c>
      <c r="CV317" s="804">
        <v>63101</v>
      </c>
      <c r="CW317" s="804">
        <v>15775</v>
      </c>
      <c r="CX317" s="804">
        <v>0</v>
      </c>
      <c r="CY317" s="804">
        <v>78876</v>
      </c>
      <c r="CZ317" s="804">
        <v>0</v>
      </c>
      <c r="DA317" s="804">
        <v>0</v>
      </c>
      <c r="DB317" s="804">
        <v>0</v>
      </c>
      <c r="DC317" s="804">
        <v>0</v>
      </c>
      <c r="DD317" s="804">
        <v>0</v>
      </c>
      <c r="DE317" s="804">
        <v>0</v>
      </c>
      <c r="DF317" s="804">
        <v>0</v>
      </c>
      <c r="DG317" s="804">
        <v>0</v>
      </c>
      <c r="DH317" s="804">
        <v>7655</v>
      </c>
      <c r="DI317" s="804">
        <v>1914</v>
      </c>
      <c r="DJ317" s="804">
        <v>0</v>
      </c>
      <c r="DK317" s="804">
        <v>9569</v>
      </c>
      <c r="DL317" s="804">
        <v>0</v>
      </c>
      <c r="DM317" s="804">
        <v>0</v>
      </c>
      <c r="DN317" s="804">
        <v>0</v>
      </c>
      <c r="DO317" s="804">
        <v>0</v>
      </c>
      <c r="DP317" s="804">
        <v>0</v>
      </c>
      <c r="DQ317" s="804">
        <v>0</v>
      </c>
      <c r="DR317" s="804">
        <v>0</v>
      </c>
      <c r="DS317" s="804">
        <v>0</v>
      </c>
      <c r="DT317" s="804">
        <v>0</v>
      </c>
      <c r="DU317" s="804">
        <v>0</v>
      </c>
      <c r="DV317" s="804">
        <v>0</v>
      </c>
      <c r="DW317" s="804">
        <v>0</v>
      </c>
      <c r="DX317" s="804">
        <v>381672</v>
      </c>
      <c r="DY317" s="804">
        <v>95418</v>
      </c>
      <c r="DZ317" s="804">
        <v>0</v>
      </c>
      <c r="EA317" s="804">
        <v>477090</v>
      </c>
      <c r="EB317" s="804">
        <v>2019947</v>
      </c>
      <c r="EC317" s="804">
        <v>504986</v>
      </c>
      <c r="ED317" s="804">
        <v>0</v>
      </c>
      <c r="EE317" s="804">
        <v>2524933</v>
      </c>
      <c r="EF317" s="604" t="s">
        <v>506</v>
      </c>
      <c r="EG317" s="808" t="s">
        <v>613</v>
      </c>
      <c r="EH317" s="807" t="s">
        <v>551</v>
      </c>
      <c r="EI317" s="118" t="s">
        <v>1968</v>
      </c>
    </row>
    <row r="318" spans="1:139" ht="12.75" x14ac:dyDescent="0.2">
      <c r="A318" s="805">
        <v>311</v>
      </c>
      <c r="B318" s="606" t="s">
        <v>509</v>
      </c>
      <c r="C318" s="607" t="s">
        <v>1185</v>
      </c>
      <c r="D318" s="608" t="s">
        <v>1195</v>
      </c>
      <c r="E318" s="609" t="s">
        <v>508</v>
      </c>
      <c r="F318" s="802">
        <v>43573890</v>
      </c>
      <c r="G318" s="804">
        <v>170065</v>
      </c>
      <c r="H318" s="804">
        <v>0</v>
      </c>
      <c r="I318" s="804">
        <v>186778</v>
      </c>
      <c r="J318" s="804">
        <v>0</v>
      </c>
      <c r="K318" s="804">
        <v>186778</v>
      </c>
      <c r="L318" s="804">
        <v>0</v>
      </c>
      <c r="M318" s="804">
        <v>0</v>
      </c>
      <c r="N318" s="804">
        <v>380305</v>
      </c>
      <c r="O318" s="804">
        <v>197988</v>
      </c>
      <c r="P318" s="804">
        <v>182317</v>
      </c>
      <c r="Q318" s="804">
        <v>0</v>
      </c>
      <c r="R318" s="804">
        <v>43176872</v>
      </c>
      <c r="S318" s="804">
        <v>0.5</v>
      </c>
      <c r="T318" s="804">
        <v>0.4</v>
      </c>
      <c r="U318" s="804">
        <v>0.09</v>
      </c>
      <c r="V318" s="804">
        <v>0.01</v>
      </c>
      <c r="W318" s="804">
        <v>1</v>
      </c>
      <c r="X318" s="804">
        <v>21588436</v>
      </c>
      <c r="Y318" s="804">
        <v>17270749</v>
      </c>
      <c r="Z318" s="804">
        <v>3885918</v>
      </c>
      <c r="AA318" s="804">
        <v>431769</v>
      </c>
      <c r="AB318" s="804">
        <v>43176872</v>
      </c>
      <c r="AC318" s="804">
        <v>0</v>
      </c>
      <c r="AD318" s="804">
        <v>0</v>
      </c>
      <c r="AE318" s="804">
        <v>0</v>
      </c>
      <c r="AF318" s="804">
        <v>0</v>
      </c>
      <c r="AG318" s="804">
        <v>0</v>
      </c>
      <c r="AH318" s="804">
        <v>21588436</v>
      </c>
      <c r="AI318" s="804">
        <v>17270749</v>
      </c>
      <c r="AJ318" s="804">
        <v>3885918</v>
      </c>
      <c r="AK318" s="804">
        <v>431769</v>
      </c>
      <c r="AL318" s="804">
        <v>43176872</v>
      </c>
      <c r="AM318" s="804">
        <v>186778</v>
      </c>
      <c r="AN318" s="804">
        <v>186778</v>
      </c>
      <c r="AO318" s="804">
        <v>0</v>
      </c>
      <c r="AP318" s="804">
        <v>0</v>
      </c>
      <c r="AQ318" s="804">
        <v>197988</v>
      </c>
      <c r="AR318" s="804">
        <v>182317</v>
      </c>
      <c r="AS318" s="804">
        <v>380305</v>
      </c>
      <c r="AT318" s="804">
        <v>0</v>
      </c>
      <c r="AU318" s="804">
        <v>0</v>
      </c>
      <c r="AV318" s="804">
        <v>0</v>
      </c>
      <c r="AW318" s="804">
        <v>0</v>
      </c>
      <c r="AX318" s="804">
        <v>0</v>
      </c>
      <c r="AY318" s="804">
        <v>0</v>
      </c>
      <c r="AZ318" s="804">
        <v>0</v>
      </c>
      <c r="BA318" s="804">
        <v>0</v>
      </c>
      <c r="BB318" s="804">
        <v>0</v>
      </c>
      <c r="BC318" s="804">
        <v>0</v>
      </c>
      <c r="BD318" s="804">
        <v>0</v>
      </c>
      <c r="BE318" s="804">
        <v>0</v>
      </c>
      <c r="BF318" s="804">
        <v>0</v>
      </c>
      <c r="BG318" s="804">
        <v>0</v>
      </c>
      <c r="BH318" s="804">
        <v>0</v>
      </c>
      <c r="BI318" s="804">
        <v>0</v>
      </c>
      <c r="BJ318" s="804">
        <v>0.25</v>
      </c>
      <c r="BK318" s="804">
        <v>0</v>
      </c>
      <c r="BL318" s="804">
        <v>0.74</v>
      </c>
      <c r="BM318" s="804">
        <v>0.01</v>
      </c>
      <c r="BN318" s="804">
        <v>1</v>
      </c>
      <c r="BO318" s="804">
        <v>997998</v>
      </c>
      <c r="BP318" s="804">
        <v>0</v>
      </c>
      <c r="BQ318" s="804">
        <v>2954076</v>
      </c>
      <c r="BR318" s="804">
        <v>39920</v>
      </c>
      <c r="BS318" s="804">
        <v>3991994</v>
      </c>
      <c r="BT318" s="804">
        <v>0.5</v>
      </c>
      <c r="BU318" s="804">
        <v>0.4</v>
      </c>
      <c r="BV318" s="804">
        <v>0.09</v>
      </c>
      <c r="BW318" s="804">
        <v>0.01</v>
      </c>
      <c r="BX318" s="804">
        <v>1</v>
      </c>
      <c r="BY318" s="804">
        <v>132314.47520799935</v>
      </c>
      <c r="BZ318" s="804">
        <v>105851</v>
      </c>
      <c r="CA318" s="804">
        <v>23817</v>
      </c>
      <c r="CB318" s="804">
        <v>2646</v>
      </c>
      <c r="CC318" s="804">
        <v>264628.47520799935</v>
      </c>
      <c r="CD318" s="804">
        <v>1130312</v>
      </c>
      <c r="CE318" s="804">
        <v>105851</v>
      </c>
      <c r="CF318" s="804">
        <v>2977893</v>
      </c>
      <c r="CG318" s="804">
        <v>42566</v>
      </c>
      <c r="CH318" s="804">
        <v>4256622.4752079993</v>
      </c>
      <c r="CI318" s="804">
        <v>22718748</v>
      </c>
      <c r="CJ318" s="804">
        <v>17761366</v>
      </c>
      <c r="CK318" s="804">
        <v>7046128</v>
      </c>
      <c r="CL318" s="804">
        <v>474335</v>
      </c>
      <c r="CM318" s="804">
        <v>48000577</v>
      </c>
      <c r="CN318" s="804">
        <v>700150</v>
      </c>
      <c r="CO318" s="804">
        <v>163056</v>
      </c>
      <c r="CP318" s="804">
        <v>17305</v>
      </c>
      <c r="CQ318" s="804">
        <v>880511</v>
      </c>
      <c r="CR318" s="804">
        <v>1615633</v>
      </c>
      <c r="CS318" s="804">
        <v>363517</v>
      </c>
      <c r="CT318" s="804">
        <v>40391</v>
      </c>
      <c r="CU318" s="804">
        <v>2019541</v>
      </c>
      <c r="CV318" s="804">
        <v>86068</v>
      </c>
      <c r="CW318" s="804">
        <v>19365</v>
      </c>
      <c r="CX318" s="804">
        <v>2152</v>
      </c>
      <c r="CY318" s="804">
        <v>107585</v>
      </c>
      <c r="CZ318" s="804">
        <v>0</v>
      </c>
      <c r="DA318" s="804">
        <v>0</v>
      </c>
      <c r="DB318" s="804">
        <v>0</v>
      </c>
      <c r="DC318" s="804">
        <v>0</v>
      </c>
      <c r="DD318" s="804">
        <v>20353</v>
      </c>
      <c r="DE318" s="804">
        <v>4580</v>
      </c>
      <c r="DF318" s="804">
        <v>509</v>
      </c>
      <c r="DG318" s="804">
        <v>25442</v>
      </c>
      <c r="DH318" s="804">
        <v>11935</v>
      </c>
      <c r="DI318" s="804">
        <v>2685</v>
      </c>
      <c r="DJ318" s="804">
        <v>298</v>
      </c>
      <c r="DK318" s="804">
        <v>14918</v>
      </c>
      <c r="DL318" s="804">
        <v>3502</v>
      </c>
      <c r="DM318" s="804">
        <v>788</v>
      </c>
      <c r="DN318" s="804">
        <v>88</v>
      </c>
      <c r="DO318" s="804">
        <v>4378</v>
      </c>
      <c r="DP318" s="804">
        <v>0</v>
      </c>
      <c r="DQ318" s="804">
        <v>0</v>
      </c>
      <c r="DR318" s="804">
        <v>0</v>
      </c>
      <c r="DS318" s="804">
        <v>0</v>
      </c>
      <c r="DT318" s="804">
        <v>0</v>
      </c>
      <c r="DU318" s="804">
        <v>0</v>
      </c>
      <c r="DV318" s="804">
        <v>0</v>
      </c>
      <c r="DW318" s="804">
        <v>0</v>
      </c>
      <c r="DX318" s="804">
        <v>480374</v>
      </c>
      <c r="DY318" s="804">
        <v>108084</v>
      </c>
      <c r="DZ318" s="804">
        <v>12009</v>
      </c>
      <c r="EA318" s="804">
        <v>600467</v>
      </c>
      <c r="EB318" s="804">
        <v>2918015</v>
      </c>
      <c r="EC318" s="804">
        <v>662075</v>
      </c>
      <c r="ED318" s="804">
        <v>72752</v>
      </c>
      <c r="EE318" s="804">
        <v>3652842</v>
      </c>
      <c r="EF318" s="604" t="s">
        <v>508</v>
      </c>
      <c r="EG318" s="808" t="s">
        <v>578</v>
      </c>
      <c r="EH318" s="807" t="s">
        <v>577</v>
      </c>
      <c r="EI318" s="118" t="s">
        <v>1969</v>
      </c>
    </row>
    <row r="319" spans="1:139" ht="12.75" x14ac:dyDescent="0.2">
      <c r="A319" s="805">
        <v>312</v>
      </c>
      <c r="B319" s="606" t="s">
        <v>513</v>
      </c>
      <c r="C319" s="607" t="s">
        <v>1185</v>
      </c>
      <c r="D319" s="608" t="s">
        <v>1187</v>
      </c>
      <c r="E319" s="609" t="s">
        <v>512</v>
      </c>
      <c r="F319" s="802">
        <v>25982907</v>
      </c>
      <c r="G319" s="804">
        <v>0</v>
      </c>
      <c r="H319" s="804">
        <v>874698</v>
      </c>
      <c r="I319" s="804">
        <v>147810</v>
      </c>
      <c r="J319" s="804">
        <v>0</v>
      </c>
      <c r="K319" s="804">
        <v>147810</v>
      </c>
      <c r="L319" s="804">
        <v>0</v>
      </c>
      <c r="M319" s="804">
        <v>46989</v>
      </c>
      <c r="N319" s="804">
        <v>0</v>
      </c>
      <c r="O319" s="804">
        <v>0</v>
      </c>
      <c r="P319" s="804">
        <v>0</v>
      </c>
      <c r="Q319" s="804">
        <v>0</v>
      </c>
      <c r="R319" s="804">
        <v>24913410</v>
      </c>
      <c r="S319" s="804">
        <v>0.5</v>
      </c>
      <c r="T319" s="804">
        <v>0.4</v>
      </c>
      <c r="U319" s="804">
        <v>0.09</v>
      </c>
      <c r="V319" s="804">
        <v>0.01</v>
      </c>
      <c r="W319" s="804">
        <v>1</v>
      </c>
      <c r="X319" s="804">
        <v>12456705</v>
      </c>
      <c r="Y319" s="804">
        <v>9965364</v>
      </c>
      <c r="Z319" s="804">
        <v>2242207</v>
      </c>
      <c r="AA319" s="804">
        <v>249134</v>
      </c>
      <c r="AB319" s="804">
        <v>24913410</v>
      </c>
      <c r="AC319" s="804">
        <v>0</v>
      </c>
      <c r="AD319" s="804">
        <v>0</v>
      </c>
      <c r="AE319" s="804">
        <v>0</v>
      </c>
      <c r="AF319" s="804">
        <v>0</v>
      </c>
      <c r="AG319" s="804">
        <v>0</v>
      </c>
      <c r="AH319" s="804">
        <v>12456705</v>
      </c>
      <c r="AI319" s="804">
        <v>9965364</v>
      </c>
      <c r="AJ319" s="804">
        <v>2242207</v>
      </c>
      <c r="AK319" s="804">
        <v>249134</v>
      </c>
      <c r="AL319" s="804">
        <v>24913410</v>
      </c>
      <c r="AM319" s="804">
        <v>147810</v>
      </c>
      <c r="AN319" s="804">
        <v>147810</v>
      </c>
      <c r="AO319" s="804">
        <v>46989</v>
      </c>
      <c r="AP319" s="804">
        <v>46989</v>
      </c>
      <c r="AQ319" s="804">
        <v>0</v>
      </c>
      <c r="AR319" s="804">
        <v>0</v>
      </c>
      <c r="AS319" s="804">
        <v>0</v>
      </c>
      <c r="AT319" s="804">
        <v>0</v>
      </c>
      <c r="AU319" s="804">
        <v>0</v>
      </c>
      <c r="AV319" s="804">
        <v>0</v>
      </c>
      <c r="AW319" s="804">
        <v>0</v>
      </c>
      <c r="AX319" s="804">
        <v>0</v>
      </c>
      <c r="AY319" s="804">
        <v>0</v>
      </c>
      <c r="AZ319" s="804">
        <v>0</v>
      </c>
      <c r="BA319" s="804">
        <v>0</v>
      </c>
      <c r="BB319" s="804">
        <v>0</v>
      </c>
      <c r="BC319" s="804">
        <v>0</v>
      </c>
      <c r="BD319" s="804">
        <v>0</v>
      </c>
      <c r="BE319" s="804">
        <v>0</v>
      </c>
      <c r="BF319" s="804">
        <v>0</v>
      </c>
      <c r="BG319" s="804">
        <v>0</v>
      </c>
      <c r="BH319" s="804">
        <v>0</v>
      </c>
      <c r="BI319" s="804">
        <v>0</v>
      </c>
      <c r="BJ319" s="804">
        <v>0.25</v>
      </c>
      <c r="BK319" s="804">
        <v>0.56000000000000005</v>
      </c>
      <c r="BL319" s="804">
        <v>0.17499999999999999</v>
      </c>
      <c r="BM319" s="804">
        <v>1.4999999999999999E-2</v>
      </c>
      <c r="BN319" s="804">
        <v>1</v>
      </c>
      <c r="BO319" s="804">
        <v>-73766.000000001863</v>
      </c>
      <c r="BP319" s="804">
        <v>-165236</v>
      </c>
      <c r="BQ319" s="804">
        <v>-51636</v>
      </c>
      <c r="BR319" s="804">
        <v>-4426</v>
      </c>
      <c r="BS319" s="804">
        <v>-295064.00000000186</v>
      </c>
      <c r="BT319" s="804">
        <v>0.5</v>
      </c>
      <c r="BU319" s="804">
        <v>0.4</v>
      </c>
      <c r="BV319" s="804">
        <v>0.09</v>
      </c>
      <c r="BW319" s="804">
        <v>0.01</v>
      </c>
      <c r="BX319" s="804">
        <v>1</v>
      </c>
      <c r="BY319" s="804">
        <v>-3299.5299999993294</v>
      </c>
      <c r="BZ319" s="804">
        <v>-2639</v>
      </c>
      <c r="CA319" s="804">
        <v>-594</v>
      </c>
      <c r="CB319" s="804">
        <v>-66</v>
      </c>
      <c r="CC319" s="804">
        <v>-6598.5299999993294</v>
      </c>
      <c r="CD319" s="804">
        <v>-77066</v>
      </c>
      <c r="CE319" s="804">
        <v>-167875</v>
      </c>
      <c r="CF319" s="804">
        <v>-52230</v>
      </c>
      <c r="CG319" s="804">
        <v>-4492</v>
      </c>
      <c r="CH319" s="804">
        <v>-301662.53000000119</v>
      </c>
      <c r="CI319" s="804">
        <v>12379639</v>
      </c>
      <c r="CJ319" s="804">
        <v>9992288</v>
      </c>
      <c r="CK319" s="804">
        <v>2189977</v>
      </c>
      <c r="CL319" s="804">
        <v>244642</v>
      </c>
      <c r="CM319" s="804">
        <v>24806546</v>
      </c>
      <c r="CN319" s="804">
        <v>401297</v>
      </c>
      <c r="CO319" s="804">
        <v>89868</v>
      </c>
      <c r="CP319" s="804">
        <v>9985</v>
      </c>
      <c r="CQ319" s="804">
        <v>501150</v>
      </c>
      <c r="CR319" s="804">
        <v>1493881</v>
      </c>
      <c r="CS319" s="804">
        <v>329088</v>
      </c>
      <c r="CT319" s="804">
        <v>36565</v>
      </c>
      <c r="CU319" s="804">
        <v>1859534</v>
      </c>
      <c r="CV319" s="804">
        <v>64889</v>
      </c>
      <c r="CW319" s="804">
        <v>14153</v>
      </c>
      <c r="CX319" s="804">
        <v>1573</v>
      </c>
      <c r="CY319" s="804">
        <v>80615</v>
      </c>
      <c r="CZ319" s="804">
        <v>11701</v>
      </c>
      <c r="DA319" s="804">
        <v>2201</v>
      </c>
      <c r="DB319" s="804">
        <v>245</v>
      </c>
      <c r="DC319" s="804">
        <v>14147</v>
      </c>
      <c r="DD319" s="804">
        <v>0</v>
      </c>
      <c r="DE319" s="804">
        <v>0</v>
      </c>
      <c r="DF319" s="804">
        <v>0</v>
      </c>
      <c r="DG319" s="804">
        <v>0</v>
      </c>
      <c r="DH319" s="804">
        <v>6794</v>
      </c>
      <c r="DI319" s="804">
        <v>1529</v>
      </c>
      <c r="DJ319" s="804">
        <v>170</v>
      </c>
      <c r="DK319" s="804">
        <v>8493</v>
      </c>
      <c r="DL319" s="804">
        <v>0</v>
      </c>
      <c r="DM319" s="804">
        <v>0</v>
      </c>
      <c r="DN319" s="804">
        <v>0</v>
      </c>
      <c r="DO319" s="804">
        <v>0</v>
      </c>
      <c r="DP319" s="804">
        <v>0</v>
      </c>
      <c r="DQ319" s="804">
        <v>0</v>
      </c>
      <c r="DR319" s="804">
        <v>0</v>
      </c>
      <c r="DS319" s="804">
        <v>0</v>
      </c>
      <c r="DT319" s="804">
        <v>0</v>
      </c>
      <c r="DU319" s="804">
        <v>0</v>
      </c>
      <c r="DV319" s="804">
        <v>0</v>
      </c>
      <c r="DW319" s="804">
        <v>0</v>
      </c>
      <c r="DX319" s="804">
        <v>356004</v>
      </c>
      <c r="DY319" s="804">
        <v>80101</v>
      </c>
      <c r="DZ319" s="804">
        <v>8900</v>
      </c>
      <c r="EA319" s="804">
        <v>445005</v>
      </c>
      <c r="EB319" s="804">
        <v>2334566</v>
      </c>
      <c r="EC319" s="804">
        <v>516940</v>
      </c>
      <c r="ED319" s="804">
        <v>57438</v>
      </c>
      <c r="EE319" s="804">
        <v>2908944</v>
      </c>
      <c r="EF319" s="604" t="s">
        <v>512</v>
      </c>
      <c r="EG319" s="809" t="s">
        <v>590</v>
      </c>
      <c r="EH319" s="810" t="s">
        <v>588</v>
      </c>
      <c r="EI319" s="118" t="s">
        <v>1970</v>
      </c>
    </row>
    <row r="320" spans="1:139" ht="12.75" x14ac:dyDescent="0.2">
      <c r="A320" s="805">
        <v>313</v>
      </c>
      <c r="B320" s="606" t="s">
        <v>515</v>
      </c>
      <c r="C320" s="607" t="s">
        <v>1185</v>
      </c>
      <c r="D320" s="608" t="s">
        <v>1195</v>
      </c>
      <c r="E320" s="609" t="s">
        <v>514</v>
      </c>
      <c r="F320" s="802">
        <v>27585346</v>
      </c>
      <c r="G320" s="804">
        <v>75072</v>
      </c>
      <c r="H320" s="804">
        <v>0</v>
      </c>
      <c r="I320" s="804">
        <v>131891</v>
      </c>
      <c r="J320" s="804">
        <v>0</v>
      </c>
      <c r="K320" s="804">
        <v>131891</v>
      </c>
      <c r="L320" s="804">
        <v>0</v>
      </c>
      <c r="M320" s="804">
        <v>0</v>
      </c>
      <c r="N320" s="804">
        <v>5239</v>
      </c>
      <c r="O320" s="804">
        <v>5239</v>
      </c>
      <c r="P320" s="804">
        <v>0</v>
      </c>
      <c r="Q320" s="804">
        <v>0</v>
      </c>
      <c r="R320" s="804">
        <v>27523288</v>
      </c>
      <c r="S320" s="804">
        <v>0.5</v>
      </c>
      <c r="T320" s="804">
        <v>0.4</v>
      </c>
      <c r="U320" s="804">
        <v>0.09</v>
      </c>
      <c r="V320" s="804">
        <v>0.01</v>
      </c>
      <c r="W320" s="804">
        <v>1</v>
      </c>
      <c r="X320" s="804">
        <v>13761644</v>
      </c>
      <c r="Y320" s="804">
        <v>11009315</v>
      </c>
      <c r="Z320" s="804">
        <v>2477096</v>
      </c>
      <c r="AA320" s="804">
        <v>275233</v>
      </c>
      <c r="AB320" s="804">
        <v>27523288</v>
      </c>
      <c r="AC320" s="804">
        <v>0</v>
      </c>
      <c r="AD320" s="804">
        <v>0</v>
      </c>
      <c r="AE320" s="804">
        <v>0</v>
      </c>
      <c r="AF320" s="804">
        <v>0</v>
      </c>
      <c r="AG320" s="804">
        <v>0</v>
      </c>
      <c r="AH320" s="804">
        <v>13761644</v>
      </c>
      <c r="AI320" s="804">
        <v>11009315</v>
      </c>
      <c r="AJ320" s="804">
        <v>2477096</v>
      </c>
      <c r="AK320" s="804">
        <v>275233</v>
      </c>
      <c r="AL320" s="804">
        <v>27523288</v>
      </c>
      <c r="AM320" s="804">
        <v>131891</v>
      </c>
      <c r="AN320" s="804">
        <v>131891</v>
      </c>
      <c r="AO320" s="804">
        <v>0</v>
      </c>
      <c r="AP320" s="804">
        <v>0</v>
      </c>
      <c r="AQ320" s="804">
        <v>5239</v>
      </c>
      <c r="AR320" s="804">
        <v>0</v>
      </c>
      <c r="AS320" s="804">
        <v>5239</v>
      </c>
      <c r="AT320" s="804">
        <v>0</v>
      </c>
      <c r="AU320" s="804">
        <v>0</v>
      </c>
      <c r="AV320" s="804">
        <v>0</v>
      </c>
      <c r="AW320" s="804">
        <v>0</v>
      </c>
      <c r="AX320" s="804">
        <v>0</v>
      </c>
      <c r="AY320" s="804">
        <v>0</v>
      </c>
      <c r="AZ320" s="804">
        <v>0</v>
      </c>
      <c r="BA320" s="804">
        <v>0</v>
      </c>
      <c r="BB320" s="804">
        <v>0</v>
      </c>
      <c r="BC320" s="804">
        <v>0</v>
      </c>
      <c r="BD320" s="804">
        <v>0</v>
      </c>
      <c r="BE320" s="804">
        <v>0</v>
      </c>
      <c r="BF320" s="804">
        <v>0</v>
      </c>
      <c r="BG320" s="804">
        <v>0</v>
      </c>
      <c r="BH320" s="804">
        <v>0</v>
      </c>
      <c r="BI320" s="804">
        <v>0</v>
      </c>
      <c r="BJ320" s="804">
        <v>0.25</v>
      </c>
      <c r="BK320" s="804">
        <v>0</v>
      </c>
      <c r="BL320" s="804">
        <v>0.74</v>
      </c>
      <c r="BM320" s="804">
        <v>0.01</v>
      </c>
      <c r="BN320" s="804">
        <v>1</v>
      </c>
      <c r="BO320" s="804">
        <v>465612</v>
      </c>
      <c r="BP320" s="804">
        <v>0</v>
      </c>
      <c r="BQ320" s="804">
        <v>1378210</v>
      </c>
      <c r="BR320" s="804">
        <v>18624</v>
      </c>
      <c r="BS320" s="804">
        <v>1862446</v>
      </c>
      <c r="BT320" s="804">
        <v>0.5</v>
      </c>
      <c r="BU320" s="804">
        <v>0.4</v>
      </c>
      <c r="BV320" s="804">
        <v>0.09</v>
      </c>
      <c r="BW320" s="804">
        <v>0.01</v>
      </c>
      <c r="BX320" s="804">
        <v>1</v>
      </c>
      <c r="BY320" s="804">
        <v>-293524.39999999851</v>
      </c>
      <c r="BZ320" s="804">
        <v>-234820</v>
      </c>
      <c r="CA320" s="804">
        <v>-52835</v>
      </c>
      <c r="CB320" s="804">
        <v>-5871</v>
      </c>
      <c r="CC320" s="804">
        <v>-587050.39999999851</v>
      </c>
      <c r="CD320" s="804">
        <v>172088</v>
      </c>
      <c r="CE320" s="804">
        <v>-234820</v>
      </c>
      <c r="CF320" s="804">
        <v>1325375</v>
      </c>
      <c r="CG320" s="804">
        <v>12753</v>
      </c>
      <c r="CH320" s="804">
        <v>1275395.6000000015</v>
      </c>
      <c r="CI320" s="804">
        <v>13933732</v>
      </c>
      <c r="CJ320" s="804">
        <v>10911625</v>
      </c>
      <c r="CK320" s="804">
        <v>3802471</v>
      </c>
      <c r="CL320" s="804">
        <v>287986</v>
      </c>
      <c r="CM320" s="804">
        <v>28935814</v>
      </c>
      <c r="CN320" s="804">
        <v>441465</v>
      </c>
      <c r="CO320" s="804">
        <v>99282</v>
      </c>
      <c r="CP320" s="804">
        <v>11031</v>
      </c>
      <c r="CQ320" s="804">
        <v>551778</v>
      </c>
      <c r="CR320" s="804">
        <v>1107806</v>
      </c>
      <c r="CS320" s="804">
        <v>249256</v>
      </c>
      <c r="CT320" s="804">
        <v>27695</v>
      </c>
      <c r="CU320" s="804">
        <v>1384757</v>
      </c>
      <c r="CV320" s="804">
        <v>63228</v>
      </c>
      <c r="CW320" s="804">
        <v>14226</v>
      </c>
      <c r="CX320" s="804">
        <v>1581</v>
      </c>
      <c r="CY320" s="804">
        <v>79035</v>
      </c>
      <c r="CZ320" s="804">
        <v>0</v>
      </c>
      <c r="DA320" s="804">
        <v>0</v>
      </c>
      <c r="DB320" s="804">
        <v>0</v>
      </c>
      <c r="DC320" s="804">
        <v>0</v>
      </c>
      <c r="DD320" s="804">
        <v>4516</v>
      </c>
      <c r="DE320" s="804">
        <v>1016</v>
      </c>
      <c r="DF320" s="804">
        <v>113</v>
      </c>
      <c r="DG320" s="804">
        <v>5645</v>
      </c>
      <c r="DH320" s="804">
        <v>7471</v>
      </c>
      <c r="DI320" s="804">
        <v>1681</v>
      </c>
      <c r="DJ320" s="804">
        <v>187</v>
      </c>
      <c r="DK320" s="804">
        <v>9339</v>
      </c>
      <c r="DL320" s="804">
        <v>1248</v>
      </c>
      <c r="DM320" s="804">
        <v>281</v>
      </c>
      <c r="DN320" s="804">
        <v>31</v>
      </c>
      <c r="DO320" s="804">
        <v>1560</v>
      </c>
      <c r="DP320" s="804">
        <v>0</v>
      </c>
      <c r="DQ320" s="804">
        <v>0</v>
      </c>
      <c r="DR320" s="804">
        <v>0</v>
      </c>
      <c r="DS320" s="804">
        <v>0</v>
      </c>
      <c r="DT320" s="804">
        <v>0</v>
      </c>
      <c r="DU320" s="804">
        <v>0</v>
      </c>
      <c r="DV320" s="804">
        <v>0</v>
      </c>
      <c r="DW320" s="804">
        <v>0</v>
      </c>
      <c r="DX320" s="804">
        <v>327673</v>
      </c>
      <c r="DY320" s="804">
        <v>73727</v>
      </c>
      <c r="DZ320" s="804">
        <v>8192</v>
      </c>
      <c r="EA320" s="804">
        <v>409592</v>
      </c>
      <c r="EB320" s="804">
        <v>1953407</v>
      </c>
      <c r="EC320" s="804">
        <v>439469</v>
      </c>
      <c r="ED320" s="804">
        <v>48830</v>
      </c>
      <c r="EE320" s="804">
        <v>2441706</v>
      </c>
      <c r="EF320" s="604" t="s">
        <v>514</v>
      </c>
      <c r="EG320" s="809" t="s">
        <v>578</v>
      </c>
      <c r="EH320" s="810" t="s">
        <v>577</v>
      </c>
      <c r="EI320" s="118" t="s">
        <v>1971</v>
      </c>
    </row>
    <row r="321" spans="1:139" ht="13.5" thickBot="1" x14ac:dyDescent="0.25">
      <c r="A321" s="805">
        <v>314</v>
      </c>
      <c r="B321" s="606" t="s">
        <v>517</v>
      </c>
      <c r="C321" s="607" t="s">
        <v>524</v>
      </c>
      <c r="D321" s="608" t="s">
        <v>1193</v>
      </c>
      <c r="E321" s="609" t="s">
        <v>597</v>
      </c>
      <c r="F321" s="802">
        <v>105467066</v>
      </c>
      <c r="G321" s="804">
        <v>0</v>
      </c>
      <c r="H321" s="804">
        <v>446453</v>
      </c>
      <c r="I321" s="804">
        <v>289846</v>
      </c>
      <c r="J321" s="804">
        <v>0</v>
      </c>
      <c r="K321" s="804">
        <v>289846</v>
      </c>
      <c r="L321" s="804">
        <v>0</v>
      </c>
      <c r="M321" s="804">
        <v>283343</v>
      </c>
      <c r="N321" s="804">
        <v>0</v>
      </c>
      <c r="O321" s="804">
        <v>0</v>
      </c>
      <c r="P321" s="804">
        <v>0</v>
      </c>
      <c r="Q321" s="804">
        <v>0</v>
      </c>
      <c r="R321" s="804">
        <v>104447424</v>
      </c>
      <c r="S321" s="804">
        <v>0.5</v>
      </c>
      <c r="T321" s="804">
        <v>0.49</v>
      </c>
      <c r="U321" s="804">
        <v>0</v>
      </c>
      <c r="V321" s="804">
        <v>0.01</v>
      </c>
      <c r="W321" s="804">
        <v>1</v>
      </c>
      <c r="X321" s="804">
        <v>52223712</v>
      </c>
      <c r="Y321" s="804">
        <v>51179238</v>
      </c>
      <c r="Z321" s="804">
        <v>0</v>
      </c>
      <c r="AA321" s="804">
        <v>1044474</v>
      </c>
      <c r="AB321" s="804">
        <v>104447424</v>
      </c>
      <c r="AC321" s="804">
        <v>0</v>
      </c>
      <c r="AD321" s="804">
        <v>0</v>
      </c>
      <c r="AE321" s="804">
        <v>0</v>
      </c>
      <c r="AF321" s="804">
        <v>0</v>
      </c>
      <c r="AG321" s="804">
        <v>0</v>
      </c>
      <c r="AH321" s="804">
        <v>52223712</v>
      </c>
      <c r="AI321" s="804">
        <v>51179238</v>
      </c>
      <c r="AJ321" s="804">
        <v>0</v>
      </c>
      <c r="AK321" s="804">
        <v>1044474</v>
      </c>
      <c r="AL321" s="804">
        <v>104447424</v>
      </c>
      <c r="AM321" s="804">
        <v>289846</v>
      </c>
      <c r="AN321" s="804">
        <v>289846</v>
      </c>
      <c r="AO321" s="804">
        <v>283343</v>
      </c>
      <c r="AP321" s="804">
        <v>283343</v>
      </c>
      <c r="AQ321" s="804">
        <v>0</v>
      </c>
      <c r="AR321" s="804">
        <v>0</v>
      </c>
      <c r="AS321" s="804">
        <v>0</v>
      </c>
      <c r="AT321" s="804">
        <v>0</v>
      </c>
      <c r="AU321" s="804">
        <v>0</v>
      </c>
      <c r="AV321" s="804">
        <v>0</v>
      </c>
      <c r="AW321" s="804">
        <v>0</v>
      </c>
      <c r="AX321" s="804">
        <v>0</v>
      </c>
      <c r="AY321" s="804">
        <v>0</v>
      </c>
      <c r="AZ321" s="804">
        <v>0</v>
      </c>
      <c r="BA321" s="804">
        <v>0</v>
      </c>
      <c r="BB321" s="804">
        <v>0</v>
      </c>
      <c r="BC321" s="804">
        <v>0</v>
      </c>
      <c r="BD321" s="804">
        <v>0</v>
      </c>
      <c r="BE321" s="804">
        <v>0</v>
      </c>
      <c r="BF321" s="804">
        <v>0</v>
      </c>
      <c r="BG321" s="804">
        <v>0</v>
      </c>
      <c r="BH321" s="804">
        <v>0</v>
      </c>
      <c r="BI321" s="804">
        <v>0</v>
      </c>
      <c r="BJ321" s="804">
        <v>0.25</v>
      </c>
      <c r="BK321" s="804">
        <v>0.74</v>
      </c>
      <c r="BL321" s="804">
        <v>0</v>
      </c>
      <c r="BM321" s="804">
        <v>0.01</v>
      </c>
      <c r="BN321" s="804">
        <v>1</v>
      </c>
      <c r="BO321" s="804">
        <v>545765</v>
      </c>
      <c r="BP321" s="804">
        <v>1615464</v>
      </c>
      <c r="BQ321" s="804">
        <v>0</v>
      </c>
      <c r="BR321" s="804">
        <v>21831</v>
      </c>
      <c r="BS321" s="804">
        <v>2183060</v>
      </c>
      <c r="BT321" s="804">
        <v>0</v>
      </c>
      <c r="BU321" s="804">
        <v>0.99</v>
      </c>
      <c r="BV321" s="804">
        <v>0</v>
      </c>
      <c r="BW321" s="804">
        <v>0.01</v>
      </c>
      <c r="BX321" s="804">
        <v>1</v>
      </c>
      <c r="BY321" s="804">
        <v>0</v>
      </c>
      <c r="BZ321" s="804">
        <v>-2070835</v>
      </c>
      <c r="CA321" s="804">
        <v>0</v>
      </c>
      <c r="CB321" s="804">
        <v>-20918</v>
      </c>
      <c r="CC321" s="804">
        <v>-2091753</v>
      </c>
      <c r="CD321" s="804">
        <v>545765</v>
      </c>
      <c r="CE321" s="804">
        <v>-455371</v>
      </c>
      <c r="CF321" s="804">
        <v>0</v>
      </c>
      <c r="CG321" s="804">
        <v>913</v>
      </c>
      <c r="CH321" s="804">
        <v>91307</v>
      </c>
      <c r="CI321" s="804">
        <v>52769477</v>
      </c>
      <c r="CJ321" s="804">
        <v>51297056</v>
      </c>
      <c r="CK321" s="804">
        <v>0</v>
      </c>
      <c r="CL321" s="804">
        <v>1045387</v>
      </c>
      <c r="CM321" s="804">
        <v>105111920</v>
      </c>
      <c r="CN321" s="804">
        <v>2062628</v>
      </c>
      <c r="CO321" s="804">
        <v>0</v>
      </c>
      <c r="CP321" s="804">
        <v>41863</v>
      </c>
      <c r="CQ321" s="804">
        <v>2104491</v>
      </c>
      <c r="CR321" s="804">
        <v>2366246</v>
      </c>
      <c r="CS321" s="804">
        <v>0</v>
      </c>
      <c r="CT321" s="804">
        <v>48191</v>
      </c>
      <c r="CU321" s="804">
        <v>2414437</v>
      </c>
      <c r="CV321" s="804">
        <v>191545</v>
      </c>
      <c r="CW321" s="804">
        <v>0</v>
      </c>
      <c r="CX321" s="804">
        <v>3863</v>
      </c>
      <c r="CY321" s="804">
        <v>195408</v>
      </c>
      <c r="CZ321" s="804">
        <v>25482</v>
      </c>
      <c r="DA321" s="804">
        <v>0</v>
      </c>
      <c r="DB321" s="804">
        <v>520</v>
      </c>
      <c r="DC321" s="804">
        <v>26002</v>
      </c>
      <c r="DD321" s="804">
        <v>2222</v>
      </c>
      <c r="DE321" s="804">
        <v>0</v>
      </c>
      <c r="DF321" s="804">
        <v>45</v>
      </c>
      <c r="DG321" s="804">
        <v>2267</v>
      </c>
      <c r="DH321" s="804">
        <v>19810</v>
      </c>
      <c r="DI321" s="804">
        <v>0</v>
      </c>
      <c r="DJ321" s="804">
        <v>404</v>
      </c>
      <c r="DK321" s="804">
        <v>20214</v>
      </c>
      <c r="DL321" s="804">
        <v>11473</v>
      </c>
      <c r="DM321" s="804">
        <v>0</v>
      </c>
      <c r="DN321" s="804">
        <v>234</v>
      </c>
      <c r="DO321" s="804">
        <v>11707</v>
      </c>
      <c r="DP321" s="804">
        <v>0</v>
      </c>
      <c r="DQ321" s="804">
        <v>0</v>
      </c>
      <c r="DR321" s="804">
        <v>0</v>
      </c>
      <c r="DS321" s="804">
        <v>0</v>
      </c>
      <c r="DT321" s="804">
        <v>0</v>
      </c>
      <c r="DU321" s="804">
        <v>0</v>
      </c>
      <c r="DV321" s="804">
        <v>0</v>
      </c>
      <c r="DW321" s="804">
        <v>0</v>
      </c>
      <c r="DX321" s="804">
        <v>1204410</v>
      </c>
      <c r="DY321" s="804">
        <v>0</v>
      </c>
      <c r="DZ321" s="804">
        <v>24510</v>
      </c>
      <c r="EA321" s="804">
        <v>1228920</v>
      </c>
      <c r="EB321" s="804">
        <v>5883816</v>
      </c>
      <c r="EC321" s="804">
        <v>0</v>
      </c>
      <c r="ED321" s="804">
        <v>119630</v>
      </c>
      <c r="EE321" s="804">
        <v>6003446</v>
      </c>
      <c r="EF321" s="604" t="s">
        <v>597</v>
      </c>
      <c r="EG321" s="809" t="s">
        <v>524</v>
      </c>
      <c r="EH321" s="810" t="s">
        <v>598</v>
      </c>
      <c r="EI321" s="118" t="s">
        <v>1972</v>
      </c>
    </row>
    <row r="322" spans="1:139" s="800" customFormat="1" thickBot="1" x14ac:dyDescent="0.25">
      <c r="A322" s="811">
        <v>315</v>
      </c>
      <c r="B322" s="765" t="s">
        <v>518</v>
      </c>
      <c r="C322" s="615"/>
      <c r="D322" s="766" t="s">
        <v>1189</v>
      </c>
      <c r="E322" s="616" t="s">
        <v>1979</v>
      </c>
      <c r="F322" s="812">
        <v>25922412451.324982</v>
      </c>
      <c r="G322" s="813">
        <v>78594814.280000001</v>
      </c>
      <c r="H322" s="813">
        <v>128239181.58</v>
      </c>
      <c r="I322" s="813">
        <v>83999998</v>
      </c>
      <c r="J322" s="813">
        <v>23719</v>
      </c>
      <c r="K322" s="813">
        <v>84023717</v>
      </c>
      <c r="L322" s="813">
        <v>12064000</v>
      </c>
      <c r="M322" s="813">
        <v>88279269.349999994</v>
      </c>
      <c r="N322" s="813">
        <v>72638098</v>
      </c>
      <c r="O322" s="813">
        <v>68738505</v>
      </c>
      <c r="P322" s="813">
        <v>3899592</v>
      </c>
      <c r="Q322" s="813">
        <v>26368</v>
      </c>
      <c r="R322" s="813">
        <v>25615736633</v>
      </c>
      <c r="S322" s="813"/>
      <c r="T322" s="813"/>
      <c r="U322" s="813"/>
      <c r="V322" s="813"/>
      <c r="W322" s="813"/>
      <c r="X322" s="813">
        <v>9755964105</v>
      </c>
      <c r="Y322" s="813">
        <v>11755458709</v>
      </c>
      <c r="Z322" s="813">
        <v>3969450371</v>
      </c>
      <c r="AA322" s="813">
        <v>134863448</v>
      </c>
      <c r="AB322" s="813">
        <v>25615736633</v>
      </c>
      <c r="AC322" s="813">
        <v>16643052</v>
      </c>
      <c r="AD322" s="813">
        <v>0</v>
      </c>
      <c r="AE322" s="813">
        <v>0</v>
      </c>
      <c r="AF322" s="813">
        <v>0</v>
      </c>
      <c r="AG322" s="813">
        <v>16643052</v>
      </c>
      <c r="AH322" s="813">
        <v>9739321053</v>
      </c>
      <c r="AI322" s="813">
        <v>11755458709</v>
      </c>
      <c r="AJ322" s="813">
        <v>3969450371</v>
      </c>
      <c r="AK322" s="813">
        <v>134863448</v>
      </c>
      <c r="AL322" s="813">
        <v>25599093581</v>
      </c>
      <c r="AM322" s="813">
        <v>84023717</v>
      </c>
      <c r="AN322" s="813">
        <v>84023717</v>
      </c>
      <c r="AO322" s="813">
        <v>88279269.349999994</v>
      </c>
      <c r="AP322" s="813">
        <v>88279269.349999994</v>
      </c>
      <c r="AQ322" s="813">
        <v>68738505</v>
      </c>
      <c r="AR322" s="813">
        <v>3899592</v>
      </c>
      <c r="AS322" s="813">
        <v>72638098</v>
      </c>
      <c r="AT322" s="813">
        <v>10547.2</v>
      </c>
      <c r="AU322" s="813">
        <v>15557.119999999999</v>
      </c>
      <c r="AV322" s="813">
        <v>263.68</v>
      </c>
      <c r="AW322" s="813">
        <v>26368</v>
      </c>
      <c r="AX322" s="813">
        <v>10803059</v>
      </c>
      <c r="AY322" s="813">
        <v>146250</v>
      </c>
      <c r="AZ322" s="813">
        <v>17202</v>
      </c>
      <c r="BA322" s="813">
        <v>10966511</v>
      </c>
      <c r="BB322" s="813">
        <v>12064000</v>
      </c>
      <c r="BC322" s="813">
        <v>12064000</v>
      </c>
      <c r="BD322" s="813">
        <v>4979351</v>
      </c>
      <c r="BE322" s="813">
        <v>0</v>
      </c>
      <c r="BF322" s="813">
        <v>0</v>
      </c>
      <c r="BG322" s="813">
        <v>4979351</v>
      </c>
      <c r="BH322" s="813">
        <v>697190</v>
      </c>
      <c r="BI322" s="813">
        <v>697190</v>
      </c>
      <c r="BJ322" s="813"/>
      <c r="BK322" s="813"/>
      <c r="BL322" s="813"/>
      <c r="BM322" s="813"/>
      <c r="BN322" s="813"/>
      <c r="BO322" s="813">
        <v>113923473.99999997</v>
      </c>
      <c r="BP322" s="813">
        <v>189995286</v>
      </c>
      <c r="BQ322" s="813">
        <v>83790872</v>
      </c>
      <c r="BR322" s="813">
        <v>1516074</v>
      </c>
      <c r="BS322" s="813">
        <v>389225706</v>
      </c>
      <c r="BT322" s="813"/>
      <c r="BU322" s="813"/>
      <c r="BV322" s="813"/>
      <c r="BW322" s="813"/>
      <c r="BX322" s="813"/>
      <c r="BY322" s="813">
        <v>-9226551.4356806781</v>
      </c>
      <c r="BZ322" s="813">
        <v>-10863509.390000001</v>
      </c>
      <c r="CA322" s="813">
        <v>-8903960</v>
      </c>
      <c r="CB322" s="813">
        <v>116861</v>
      </c>
      <c r="CC322" s="813">
        <v>-28877159.825680681</v>
      </c>
      <c r="CD322" s="813">
        <v>104696931</v>
      </c>
      <c r="CE322" s="813">
        <v>179131775.61000001</v>
      </c>
      <c r="CF322" s="813">
        <v>74886909</v>
      </c>
      <c r="CG322" s="813">
        <v>1632932</v>
      </c>
      <c r="CH322" s="813">
        <v>360348546.17431927</v>
      </c>
      <c r="CI322" s="813">
        <v>9844017984</v>
      </c>
      <c r="CJ322" s="813">
        <v>12204186123</v>
      </c>
      <c r="CK322" s="813">
        <v>4048398679</v>
      </c>
      <c r="CL322" s="813">
        <v>136513846</v>
      </c>
      <c r="CM322" s="813">
        <v>26233116638</v>
      </c>
      <c r="CN322" s="813">
        <v>478598420</v>
      </c>
      <c r="CO322" s="813">
        <v>159258997</v>
      </c>
      <c r="CP322" s="813">
        <v>5406047</v>
      </c>
      <c r="CQ322" s="813">
        <v>643263464</v>
      </c>
      <c r="CR322" s="813">
        <v>736010810</v>
      </c>
      <c r="CS322" s="813">
        <v>124864673</v>
      </c>
      <c r="CT322" s="813">
        <v>9917942</v>
      </c>
      <c r="CU322" s="813">
        <v>870793425</v>
      </c>
      <c r="CV322" s="813">
        <v>45664162</v>
      </c>
      <c r="CW322" s="813">
        <v>9060877</v>
      </c>
      <c r="CX322" s="813">
        <v>593144</v>
      </c>
      <c r="CY322" s="813">
        <v>55318183</v>
      </c>
      <c r="CZ322" s="813">
        <v>1735310</v>
      </c>
      <c r="DA322" s="813">
        <v>193201</v>
      </c>
      <c r="DB322" s="813">
        <v>26833</v>
      </c>
      <c r="DC322" s="813">
        <v>1955344</v>
      </c>
      <c r="DD322" s="813">
        <v>2053119</v>
      </c>
      <c r="DE322" s="813">
        <v>327353</v>
      </c>
      <c r="DF322" s="813">
        <v>28275</v>
      </c>
      <c r="DG322" s="813">
        <v>2408747</v>
      </c>
      <c r="DH322" s="813">
        <v>7155159</v>
      </c>
      <c r="DI322" s="813">
        <v>2304629</v>
      </c>
      <c r="DJ322" s="813">
        <v>82552</v>
      </c>
      <c r="DK322" s="813">
        <v>9542340</v>
      </c>
      <c r="DL322" s="813">
        <v>1998368</v>
      </c>
      <c r="DM322" s="813">
        <v>847269</v>
      </c>
      <c r="DN322" s="813">
        <v>19918</v>
      </c>
      <c r="DO322" s="813">
        <v>2865555</v>
      </c>
      <c r="DP322" s="813">
        <v>4610518.3000000007</v>
      </c>
      <c r="DQ322" s="813">
        <v>0</v>
      </c>
      <c r="DR322" s="813">
        <v>2106.7000000000003</v>
      </c>
      <c r="DS322" s="813">
        <v>4612625</v>
      </c>
      <c r="DT322" s="813">
        <v>139427</v>
      </c>
      <c r="DU322" s="813">
        <v>30104</v>
      </c>
      <c r="DV322" s="813">
        <v>1747</v>
      </c>
      <c r="DW322" s="813">
        <v>171278</v>
      </c>
      <c r="DX322" s="813">
        <v>241178190</v>
      </c>
      <c r="DY322" s="813">
        <v>68696916</v>
      </c>
      <c r="DZ322" s="813">
        <v>2890577</v>
      </c>
      <c r="EA322" s="813">
        <v>312765683</v>
      </c>
      <c r="EB322" s="813">
        <v>1519143483.3</v>
      </c>
      <c r="EC322" s="813">
        <v>365584019</v>
      </c>
      <c r="ED322" s="813">
        <v>18969141.699999999</v>
      </c>
      <c r="EE322" s="813">
        <v>1903696644</v>
      </c>
      <c r="EF322" s="632" t="s">
        <v>1658</v>
      </c>
      <c r="EG322" s="814" t="s">
        <v>1659</v>
      </c>
      <c r="EH322" s="815" t="s">
        <v>522</v>
      </c>
    </row>
    <row r="323" spans="1:139" x14ac:dyDescent="0.2">
      <c r="D323" s="817"/>
      <c r="E323" s="619"/>
      <c r="EF323" s="620"/>
    </row>
    <row r="324" spans="1:139" x14ac:dyDescent="0.2">
      <c r="A324" s="830" t="s">
        <v>1991</v>
      </c>
      <c r="D324" s="817"/>
      <c r="E324" s="619"/>
      <c r="EF324" s="620"/>
    </row>
    <row r="325" spans="1:139" x14ac:dyDescent="0.2">
      <c r="EF325" s="324"/>
    </row>
  </sheetData>
  <mergeCells count="32">
    <mergeCell ref="F1:R1"/>
    <mergeCell ref="S1:CM1"/>
    <mergeCell ref="CN1:EE1"/>
    <mergeCell ref="S2:W2"/>
    <mergeCell ref="X2:AB2"/>
    <mergeCell ref="AC2:AG2"/>
    <mergeCell ref="AH2:AL2"/>
    <mergeCell ref="AM2:AN2"/>
    <mergeCell ref="AO2:AP2"/>
    <mergeCell ref="AQ2:AS2"/>
    <mergeCell ref="EB2:EE2"/>
    <mergeCell ref="AT2:AW2"/>
    <mergeCell ref="BT2:BX2"/>
    <mergeCell ref="BO2:BS2"/>
    <mergeCell ref="CZ2:DC2"/>
    <mergeCell ref="DD2:DG2"/>
    <mergeCell ref="CV2:CY2"/>
    <mergeCell ref="CI2:CM2"/>
    <mergeCell ref="CN2:CQ2"/>
    <mergeCell ref="CR2:CU2"/>
    <mergeCell ref="BJ2:BN2"/>
    <mergeCell ref="CD2:CH2"/>
    <mergeCell ref="AX2:BA2"/>
    <mergeCell ref="BB2:BC2"/>
    <mergeCell ref="BD2:BG2"/>
    <mergeCell ref="BH2:BI2"/>
    <mergeCell ref="BY2:CC2"/>
    <mergeCell ref="DT2:DW2"/>
    <mergeCell ref="DX2:EA2"/>
    <mergeCell ref="DH2:DK2"/>
    <mergeCell ref="DL2:DO2"/>
    <mergeCell ref="DP2:DS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W327"/>
  <sheetViews>
    <sheetView workbookViewId="0"/>
  </sheetViews>
  <sheetFormatPr defaultRowHeight="15" x14ac:dyDescent="0.2"/>
  <cols>
    <col min="1" max="1" width="7.85546875" style="617" customWidth="1"/>
    <col min="2" max="2" width="8.42578125" style="9" customWidth="1"/>
    <col min="3" max="3" width="6.7109375" style="9" customWidth="1"/>
    <col min="4" max="4" width="8.140625" style="9" customWidth="1"/>
    <col min="5" max="5" width="32.28515625" style="9" customWidth="1"/>
    <col min="7" max="7" width="10.42578125" customWidth="1"/>
    <col min="9" max="9" width="9.85546875" customWidth="1"/>
    <col min="117" max="118" width="11.140625" customWidth="1"/>
    <col min="125" max="125" width="10.140625" customWidth="1"/>
    <col min="126" max="126" width="9.85546875" customWidth="1"/>
    <col min="127" max="127" width="11.42578125" customWidth="1"/>
  </cols>
  <sheetData>
    <row r="1" spans="1:127" ht="13.5" thickBot="1" x14ac:dyDescent="0.25">
      <c r="A1" s="769"/>
      <c r="B1" s="770"/>
      <c r="C1" s="771"/>
      <c r="D1" s="772"/>
      <c r="E1" s="773"/>
      <c r="F1" s="827"/>
      <c r="G1" s="1063"/>
      <c r="H1" s="1063"/>
      <c r="I1" s="1063"/>
      <c r="J1" s="625"/>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662"/>
      <c r="BD1" s="662"/>
      <c r="BE1" s="662"/>
      <c r="BF1" s="1063"/>
      <c r="BG1" s="1063"/>
      <c r="BH1" s="1063"/>
      <c r="BI1" s="1063"/>
      <c r="BJ1" s="1063"/>
      <c r="BK1" s="1063"/>
      <c r="BL1" s="1063"/>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3"/>
      <c r="CI1" s="1063"/>
      <c r="CJ1" s="1063"/>
      <c r="CK1" s="1063"/>
      <c r="CL1" s="1063"/>
      <c r="CM1" s="1063"/>
      <c r="CN1" s="1063"/>
      <c r="CO1" s="1063"/>
      <c r="CP1" s="1063"/>
      <c r="CQ1" s="1063"/>
      <c r="CR1" s="625"/>
      <c r="CS1" s="625"/>
      <c r="CT1" s="1063"/>
      <c r="CU1" s="1063"/>
      <c r="CV1" s="1063"/>
      <c r="CW1" s="1063"/>
      <c r="CX1" s="1063"/>
      <c r="CY1" s="1063"/>
      <c r="CZ1" s="1063"/>
      <c r="DA1" s="1063"/>
      <c r="DB1" s="1063"/>
      <c r="DC1" s="1063"/>
      <c r="DD1" s="1063"/>
      <c r="DE1" s="1063"/>
      <c r="DF1" s="1063"/>
      <c r="DG1" s="1063"/>
      <c r="DH1" s="1063"/>
      <c r="DI1" s="1063"/>
      <c r="DJ1" s="625"/>
      <c r="DK1" s="625"/>
      <c r="DL1" s="625"/>
      <c r="DM1" s="1063"/>
      <c r="DN1" s="1063"/>
      <c r="DO1" s="1063"/>
      <c r="DP1" s="1063"/>
      <c r="DQ1" s="1063"/>
      <c r="DR1" s="1063"/>
      <c r="DS1" s="1063"/>
      <c r="DT1" s="1061"/>
      <c r="DU1" s="1061"/>
      <c r="DV1" s="1061"/>
    </row>
    <row r="2" spans="1:127" ht="51.75" thickBot="1" x14ac:dyDescent="0.25">
      <c r="A2" s="788"/>
      <c r="B2" s="789"/>
      <c r="C2" s="790"/>
      <c r="D2" s="791"/>
      <c r="E2" s="791"/>
      <c r="F2" s="634" t="s">
        <v>1210</v>
      </c>
      <c r="G2" s="1058" t="s">
        <v>1211</v>
      </c>
      <c r="H2" s="1058"/>
      <c r="I2" s="1058"/>
      <c r="J2" s="574" t="s">
        <v>1212</v>
      </c>
      <c r="K2" s="1046" t="s">
        <v>1627</v>
      </c>
      <c r="L2" s="1058"/>
      <c r="M2" s="1058" t="s">
        <v>1213</v>
      </c>
      <c r="N2" s="1058"/>
      <c r="O2" s="1058" t="s">
        <v>1585</v>
      </c>
      <c r="P2" s="1058"/>
      <c r="Q2" s="1058"/>
      <c r="R2" s="1058" t="s">
        <v>1214</v>
      </c>
      <c r="S2" s="1058"/>
      <c r="T2" s="1058"/>
      <c r="U2" s="1058" t="s">
        <v>1215</v>
      </c>
      <c r="V2" s="1058"/>
      <c r="W2" s="1058"/>
      <c r="X2" s="1062" t="s">
        <v>1216</v>
      </c>
      <c r="Y2" s="1058"/>
      <c r="Z2" s="1058" t="s">
        <v>1217</v>
      </c>
      <c r="AA2" s="1058"/>
      <c r="AB2" s="1058" t="s">
        <v>666</v>
      </c>
      <c r="AC2" s="1058"/>
      <c r="AD2" s="1058"/>
      <c r="AE2" s="1058" t="s">
        <v>1218</v>
      </c>
      <c r="AF2" s="1058"/>
      <c r="AG2" s="1060"/>
      <c r="AH2" s="1046" t="s">
        <v>1628</v>
      </c>
      <c r="AI2" s="1058"/>
      <c r="AJ2" s="1058"/>
      <c r="AK2" s="1058" t="s">
        <v>1219</v>
      </c>
      <c r="AL2" s="1058"/>
      <c r="AM2" s="1058"/>
      <c r="AN2" s="1058" t="s">
        <v>1220</v>
      </c>
      <c r="AO2" s="1058"/>
      <c r="AP2" s="1058"/>
      <c r="AQ2" s="1058" t="s">
        <v>1221</v>
      </c>
      <c r="AR2" s="1058"/>
      <c r="AS2" s="1058"/>
      <c r="AT2" s="1046" t="s">
        <v>1629</v>
      </c>
      <c r="AU2" s="1058"/>
      <c r="AV2" s="1058"/>
      <c r="AW2" s="1046" t="s">
        <v>1630</v>
      </c>
      <c r="AX2" s="1058"/>
      <c r="AY2" s="1058"/>
      <c r="AZ2" s="1046" t="s">
        <v>1631</v>
      </c>
      <c r="BA2" s="1058"/>
      <c r="BB2" s="1058"/>
      <c r="BC2" s="1046" t="s">
        <v>1632</v>
      </c>
      <c r="BD2" s="1058"/>
      <c r="BE2" s="1058"/>
      <c r="BF2" s="1046" t="s">
        <v>1633</v>
      </c>
      <c r="BG2" s="1058"/>
      <c r="BH2" s="1058" t="s">
        <v>1549</v>
      </c>
      <c r="BI2" s="1058"/>
      <c r="BJ2" s="1046" t="s">
        <v>1634</v>
      </c>
      <c r="BK2" s="1058"/>
      <c r="BL2" s="1058"/>
      <c r="BM2" s="1046" t="s">
        <v>1635</v>
      </c>
      <c r="BN2" s="1058"/>
      <c r="BO2" s="1058"/>
      <c r="BP2" s="1046" t="s">
        <v>1636</v>
      </c>
      <c r="BQ2" s="1058"/>
      <c r="BR2" s="1058"/>
      <c r="BS2" s="1046" t="s">
        <v>1637</v>
      </c>
      <c r="BT2" s="1058"/>
      <c r="BU2" s="1058" t="s">
        <v>1550</v>
      </c>
      <c r="BV2" s="1058"/>
      <c r="BW2" s="1046" t="s">
        <v>1638</v>
      </c>
      <c r="BX2" s="1058"/>
      <c r="BY2" s="1058"/>
      <c r="BZ2" s="1059" t="s">
        <v>1639</v>
      </c>
      <c r="CA2" s="1058"/>
      <c r="CB2" s="1058"/>
      <c r="CC2" s="1046" t="s">
        <v>1640</v>
      </c>
      <c r="CD2" s="1058"/>
      <c r="CE2" s="1058"/>
      <c r="CF2" s="1046" t="s">
        <v>1641</v>
      </c>
      <c r="CG2" s="1058"/>
      <c r="CH2" s="1058"/>
      <c r="CI2" s="1046" t="s">
        <v>1642</v>
      </c>
      <c r="CJ2" s="1058"/>
      <c r="CK2" s="1058"/>
      <c r="CL2" s="1046" t="s">
        <v>1643</v>
      </c>
      <c r="CM2" s="1058"/>
      <c r="CN2" s="1058"/>
      <c r="CO2" s="1046" t="s">
        <v>1644</v>
      </c>
      <c r="CP2" s="1058"/>
      <c r="CQ2" s="1058"/>
      <c r="CR2" s="574" t="s">
        <v>1551</v>
      </c>
      <c r="CS2" s="574" t="s">
        <v>1552</v>
      </c>
      <c r="CT2" s="1046" t="s">
        <v>1645</v>
      </c>
      <c r="CU2" s="1058"/>
      <c r="CV2" s="1058" t="s">
        <v>1553</v>
      </c>
      <c r="CW2" s="1058"/>
      <c r="CX2" s="1046" t="s">
        <v>1646</v>
      </c>
      <c r="CY2" s="1058"/>
      <c r="CZ2" s="1058"/>
      <c r="DA2" s="1059" t="s">
        <v>1647</v>
      </c>
      <c r="DB2" s="1058"/>
      <c r="DC2" s="1058"/>
      <c r="DD2" s="1046" t="s">
        <v>1648</v>
      </c>
      <c r="DE2" s="1058"/>
      <c r="DF2" s="1058"/>
      <c r="DG2" s="1046" t="s">
        <v>1649</v>
      </c>
      <c r="DH2" s="1058"/>
      <c r="DI2" s="1058"/>
      <c r="DJ2" s="1046" t="s">
        <v>1650</v>
      </c>
      <c r="DK2" s="1058"/>
      <c r="DL2" s="1058"/>
      <c r="DM2" s="1046" t="s">
        <v>1651</v>
      </c>
      <c r="DN2" s="1058"/>
      <c r="DO2" s="1046" t="s">
        <v>1554</v>
      </c>
      <c r="DP2" s="1058"/>
      <c r="DQ2" s="1046" t="s">
        <v>1652</v>
      </c>
      <c r="DR2" s="1058"/>
      <c r="DS2" s="1058"/>
      <c r="DT2" s="1059" t="s">
        <v>1222</v>
      </c>
      <c r="DU2" s="1058"/>
      <c r="DV2" s="1060"/>
      <c r="DW2" t="s">
        <v>1472</v>
      </c>
    </row>
    <row r="3" spans="1:127" ht="12.75" x14ac:dyDescent="0.2">
      <c r="A3" s="575">
        <v>1</v>
      </c>
      <c r="B3" s="576">
        <v>2</v>
      </c>
      <c r="C3" s="576">
        <v>3</v>
      </c>
      <c r="D3" s="577">
        <v>4</v>
      </c>
      <c r="E3" s="576">
        <v>5</v>
      </c>
      <c r="F3" s="633">
        <v>6</v>
      </c>
      <c r="G3" s="576">
        <v>7</v>
      </c>
      <c r="H3" s="576">
        <v>8</v>
      </c>
      <c r="I3" s="576">
        <v>9</v>
      </c>
      <c r="J3" s="576">
        <v>10</v>
      </c>
      <c r="K3" s="576">
        <v>11</v>
      </c>
      <c r="L3" s="576">
        <v>12</v>
      </c>
      <c r="M3" s="576">
        <v>13</v>
      </c>
      <c r="N3" s="576">
        <v>14</v>
      </c>
      <c r="O3" s="576">
        <v>15</v>
      </c>
      <c r="P3" s="576">
        <v>16</v>
      </c>
      <c r="Q3" s="576">
        <v>17</v>
      </c>
      <c r="R3" s="576">
        <v>18</v>
      </c>
      <c r="S3" s="576">
        <v>19</v>
      </c>
      <c r="T3" s="576">
        <v>20</v>
      </c>
      <c r="U3" s="576">
        <v>21</v>
      </c>
      <c r="V3" s="576">
        <v>22</v>
      </c>
      <c r="W3" s="576">
        <v>23</v>
      </c>
      <c r="X3" s="633">
        <v>24</v>
      </c>
      <c r="Y3" s="576">
        <v>25</v>
      </c>
      <c r="Z3" s="576">
        <v>26</v>
      </c>
      <c r="AA3" s="576">
        <v>27</v>
      </c>
      <c r="AB3" s="576">
        <v>28</v>
      </c>
      <c r="AC3" s="576">
        <v>29</v>
      </c>
      <c r="AD3" s="576">
        <v>30</v>
      </c>
      <c r="AE3" s="576">
        <v>31</v>
      </c>
      <c r="AF3" s="576">
        <v>32</v>
      </c>
      <c r="AG3" s="577">
        <v>33</v>
      </c>
      <c r="AH3" s="576">
        <v>34</v>
      </c>
      <c r="AI3" s="576">
        <v>35</v>
      </c>
      <c r="AJ3" s="576">
        <v>36</v>
      </c>
      <c r="AK3" s="576">
        <v>37</v>
      </c>
      <c r="AL3" s="576">
        <v>38</v>
      </c>
      <c r="AM3" s="576">
        <v>39</v>
      </c>
      <c r="AN3" s="576">
        <v>40</v>
      </c>
      <c r="AO3" s="576">
        <v>41</v>
      </c>
      <c r="AP3" s="576">
        <v>42</v>
      </c>
      <c r="AQ3" s="576">
        <v>43</v>
      </c>
      <c r="AR3" s="576">
        <v>44</v>
      </c>
      <c r="AS3" s="576">
        <v>45</v>
      </c>
      <c r="AT3" s="576">
        <v>46</v>
      </c>
      <c r="AU3" s="576">
        <v>47</v>
      </c>
      <c r="AV3" s="576">
        <v>48</v>
      </c>
      <c r="AW3" s="576">
        <v>49</v>
      </c>
      <c r="AX3" s="576">
        <v>50</v>
      </c>
      <c r="AY3" s="576">
        <v>51</v>
      </c>
      <c r="AZ3" s="576">
        <v>52</v>
      </c>
      <c r="BA3" s="576">
        <v>53</v>
      </c>
      <c r="BB3" s="576">
        <v>54</v>
      </c>
      <c r="BC3" s="576">
        <v>55</v>
      </c>
      <c r="BD3" s="576">
        <v>56</v>
      </c>
      <c r="BE3" s="576">
        <v>57</v>
      </c>
      <c r="BF3" s="576">
        <v>58</v>
      </c>
      <c r="BG3" s="576">
        <v>59</v>
      </c>
      <c r="BH3" s="576">
        <v>60</v>
      </c>
      <c r="BI3" s="576">
        <v>61</v>
      </c>
      <c r="BJ3" s="576">
        <v>62</v>
      </c>
      <c r="BK3" s="576">
        <v>63</v>
      </c>
      <c r="BL3" s="576">
        <v>64</v>
      </c>
      <c r="BM3" s="576">
        <v>65</v>
      </c>
      <c r="BN3" s="576">
        <v>66</v>
      </c>
      <c r="BO3" s="576">
        <v>67</v>
      </c>
      <c r="BP3" s="576">
        <v>68</v>
      </c>
      <c r="BQ3" s="576">
        <v>69</v>
      </c>
      <c r="BR3" s="576">
        <v>70</v>
      </c>
      <c r="BS3" s="576">
        <v>71</v>
      </c>
      <c r="BT3" s="576">
        <v>72</v>
      </c>
      <c r="BU3" s="576">
        <v>73</v>
      </c>
      <c r="BV3" s="576">
        <v>74</v>
      </c>
      <c r="BW3" s="576">
        <v>75</v>
      </c>
      <c r="BX3" s="576">
        <v>76</v>
      </c>
      <c r="BY3" s="576">
        <v>77</v>
      </c>
      <c r="BZ3" s="576">
        <v>78</v>
      </c>
      <c r="CA3" s="576">
        <v>79</v>
      </c>
      <c r="CB3" s="576">
        <v>80</v>
      </c>
      <c r="CC3" s="576">
        <v>81</v>
      </c>
      <c r="CD3" s="576">
        <v>82</v>
      </c>
      <c r="CE3" s="576">
        <v>83</v>
      </c>
      <c r="CF3" s="576">
        <v>84</v>
      </c>
      <c r="CG3" s="576">
        <v>85</v>
      </c>
      <c r="CH3" s="576">
        <v>86</v>
      </c>
      <c r="CI3" s="576">
        <v>87</v>
      </c>
      <c r="CJ3" s="576">
        <v>88</v>
      </c>
      <c r="CK3" s="576">
        <v>89</v>
      </c>
      <c r="CL3" s="576">
        <v>90</v>
      </c>
      <c r="CM3" s="576">
        <v>91</v>
      </c>
      <c r="CN3" s="576">
        <v>92</v>
      </c>
      <c r="CO3" s="576">
        <v>93</v>
      </c>
      <c r="CP3" s="576">
        <v>94</v>
      </c>
      <c r="CQ3" s="576">
        <v>95</v>
      </c>
      <c r="CR3" s="576">
        <v>96</v>
      </c>
      <c r="CS3" s="576">
        <v>97</v>
      </c>
      <c r="CT3" s="576">
        <v>98</v>
      </c>
      <c r="CU3" s="576">
        <v>99</v>
      </c>
      <c r="CV3" s="576">
        <v>100</v>
      </c>
      <c r="CW3" s="576">
        <v>101</v>
      </c>
      <c r="CX3" s="576">
        <v>102</v>
      </c>
      <c r="CY3" s="576">
        <v>103</v>
      </c>
      <c r="CZ3" s="576">
        <v>104</v>
      </c>
      <c r="DA3" s="576">
        <v>105</v>
      </c>
      <c r="DB3" s="576">
        <v>106</v>
      </c>
      <c r="DC3" s="576">
        <v>107</v>
      </c>
      <c r="DD3" s="576">
        <v>108</v>
      </c>
      <c r="DE3" s="576">
        <v>109</v>
      </c>
      <c r="DF3" s="576">
        <v>110</v>
      </c>
      <c r="DG3" s="576">
        <v>111</v>
      </c>
      <c r="DH3" s="576">
        <v>112</v>
      </c>
      <c r="DI3" s="576">
        <v>113</v>
      </c>
      <c r="DJ3" s="576">
        <v>114</v>
      </c>
      <c r="DK3" s="576">
        <v>115</v>
      </c>
      <c r="DL3" s="576">
        <v>116</v>
      </c>
      <c r="DM3" s="576">
        <v>117</v>
      </c>
      <c r="DN3" s="576">
        <v>118</v>
      </c>
      <c r="DO3" s="576">
        <v>119</v>
      </c>
      <c r="DP3" s="576">
        <v>120</v>
      </c>
      <c r="DQ3" s="576">
        <v>121</v>
      </c>
      <c r="DR3" s="576">
        <v>122</v>
      </c>
      <c r="DS3" s="623">
        <v>123</v>
      </c>
      <c r="DT3" s="576">
        <v>124</v>
      </c>
      <c r="DU3" s="576">
        <v>125</v>
      </c>
      <c r="DV3" s="576">
        <v>126</v>
      </c>
    </row>
    <row r="4" spans="1:127" ht="12.75" x14ac:dyDescent="0.2">
      <c r="A4" s="575"/>
      <c r="B4" s="580"/>
      <c r="C4" s="581"/>
      <c r="D4" s="582"/>
      <c r="E4" s="572"/>
      <c r="F4" s="583"/>
      <c r="G4" s="626"/>
      <c r="H4" s="626"/>
      <c r="I4" s="626"/>
      <c r="J4" s="626"/>
      <c r="K4" s="626"/>
      <c r="L4" s="626"/>
      <c r="M4" s="626"/>
      <c r="N4" s="626"/>
      <c r="O4" s="626"/>
      <c r="P4" s="626"/>
      <c r="Q4" s="626"/>
      <c r="R4" s="626"/>
      <c r="S4" s="626"/>
      <c r="T4" s="626"/>
      <c r="U4" s="626"/>
      <c r="V4" s="626"/>
      <c r="W4" s="626"/>
      <c r="X4" s="583"/>
      <c r="Y4" s="584"/>
      <c r="Z4" s="626"/>
      <c r="AA4" s="626"/>
      <c r="AB4" s="626"/>
      <c r="AC4" s="626"/>
      <c r="AD4" s="626"/>
      <c r="AE4" s="584"/>
      <c r="AF4" s="584"/>
      <c r="AG4" s="585"/>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c r="BP4" s="626"/>
      <c r="BQ4" s="626"/>
      <c r="BR4" s="626"/>
      <c r="BS4" s="626"/>
      <c r="BT4" s="626"/>
      <c r="BU4" s="626"/>
      <c r="BV4" s="626"/>
      <c r="BW4" s="626"/>
      <c r="BX4" s="626"/>
      <c r="BY4" s="626"/>
      <c r="BZ4" s="583"/>
      <c r="CA4" s="584"/>
      <c r="CB4" s="584"/>
      <c r="CC4" s="626"/>
      <c r="CD4" s="626"/>
      <c r="CE4" s="626"/>
      <c r="CF4" s="626"/>
      <c r="CG4" s="626"/>
      <c r="CH4" s="626"/>
      <c r="CI4" s="626"/>
      <c r="CJ4" s="626"/>
      <c r="CK4" s="626"/>
      <c r="CL4" s="626"/>
      <c r="CM4" s="626"/>
      <c r="CN4" s="626"/>
      <c r="CO4" s="626"/>
      <c r="CP4" s="626"/>
      <c r="CQ4" s="626"/>
      <c r="CR4" s="626"/>
      <c r="CS4" s="626"/>
      <c r="CT4" s="626"/>
      <c r="CU4" s="626"/>
      <c r="CV4" s="626"/>
      <c r="CW4" s="626"/>
      <c r="CX4" s="626"/>
      <c r="CY4" s="626"/>
      <c r="CZ4" s="626"/>
      <c r="DA4" s="583"/>
      <c r="DB4" s="584"/>
      <c r="DC4" s="584"/>
      <c r="DD4" s="626"/>
      <c r="DE4" s="626"/>
      <c r="DF4" s="626"/>
      <c r="DG4" s="626"/>
      <c r="DH4" s="626"/>
      <c r="DI4" s="626"/>
      <c r="DJ4" s="626"/>
      <c r="DK4" s="626"/>
      <c r="DL4" s="626"/>
      <c r="DM4" s="626"/>
      <c r="DN4" s="626"/>
      <c r="DO4" s="626"/>
      <c r="DP4" s="626"/>
      <c r="DQ4" s="626"/>
      <c r="DR4" s="626"/>
      <c r="DS4" s="626"/>
      <c r="DT4" s="583"/>
      <c r="DU4" s="584"/>
      <c r="DV4" s="585"/>
    </row>
    <row r="5" spans="1:127" ht="12.75" x14ac:dyDescent="0.2">
      <c r="A5" s="575"/>
      <c r="B5" s="586" t="s">
        <v>673</v>
      </c>
      <c r="C5" s="586" t="s">
        <v>1183</v>
      </c>
      <c r="D5" s="775" t="s">
        <v>1184</v>
      </c>
      <c r="E5" s="586" t="s">
        <v>672</v>
      </c>
      <c r="F5" s="583"/>
      <c r="G5" s="626"/>
      <c r="H5" s="626"/>
      <c r="I5" s="626"/>
      <c r="J5" s="626"/>
      <c r="K5" s="626"/>
      <c r="L5" s="626"/>
      <c r="M5" s="626"/>
      <c r="N5" s="626"/>
      <c r="O5" s="626"/>
      <c r="P5" s="626"/>
      <c r="Q5" s="626"/>
      <c r="R5" s="626"/>
      <c r="S5" s="626"/>
      <c r="T5" s="626"/>
      <c r="U5" s="626"/>
      <c r="V5" s="626"/>
      <c r="W5" s="626"/>
      <c r="X5" s="583"/>
      <c r="Y5" s="584"/>
      <c r="Z5" s="626"/>
      <c r="AA5" s="626"/>
      <c r="AB5" s="626"/>
      <c r="AC5" s="626"/>
      <c r="AD5" s="626"/>
      <c r="AE5" s="584"/>
      <c r="AF5" s="584"/>
      <c r="AG5" s="585"/>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6"/>
      <c r="BO5" s="626"/>
      <c r="BP5" s="626"/>
      <c r="BQ5" s="626"/>
      <c r="BR5" s="626"/>
      <c r="BS5" s="626"/>
      <c r="BT5" s="626"/>
      <c r="BU5" s="626"/>
      <c r="BV5" s="626"/>
      <c r="BW5" s="626"/>
      <c r="BX5" s="626"/>
      <c r="BY5" s="626"/>
      <c r="BZ5" s="583"/>
      <c r="CA5" s="584"/>
      <c r="CB5" s="584"/>
      <c r="CC5" s="626"/>
      <c r="CD5" s="626"/>
      <c r="CE5" s="626"/>
      <c r="CF5" s="626"/>
      <c r="CG5" s="626"/>
      <c r="CH5" s="626"/>
      <c r="CI5" s="626"/>
      <c r="CJ5" s="626"/>
      <c r="CK5" s="626"/>
      <c r="CL5" s="626"/>
      <c r="CM5" s="626"/>
      <c r="CN5" s="626"/>
      <c r="CO5" s="626"/>
      <c r="CP5" s="626"/>
      <c r="CQ5" s="626"/>
      <c r="CR5" s="626"/>
      <c r="CS5" s="626"/>
      <c r="CT5" s="626"/>
      <c r="CU5" s="626"/>
      <c r="CV5" s="626"/>
      <c r="CW5" s="626"/>
      <c r="CX5" s="626"/>
      <c r="CY5" s="626"/>
      <c r="CZ5" s="626"/>
      <c r="DA5" s="583"/>
      <c r="DB5" s="584"/>
      <c r="DC5" s="584"/>
      <c r="DD5" s="626"/>
      <c r="DE5" s="626"/>
      <c r="DF5" s="626"/>
      <c r="DG5" s="626"/>
      <c r="DH5" s="626"/>
      <c r="DI5" s="626"/>
      <c r="DJ5" s="626"/>
      <c r="DK5" s="626"/>
      <c r="DL5" s="626"/>
      <c r="DM5" s="626"/>
      <c r="DN5" s="626"/>
      <c r="DO5" s="626"/>
      <c r="DP5" s="626"/>
      <c r="DQ5" s="626"/>
      <c r="DR5" s="626"/>
      <c r="DS5" s="626"/>
      <c r="DT5" s="583"/>
      <c r="DU5" s="584"/>
      <c r="DV5" s="585"/>
    </row>
    <row r="6" spans="1:127" ht="13.5" thickBot="1" x14ac:dyDescent="0.25">
      <c r="A6" s="588"/>
      <c r="B6" s="589"/>
      <c r="C6" s="590"/>
      <c r="D6" s="591"/>
      <c r="E6" s="590"/>
      <c r="F6" s="583"/>
      <c r="G6" s="626"/>
      <c r="H6" s="626"/>
      <c r="I6" s="626"/>
      <c r="J6" s="626"/>
      <c r="K6" s="626"/>
      <c r="L6" s="626"/>
      <c r="M6" s="626"/>
      <c r="N6" s="626"/>
      <c r="O6" s="626"/>
      <c r="P6" s="626"/>
      <c r="Q6" s="626"/>
      <c r="R6" s="626"/>
      <c r="S6" s="626"/>
      <c r="T6" s="626"/>
      <c r="U6" s="626"/>
      <c r="V6" s="626"/>
      <c r="W6" s="626"/>
      <c r="X6" s="583"/>
      <c r="Y6" s="584"/>
      <c r="Z6" s="626"/>
      <c r="AA6" s="626"/>
      <c r="AB6" s="626"/>
      <c r="AC6" s="626"/>
      <c r="AD6" s="626"/>
      <c r="AE6" s="584"/>
      <c r="AF6" s="584"/>
      <c r="AG6" s="585"/>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6"/>
      <c r="BO6" s="626"/>
      <c r="BP6" s="626"/>
      <c r="BQ6" s="626"/>
      <c r="BR6" s="626"/>
      <c r="BS6" s="626"/>
      <c r="BT6" s="626"/>
      <c r="BU6" s="626"/>
      <c r="BV6" s="626"/>
      <c r="BW6" s="626"/>
      <c r="BX6" s="626"/>
      <c r="BY6" s="626"/>
      <c r="BZ6" s="583"/>
      <c r="CA6" s="584"/>
      <c r="CB6" s="584"/>
      <c r="CC6" s="626"/>
      <c r="CD6" s="626"/>
      <c r="CE6" s="626"/>
      <c r="CF6" s="626"/>
      <c r="CG6" s="626"/>
      <c r="CH6" s="626"/>
      <c r="CI6" s="626"/>
      <c r="CJ6" s="626"/>
      <c r="CK6" s="626"/>
      <c r="CL6" s="626"/>
      <c r="CM6" s="626"/>
      <c r="CN6" s="626"/>
      <c r="CO6" s="626"/>
      <c r="CP6" s="626"/>
      <c r="CQ6" s="626"/>
      <c r="CR6" s="626"/>
      <c r="CS6" s="626"/>
      <c r="CT6" s="626"/>
      <c r="CU6" s="626"/>
      <c r="CV6" s="626"/>
      <c r="CW6" s="626"/>
      <c r="CX6" s="626"/>
      <c r="CY6" s="626"/>
      <c r="CZ6" s="626"/>
      <c r="DA6" s="583"/>
      <c r="DB6" s="584"/>
      <c r="DC6" s="584"/>
      <c r="DD6" s="626"/>
      <c r="DE6" s="626"/>
      <c r="DF6" s="626"/>
      <c r="DG6" s="626"/>
      <c r="DH6" s="626"/>
      <c r="DI6" s="626"/>
      <c r="DJ6" s="626"/>
      <c r="DK6" s="626"/>
      <c r="DL6" s="626"/>
      <c r="DM6" s="626"/>
      <c r="DN6" s="626"/>
      <c r="DO6" s="626"/>
      <c r="DP6" s="626"/>
      <c r="DQ6" s="626"/>
      <c r="DR6" s="626"/>
      <c r="DS6" s="626"/>
      <c r="DT6" s="583"/>
      <c r="DU6" s="584"/>
      <c r="DV6" s="585"/>
    </row>
    <row r="7" spans="1:127" ht="13.5" thickBot="1" x14ac:dyDescent="0.25">
      <c r="A7" s="593"/>
      <c r="B7" s="594"/>
      <c r="C7" s="595"/>
      <c r="D7" s="596"/>
      <c r="E7" s="597"/>
      <c r="F7" s="627">
        <v>6</v>
      </c>
      <c r="G7" s="598">
        <v>3</v>
      </c>
      <c r="H7" s="598">
        <v>4</v>
      </c>
      <c r="I7" s="598">
        <v>5</v>
      </c>
      <c r="J7" s="598">
        <v>7</v>
      </c>
      <c r="K7" s="598">
        <v>8</v>
      </c>
      <c r="L7" s="598">
        <v>9</v>
      </c>
      <c r="M7" s="598">
        <v>10</v>
      </c>
      <c r="N7" s="598">
        <v>11</v>
      </c>
      <c r="O7" s="598">
        <v>12</v>
      </c>
      <c r="P7" s="598">
        <v>13</v>
      </c>
      <c r="Q7" s="598">
        <v>14</v>
      </c>
      <c r="R7" s="598">
        <v>15</v>
      </c>
      <c r="S7" s="598">
        <v>16</v>
      </c>
      <c r="T7" s="598">
        <v>17</v>
      </c>
      <c r="U7" s="598">
        <v>18</v>
      </c>
      <c r="V7" s="598">
        <v>19</v>
      </c>
      <c r="W7" s="598">
        <v>20</v>
      </c>
      <c r="X7" s="598">
        <v>21</v>
      </c>
      <c r="Y7" s="598">
        <v>22</v>
      </c>
      <c r="Z7" s="598">
        <v>23</v>
      </c>
      <c r="AA7" s="598">
        <v>24</v>
      </c>
      <c r="AB7" s="598">
        <v>25</v>
      </c>
      <c r="AC7" s="598">
        <v>26</v>
      </c>
      <c r="AD7" s="598">
        <v>27</v>
      </c>
      <c r="AE7" s="598">
        <v>28</v>
      </c>
      <c r="AF7" s="598">
        <v>29</v>
      </c>
      <c r="AG7" s="598">
        <v>30</v>
      </c>
      <c r="AH7" s="598">
        <v>31</v>
      </c>
      <c r="AI7" s="598">
        <v>32</v>
      </c>
      <c r="AJ7" s="598">
        <v>33</v>
      </c>
      <c r="AK7" s="598">
        <v>34</v>
      </c>
      <c r="AL7" s="598">
        <v>35</v>
      </c>
      <c r="AM7" s="598">
        <v>36</v>
      </c>
      <c r="AN7" s="598">
        <v>37</v>
      </c>
      <c r="AO7" s="598">
        <v>38</v>
      </c>
      <c r="AP7" s="598">
        <v>39</v>
      </c>
      <c r="AQ7" s="598">
        <v>40</v>
      </c>
      <c r="AR7" s="598">
        <v>41</v>
      </c>
      <c r="AS7" s="598">
        <v>42</v>
      </c>
      <c r="AT7" s="598">
        <v>43</v>
      </c>
      <c r="AU7" s="598">
        <v>44</v>
      </c>
      <c r="AV7" s="598">
        <v>45</v>
      </c>
      <c r="AW7" s="598">
        <v>46</v>
      </c>
      <c r="AX7" s="598">
        <v>47</v>
      </c>
      <c r="AY7" s="598">
        <v>48</v>
      </c>
      <c r="AZ7" s="598">
        <v>49</v>
      </c>
      <c r="BA7" s="598">
        <v>50</v>
      </c>
      <c r="BB7" s="598">
        <v>51</v>
      </c>
      <c r="BC7" s="598">
        <v>52</v>
      </c>
      <c r="BD7" s="598">
        <v>53</v>
      </c>
      <c r="BE7" s="598">
        <v>54</v>
      </c>
      <c r="BF7" s="598">
        <v>55</v>
      </c>
      <c r="BG7" s="598">
        <v>56</v>
      </c>
      <c r="BH7" s="598">
        <v>57</v>
      </c>
      <c r="BI7" s="598">
        <v>58</v>
      </c>
      <c r="BJ7" s="598">
        <v>59</v>
      </c>
      <c r="BK7" s="598">
        <v>60</v>
      </c>
      <c r="BL7" s="598">
        <v>61</v>
      </c>
      <c r="BM7" s="598">
        <v>62</v>
      </c>
      <c r="BN7" s="598">
        <v>63</v>
      </c>
      <c r="BO7" s="598">
        <v>64</v>
      </c>
      <c r="BP7" s="598">
        <v>65</v>
      </c>
      <c r="BQ7" s="598">
        <v>66</v>
      </c>
      <c r="BR7" s="598">
        <v>67</v>
      </c>
      <c r="BS7" s="598">
        <v>68</v>
      </c>
      <c r="BT7" s="598">
        <v>69</v>
      </c>
      <c r="BU7" s="598">
        <v>70</v>
      </c>
      <c r="BV7" s="598">
        <v>71</v>
      </c>
      <c r="BW7" s="598">
        <v>72</v>
      </c>
      <c r="BX7" s="598">
        <v>73</v>
      </c>
      <c r="BY7" s="598">
        <v>74</v>
      </c>
      <c r="BZ7" s="598">
        <v>75</v>
      </c>
      <c r="CA7" s="598">
        <v>76</v>
      </c>
      <c r="CB7" s="598">
        <v>77</v>
      </c>
      <c r="CC7" s="598">
        <v>78</v>
      </c>
      <c r="CD7" s="598">
        <v>79</v>
      </c>
      <c r="CE7" s="598">
        <v>80</v>
      </c>
      <c r="CF7" s="598">
        <v>81</v>
      </c>
      <c r="CG7" s="598">
        <v>82</v>
      </c>
      <c r="CH7" s="598">
        <v>83</v>
      </c>
      <c r="CI7" s="598">
        <v>84</v>
      </c>
      <c r="CJ7" s="598">
        <v>85</v>
      </c>
      <c r="CK7" s="598">
        <v>86</v>
      </c>
      <c r="CL7" s="598">
        <v>87</v>
      </c>
      <c r="CM7" s="598">
        <v>88</v>
      </c>
      <c r="CN7" s="598">
        <v>89</v>
      </c>
      <c r="CO7" s="598">
        <v>90</v>
      </c>
      <c r="CP7" s="598">
        <v>91</v>
      </c>
      <c r="CQ7" s="598">
        <v>92</v>
      </c>
      <c r="CR7" s="598">
        <v>93</v>
      </c>
      <c r="CS7" s="598">
        <v>94</v>
      </c>
      <c r="CT7" s="598">
        <v>95</v>
      </c>
      <c r="CU7" s="598">
        <v>96</v>
      </c>
      <c r="CV7" s="598">
        <v>97</v>
      </c>
      <c r="CW7" s="598">
        <v>98</v>
      </c>
      <c r="CX7" s="598">
        <v>99</v>
      </c>
      <c r="CY7" s="598">
        <v>100</v>
      </c>
      <c r="CZ7" s="598">
        <v>101</v>
      </c>
      <c r="DA7" s="598">
        <v>102</v>
      </c>
      <c r="DB7" s="598">
        <v>103</v>
      </c>
      <c r="DC7" s="598">
        <v>104</v>
      </c>
      <c r="DD7" s="598">
        <v>105</v>
      </c>
      <c r="DE7" s="598">
        <v>106</v>
      </c>
      <c r="DF7" s="598">
        <v>107</v>
      </c>
      <c r="DG7" s="598">
        <v>108</v>
      </c>
      <c r="DH7" s="598">
        <v>109</v>
      </c>
      <c r="DI7" s="598">
        <v>110</v>
      </c>
      <c r="DJ7" s="598">
        <v>111</v>
      </c>
      <c r="DK7" s="598">
        <v>112</v>
      </c>
      <c r="DL7" s="598">
        <v>113</v>
      </c>
      <c r="DM7" s="598">
        <v>114</v>
      </c>
      <c r="DN7" s="598">
        <v>115</v>
      </c>
      <c r="DO7" s="598">
        <v>116</v>
      </c>
      <c r="DP7" s="598">
        <v>117</v>
      </c>
      <c r="DQ7" s="598">
        <v>118</v>
      </c>
      <c r="DR7" s="598">
        <v>119</v>
      </c>
      <c r="DS7" s="598">
        <v>120</v>
      </c>
      <c r="DT7" s="598">
        <v>121</v>
      </c>
      <c r="DU7" s="598">
        <v>122</v>
      </c>
      <c r="DV7" s="628">
        <v>123</v>
      </c>
    </row>
    <row r="8" spans="1:127" ht="12.75" x14ac:dyDescent="0.2">
      <c r="A8" s="599">
        <v>1</v>
      </c>
      <c r="B8" s="600" t="s">
        <v>675</v>
      </c>
      <c r="C8" s="601" t="s">
        <v>1185</v>
      </c>
      <c r="D8" s="602" t="s">
        <v>1186</v>
      </c>
      <c r="E8" s="603" t="s">
        <v>674</v>
      </c>
      <c r="G8">
        <v>46608258</v>
      </c>
      <c r="H8">
        <v>0</v>
      </c>
      <c r="I8">
        <v>46608258</v>
      </c>
      <c r="J8">
        <v>49.9</v>
      </c>
      <c r="K8">
        <v>23257521</v>
      </c>
      <c r="L8">
        <v>0</v>
      </c>
      <c r="M8">
        <v>0</v>
      </c>
      <c r="N8">
        <v>0</v>
      </c>
      <c r="O8">
        <v>23257521</v>
      </c>
      <c r="P8">
        <v>0</v>
      </c>
      <c r="Q8">
        <v>23257521</v>
      </c>
      <c r="R8">
        <v>-63402</v>
      </c>
      <c r="S8">
        <v>0</v>
      </c>
      <c r="T8">
        <v>-63402</v>
      </c>
      <c r="U8">
        <v>851393</v>
      </c>
      <c r="V8">
        <v>0</v>
      </c>
      <c r="W8">
        <v>851393</v>
      </c>
      <c r="X8">
        <v>787991</v>
      </c>
      <c r="Y8">
        <v>0</v>
      </c>
      <c r="Z8">
        <v>0</v>
      </c>
      <c r="AA8">
        <v>0</v>
      </c>
      <c r="AB8">
        <v>787991</v>
      </c>
      <c r="AC8">
        <v>0</v>
      </c>
      <c r="AD8">
        <v>787991</v>
      </c>
      <c r="AE8">
        <v>-787991</v>
      </c>
      <c r="AF8">
        <v>0</v>
      </c>
      <c r="AG8">
        <v>-787991</v>
      </c>
      <c r="AH8">
        <v>-2239057</v>
      </c>
      <c r="AI8">
        <v>0</v>
      </c>
      <c r="AJ8">
        <v>-2239057</v>
      </c>
      <c r="AK8">
        <v>0</v>
      </c>
      <c r="AL8">
        <v>0</v>
      </c>
      <c r="AM8">
        <v>0</v>
      </c>
      <c r="AN8">
        <v>403626</v>
      </c>
      <c r="AO8">
        <v>0</v>
      </c>
      <c r="AP8">
        <v>403626</v>
      </c>
      <c r="AQ8">
        <v>-1835431</v>
      </c>
      <c r="AR8">
        <v>0</v>
      </c>
      <c r="AS8">
        <v>-1835431</v>
      </c>
      <c r="AT8">
        <v>-1771551</v>
      </c>
      <c r="AU8">
        <v>0</v>
      </c>
      <c r="AV8">
        <v>-1771551</v>
      </c>
      <c r="AW8">
        <v>-35279</v>
      </c>
      <c r="AX8">
        <v>0</v>
      </c>
      <c r="AY8">
        <v>-35279</v>
      </c>
      <c r="AZ8">
        <v>0</v>
      </c>
      <c r="BA8">
        <v>0</v>
      </c>
      <c r="BB8">
        <v>0</v>
      </c>
      <c r="BC8">
        <v>0</v>
      </c>
      <c r="BD8">
        <v>0</v>
      </c>
      <c r="BE8">
        <v>0</v>
      </c>
      <c r="BF8">
        <v>-3642261</v>
      </c>
      <c r="BG8">
        <v>0</v>
      </c>
      <c r="BH8">
        <v>0</v>
      </c>
      <c r="BI8">
        <v>0</v>
      </c>
      <c r="BJ8">
        <v>-3642261</v>
      </c>
      <c r="BK8">
        <v>0</v>
      </c>
      <c r="BL8">
        <v>-3642261</v>
      </c>
      <c r="BM8">
        <v>0</v>
      </c>
      <c r="BN8">
        <v>0</v>
      </c>
      <c r="BO8">
        <v>0</v>
      </c>
      <c r="BP8">
        <v>-114081</v>
      </c>
      <c r="BQ8">
        <v>0</v>
      </c>
      <c r="BR8">
        <v>-114081</v>
      </c>
      <c r="BS8">
        <v>-114081</v>
      </c>
      <c r="BT8">
        <v>0</v>
      </c>
      <c r="BU8">
        <v>0</v>
      </c>
      <c r="BV8">
        <v>0</v>
      </c>
      <c r="BW8">
        <v>-114081</v>
      </c>
      <c r="BX8">
        <v>0</v>
      </c>
      <c r="BY8">
        <v>-114081</v>
      </c>
      <c r="BZ8">
        <v>-66589</v>
      </c>
      <c r="CA8">
        <v>0</v>
      </c>
      <c r="CB8">
        <v>-66589</v>
      </c>
      <c r="CC8">
        <v>-20584</v>
      </c>
      <c r="CD8">
        <v>0</v>
      </c>
      <c r="CE8">
        <v>-20584</v>
      </c>
      <c r="CF8">
        <v>0</v>
      </c>
      <c r="CG8">
        <v>0</v>
      </c>
      <c r="CH8">
        <v>0</v>
      </c>
      <c r="CI8">
        <v>0</v>
      </c>
      <c r="CJ8">
        <v>0</v>
      </c>
      <c r="CK8">
        <v>0</v>
      </c>
      <c r="CL8">
        <v>0</v>
      </c>
      <c r="CM8">
        <v>0</v>
      </c>
      <c r="CN8">
        <v>0</v>
      </c>
      <c r="CO8">
        <v>0</v>
      </c>
      <c r="CP8">
        <v>0</v>
      </c>
      <c r="CQ8">
        <v>0</v>
      </c>
      <c r="CR8">
        <v>0</v>
      </c>
      <c r="CS8">
        <v>0</v>
      </c>
      <c r="CT8">
        <v>-87173</v>
      </c>
      <c r="CU8">
        <v>0</v>
      </c>
      <c r="CV8">
        <v>0</v>
      </c>
      <c r="CW8">
        <v>0</v>
      </c>
      <c r="CX8">
        <v>-87173</v>
      </c>
      <c r="CY8">
        <v>0</v>
      </c>
      <c r="CZ8">
        <v>-87173</v>
      </c>
      <c r="DA8">
        <v>0</v>
      </c>
      <c r="DB8">
        <v>0</v>
      </c>
      <c r="DC8">
        <v>0</v>
      </c>
      <c r="DD8">
        <v>-14506</v>
      </c>
      <c r="DE8">
        <v>0</v>
      </c>
      <c r="DF8">
        <v>-14506</v>
      </c>
      <c r="DG8">
        <v>0</v>
      </c>
      <c r="DH8">
        <v>0</v>
      </c>
      <c r="DI8">
        <v>0</v>
      </c>
      <c r="DJ8">
        <v>-294489</v>
      </c>
      <c r="DK8">
        <v>0</v>
      </c>
      <c r="DL8">
        <v>-294489</v>
      </c>
      <c r="DM8">
        <v>-308995</v>
      </c>
      <c r="DN8">
        <v>0</v>
      </c>
      <c r="DO8">
        <v>-151707</v>
      </c>
      <c r="DP8">
        <v>0</v>
      </c>
      <c r="DQ8">
        <v>-460702</v>
      </c>
      <c r="DR8">
        <v>0</v>
      </c>
      <c r="DS8">
        <v>-460702</v>
      </c>
      <c r="DT8">
        <v>19741295</v>
      </c>
      <c r="DU8">
        <v>0</v>
      </c>
      <c r="DV8" s="751">
        <v>19741295</v>
      </c>
      <c r="DW8" t="s">
        <v>1661</v>
      </c>
    </row>
    <row r="9" spans="1:127" ht="12.75" x14ac:dyDescent="0.2">
      <c r="A9" s="605">
        <v>2</v>
      </c>
      <c r="B9" s="606" t="s">
        <v>677</v>
      </c>
      <c r="C9" s="607" t="s">
        <v>1185</v>
      </c>
      <c r="D9" s="608" t="s">
        <v>1187</v>
      </c>
      <c r="E9" s="609" t="s">
        <v>676</v>
      </c>
      <c r="G9">
        <v>79627893</v>
      </c>
      <c r="H9">
        <v>0</v>
      </c>
      <c r="I9">
        <v>79627893</v>
      </c>
      <c r="J9">
        <v>49.9</v>
      </c>
      <c r="K9">
        <v>39734319</v>
      </c>
      <c r="L9">
        <v>0</v>
      </c>
      <c r="M9">
        <v>265232</v>
      </c>
      <c r="N9">
        <v>0</v>
      </c>
      <c r="O9">
        <v>39999551</v>
      </c>
      <c r="P9">
        <v>0</v>
      </c>
      <c r="Q9">
        <v>39999551</v>
      </c>
      <c r="R9">
        <v>-283283</v>
      </c>
      <c r="S9">
        <v>0</v>
      </c>
      <c r="T9">
        <v>-283283</v>
      </c>
      <c r="U9">
        <v>131290</v>
      </c>
      <c r="V9">
        <v>0</v>
      </c>
      <c r="W9">
        <v>131290</v>
      </c>
      <c r="X9">
        <v>-151993</v>
      </c>
      <c r="Y9">
        <v>0</v>
      </c>
      <c r="Z9">
        <v>0</v>
      </c>
      <c r="AA9">
        <v>0</v>
      </c>
      <c r="AB9">
        <v>-151993</v>
      </c>
      <c r="AC9">
        <v>0</v>
      </c>
      <c r="AD9">
        <v>-151993</v>
      </c>
      <c r="AE9">
        <v>151993</v>
      </c>
      <c r="AF9">
        <v>0</v>
      </c>
      <c r="AG9">
        <v>151993</v>
      </c>
      <c r="AH9">
        <v>-6028884</v>
      </c>
      <c r="AI9">
        <v>0</v>
      </c>
      <c r="AJ9">
        <v>-6028884</v>
      </c>
      <c r="AK9">
        <v>-14346</v>
      </c>
      <c r="AL9">
        <v>0</v>
      </c>
      <c r="AM9">
        <v>-14346</v>
      </c>
      <c r="AN9">
        <v>594676</v>
      </c>
      <c r="AO9">
        <v>0</v>
      </c>
      <c r="AP9">
        <v>594676</v>
      </c>
      <c r="AQ9">
        <v>-5434208</v>
      </c>
      <c r="AR9">
        <v>0</v>
      </c>
      <c r="AS9">
        <v>-5434208</v>
      </c>
      <c r="AT9">
        <v>-2358062</v>
      </c>
      <c r="AU9">
        <v>0</v>
      </c>
      <c r="AV9">
        <v>-2358062</v>
      </c>
      <c r="AW9">
        <v>-65679</v>
      </c>
      <c r="AX9">
        <v>0</v>
      </c>
      <c r="AY9">
        <v>-65679</v>
      </c>
      <c r="AZ9">
        <v>-42377</v>
      </c>
      <c r="BA9">
        <v>0</v>
      </c>
      <c r="BB9">
        <v>-42377</v>
      </c>
      <c r="BC9">
        <v>0</v>
      </c>
      <c r="BD9">
        <v>0</v>
      </c>
      <c r="BE9">
        <v>0</v>
      </c>
      <c r="BF9">
        <v>-7900326</v>
      </c>
      <c r="BG9">
        <v>0</v>
      </c>
      <c r="BH9">
        <v>6146</v>
      </c>
      <c r="BI9">
        <v>0</v>
      </c>
      <c r="BJ9">
        <v>-7894180</v>
      </c>
      <c r="BK9">
        <v>0</v>
      </c>
      <c r="BL9">
        <v>-7894180</v>
      </c>
      <c r="BM9">
        <v>0</v>
      </c>
      <c r="BN9">
        <v>0</v>
      </c>
      <c r="BO9">
        <v>0</v>
      </c>
      <c r="BP9">
        <v>-548315</v>
      </c>
      <c r="BQ9">
        <v>0</v>
      </c>
      <c r="BR9">
        <v>-548315</v>
      </c>
      <c r="BS9">
        <v>-548315</v>
      </c>
      <c r="BT9">
        <v>0</v>
      </c>
      <c r="BU9">
        <v>-347116</v>
      </c>
      <c r="BV9">
        <v>0</v>
      </c>
      <c r="BW9">
        <v>-895431</v>
      </c>
      <c r="BX9">
        <v>0</v>
      </c>
      <c r="BY9">
        <v>-895431</v>
      </c>
      <c r="BZ9">
        <v>-176420</v>
      </c>
      <c r="CA9">
        <v>0</v>
      </c>
      <c r="CB9">
        <v>-176420</v>
      </c>
      <c r="CC9">
        <v>-76360</v>
      </c>
      <c r="CD9">
        <v>0</v>
      </c>
      <c r="CE9">
        <v>-76360</v>
      </c>
      <c r="CF9">
        <v>-1280</v>
      </c>
      <c r="CG9">
        <v>0</v>
      </c>
      <c r="CH9">
        <v>-1280</v>
      </c>
      <c r="CI9">
        <v>0</v>
      </c>
      <c r="CJ9">
        <v>0</v>
      </c>
      <c r="CK9">
        <v>0</v>
      </c>
      <c r="CL9">
        <v>0</v>
      </c>
      <c r="CM9">
        <v>0</v>
      </c>
      <c r="CN9">
        <v>0</v>
      </c>
      <c r="CO9">
        <v>0</v>
      </c>
      <c r="CP9">
        <v>0</v>
      </c>
      <c r="CQ9">
        <v>0</v>
      </c>
      <c r="CR9">
        <v>0</v>
      </c>
      <c r="CS9">
        <v>0</v>
      </c>
      <c r="CT9">
        <v>-254060</v>
      </c>
      <c r="CU9">
        <v>0</v>
      </c>
      <c r="CV9">
        <v>0</v>
      </c>
      <c r="CW9">
        <v>0</v>
      </c>
      <c r="CX9">
        <v>-254060</v>
      </c>
      <c r="CY9">
        <v>0</v>
      </c>
      <c r="CZ9">
        <v>-254060</v>
      </c>
      <c r="DA9">
        <v>-42377</v>
      </c>
      <c r="DB9">
        <v>0</v>
      </c>
      <c r="DC9">
        <v>-42377</v>
      </c>
      <c r="DD9">
        <v>-27521</v>
      </c>
      <c r="DE9">
        <v>0</v>
      </c>
      <c r="DF9">
        <v>-27521</v>
      </c>
      <c r="DG9">
        <v>-10182</v>
      </c>
      <c r="DH9">
        <v>0</v>
      </c>
      <c r="DI9">
        <v>-10182</v>
      </c>
      <c r="DJ9">
        <v>-1037819</v>
      </c>
      <c r="DK9">
        <v>0</v>
      </c>
      <c r="DL9">
        <v>-1037819</v>
      </c>
      <c r="DM9">
        <v>-1117899</v>
      </c>
      <c r="DN9">
        <v>0</v>
      </c>
      <c r="DO9">
        <v>0</v>
      </c>
      <c r="DP9">
        <v>0</v>
      </c>
      <c r="DQ9">
        <v>-1117899</v>
      </c>
      <c r="DR9">
        <v>0</v>
      </c>
      <c r="DS9">
        <v>-1117899</v>
      </c>
      <c r="DT9">
        <v>29685988</v>
      </c>
      <c r="DU9">
        <v>0</v>
      </c>
      <c r="DV9" s="661">
        <v>29685988</v>
      </c>
      <c r="DW9" t="s">
        <v>1662</v>
      </c>
    </row>
    <row r="10" spans="1:127" ht="12.75" x14ac:dyDescent="0.2">
      <c r="A10" s="605">
        <v>3</v>
      </c>
      <c r="B10" s="606" t="s">
        <v>679</v>
      </c>
      <c r="C10" s="607" t="s">
        <v>1185</v>
      </c>
      <c r="D10" s="608" t="s">
        <v>1188</v>
      </c>
      <c r="E10" s="609" t="s">
        <v>678</v>
      </c>
      <c r="G10">
        <v>84031308</v>
      </c>
      <c r="H10">
        <v>0</v>
      </c>
      <c r="I10">
        <v>84031308</v>
      </c>
      <c r="J10">
        <v>49.9</v>
      </c>
      <c r="K10">
        <v>41931623</v>
      </c>
      <c r="L10">
        <v>0</v>
      </c>
      <c r="M10">
        <v>0</v>
      </c>
      <c r="N10">
        <v>0</v>
      </c>
      <c r="O10">
        <v>41931623</v>
      </c>
      <c r="P10">
        <v>0</v>
      </c>
      <c r="Q10">
        <v>41931623</v>
      </c>
      <c r="R10">
        <v>-269127</v>
      </c>
      <c r="S10">
        <v>0</v>
      </c>
      <c r="T10">
        <v>-269127</v>
      </c>
      <c r="U10">
        <v>85618</v>
      </c>
      <c r="V10">
        <v>0</v>
      </c>
      <c r="W10">
        <v>85618</v>
      </c>
      <c r="X10">
        <v>-183509</v>
      </c>
      <c r="Y10">
        <v>0</v>
      </c>
      <c r="Z10">
        <v>0</v>
      </c>
      <c r="AA10">
        <v>0</v>
      </c>
      <c r="AB10">
        <v>-183509</v>
      </c>
      <c r="AC10">
        <v>0</v>
      </c>
      <c r="AD10">
        <v>-183509</v>
      </c>
      <c r="AE10">
        <v>183509</v>
      </c>
      <c r="AF10">
        <v>0</v>
      </c>
      <c r="AG10">
        <v>183509</v>
      </c>
      <c r="AH10">
        <v>-4967112</v>
      </c>
      <c r="AI10">
        <v>0</v>
      </c>
      <c r="AJ10">
        <v>-4967112</v>
      </c>
      <c r="AK10">
        <v>0</v>
      </c>
      <c r="AL10">
        <v>0</v>
      </c>
      <c r="AM10">
        <v>0</v>
      </c>
      <c r="AN10">
        <v>702278</v>
      </c>
      <c r="AO10">
        <v>0</v>
      </c>
      <c r="AP10">
        <v>702278</v>
      </c>
      <c r="AQ10">
        <v>-4264834</v>
      </c>
      <c r="AR10">
        <v>0</v>
      </c>
      <c r="AS10">
        <v>-4264834</v>
      </c>
      <c r="AT10">
        <v>-2063409</v>
      </c>
      <c r="AU10">
        <v>0</v>
      </c>
      <c r="AV10">
        <v>-2063409</v>
      </c>
      <c r="AW10">
        <v>-23347</v>
      </c>
      <c r="AX10">
        <v>0</v>
      </c>
      <c r="AY10">
        <v>-23347</v>
      </c>
      <c r="AZ10">
        <v>-16410</v>
      </c>
      <c r="BA10">
        <v>0</v>
      </c>
      <c r="BB10">
        <v>-16410</v>
      </c>
      <c r="BC10">
        <v>0</v>
      </c>
      <c r="BD10">
        <v>0</v>
      </c>
      <c r="BE10">
        <v>0</v>
      </c>
      <c r="BF10">
        <v>-6368000</v>
      </c>
      <c r="BG10">
        <v>0</v>
      </c>
      <c r="BH10">
        <v>0</v>
      </c>
      <c r="BI10">
        <v>0</v>
      </c>
      <c r="BJ10">
        <v>-6368000</v>
      </c>
      <c r="BK10">
        <v>0</v>
      </c>
      <c r="BL10">
        <v>-6368000</v>
      </c>
      <c r="BM10">
        <v>-107618</v>
      </c>
      <c r="BN10">
        <v>0</v>
      </c>
      <c r="BO10">
        <v>-107618</v>
      </c>
      <c r="BP10">
        <v>-1242185</v>
      </c>
      <c r="BQ10">
        <v>0</v>
      </c>
      <c r="BR10">
        <v>-1242185</v>
      </c>
      <c r="BS10">
        <v>-1349803</v>
      </c>
      <c r="BT10">
        <v>0</v>
      </c>
      <c r="BU10">
        <v>0</v>
      </c>
      <c r="BV10">
        <v>0</v>
      </c>
      <c r="BW10">
        <v>-1349803</v>
      </c>
      <c r="BX10">
        <v>0</v>
      </c>
      <c r="BY10">
        <v>-1349803</v>
      </c>
      <c r="BZ10">
        <v>-49520</v>
      </c>
      <c r="CA10">
        <v>0</v>
      </c>
      <c r="CB10">
        <v>-49520</v>
      </c>
      <c r="CC10">
        <v>-404268</v>
      </c>
      <c r="CD10">
        <v>0</v>
      </c>
      <c r="CE10">
        <v>-404268</v>
      </c>
      <c r="CF10">
        <v>0</v>
      </c>
      <c r="CG10">
        <v>0</v>
      </c>
      <c r="CH10">
        <v>0</v>
      </c>
      <c r="CI10">
        <v>-2381</v>
      </c>
      <c r="CJ10">
        <v>0</v>
      </c>
      <c r="CK10">
        <v>-2381</v>
      </c>
      <c r="CL10">
        <v>-1081</v>
      </c>
      <c r="CM10">
        <v>0</v>
      </c>
      <c r="CN10">
        <v>-1081</v>
      </c>
      <c r="CO10">
        <v>0</v>
      </c>
      <c r="CP10">
        <v>0</v>
      </c>
      <c r="CQ10">
        <v>0</v>
      </c>
      <c r="CR10">
        <v>0</v>
      </c>
      <c r="CS10">
        <v>0</v>
      </c>
      <c r="CT10">
        <v>-457250</v>
      </c>
      <c r="CU10">
        <v>0</v>
      </c>
      <c r="CV10">
        <v>0</v>
      </c>
      <c r="CW10">
        <v>0</v>
      </c>
      <c r="CX10">
        <v>-457250</v>
      </c>
      <c r="CY10">
        <v>0</v>
      </c>
      <c r="CZ10">
        <v>-457250</v>
      </c>
      <c r="DA10">
        <v>-14029</v>
      </c>
      <c r="DB10">
        <v>0</v>
      </c>
      <c r="DC10">
        <v>-14029</v>
      </c>
      <c r="DD10">
        <v>-34177</v>
      </c>
      <c r="DE10">
        <v>0</v>
      </c>
      <c r="DF10">
        <v>-34177</v>
      </c>
      <c r="DG10">
        <v>-1647</v>
      </c>
      <c r="DH10">
        <v>0</v>
      </c>
      <c r="DI10">
        <v>-1647</v>
      </c>
      <c r="DJ10">
        <v>-644703</v>
      </c>
      <c r="DK10">
        <v>0</v>
      </c>
      <c r="DL10">
        <v>-644703</v>
      </c>
      <c r="DM10">
        <v>-694556</v>
      </c>
      <c r="DN10">
        <v>0</v>
      </c>
      <c r="DO10">
        <v>0</v>
      </c>
      <c r="DP10">
        <v>0</v>
      </c>
      <c r="DQ10">
        <v>-694556</v>
      </c>
      <c r="DR10">
        <v>0</v>
      </c>
      <c r="DS10">
        <v>-694556</v>
      </c>
      <c r="DT10">
        <v>32878505</v>
      </c>
      <c r="DU10">
        <v>0</v>
      </c>
      <c r="DV10" s="661">
        <v>32878505</v>
      </c>
      <c r="DW10" t="s">
        <v>1663</v>
      </c>
    </row>
    <row r="11" spans="1:127" ht="12.75" x14ac:dyDescent="0.2">
      <c r="A11" s="605">
        <v>4</v>
      </c>
      <c r="B11" s="606" t="s">
        <v>681</v>
      </c>
      <c r="C11" s="607" t="s">
        <v>1185</v>
      </c>
      <c r="D11" s="608" t="s">
        <v>1186</v>
      </c>
      <c r="E11" s="609" t="s">
        <v>680</v>
      </c>
      <c r="G11">
        <v>99121920</v>
      </c>
      <c r="H11">
        <v>0</v>
      </c>
      <c r="I11">
        <v>99121920</v>
      </c>
      <c r="J11">
        <v>49.9</v>
      </c>
      <c r="K11">
        <v>49461838</v>
      </c>
      <c r="L11">
        <v>0</v>
      </c>
      <c r="M11">
        <v>0</v>
      </c>
      <c r="N11">
        <v>0</v>
      </c>
      <c r="O11">
        <v>49461838</v>
      </c>
      <c r="P11">
        <v>0</v>
      </c>
      <c r="Q11">
        <v>49461838</v>
      </c>
      <c r="R11">
        <v>-475799</v>
      </c>
      <c r="S11">
        <v>0</v>
      </c>
      <c r="T11">
        <v>-475799</v>
      </c>
      <c r="U11">
        <v>217598</v>
      </c>
      <c r="V11">
        <v>0</v>
      </c>
      <c r="W11">
        <v>217598</v>
      </c>
      <c r="X11">
        <v>-258201</v>
      </c>
      <c r="Y11">
        <v>0</v>
      </c>
      <c r="Z11">
        <v>0</v>
      </c>
      <c r="AA11">
        <v>0</v>
      </c>
      <c r="AB11">
        <v>-258201</v>
      </c>
      <c r="AC11">
        <v>0</v>
      </c>
      <c r="AD11">
        <v>-258201</v>
      </c>
      <c r="AE11">
        <v>258201</v>
      </c>
      <c r="AF11">
        <v>0</v>
      </c>
      <c r="AG11">
        <v>258201</v>
      </c>
      <c r="AH11">
        <v>-5803780</v>
      </c>
      <c r="AI11">
        <v>0</v>
      </c>
      <c r="AJ11">
        <v>-5803780</v>
      </c>
      <c r="AK11">
        <v>-26786</v>
      </c>
      <c r="AL11">
        <v>0</v>
      </c>
      <c r="AM11">
        <v>-26786</v>
      </c>
      <c r="AN11">
        <v>805460</v>
      </c>
      <c r="AO11">
        <v>0</v>
      </c>
      <c r="AP11">
        <v>805460</v>
      </c>
      <c r="AQ11">
        <v>-4998320</v>
      </c>
      <c r="AR11">
        <v>0</v>
      </c>
      <c r="AS11">
        <v>-4998320</v>
      </c>
      <c r="AT11">
        <v>-3281258</v>
      </c>
      <c r="AU11">
        <v>0</v>
      </c>
      <c r="AV11">
        <v>-3281258</v>
      </c>
      <c r="AW11">
        <v>-121333</v>
      </c>
      <c r="AX11">
        <v>0</v>
      </c>
      <c r="AY11">
        <v>-121333</v>
      </c>
      <c r="AZ11">
        <v>0</v>
      </c>
      <c r="BA11">
        <v>0</v>
      </c>
      <c r="BB11">
        <v>0</v>
      </c>
      <c r="BC11">
        <v>0</v>
      </c>
      <c r="BD11">
        <v>0</v>
      </c>
      <c r="BE11">
        <v>0</v>
      </c>
      <c r="BF11">
        <v>-8400911</v>
      </c>
      <c r="BG11">
        <v>0</v>
      </c>
      <c r="BH11">
        <v>0</v>
      </c>
      <c r="BI11">
        <v>0</v>
      </c>
      <c r="BJ11">
        <v>-8400911</v>
      </c>
      <c r="BK11">
        <v>0</v>
      </c>
      <c r="BL11">
        <v>-8400911</v>
      </c>
      <c r="BM11">
        <v>0</v>
      </c>
      <c r="BN11">
        <v>0</v>
      </c>
      <c r="BO11">
        <v>0</v>
      </c>
      <c r="BP11">
        <v>-332149</v>
      </c>
      <c r="BQ11">
        <v>0</v>
      </c>
      <c r="BR11">
        <v>-332149</v>
      </c>
      <c r="BS11">
        <v>-332149</v>
      </c>
      <c r="BT11">
        <v>0</v>
      </c>
      <c r="BU11">
        <v>0</v>
      </c>
      <c r="BV11">
        <v>0</v>
      </c>
      <c r="BW11">
        <v>-332149</v>
      </c>
      <c r="BX11">
        <v>0</v>
      </c>
      <c r="BY11">
        <v>-332149</v>
      </c>
      <c r="BZ11">
        <v>-129167</v>
      </c>
      <c r="CA11">
        <v>0</v>
      </c>
      <c r="CB11">
        <v>-129167</v>
      </c>
      <c r="CC11">
        <v>-62473</v>
      </c>
      <c r="CD11">
        <v>0</v>
      </c>
      <c r="CE11">
        <v>-62473</v>
      </c>
      <c r="CF11">
        <v>-488</v>
      </c>
      <c r="CG11">
        <v>0</v>
      </c>
      <c r="CH11">
        <v>-488</v>
      </c>
      <c r="CI11">
        <v>0</v>
      </c>
      <c r="CJ11">
        <v>0</v>
      </c>
      <c r="CK11">
        <v>0</v>
      </c>
      <c r="CL11">
        <v>0</v>
      </c>
      <c r="CM11">
        <v>0</v>
      </c>
      <c r="CN11">
        <v>0</v>
      </c>
      <c r="CO11">
        <v>0</v>
      </c>
      <c r="CP11">
        <v>0</v>
      </c>
      <c r="CQ11">
        <v>0</v>
      </c>
      <c r="CR11">
        <v>0</v>
      </c>
      <c r="CS11">
        <v>0</v>
      </c>
      <c r="CT11">
        <v>-192128</v>
      </c>
      <c r="CU11">
        <v>0</v>
      </c>
      <c r="CV11">
        <v>0</v>
      </c>
      <c r="CW11">
        <v>0</v>
      </c>
      <c r="CX11">
        <v>-192128</v>
      </c>
      <c r="CY11">
        <v>0</v>
      </c>
      <c r="CZ11">
        <v>-192128</v>
      </c>
      <c r="DA11">
        <v>0</v>
      </c>
      <c r="DB11">
        <v>0</v>
      </c>
      <c r="DC11">
        <v>0</v>
      </c>
      <c r="DD11">
        <v>-38520</v>
      </c>
      <c r="DE11">
        <v>0</v>
      </c>
      <c r="DF11">
        <v>-38520</v>
      </c>
      <c r="DG11">
        <v>0</v>
      </c>
      <c r="DH11">
        <v>0</v>
      </c>
      <c r="DI11">
        <v>0</v>
      </c>
      <c r="DJ11">
        <v>-3740953</v>
      </c>
      <c r="DK11">
        <v>0</v>
      </c>
      <c r="DL11">
        <v>-3740953</v>
      </c>
      <c r="DM11">
        <v>-3779473</v>
      </c>
      <c r="DN11">
        <v>0</v>
      </c>
      <c r="DO11">
        <v>0</v>
      </c>
      <c r="DP11">
        <v>0</v>
      </c>
      <c r="DQ11">
        <v>-3779473</v>
      </c>
      <c r="DR11">
        <v>0</v>
      </c>
      <c r="DS11">
        <v>-3779473</v>
      </c>
      <c r="DT11">
        <v>36498976</v>
      </c>
      <c r="DU11">
        <v>0</v>
      </c>
      <c r="DV11" s="661">
        <v>36498976</v>
      </c>
      <c r="DW11" t="s">
        <v>1664</v>
      </c>
    </row>
    <row r="12" spans="1:127" ht="12.75" x14ac:dyDescent="0.2">
      <c r="A12" s="605">
        <v>5</v>
      </c>
      <c r="B12" s="606" t="s">
        <v>683</v>
      </c>
      <c r="C12" s="607" t="s">
        <v>1185</v>
      </c>
      <c r="D12" s="608" t="s">
        <v>1188</v>
      </c>
      <c r="E12" s="609" t="s">
        <v>682</v>
      </c>
      <c r="G12">
        <v>93572325</v>
      </c>
      <c r="H12">
        <v>0</v>
      </c>
      <c r="I12">
        <v>93572325</v>
      </c>
      <c r="J12">
        <v>49.9</v>
      </c>
      <c r="K12">
        <v>46692590</v>
      </c>
      <c r="L12">
        <v>0</v>
      </c>
      <c r="M12">
        <v>0</v>
      </c>
      <c r="N12">
        <v>0</v>
      </c>
      <c r="O12">
        <v>46692590</v>
      </c>
      <c r="P12">
        <v>0</v>
      </c>
      <c r="Q12">
        <v>46692590</v>
      </c>
      <c r="R12">
        <v>-132361</v>
      </c>
      <c r="S12">
        <v>0</v>
      </c>
      <c r="T12">
        <v>-132361</v>
      </c>
      <c r="U12">
        <v>4334</v>
      </c>
      <c r="V12">
        <v>0</v>
      </c>
      <c r="W12">
        <v>4334</v>
      </c>
      <c r="X12">
        <v>-128027</v>
      </c>
      <c r="Y12">
        <v>0</v>
      </c>
      <c r="Z12">
        <v>0</v>
      </c>
      <c r="AA12">
        <v>0</v>
      </c>
      <c r="AB12">
        <v>-128027</v>
      </c>
      <c r="AC12">
        <v>0</v>
      </c>
      <c r="AD12">
        <v>-128027</v>
      </c>
      <c r="AE12">
        <v>128027</v>
      </c>
      <c r="AF12">
        <v>0</v>
      </c>
      <c r="AG12">
        <v>128027</v>
      </c>
      <c r="AH12">
        <v>-3589811</v>
      </c>
      <c r="AI12">
        <v>0</v>
      </c>
      <c r="AJ12">
        <v>-3589811</v>
      </c>
      <c r="AK12">
        <v>0</v>
      </c>
      <c r="AL12">
        <v>0</v>
      </c>
      <c r="AM12">
        <v>0</v>
      </c>
      <c r="AN12">
        <v>919246</v>
      </c>
      <c r="AO12">
        <v>0</v>
      </c>
      <c r="AP12">
        <v>919246</v>
      </c>
      <c r="AQ12">
        <v>-2670565</v>
      </c>
      <c r="AR12">
        <v>0</v>
      </c>
      <c r="AS12">
        <v>-2670565</v>
      </c>
      <c r="AT12">
        <v>-2226244</v>
      </c>
      <c r="AU12">
        <v>0</v>
      </c>
      <c r="AV12">
        <v>-2226244</v>
      </c>
      <c r="AW12">
        <v>-23900</v>
      </c>
      <c r="AX12">
        <v>0</v>
      </c>
      <c r="AY12">
        <v>-23900</v>
      </c>
      <c r="AZ12">
        <v>-11424</v>
      </c>
      <c r="BA12">
        <v>0</v>
      </c>
      <c r="BB12">
        <v>-11424</v>
      </c>
      <c r="BC12">
        <v>0</v>
      </c>
      <c r="BD12">
        <v>0</v>
      </c>
      <c r="BE12">
        <v>0</v>
      </c>
      <c r="BF12">
        <v>-4932133</v>
      </c>
      <c r="BG12">
        <v>0</v>
      </c>
      <c r="BH12">
        <v>0</v>
      </c>
      <c r="BI12">
        <v>0</v>
      </c>
      <c r="BJ12">
        <v>-4932133</v>
      </c>
      <c r="BK12">
        <v>0</v>
      </c>
      <c r="BL12">
        <v>-4932133</v>
      </c>
      <c r="BM12">
        <v>0</v>
      </c>
      <c r="BN12">
        <v>0</v>
      </c>
      <c r="BO12">
        <v>0</v>
      </c>
      <c r="BP12">
        <v>-873324</v>
      </c>
      <c r="BQ12">
        <v>0</v>
      </c>
      <c r="BR12">
        <v>-873324</v>
      </c>
      <c r="BS12">
        <v>-873324</v>
      </c>
      <c r="BT12">
        <v>0</v>
      </c>
      <c r="BU12">
        <v>0</v>
      </c>
      <c r="BV12">
        <v>0</v>
      </c>
      <c r="BW12">
        <v>-873324</v>
      </c>
      <c r="BX12">
        <v>0</v>
      </c>
      <c r="BY12">
        <v>-873324</v>
      </c>
      <c r="BZ12">
        <v>-160178</v>
      </c>
      <c r="CA12">
        <v>0</v>
      </c>
      <c r="CB12">
        <v>-160178</v>
      </c>
      <c r="CC12">
        <v>-44251</v>
      </c>
      <c r="CD12">
        <v>0</v>
      </c>
      <c r="CE12">
        <v>-44251</v>
      </c>
      <c r="CF12">
        <v>0</v>
      </c>
      <c r="CG12">
        <v>0</v>
      </c>
      <c r="CH12">
        <v>0</v>
      </c>
      <c r="CI12">
        <v>-9363</v>
      </c>
      <c r="CJ12">
        <v>0</v>
      </c>
      <c r="CK12">
        <v>-9363</v>
      </c>
      <c r="CL12">
        <v>-5185</v>
      </c>
      <c r="CM12">
        <v>0</v>
      </c>
      <c r="CN12">
        <v>-5185</v>
      </c>
      <c r="CO12">
        <v>0</v>
      </c>
      <c r="CP12">
        <v>0</v>
      </c>
      <c r="CQ12">
        <v>0</v>
      </c>
      <c r="CR12">
        <v>0</v>
      </c>
      <c r="CS12">
        <v>0</v>
      </c>
      <c r="CT12">
        <v>-218977</v>
      </c>
      <c r="CU12">
        <v>0</v>
      </c>
      <c r="CV12">
        <v>0</v>
      </c>
      <c r="CW12">
        <v>0</v>
      </c>
      <c r="CX12">
        <v>-218977</v>
      </c>
      <c r="CY12">
        <v>0</v>
      </c>
      <c r="CZ12">
        <v>-218977</v>
      </c>
      <c r="DA12">
        <v>0</v>
      </c>
      <c r="DB12">
        <v>0</v>
      </c>
      <c r="DC12">
        <v>0</v>
      </c>
      <c r="DD12">
        <v>-14962</v>
      </c>
      <c r="DE12">
        <v>0</v>
      </c>
      <c r="DF12">
        <v>-14962</v>
      </c>
      <c r="DG12">
        <v>-5516</v>
      </c>
      <c r="DH12">
        <v>0</v>
      </c>
      <c r="DI12">
        <v>-5516</v>
      </c>
      <c r="DJ12">
        <v>-472390.45</v>
      </c>
      <c r="DK12">
        <v>0</v>
      </c>
      <c r="DL12">
        <v>-472390.45</v>
      </c>
      <c r="DM12">
        <v>-492868.45</v>
      </c>
      <c r="DN12">
        <v>0</v>
      </c>
      <c r="DO12">
        <v>0</v>
      </c>
      <c r="DP12">
        <v>0</v>
      </c>
      <c r="DQ12">
        <v>-492868.45</v>
      </c>
      <c r="DR12">
        <v>0</v>
      </c>
      <c r="DS12">
        <v>-492868.45</v>
      </c>
      <c r="DT12">
        <v>40047260.549999997</v>
      </c>
      <c r="DU12">
        <v>0</v>
      </c>
      <c r="DV12" s="661">
        <v>40047260.549999997</v>
      </c>
      <c r="DW12" t="s">
        <v>1665</v>
      </c>
    </row>
    <row r="13" spans="1:127" ht="12.75" x14ac:dyDescent="0.2">
      <c r="A13" s="605">
        <v>6</v>
      </c>
      <c r="B13" s="606" t="s">
        <v>685</v>
      </c>
      <c r="C13" s="607" t="s">
        <v>1185</v>
      </c>
      <c r="D13" s="608" t="s">
        <v>1186</v>
      </c>
      <c r="E13" s="609" t="s">
        <v>684</v>
      </c>
      <c r="G13">
        <v>132672748</v>
      </c>
      <c r="H13">
        <v>0</v>
      </c>
      <c r="I13">
        <v>132672748</v>
      </c>
      <c r="J13">
        <v>49.9</v>
      </c>
      <c r="K13">
        <v>66203701</v>
      </c>
      <c r="L13">
        <v>0</v>
      </c>
      <c r="M13">
        <v>800000</v>
      </c>
      <c r="N13">
        <v>0</v>
      </c>
      <c r="O13">
        <v>67003701</v>
      </c>
      <c r="P13">
        <v>0</v>
      </c>
      <c r="Q13">
        <v>67003701</v>
      </c>
      <c r="R13">
        <v>-345650</v>
      </c>
      <c r="S13">
        <v>0</v>
      </c>
      <c r="T13">
        <v>-345650</v>
      </c>
      <c r="U13">
        <v>130189</v>
      </c>
      <c r="V13">
        <v>0</v>
      </c>
      <c r="W13">
        <v>130189</v>
      </c>
      <c r="X13">
        <v>-215461</v>
      </c>
      <c r="Y13">
        <v>0</v>
      </c>
      <c r="Z13">
        <v>-6318</v>
      </c>
      <c r="AA13">
        <v>0</v>
      </c>
      <c r="AB13">
        <v>-221779</v>
      </c>
      <c r="AC13">
        <v>0</v>
      </c>
      <c r="AD13">
        <v>-221779</v>
      </c>
      <c r="AE13">
        <v>221779</v>
      </c>
      <c r="AF13">
        <v>0</v>
      </c>
      <c r="AG13">
        <v>221779</v>
      </c>
      <c r="AH13">
        <v>-5142588</v>
      </c>
      <c r="AI13">
        <v>0</v>
      </c>
      <c r="AJ13">
        <v>-5142588</v>
      </c>
      <c r="AK13">
        <v>-20185</v>
      </c>
      <c r="AL13">
        <v>0</v>
      </c>
      <c r="AM13">
        <v>-20185</v>
      </c>
      <c r="AN13">
        <v>1247113</v>
      </c>
      <c r="AO13">
        <v>0</v>
      </c>
      <c r="AP13">
        <v>1247113</v>
      </c>
      <c r="AQ13">
        <v>-3895475</v>
      </c>
      <c r="AR13">
        <v>0</v>
      </c>
      <c r="AS13">
        <v>-3895475</v>
      </c>
      <c r="AT13">
        <v>-4113877</v>
      </c>
      <c r="AU13">
        <v>0</v>
      </c>
      <c r="AV13">
        <v>-4113877</v>
      </c>
      <c r="AW13">
        <v>-102510</v>
      </c>
      <c r="AX13">
        <v>0</v>
      </c>
      <c r="AY13">
        <v>-102510</v>
      </c>
      <c r="AZ13">
        <v>-26870</v>
      </c>
      <c r="BA13">
        <v>0</v>
      </c>
      <c r="BB13">
        <v>-26870</v>
      </c>
      <c r="BC13">
        <v>0</v>
      </c>
      <c r="BD13">
        <v>0</v>
      </c>
      <c r="BE13">
        <v>0</v>
      </c>
      <c r="BF13">
        <v>-8138732</v>
      </c>
      <c r="BG13">
        <v>0</v>
      </c>
      <c r="BH13">
        <v>-300000</v>
      </c>
      <c r="BI13">
        <v>0</v>
      </c>
      <c r="BJ13">
        <v>-8438732</v>
      </c>
      <c r="BK13">
        <v>0</v>
      </c>
      <c r="BL13">
        <v>-8438732</v>
      </c>
      <c r="BM13">
        <v>0</v>
      </c>
      <c r="BN13">
        <v>0</v>
      </c>
      <c r="BO13">
        <v>0</v>
      </c>
      <c r="BP13">
        <v>-1517774</v>
      </c>
      <c r="BQ13">
        <v>0</v>
      </c>
      <c r="BR13">
        <v>-1517774</v>
      </c>
      <c r="BS13">
        <v>-1517774</v>
      </c>
      <c r="BT13">
        <v>0</v>
      </c>
      <c r="BU13">
        <v>-450000</v>
      </c>
      <c r="BV13">
        <v>0</v>
      </c>
      <c r="BW13">
        <v>-1967774</v>
      </c>
      <c r="BX13">
        <v>0</v>
      </c>
      <c r="BY13">
        <v>-1967774</v>
      </c>
      <c r="BZ13">
        <v>-168132</v>
      </c>
      <c r="CA13">
        <v>0</v>
      </c>
      <c r="CB13">
        <v>-168132</v>
      </c>
      <c r="CC13">
        <v>-56561</v>
      </c>
      <c r="CD13">
        <v>0</v>
      </c>
      <c r="CE13">
        <v>-56561</v>
      </c>
      <c r="CF13">
        <v>-14578</v>
      </c>
      <c r="CG13">
        <v>0</v>
      </c>
      <c r="CH13">
        <v>-14578</v>
      </c>
      <c r="CI13">
        <v>0</v>
      </c>
      <c r="CJ13">
        <v>0</v>
      </c>
      <c r="CK13">
        <v>0</v>
      </c>
      <c r="CL13">
        <v>-48091</v>
      </c>
      <c r="CM13">
        <v>0</v>
      </c>
      <c r="CN13">
        <v>-48091</v>
      </c>
      <c r="CO13">
        <v>0</v>
      </c>
      <c r="CP13">
        <v>0</v>
      </c>
      <c r="CQ13">
        <v>0</v>
      </c>
      <c r="CR13">
        <v>0</v>
      </c>
      <c r="CS13">
        <v>0</v>
      </c>
      <c r="CT13">
        <v>-287362</v>
      </c>
      <c r="CU13">
        <v>0</v>
      </c>
      <c r="CV13">
        <v>-25000</v>
      </c>
      <c r="CW13">
        <v>0</v>
      </c>
      <c r="CX13">
        <v>-312362</v>
      </c>
      <c r="CY13">
        <v>0</v>
      </c>
      <c r="CZ13">
        <v>-312362</v>
      </c>
      <c r="DA13">
        <v>-15299</v>
      </c>
      <c r="DB13">
        <v>0</v>
      </c>
      <c r="DC13">
        <v>-15299</v>
      </c>
      <c r="DD13">
        <v>-34155</v>
      </c>
      <c r="DE13">
        <v>0</v>
      </c>
      <c r="DF13">
        <v>-34155</v>
      </c>
      <c r="DG13">
        <v>-10000</v>
      </c>
      <c r="DH13">
        <v>0</v>
      </c>
      <c r="DI13">
        <v>-10000</v>
      </c>
      <c r="DJ13">
        <v>-1134364</v>
      </c>
      <c r="DK13">
        <v>0</v>
      </c>
      <c r="DL13">
        <v>-1134364</v>
      </c>
      <c r="DM13">
        <v>-1193818</v>
      </c>
      <c r="DN13">
        <v>0</v>
      </c>
      <c r="DO13">
        <v>-50000</v>
      </c>
      <c r="DP13">
        <v>0</v>
      </c>
      <c r="DQ13">
        <v>-1243818</v>
      </c>
      <c r="DR13">
        <v>0</v>
      </c>
      <c r="DS13">
        <v>-1243818</v>
      </c>
      <c r="DT13">
        <v>54819236</v>
      </c>
      <c r="DU13">
        <v>0</v>
      </c>
      <c r="DV13" s="661">
        <v>54819236</v>
      </c>
      <c r="DW13" t="s">
        <v>1666</v>
      </c>
    </row>
    <row r="14" spans="1:127" ht="12.75" x14ac:dyDescent="0.2">
      <c r="A14" s="605">
        <v>7</v>
      </c>
      <c r="B14" s="606" t="s">
        <v>689</v>
      </c>
      <c r="C14" s="607" t="s">
        <v>1185</v>
      </c>
      <c r="D14" s="608" t="s">
        <v>1189</v>
      </c>
      <c r="E14" s="609" t="s">
        <v>688</v>
      </c>
      <c r="G14">
        <v>64543857</v>
      </c>
      <c r="H14">
        <v>42125</v>
      </c>
      <c r="I14">
        <v>64585982</v>
      </c>
      <c r="J14">
        <v>49.9</v>
      </c>
      <c r="K14">
        <v>32207385</v>
      </c>
      <c r="L14">
        <v>21020</v>
      </c>
      <c r="M14">
        <v>0</v>
      </c>
      <c r="N14">
        <v>600000</v>
      </c>
      <c r="O14">
        <v>32207385</v>
      </c>
      <c r="P14">
        <v>621020</v>
      </c>
      <c r="Q14">
        <v>32828405</v>
      </c>
      <c r="R14">
        <v>-154021</v>
      </c>
      <c r="S14">
        <v>0</v>
      </c>
      <c r="T14">
        <v>-154021</v>
      </c>
      <c r="U14">
        <v>200244</v>
      </c>
      <c r="V14">
        <v>0</v>
      </c>
      <c r="W14">
        <v>200244</v>
      </c>
      <c r="X14">
        <v>46223</v>
      </c>
      <c r="Y14">
        <v>0</v>
      </c>
      <c r="Z14">
        <v>0</v>
      </c>
      <c r="AA14">
        <v>0</v>
      </c>
      <c r="AB14">
        <v>46223</v>
      </c>
      <c r="AC14">
        <v>0</v>
      </c>
      <c r="AD14">
        <v>46223</v>
      </c>
      <c r="AE14">
        <v>-46223</v>
      </c>
      <c r="AF14">
        <v>0</v>
      </c>
      <c r="AG14">
        <v>-46223</v>
      </c>
      <c r="AH14">
        <v>-4038798</v>
      </c>
      <c r="AI14">
        <v>-761</v>
      </c>
      <c r="AJ14">
        <v>-4039559</v>
      </c>
      <c r="AK14">
        <v>-7834</v>
      </c>
      <c r="AL14">
        <v>0</v>
      </c>
      <c r="AM14">
        <v>-7834</v>
      </c>
      <c r="AN14">
        <v>496996</v>
      </c>
      <c r="AO14">
        <v>0</v>
      </c>
      <c r="AP14">
        <v>496996</v>
      </c>
      <c r="AQ14">
        <v>-3541802</v>
      </c>
      <c r="AR14">
        <v>-761</v>
      </c>
      <c r="AS14">
        <v>-3542563</v>
      </c>
      <c r="AT14">
        <v>-2392225</v>
      </c>
      <c r="AU14">
        <v>0</v>
      </c>
      <c r="AV14">
        <v>-2392225</v>
      </c>
      <c r="AW14">
        <v>-53505</v>
      </c>
      <c r="AX14">
        <v>0</v>
      </c>
      <c r="AY14">
        <v>-53505</v>
      </c>
      <c r="AZ14">
        <v>-77238</v>
      </c>
      <c r="BA14">
        <v>0</v>
      </c>
      <c r="BB14">
        <v>-77238</v>
      </c>
      <c r="BC14">
        <v>0</v>
      </c>
      <c r="BD14">
        <v>0</v>
      </c>
      <c r="BE14">
        <v>0</v>
      </c>
      <c r="BF14">
        <v>-6064770</v>
      </c>
      <c r="BG14">
        <v>-761</v>
      </c>
      <c r="BH14">
        <v>0</v>
      </c>
      <c r="BI14">
        <v>0</v>
      </c>
      <c r="BJ14">
        <v>-6064770</v>
      </c>
      <c r="BK14">
        <v>-761</v>
      </c>
      <c r="BL14">
        <v>-6065531</v>
      </c>
      <c r="BM14">
        <v>-37500</v>
      </c>
      <c r="BN14">
        <v>0</v>
      </c>
      <c r="BO14">
        <v>-37500</v>
      </c>
      <c r="BP14">
        <v>-842638</v>
      </c>
      <c r="BQ14">
        <v>-19328</v>
      </c>
      <c r="BR14">
        <v>-861966</v>
      </c>
      <c r="BS14">
        <v>-880138</v>
      </c>
      <c r="BT14">
        <v>-19328</v>
      </c>
      <c r="BU14">
        <v>-500000</v>
      </c>
      <c r="BV14">
        <v>0</v>
      </c>
      <c r="BW14">
        <v>-1380138</v>
      </c>
      <c r="BX14">
        <v>-19328</v>
      </c>
      <c r="BY14">
        <v>-1399466</v>
      </c>
      <c r="BZ14">
        <v>-54325</v>
      </c>
      <c r="CA14">
        <v>0</v>
      </c>
      <c r="CB14">
        <v>-54325</v>
      </c>
      <c r="CC14">
        <v>-32335</v>
      </c>
      <c r="CD14">
        <v>0</v>
      </c>
      <c r="CE14">
        <v>-32335</v>
      </c>
      <c r="CF14">
        <v>-5946</v>
      </c>
      <c r="CG14">
        <v>0</v>
      </c>
      <c r="CH14">
        <v>-5946</v>
      </c>
      <c r="CI14">
        <v>0</v>
      </c>
      <c r="CJ14">
        <v>0</v>
      </c>
      <c r="CK14">
        <v>0</v>
      </c>
      <c r="CL14">
        <v>-16367</v>
      </c>
      <c r="CM14">
        <v>0</v>
      </c>
      <c r="CN14">
        <v>-16367</v>
      </c>
      <c r="CO14">
        <v>0</v>
      </c>
      <c r="CP14">
        <v>0</v>
      </c>
      <c r="CQ14">
        <v>0</v>
      </c>
      <c r="CR14">
        <v>0</v>
      </c>
      <c r="CS14">
        <v>0</v>
      </c>
      <c r="CT14">
        <v>-108973</v>
      </c>
      <c r="CU14">
        <v>0</v>
      </c>
      <c r="CV14">
        <v>0</v>
      </c>
      <c r="CW14">
        <v>0</v>
      </c>
      <c r="CX14">
        <v>-108973</v>
      </c>
      <c r="CY14">
        <v>0</v>
      </c>
      <c r="CZ14">
        <v>-108973</v>
      </c>
      <c r="DA14">
        <v>-77238</v>
      </c>
      <c r="DB14">
        <v>0</v>
      </c>
      <c r="DC14">
        <v>-77238</v>
      </c>
      <c r="DD14">
        <v>-34770</v>
      </c>
      <c r="DE14">
        <v>0</v>
      </c>
      <c r="DF14">
        <v>-34770</v>
      </c>
      <c r="DG14">
        <v>-5000</v>
      </c>
      <c r="DH14">
        <v>0</v>
      </c>
      <c r="DI14">
        <v>-5000</v>
      </c>
      <c r="DJ14">
        <v>-570362</v>
      </c>
      <c r="DK14">
        <v>0</v>
      </c>
      <c r="DL14">
        <v>-570362</v>
      </c>
      <c r="DM14">
        <v>-687370</v>
      </c>
      <c r="DN14">
        <v>0</v>
      </c>
      <c r="DO14">
        <v>0</v>
      </c>
      <c r="DP14">
        <v>0</v>
      </c>
      <c r="DQ14">
        <v>-687370</v>
      </c>
      <c r="DR14">
        <v>0</v>
      </c>
      <c r="DS14">
        <v>-687370</v>
      </c>
      <c r="DT14">
        <v>24012357</v>
      </c>
      <c r="DU14">
        <v>600931</v>
      </c>
      <c r="DV14" s="661">
        <v>24613288</v>
      </c>
      <c r="DW14" t="s">
        <v>1667</v>
      </c>
    </row>
    <row r="15" spans="1:127" ht="12.75" x14ac:dyDescent="0.2">
      <c r="A15" s="605">
        <v>8</v>
      </c>
      <c r="B15" s="606" t="s">
        <v>691</v>
      </c>
      <c r="C15" s="607" t="s">
        <v>1190</v>
      </c>
      <c r="D15" s="608" t="s">
        <v>1191</v>
      </c>
      <c r="E15" s="609" t="s">
        <v>690</v>
      </c>
      <c r="G15">
        <v>154365781</v>
      </c>
      <c r="H15">
        <v>0</v>
      </c>
      <c r="I15">
        <v>154365781</v>
      </c>
      <c r="J15">
        <v>49.9</v>
      </c>
      <c r="K15">
        <v>77028525</v>
      </c>
      <c r="L15">
        <v>0</v>
      </c>
      <c r="M15">
        <v>0</v>
      </c>
      <c r="N15">
        <v>0</v>
      </c>
      <c r="O15">
        <v>77028525</v>
      </c>
      <c r="P15">
        <v>0</v>
      </c>
      <c r="Q15">
        <v>77028525</v>
      </c>
      <c r="R15">
        <v>-301552</v>
      </c>
      <c r="S15">
        <v>0</v>
      </c>
      <c r="T15">
        <v>-301552</v>
      </c>
      <c r="U15">
        <v>242760</v>
      </c>
      <c r="V15">
        <v>0</v>
      </c>
      <c r="W15">
        <v>242760</v>
      </c>
      <c r="X15">
        <v>-58792</v>
      </c>
      <c r="Y15">
        <v>0</v>
      </c>
      <c r="Z15">
        <v>0</v>
      </c>
      <c r="AA15">
        <v>0</v>
      </c>
      <c r="AB15">
        <v>-58792</v>
      </c>
      <c r="AC15">
        <v>0</v>
      </c>
      <c r="AD15">
        <v>-58792</v>
      </c>
      <c r="AE15">
        <v>58792</v>
      </c>
      <c r="AF15">
        <v>0</v>
      </c>
      <c r="AG15">
        <v>58792</v>
      </c>
      <c r="AH15">
        <v>-5429712</v>
      </c>
      <c r="AI15">
        <v>0</v>
      </c>
      <c r="AJ15">
        <v>-5429712</v>
      </c>
      <c r="AK15">
        <v>-17992</v>
      </c>
      <c r="AL15">
        <v>0</v>
      </c>
      <c r="AM15">
        <v>-17992</v>
      </c>
      <c r="AN15">
        <v>1471935</v>
      </c>
      <c r="AO15">
        <v>0</v>
      </c>
      <c r="AP15">
        <v>1471935</v>
      </c>
      <c r="AQ15">
        <v>-3957777</v>
      </c>
      <c r="AR15">
        <v>0</v>
      </c>
      <c r="AS15">
        <v>-3957777</v>
      </c>
      <c r="AT15">
        <v>-5244562</v>
      </c>
      <c r="AU15">
        <v>0</v>
      </c>
      <c r="AV15">
        <v>-5244562</v>
      </c>
      <c r="AW15">
        <v>-2610</v>
      </c>
      <c r="AX15">
        <v>0</v>
      </c>
      <c r="AY15">
        <v>-2610</v>
      </c>
      <c r="AZ15">
        <v>0</v>
      </c>
      <c r="BA15">
        <v>0</v>
      </c>
      <c r="BB15">
        <v>0</v>
      </c>
      <c r="BC15">
        <v>0</v>
      </c>
      <c r="BD15">
        <v>0</v>
      </c>
      <c r="BE15">
        <v>0</v>
      </c>
      <c r="BF15">
        <v>-9204949</v>
      </c>
      <c r="BG15">
        <v>0</v>
      </c>
      <c r="BH15">
        <v>0</v>
      </c>
      <c r="BI15">
        <v>0</v>
      </c>
      <c r="BJ15">
        <v>-9204949</v>
      </c>
      <c r="BK15">
        <v>0</v>
      </c>
      <c r="BL15">
        <v>-9204949</v>
      </c>
      <c r="BM15">
        <v>0</v>
      </c>
      <c r="BN15">
        <v>0</v>
      </c>
      <c r="BO15">
        <v>0</v>
      </c>
      <c r="BP15">
        <v>-1460648</v>
      </c>
      <c r="BQ15">
        <v>0</v>
      </c>
      <c r="BR15">
        <v>-1460648</v>
      </c>
      <c r="BS15">
        <v>-1460648</v>
      </c>
      <c r="BT15">
        <v>0</v>
      </c>
      <c r="BU15">
        <v>0</v>
      </c>
      <c r="BV15">
        <v>0</v>
      </c>
      <c r="BW15">
        <v>-1460648</v>
      </c>
      <c r="BX15">
        <v>0</v>
      </c>
      <c r="BY15">
        <v>-1460648</v>
      </c>
      <c r="BZ15">
        <v>-234752</v>
      </c>
      <c r="CA15">
        <v>0</v>
      </c>
      <c r="CB15">
        <v>-234752</v>
      </c>
      <c r="CC15">
        <v>0</v>
      </c>
      <c r="CD15">
        <v>0</v>
      </c>
      <c r="CE15">
        <v>0</v>
      </c>
      <c r="CF15">
        <v>-6703</v>
      </c>
      <c r="CG15">
        <v>0</v>
      </c>
      <c r="CH15">
        <v>-6703</v>
      </c>
      <c r="CI15">
        <v>0</v>
      </c>
      <c r="CJ15">
        <v>0</v>
      </c>
      <c r="CK15">
        <v>0</v>
      </c>
      <c r="CL15">
        <v>0</v>
      </c>
      <c r="CM15">
        <v>0</v>
      </c>
      <c r="CN15">
        <v>0</v>
      </c>
      <c r="CO15">
        <v>0</v>
      </c>
      <c r="CP15">
        <v>0</v>
      </c>
      <c r="CQ15">
        <v>0</v>
      </c>
      <c r="CR15">
        <v>0</v>
      </c>
      <c r="CS15">
        <v>0</v>
      </c>
      <c r="CT15">
        <v>-241455</v>
      </c>
      <c r="CU15">
        <v>0</v>
      </c>
      <c r="CV15">
        <v>0</v>
      </c>
      <c r="CW15">
        <v>0</v>
      </c>
      <c r="CX15">
        <v>-241455</v>
      </c>
      <c r="CY15">
        <v>0</v>
      </c>
      <c r="CZ15">
        <v>-241455</v>
      </c>
      <c r="DA15">
        <v>0</v>
      </c>
      <c r="DB15">
        <v>0</v>
      </c>
      <c r="DC15">
        <v>0</v>
      </c>
      <c r="DD15">
        <v>-19632</v>
      </c>
      <c r="DE15">
        <v>0</v>
      </c>
      <c r="DF15">
        <v>-19632</v>
      </c>
      <c r="DG15">
        <v>-15000</v>
      </c>
      <c r="DH15">
        <v>0</v>
      </c>
      <c r="DI15">
        <v>-15000</v>
      </c>
      <c r="DJ15">
        <v>-1242074</v>
      </c>
      <c r="DK15">
        <v>0</v>
      </c>
      <c r="DL15">
        <v>-1242074</v>
      </c>
      <c r="DM15">
        <v>-1276706</v>
      </c>
      <c r="DN15">
        <v>0</v>
      </c>
      <c r="DO15">
        <v>-3119</v>
      </c>
      <c r="DP15">
        <v>0</v>
      </c>
      <c r="DQ15">
        <v>-1279825</v>
      </c>
      <c r="DR15">
        <v>0</v>
      </c>
      <c r="DS15">
        <v>-1279825</v>
      </c>
      <c r="DT15">
        <v>64782856</v>
      </c>
      <c r="DU15">
        <v>0</v>
      </c>
      <c r="DV15" s="661">
        <v>64782856</v>
      </c>
      <c r="DW15" t="s">
        <v>1668</v>
      </c>
    </row>
    <row r="16" spans="1:127" ht="12.75" x14ac:dyDescent="0.2">
      <c r="A16" s="605">
        <v>9</v>
      </c>
      <c r="B16" s="606" t="s">
        <v>693</v>
      </c>
      <c r="C16" s="607" t="s">
        <v>1190</v>
      </c>
      <c r="D16" s="608" t="s">
        <v>1191</v>
      </c>
      <c r="E16" s="609" t="s">
        <v>692</v>
      </c>
      <c r="G16">
        <v>258180470</v>
      </c>
      <c r="H16">
        <v>40521751</v>
      </c>
      <c r="I16">
        <v>298702221</v>
      </c>
      <c r="J16">
        <v>49.9</v>
      </c>
      <c r="K16">
        <v>128832055</v>
      </c>
      <c r="L16">
        <v>20220354</v>
      </c>
      <c r="M16">
        <v>-91773</v>
      </c>
      <c r="N16">
        <v>600172</v>
      </c>
      <c r="O16">
        <v>128740282</v>
      </c>
      <c r="P16">
        <v>20820526</v>
      </c>
      <c r="Q16">
        <v>149560808</v>
      </c>
      <c r="R16">
        <v>-917056</v>
      </c>
      <c r="S16">
        <v>-24727</v>
      </c>
      <c r="T16">
        <v>-941783</v>
      </c>
      <c r="U16">
        <v>200253</v>
      </c>
      <c r="V16">
        <v>1107595</v>
      </c>
      <c r="W16">
        <v>1307848</v>
      </c>
      <c r="X16">
        <v>-716803</v>
      </c>
      <c r="Y16">
        <v>1082868</v>
      </c>
      <c r="Z16">
        <v>-86155</v>
      </c>
      <c r="AA16">
        <v>-609523</v>
      </c>
      <c r="AB16">
        <v>-802958</v>
      </c>
      <c r="AC16">
        <v>473345</v>
      </c>
      <c r="AD16">
        <v>-329613</v>
      </c>
      <c r="AE16">
        <v>802958</v>
      </c>
      <c r="AF16">
        <v>-473345</v>
      </c>
      <c r="AG16">
        <v>329613</v>
      </c>
      <c r="AH16">
        <v>-8221012</v>
      </c>
      <c r="AI16">
        <v>-5614</v>
      </c>
      <c r="AJ16">
        <v>-8226626</v>
      </c>
      <c r="AK16">
        <v>0</v>
      </c>
      <c r="AL16">
        <v>0</v>
      </c>
      <c r="AM16">
        <v>0</v>
      </c>
      <c r="AN16">
        <v>2174910</v>
      </c>
      <c r="AO16">
        <v>517126</v>
      </c>
      <c r="AP16">
        <v>2692036</v>
      </c>
      <c r="AQ16">
        <v>-6046102</v>
      </c>
      <c r="AR16">
        <v>511512</v>
      </c>
      <c r="AS16">
        <v>-5534590</v>
      </c>
      <c r="AT16">
        <v>-13748414</v>
      </c>
      <c r="AU16">
        <v>0</v>
      </c>
      <c r="AV16">
        <v>-13748414</v>
      </c>
      <c r="AW16">
        <v>-221614</v>
      </c>
      <c r="AX16">
        <v>0</v>
      </c>
      <c r="AY16">
        <v>-221614</v>
      </c>
      <c r="AZ16">
        <v>0</v>
      </c>
      <c r="BA16">
        <v>0</v>
      </c>
      <c r="BB16">
        <v>0</v>
      </c>
      <c r="BC16">
        <v>0</v>
      </c>
      <c r="BD16">
        <v>0</v>
      </c>
      <c r="BE16">
        <v>0</v>
      </c>
      <c r="BF16">
        <v>-20016130</v>
      </c>
      <c r="BG16">
        <v>511512</v>
      </c>
      <c r="BH16">
        <v>-328116</v>
      </c>
      <c r="BI16">
        <v>13581</v>
      </c>
      <c r="BJ16">
        <v>-20344246</v>
      </c>
      <c r="BK16">
        <v>525093</v>
      </c>
      <c r="BL16">
        <v>-19819153</v>
      </c>
      <c r="BM16">
        <v>0</v>
      </c>
      <c r="BN16">
        <v>0</v>
      </c>
      <c r="BO16">
        <v>0</v>
      </c>
      <c r="BP16">
        <v>-4305613</v>
      </c>
      <c r="BQ16">
        <v>-1072127</v>
      </c>
      <c r="BR16">
        <v>-5377740</v>
      </c>
      <c r="BS16">
        <v>-4305613</v>
      </c>
      <c r="BT16">
        <v>-1072127</v>
      </c>
      <c r="BU16">
        <v>0</v>
      </c>
      <c r="BV16">
        <v>0</v>
      </c>
      <c r="BW16">
        <v>-4305613</v>
      </c>
      <c r="BX16">
        <v>-1072127</v>
      </c>
      <c r="BY16">
        <v>-5377740</v>
      </c>
      <c r="BZ16">
        <v>-290446</v>
      </c>
      <c r="CA16">
        <v>0</v>
      </c>
      <c r="CB16">
        <v>-290446</v>
      </c>
      <c r="CC16">
        <v>-20838</v>
      </c>
      <c r="CD16">
        <v>0</v>
      </c>
      <c r="CE16">
        <v>-20838</v>
      </c>
      <c r="CF16">
        <v>-3792</v>
      </c>
      <c r="CG16">
        <v>0</v>
      </c>
      <c r="CH16">
        <v>-3792</v>
      </c>
      <c r="CI16">
        <v>0</v>
      </c>
      <c r="CJ16">
        <v>0</v>
      </c>
      <c r="CK16">
        <v>0</v>
      </c>
      <c r="CL16">
        <v>0</v>
      </c>
      <c r="CM16">
        <v>0</v>
      </c>
      <c r="CN16">
        <v>0</v>
      </c>
      <c r="CO16">
        <v>0</v>
      </c>
      <c r="CP16">
        <v>0</v>
      </c>
      <c r="CQ16">
        <v>0</v>
      </c>
      <c r="CR16">
        <v>0</v>
      </c>
      <c r="CS16">
        <v>0</v>
      </c>
      <c r="CT16">
        <v>-315076</v>
      </c>
      <c r="CU16">
        <v>0</v>
      </c>
      <c r="CV16">
        <v>0</v>
      </c>
      <c r="CW16">
        <v>0</v>
      </c>
      <c r="CX16">
        <v>-315076</v>
      </c>
      <c r="CY16">
        <v>0</v>
      </c>
      <c r="CZ16">
        <v>-315076</v>
      </c>
      <c r="DA16">
        <v>0</v>
      </c>
      <c r="DB16">
        <v>0</v>
      </c>
      <c r="DC16">
        <v>0</v>
      </c>
      <c r="DD16">
        <v>-133115</v>
      </c>
      <c r="DE16">
        <v>0</v>
      </c>
      <c r="DF16">
        <v>-133115</v>
      </c>
      <c r="DG16">
        <v>-39534</v>
      </c>
      <c r="DH16">
        <v>0</v>
      </c>
      <c r="DI16">
        <v>-39534</v>
      </c>
      <c r="DJ16">
        <v>-6521347</v>
      </c>
      <c r="DK16">
        <v>-59752</v>
      </c>
      <c r="DL16">
        <v>-6581099</v>
      </c>
      <c r="DM16">
        <v>-6693996</v>
      </c>
      <c r="DN16">
        <v>-59752</v>
      </c>
      <c r="DO16">
        <v>0</v>
      </c>
      <c r="DP16">
        <v>0</v>
      </c>
      <c r="DQ16">
        <v>-6693996</v>
      </c>
      <c r="DR16">
        <v>-59752</v>
      </c>
      <c r="DS16">
        <v>-6753748</v>
      </c>
      <c r="DT16">
        <v>96278393</v>
      </c>
      <c r="DU16">
        <v>20687085</v>
      </c>
      <c r="DV16" s="661">
        <v>116965478</v>
      </c>
      <c r="DW16" t="s">
        <v>1669</v>
      </c>
    </row>
    <row r="17" spans="1:127" ht="12.75" x14ac:dyDescent="0.2">
      <c r="A17" s="605">
        <v>10</v>
      </c>
      <c r="B17" s="606" t="s">
        <v>695</v>
      </c>
      <c r="C17" s="607" t="s">
        <v>1192</v>
      </c>
      <c r="D17" s="608" t="s">
        <v>1193</v>
      </c>
      <c r="E17" s="609" t="s">
        <v>694</v>
      </c>
      <c r="G17">
        <v>138993962</v>
      </c>
      <c r="H17">
        <v>1774750</v>
      </c>
      <c r="I17">
        <v>140768712</v>
      </c>
      <c r="J17">
        <v>49.9</v>
      </c>
      <c r="K17">
        <v>69357987</v>
      </c>
      <c r="L17">
        <v>885600</v>
      </c>
      <c r="M17">
        <v>0</v>
      </c>
      <c r="N17">
        <v>0</v>
      </c>
      <c r="O17">
        <v>69357987</v>
      </c>
      <c r="P17">
        <v>885600</v>
      </c>
      <c r="Q17">
        <v>70243587</v>
      </c>
      <c r="R17">
        <v>-313512</v>
      </c>
      <c r="S17">
        <v>0</v>
      </c>
      <c r="T17">
        <v>-313512</v>
      </c>
      <c r="U17">
        <v>1211454</v>
      </c>
      <c r="V17">
        <v>0</v>
      </c>
      <c r="W17">
        <v>1211454</v>
      </c>
      <c r="X17">
        <v>897942</v>
      </c>
      <c r="Y17">
        <v>0</v>
      </c>
      <c r="Z17">
        <v>0</v>
      </c>
      <c r="AA17">
        <v>0</v>
      </c>
      <c r="AB17">
        <v>897942</v>
      </c>
      <c r="AC17">
        <v>0</v>
      </c>
      <c r="AD17">
        <v>897942</v>
      </c>
      <c r="AE17">
        <v>-897942</v>
      </c>
      <c r="AF17">
        <v>0</v>
      </c>
      <c r="AG17">
        <v>-897942</v>
      </c>
      <c r="AH17">
        <v>-8109349</v>
      </c>
      <c r="AI17">
        <v>0</v>
      </c>
      <c r="AJ17">
        <v>-8109349</v>
      </c>
      <c r="AK17">
        <v>0</v>
      </c>
      <c r="AL17">
        <v>0</v>
      </c>
      <c r="AM17">
        <v>0</v>
      </c>
      <c r="AN17">
        <v>1195814</v>
      </c>
      <c r="AO17">
        <v>19572</v>
      </c>
      <c r="AP17">
        <v>1215386</v>
      </c>
      <c r="AQ17">
        <v>-6913535</v>
      </c>
      <c r="AR17">
        <v>19572</v>
      </c>
      <c r="AS17">
        <v>-6893963</v>
      </c>
      <c r="AT17">
        <v>-5423716</v>
      </c>
      <c r="AU17">
        <v>0</v>
      </c>
      <c r="AV17">
        <v>-5423716</v>
      </c>
      <c r="AW17">
        <v>-70134</v>
      </c>
      <c r="AX17">
        <v>0</v>
      </c>
      <c r="AY17">
        <v>-70134</v>
      </c>
      <c r="AZ17">
        <v>-3424</v>
      </c>
      <c r="BA17">
        <v>0</v>
      </c>
      <c r="BB17">
        <v>-3424</v>
      </c>
      <c r="BC17">
        <v>0</v>
      </c>
      <c r="BD17">
        <v>0</v>
      </c>
      <c r="BE17">
        <v>0</v>
      </c>
      <c r="BF17">
        <v>-12410809</v>
      </c>
      <c r="BG17">
        <v>19572</v>
      </c>
      <c r="BH17">
        <v>-729000</v>
      </c>
      <c r="BI17">
        <v>0</v>
      </c>
      <c r="BJ17">
        <v>-13139809</v>
      </c>
      <c r="BK17">
        <v>19572</v>
      </c>
      <c r="BL17">
        <v>-13120237</v>
      </c>
      <c r="BM17">
        <v>0</v>
      </c>
      <c r="BN17">
        <v>0</v>
      </c>
      <c r="BO17">
        <v>0</v>
      </c>
      <c r="BP17">
        <v>-1820841</v>
      </c>
      <c r="BQ17">
        <v>0</v>
      </c>
      <c r="BR17">
        <v>-1820841</v>
      </c>
      <c r="BS17">
        <v>-1820841</v>
      </c>
      <c r="BT17">
        <v>0</v>
      </c>
      <c r="BU17">
        <v>-500000</v>
      </c>
      <c r="BV17">
        <v>0</v>
      </c>
      <c r="BW17">
        <v>-2320841</v>
      </c>
      <c r="BX17">
        <v>0</v>
      </c>
      <c r="BY17">
        <v>-2320841</v>
      </c>
      <c r="BZ17">
        <v>-15045</v>
      </c>
      <c r="CA17">
        <v>0</v>
      </c>
      <c r="CB17">
        <v>-15045</v>
      </c>
      <c r="CC17">
        <v>-73558</v>
      </c>
      <c r="CD17">
        <v>0</v>
      </c>
      <c r="CE17">
        <v>-73558</v>
      </c>
      <c r="CF17">
        <v>0</v>
      </c>
      <c r="CG17">
        <v>0</v>
      </c>
      <c r="CH17">
        <v>0</v>
      </c>
      <c r="CI17">
        <v>-423</v>
      </c>
      <c r="CJ17">
        <v>0</v>
      </c>
      <c r="CK17">
        <v>-423</v>
      </c>
      <c r="CL17">
        <v>0</v>
      </c>
      <c r="CM17">
        <v>0</v>
      </c>
      <c r="CN17">
        <v>0</v>
      </c>
      <c r="CO17">
        <v>0</v>
      </c>
      <c r="CP17">
        <v>-129306</v>
      </c>
      <c r="CQ17">
        <v>-129306</v>
      </c>
      <c r="CR17">
        <v>-129306</v>
      </c>
      <c r="CS17">
        <v>0</v>
      </c>
      <c r="CT17">
        <v>-89026</v>
      </c>
      <c r="CU17">
        <v>-129306</v>
      </c>
      <c r="CV17">
        <v>0</v>
      </c>
      <c r="CW17">
        <v>0</v>
      </c>
      <c r="CX17">
        <v>-89026</v>
      </c>
      <c r="CY17">
        <v>-129306</v>
      </c>
      <c r="CZ17">
        <v>-218332</v>
      </c>
      <c r="DA17">
        <v>-1862</v>
      </c>
      <c r="DB17">
        <v>0</v>
      </c>
      <c r="DC17">
        <v>-1862</v>
      </c>
      <c r="DD17">
        <v>-22579</v>
      </c>
      <c r="DE17">
        <v>0</v>
      </c>
      <c r="DF17">
        <v>-22579</v>
      </c>
      <c r="DG17">
        <v>-7895</v>
      </c>
      <c r="DH17">
        <v>0</v>
      </c>
      <c r="DI17">
        <v>-7895</v>
      </c>
      <c r="DJ17">
        <v>-1065591</v>
      </c>
      <c r="DK17">
        <v>0</v>
      </c>
      <c r="DL17">
        <v>-1065591</v>
      </c>
      <c r="DM17">
        <v>-1097927</v>
      </c>
      <c r="DN17">
        <v>0</v>
      </c>
      <c r="DO17">
        <v>0</v>
      </c>
      <c r="DP17">
        <v>0</v>
      </c>
      <c r="DQ17">
        <v>-1097927</v>
      </c>
      <c r="DR17">
        <v>0</v>
      </c>
      <c r="DS17">
        <v>-1097927</v>
      </c>
      <c r="DT17">
        <v>53608326</v>
      </c>
      <c r="DU17">
        <v>775866</v>
      </c>
      <c r="DV17" s="661">
        <v>54384192</v>
      </c>
      <c r="DW17" t="s">
        <v>1670</v>
      </c>
    </row>
    <row r="18" spans="1:127" ht="12.75" x14ac:dyDescent="0.2">
      <c r="A18" s="605">
        <v>11</v>
      </c>
      <c r="B18" s="606" t="s">
        <v>697</v>
      </c>
      <c r="C18" s="607" t="s">
        <v>1185</v>
      </c>
      <c r="D18" s="608" t="s">
        <v>1187</v>
      </c>
      <c r="E18" s="609" t="s">
        <v>696</v>
      </c>
      <c r="G18">
        <v>54394225</v>
      </c>
      <c r="H18">
        <v>0</v>
      </c>
      <c r="I18">
        <v>54394225</v>
      </c>
      <c r="J18">
        <v>49.9</v>
      </c>
      <c r="K18">
        <v>27142718</v>
      </c>
      <c r="L18">
        <v>0</v>
      </c>
      <c r="M18">
        <v>0</v>
      </c>
      <c r="N18">
        <v>0</v>
      </c>
      <c r="O18">
        <v>27142718</v>
      </c>
      <c r="P18">
        <v>0</v>
      </c>
      <c r="Q18">
        <v>27142718</v>
      </c>
      <c r="R18">
        <v>-94355</v>
      </c>
      <c r="S18">
        <v>0</v>
      </c>
      <c r="T18">
        <v>-94355</v>
      </c>
      <c r="U18">
        <v>814371</v>
      </c>
      <c r="V18">
        <v>0</v>
      </c>
      <c r="W18">
        <v>814371</v>
      </c>
      <c r="X18">
        <v>720016</v>
      </c>
      <c r="Y18">
        <v>0</v>
      </c>
      <c r="Z18">
        <v>0</v>
      </c>
      <c r="AA18">
        <v>0</v>
      </c>
      <c r="AB18">
        <v>720016</v>
      </c>
      <c r="AC18">
        <v>0</v>
      </c>
      <c r="AD18">
        <v>720016</v>
      </c>
      <c r="AE18">
        <v>-720016</v>
      </c>
      <c r="AF18">
        <v>0</v>
      </c>
      <c r="AG18">
        <v>-720016</v>
      </c>
      <c r="AH18">
        <v>-2339174</v>
      </c>
      <c r="AI18">
        <v>0</v>
      </c>
      <c r="AJ18">
        <v>-2339174</v>
      </c>
      <c r="AK18">
        <v>0</v>
      </c>
      <c r="AL18">
        <v>0</v>
      </c>
      <c r="AM18">
        <v>0</v>
      </c>
      <c r="AN18">
        <v>500476</v>
      </c>
      <c r="AO18">
        <v>0</v>
      </c>
      <c r="AP18">
        <v>500476</v>
      </c>
      <c r="AQ18">
        <v>-1838698</v>
      </c>
      <c r="AR18">
        <v>0</v>
      </c>
      <c r="AS18">
        <v>-1838698</v>
      </c>
      <c r="AT18">
        <v>-1846588</v>
      </c>
      <c r="AU18">
        <v>0</v>
      </c>
      <c r="AV18">
        <v>-1846588</v>
      </c>
      <c r="AW18">
        <v>-100262</v>
      </c>
      <c r="AX18">
        <v>0</v>
      </c>
      <c r="AY18">
        <v>-100262</v>
      </c>
      <c r="AZ18">
        <v>0</v>
      </c>
      <c r="BA18">
        <v>0</v>
      </c>
      <c r="BB18">
        <v>0</v>
      </c>
      <c r="BC18">
        <v>0</v>
      </c>
      <c r="BD18">
        <v>0</v>
      </c>
      <c r="BE18">
        <v>0</v>
      </c>
      <c r="BF18">
        <v>-3785548</v>
      </c>
      <c r="BG18">
        <v>0</v>
      </c>
      <c r="BH18">
        <v>0</v>
      </c>
      <c r="BI18">
        <v>0</v>
      </c>
      <c r="BJ18">
        <v>-3785548</v>
      </c>
      <c r="BK18">
        <v>0</v>
      </c>
      <c r="BL18">
        <v>-3785548</v>
      </c>
      <c r="BM18">
        <v>-194881</v>
      </c>
      <c r="BN18">
        <v>0</v>
      </c>
      <c r="BO18">
        <v>-194881</v>
      </c>
      <c r="BP18">
        <v>-392277</v>
      </c>
      <c r="BQ18">
        <v>0</v>
      </c>
      <c r="BR18">
        <v>-392277</v>
      </c>
      <c r="BS18">
        <v>-587158</v>
      </c>
      <c r="BT18">
        <v>0</v>
      </c>
      <c r="BU18">
        <v>0</v>
      </c>
      <c r="BV18">
        <v>0</v>
      </c>
      <c r="BW18">
        <v>-587158</v>
      </c>
      <c r="BX18">
        <v>0</v>
      </c>
      <c r="BY18">
        <v>-587158</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-3999</v>
      </c>
      <c r="DE18">
        <v>0</v>
      </c>
      <c r="DF18">
        <v>-3999</v>
      </c>
      <c r="DG18">
        <v>-1531</v>
      </c>
      <c r="DH18">
        <v>0</v>
      </c>
      <c r="DI18">
        <v>-1531</v>
      </c>
      <c r="DJ18">
        <v>-366410</v>
      </c>
      <c r="DK18">
        <v>0</v>
      </c>
      <c r="DL18">
        <v>-366410</v>
      </c>
      <c r="DM18">
        <v>-371940</v>
      </c>
      <c r="DN18">
        <v>0</v>
      </c>
      <c r="DO18">
        <v>0</v>
      </c>
      <c r="DP18">
        <v>0</v>
      </c>
      <c r="DQ18">
        <v>-371940</v>
      </c>
      <c r="DR18">
        <v>0</v>
      </c>
      <c r="DS18">
        <v>-371940</v>
      </c>
      <c r="DT18">
        <v>23118088</v>
      </c>
      <c r="DU18">
        <v>0</v>
      </c>
      <c r="DV18" s="661">
        <v>23118088</v>
      </c>
      <c r="DW18" t="s">
        <v>1671</v>
      </c>
    </row>
    <row r="19" spans="1:127" ht="12.75" x14ac:dyDescent="0.2">
      <c r="A19" s="605">
        <v>12</v>
      </c>
      <c r="B19" s="606" t="s">
        <v>699</v>
      </c>
      <c r="C19" s="607" t="s">
        <v>1185</v>
      </c>
      <c r="D19" s="608" t="s">
        <v>1189</v>
      </c>
      <c r="E19" s="609" t="s">
        <v>698</v>
      </c>
      <c r="G19">
        <v>191752944</v>
      </c>
      <c r="H19">
        <v>0</v>
      </c>
      <c r="I19">
        <v>191752944</v>
      </c>
      <c r="J19">
        <v>49.9</v>
      </c>
      <c r="K19">
        <v>95684719</v>
      </c>
      <c r="L19">
        <v>0</v>
      </c>
      <c r="M19">
        <v>454314</v>
      </c>
      <c r="N19">
        <v>0</v>
      </c>
      <c r="O19">
        <v>96139033</v>
      </c>
      <c r="P19">
        <v>0</v>
      </c>
      <c r="Q19">
        <v>96139033</v>
      </c>
      <c r="R19">
        <v>-328239</v>
      </c>
      <c r="S19">
        <v>0</v>
      </c>
      <c r="T19">
        <v>-328239</v>
      </c>
      <c r="U19">
        <v>725327</v>
      </c>
      <c r="V19">
        <v>0</v>
      </c>
      <c r="W19">
        <v>725327</v>
      </c>
      <c r="X19">
        <v>397088</v>
      </c>
      <c r="Y19">
        <v>0</v>
      </c>
      <c r="Z19">
        <v>-1641</v>
      </c>
      <c r="AA19">
        <v>0</v>
      </c>
      <c r="AB19">
        <v>395447</v>
      </c>
      <c r="AC19">
        <v>0</v>
      </c>
      <c r="AD19">
        <v>395447</v>
      </c>
      <c r="AE19">
        <v>-395447</v>
      </c>
      <c r="AF19">
        <v>0</v>
      </c>
      <c r="AG19">
        <v>-395447</v>
      </c>
      <c r="AH19">
        <v>-5471179</v>
      </c>
      <c r="AI19">
        <v>0</v>
      </c>
      <c r="AJ19">
        <v>-5471179</v>
      </c>
      <c r="AK19">
        <v>0</v>
      </c>
      <c r="AL19">
        <v>0</v>
      </c>
      <c r="AM19">
        <v>0</v>
      </c>
      <c r="AN19">
        <v>1850200</v>
      </c>
      <c r="AO19">
        <v>0</v>
      </c>
      <c r="AP19">
        <v>1850200</v>
      </c>
      <c r="AQ19">
        <v>-3620979</v>
      </c>
      <c r="AR19">
        <v>0</v>
      </c>
      <c r="AS19">
        <v>-3620979</v>
      </c>
      <c r="AT19">
        <v>-4308232</v>
      </c>
      <c r="AU19">
        <v>0</v>
      </c>
      <c r="AV19">
        <v>-4308232</v>
      </c>
      <c r="AW19">
        <v>-61979</v>
      </c>
      <c r="AX19">
        <v>0</v>
      </c>
      <c r="AY19">
        <v>-61979</v>
      </c>
      <c r="AZ19">
        <v>-1715</v>
      </c>
      <c r="BA19">
        <v>0</v>
      </c>
      <c r="BB19">
        <v>-1715</v>
      </c>
      <c r="BC19">
        <v>0</v>
      </c>
      <c r="BD19">
        <v>0</v>
      </c>
      <c r="BE19">
        <v>0</v>
      </c>
      <c r="BF19">
        <v>-7992905</v>
      </c>
      <c r="BG19">
        <v>0</v>
      </c>
      <c r="BH19">
        <v>-142135</v>
      </c>
      <c r="BI19">
        <v>0</v>
      </c>
      <c r="BJ19">
        <v>-8135040</v>
      </c>
      <c r="BK19">
        <v>0</v>
      </c>
      <c r="BL19">
        <v>-8135040</v>
      </c>
      <c r="BM19">
        <v>0</v>
      </c>
      <c r="BN19">
        <v>0</v>
      </c>
      <c r="BO19">
        <v>0</v>
      </c>
      <c r="BP19">
        <v>-1816524</v>
      </c>
      <c r="BQ19">
        <v>0</v>
      </c>
      <c r="BR19">
        <v>-1816524</v>
      </c>
      <c r="BS19">
        <v>-1816524</v>
      </c>
      <c r="BT19">
        <v>0</v>
      </c>
      <c r="BU19">
        <v>-438582</v>
      </c>
      <c r="BV19">
        <v>0</v>
      </c>
      <c r="BW19">
        <v>-2255106</v>
      </c>
      <c r="BX19">
        <v>0</v>
      </c>
      <c r="BY19">
        <v>-2255106</v>
      </c>
      <c r="BZ19">
        <v>-1027</v>
      </c>
      <c r="CA19">
        <v>0</v>
      </c>
      <c r="CB19">
        <v>-1027</v>
      </c>
      <c r="CC19">
        <v>-41327</v>
      </c>
      <c r="CD19">
        <v>0</v>
      </c>
      <c r="CE19">
        <v>-41327</v>
      </c>
      <c r="CF19">
        <v>0</v>
      </c>
      <c r="CG19">
        <v>0</v>
      </c>
      <c r="CH19">
        <v>0</v>
      </c>
      <c r="CI19">
        <v>0</v>
      </c>
      <c r="CJ19">
        <v>0</v>
      </c>
      <c r="CK19">
        <v>0</v>
      </c>
      <c r="CL19">
        <v>0</v>
      </c>
      <c r="CM19">
        <v>0</v>
      </c>
      <c r="CN19">
        <v>0</v>
      </c>
      <c r="CO19">
        <v>0</v>
      </c>
      <c r="CP19">
        <v>0</v>
      </c>
      <c r="CQ19">
        <v>0</v>
      </c>
      <c r="CR19">
        <v>0</v>
      </c>
      <c r="CS19">
        <v>0</v>
      </c>
      <c r="CT19">
        <v>-42354</v>
      </c>
      <c r="CU19">
        <v>0</v>
      </c>
      <c r="CV19">
        <v>-50000</v>
      </c>
      <c r="CW19">
        <v>0</v>
      </c>
      <c r="CX19">
        <v>-92354</v>
      </c>
      <c r="CY19">
        <v>0</v>
      </c>
      <c r="CZ19">
        <v>-92354</v>
      </c>
      <c r="DA19">
        <v>-1715</v>
      </c>
      <c r="DB19">
        <v>0</v>
      </c>
      <c r="DC19">
        <v>-1715</v>
      </c>
      <c r="DD19">
        <v>-20154</v>
      </c>
      <c r="DE19">
        <v>0</v>
      </c>
      <c r="DF19">
        <v>-20154</v>
      </c>
      <c r="DG19">
        <v>-7452</v>
      </c>
      <c r="DH19">
        <v>0</v>
      </c>
      <c r="DI19">
        <v>-7452</v>
      </c>
      <c r="DJ19">
        <v>-1699634</v>
      </c>
      <c r="DK19">
        <v>0</v>
      </c>
      <c r="DL19">
        <v>-1699634</v>
      </c>
      <c r="DM19">
        <v>-1728955</v>
      </c>
      <c r="DN19">
        <v>0</v>
      </c>
      <c r="DO19">
        <v>2091</v>
      </c>
      <c r="DP19">
        <v>0</v>
      </c>
      <c r="DQ19">
        <v>-1726864</v>
      </c>
      <c r="DR19">
        <v>0</v>
      </c>
      <c r="DS19">
        <v>-1726864</v>
      </c>
      <c r="DT19">
        <v>84325116</v>
      </c>
      <c r="DU19">
        <v>0</v>
      </c>
      <c r="DV19" s="661">
        <v>84325116</v>
      </c>
      <c r="DW19" t="s">
        <v>1672</v>
      </c>
    </row>
    <row r="20" spans="1:127" ht="12.75" x14ac:dyDescent="0.2">
      <c r="A20" s="605">
        <v>13</v>
      </c>
      <c r="B20" s="606" t="s">
        <v>701</v>
      </c>
      <c r="C20" s="607" t="s">
        <v>1185</v>
      </c>
      <c r="D20" s="608" t="s">
        <v>1186</v>
      </c>
      <c r="E20" s="609" t="s">
        <v>917</v>
      </c>
      <c r="G20">
        <v>175939267</v>
      </c>
      <c r="H20">
        <v>4510315</v>
      </c>
      <c r="I20">
        <v>180449582</v>
      </c>
      <c r="J20">
        <v>49.9</v>
      </c>
      <c r="K20">
        <v>87793694</v>
      </c>
      <c r="L20">
        <v>2250647</v>
      </c>
      <c r="M20">
        <v>970000</v>
      </c>
      <c r="N20">
        <v>525000</v>
      </c>
      <c r="O20">
        <v>88763694</v>
      </c>
      <c r="P20">
        <v>2775647</v>
      </c>
      <c r="Q20">
        <v>91539341</v>
      </c>
      <c r="R20">
        <v>-261205</v>
      </c>
      <c r="S20">
        <v>-2342</v>
      </c>
      <c r="T20">
        <v>-263547</v>
      </c>
      <c r="U20">
        <v>2096848</v>
      </c>
      <c r="V20">
        <v>0</v>
      </c>
      <c r="W20">
        <v>2096848</v>
      </c>
      <c r="X20">
        <v>1835643</v>
      </c>
      <c r="Y20">
        <v>-2342</v>
      </c>
      <c r="Z20">
        <v>1800000</v>
      </c>
      <c r="AA20">
        <v>0</v>
      </c>
      <c r="AB20">
        <v>3635643</v>
      </c>
      <c r="AC20">
        <v>-2342</v>
      </c>
      <c r="AD20">
        <v>3633301</v>
      </c>
      <c r="AE20">
        <v>-3635643</v>
      </c>
      <c r="AF20">
        <v>2342</v>
      </c>
      <c r="AG20">
        <v>-3633301</v>
      </c>
      <c r="AH20">
        <v>-3065628</v>
      </c>
      <c r="AI20">
        <v>-25120</v>
      </c>
      <c r="AJ20">
        <v>-3090748</v>
      </c>
      <c r="AK20">
        <v>-71417</v>
      </c>
      <c r="AL20">
        <v>0</v>
      </c>
      <c r="AM20">
        <v>-71417</v>
      </c>
      <c r="AN20">
        <v>1787155</v>
      </c>
      <c r="AO20">
        <v>43726</v>
      </c>
      <c r="AP20">
        <v>1830881</v>
      </c>
      <c r="AQ20">
        <v>-1278473</v>
      </c>
      <c r="AR20">
        <v>18606</v>
      </c>
      <c r="AS20">
        <v>-1259867</v>
      </c>
      <c r="AT20">
        <v>-4015104</v>
      </c>
      <c r="AU20">
        <v>-25600</v>
      </c>
      <c r="AV20">
        <v>-4040704</v>
      </c>
      <c r="AW20">
        <v>-11653</v>
      </c>
      <c r="AX20">
        <v>0</v>
      </c>
      <c r="AY20">
        <v>-11653</v>
      </c>
      <c r="AZ20">
        <v>-24368</v>
      </c>
      <c r="BA20">
        <v>0</v>
      </c>
      <c r="BB20">
        <v>-24368</v>
      </c>
      <c r="BC20">
        <v>-150000</v>
      </c>
      <c r="BD20">
        <v>0</v>
      </c>
      <c r="BE20">
        <v>-150000</v>
      </c>
      <c r="BF20">
        <v>-5479598</v>
      </c>
      <c r="BG20">
        <v>-6994</v>
      </c>
      <c r="BH20">
        <v>-250000</v>
      </c>
      <c r="BI20">
        <v>-205000</v>
      </c>
      <c r="BJ20">
        <v>-5729598</v>
      </c>
      <c r="BK20">
        <v>-211994</v>
      </c>
      <c r="BL20">
        <v>-5941592</v>
      </c>
      <c r="BM20">
        <v>-372064</v>
      </c>
      <c r="BN20">
        <v>0</v>
      </c>
      <c r="BO20">
        <v>-372064</v>
      </c>
      <c r="BP20">
        <v>-2116449</v>
      </c>
      <c r="BQ20">
        <v>-494893</v>
      </c>
      <c r="BR20">
        <v>-2611342</v>
      </c>
      <c r="BS20">
        <v>-2488513</v>
      </c>
      <c r="BT20">
        <v>-494893</v>
      </c>
      <c r="BU20">
        <v>-2125000</v>
      </c>
      <c r="BV20">
        <v>-150000</v>
      </c>
      <c r="BW20">
        <v>-4613513</v>
      </c>
      <c r="BX20">
        <v>-644893</v>
      </c>
      <c r="BY20">
        <v>-5258406</v>
      </c>
      <c r="BZ20">
        <v>-549983</v>
      </c>
      <c r="CA20">
        <v>-6400</v>
      </c>
      <c r="CB20">
        <v>-556383</v>
      </c>
      <c r="CC20">
        <v>-148818</v>
      </c>
      <c r="CD20">
        <v>0</v>
      </c>
      <c r="CE20">
        <v>-148818</v>
      </c>
      <c r="CF20">
        <v>-2913</v>
      </c>
      <c r="CG20">
        <v>0</v>
      </c>
      <c r="CH20">
        <v>-2913</v>
      </c>
      <c r="CI20">
        <v>-55811</v>
      </c>
      <c r="CJ20">
        <v>0</v>
      </c>
      <c r="CK20">
        <v>-55811</v>
      </c>
      <c r="CL20">
        <v>0</v>
      </c>
      <c r="CM20">
        <v>0</v>
      </c>
      <c r="CN20">
        <v>0</v>
      </c>
      <c r="CO20">
        <v>0</v>
      </c>
      <c r="CP20">
        <v>-600000</v>
      </c>
      <c r="CQ20">
        <v>-600000</v>
      </c>
      <c r="CR20">
        <v>-600000</v>
      </c>
      <c r="CS20">
        <v>0</v>
      </c>
      <c r="CT20">
        <v>-757525</v>
      </c>
      <c r="CU20">
        <v>-606400</v>
      </c>
      <c r="CV20">
        <v>-50000</v>
      </c>
      <c r="CW20">
        <v>-51000</v>
      </c>
      <c r="CX20">
        <v>-807525</v>
      </c>
      <c r="CY20">
        <v>-657400</v>
      </c>
      <c r="CZ20">
        <v>-1464925</v>
      </c>
      <c r="DA20">
        <v>-24368</v>
      </c>
      <c r="DB20">
        <v>0</v>
      </c>
      <c r="DC20">
        <v>-24368</v>
      </c>
      <c r="DD20">
        <v>-30053</v>
      </c>
      <c r="DE20">
        <v>0</v>
      </c>
      <c r="DF20">
        <v>-30053</v>
      </c>
      <c r="DG20">
        <v>-13860</v>
      </c>
      <c r="DH20">
        <v>-140</v>
      </c>
      <c r="DI20">
        <v>-14000</v>
      </c>
      <c r="DJ20">
        <v>-1253447</v>
      </c>
      <c r="DK20">
        <v>-806</v>
      </c>
      <c r="DL20">
        <v>-1254253</v>
      </c>
      <c r="DM20">
        <v>-1321728</v>
      </c>
      <c r="DN20">
        <v>-946</v>
      </c>
      <c r="DO20">
        <v>0</v>
      </c>
      <c r="DP20">
        <v>0</v>
      </c>
      <c r="DQ20">
        <v>-1321728</v>
      </c>
      <c r="DR20">
        <v>-946</v>
      </c>
      <c r="DS20">
        <v>-1322674</v>
      </c>
      <c r="DT20">
        <v>79926973</v>
      </c>
      <c r="DU20">
        <v>1258072</v>
      </c>
      <c r="DV20" s="661">
        <v>81185045</v>
      </c>
      <c r="DW20" t="s">
        <v>1673</v>
      </c>
    </row>
    <row r="21" spans="1:127" ht="12.75" x14ac:dyDescent="0.2">
      <c r="A21" s="605">
        <v>14</v>
      </c>
      <c r="B21" s="606" t="s">
        <v>703</v>
      </c>
      <c r="C21" s="607" t="s">
        <v>1185</v>
      </c>
      <c r="D21" s="608" t="s">
        <v>1188</v>
      </c>
      <c r="E21" s="609" t="s">
        <v>702</v>
      </c>
      <c r="G21">
        <v>112727844</v>
      </c>
      <c r="H21">
        <v>0</v>
      </c>
      <c r="I21">
        <v>112727844</v>
      </c>
      <c r="J21">
        <v>49.9</v>
      </c>
      <c r="K21">
        <v>56251194</v>
      </c>
      <c r="L21">
        <v>0</v>
      </c>
      <c r="M21">
        <v>-2332160</v>
      </c>
      <c r="N21">
        <v>0</v>
      </c>
      <c r="O21">
        <v>53919034</v>
      </c>
      <c r="P21">
        <v>0</v>
      </c>
      <c r="Q21">
        <v>53919034</v>
      </c>
      <c r="R21">
        <v>-321596</v>
      </c>
      <c r="S21">
        <v>0</v>
      </c>
      <c r="T21">
        <v>-321596</v>
      </c>
      <c r="U21">
        <v>6517789</v>
      </c>
      <c r="V21">
        <v>0</v>
      </c>
      <c r="W21">
        <v>6517789</v>
      </c>
      <c r="X21">
        <v>6196193</v>
      </c>
      <c r="Y21">
        <v>0</v>
      </c>
      <c r="Z21">
        <v>-2879000</v>
      </c>
      <c r="AA21">
        <v>0</v>
      </c>
      <c r="AB21">
        <v>3317193</v>
      </c>
      <c r="AC21">
        <v>0</v>
      </c>
      <c r="AD21">
        <v>3317193</v>
      </c>
      <c r="AE21">
        <v>-3317193</v>
      </c>
      <c r="AF21">
        <v>0</v>
      </c>
      <c r="AG21">
        <v>-3317193</v>
      </c>
      <c r="AH21">
        <v>-4488248</v>
      </c>
      <c r="AI21">
        <v>0</v>
      </c>
      <c r="AJ21">
        <v>-4488248</v>
      </c>
      <c r="AK21">
        <v>-12500</v>
      </c>
      <c r="AL21">
        <v>0</v>
      </c>
      <c r="AM21">
        <v>-12500</v>
      </c>
      <c r="AN21">
        <v>1058372</v>
      </c>
      <c r="AO21">
        <v>0</v>
      </c>
      <c r="AP21">
        <v>1058372</v>
      </c>
      <c r="AQ21">
        <v>-3429876</v>
      </c>
      <c r="AR21">
        <v>0</v>
      </c>
      <c r="AS21">
        <v>-3429876</v>
      </c>
      <c r="AT21">
        <v>-3237794</v>
      </c>
      <c r="AU21">
        <v>0</v>
      </c>
      <c r="AV21">
        <v>-3237794</v>
      </c>
      <c r="AW21">
        <v>-50958</v>
      </c>
      <c r="AX21">
        <v>0</v>
      </c>
      <c r="AY21">
        <v>-50958</v>
      </c>
      <c r="AZ21">
        <v>-31998</v>
      </c>
      <c r="BA21">
        <v>0</v>
      </c>
      <c r="BB21">
        <v>-31998</v>
      </c>
      <c r="BC21">
        <v>0</v>
      </c>
      <c r="BD21">
        <v>0</v>
      </c>
      <c r="BE21">
        <v>0</v>
      </c>
      <c r="BF21">
        <v>-6750626</v>
      </c>
      <c r="BG21">
        <v>0</v>
      </c>
      <c r="BH21">
        <v>0</v>
      </c>
      <c r="BI21">
        <v>0</v>
      </c>
      <c r="BJ21">
        <v>-6750626</v>
      </c>
      <c r="BK21">
        <v>0</v>
      </c>
      <c r="BL21">
        <v>-6750626</v>
      </c>
      <c r="BM21">
        <v>-100000</v>
      </c>
      <c r="BN21">
        <v>0</v>
      </c>
      <c r="BO21">
        <v>-100000</v>
      </c>
      <c r="BP21">
        <v>-895442</v>
      </c>
      <c r="BQ21">
        <v>0</v>
      </c>
      <c r="BR21">
        <v>-895442</v>
      </c>
      <c r="BS21">
        <v>-995442</v>
      </c>
      <c r="BT21">
        <v>0</v>
      </c>
      <c r="BU21">
        <v>0</v>
      </c>
      <c r="BV21">
        <v>0</v>
      </c>
      <c r="BW21">
        <v>-995442</v>
      </c>
      <c r="BX21">
        <v>0</v>
      </c>
      <c r="BY21">
        <v>-995442</v>
      </c>
      <c r="BZ21">
        <v>-95000</v>
      </c>
      <c r="CA21">
        <v>0</v>
      </c>
      <c r="CB21">
        <v>-95000</v>
      </c>
      <c r="CC21">
        <v>-9933</v>
      </c>
      <c r="CD21">
        <v>0</v>
      </c>
      <c r="CE21">
        <v>-9933</v>
      </c>
      <c r="CF21">
        <v>-3567</v>
      </c>
      <c r="CG21">
        <v>0</v>
      </c>
      <c r="CH21">
        <v>-3567</v>
      </c>
      <c r="CI21">
        <v>0</v>
      </c>
      <c r="CJ21">
        <v>0</v>
      </c>
      <c r="CK21">
        <v>0</v>
      </c>
      <c r="CL21">
        <v>-576</v>
      </c>
      <c r="CM21">
        <v>0</v>
      </c>
      <c r="CN21">
        <v>-576</v>
      </c>
      <c r="CO21">
        <v>0</v>
      </c>
      <c r="CP21">
        <v>0</v>
      </c>
      <c r="CQ21">
        <v>0</v>
      </c>
      <c r="CR21">
        <v>0</v>
      </c>
      <c r="CS21">
        <v>0</v>
      </c>
      <c r="CT21">
        <v>-109076</v>
      </c>
      <c r="CU21">
        <v>0</v>
      </c>
      <c r="CV21">
        <v>0</v>
      </c>
      <c r="CW21">
        <v>0</v>
      </c>
      <c r="CX21">
        <v>-109076</v>
      </c>
      <c r="CY21">
        <v>0</v>
      </c>
      <c r="CZ21">
        <v>-109076</v>
      </c>
      <c r="DA21">
        <v>-31998</v>
      </c>
      <c r="DB21">
        <v>0</v>
      </c>
      <c r="DC21">
        <v>-31998</v>
      </c>
      <c r="DD21">
        <v>-43726</v>
      </c>
      <c r="DE21">
        <v>0</v>
      </c>
      <c r="DF21">
        <v>-43726</v>
      </c>
      <c r="DG21">
        <v>-8000</v>
      </c>
      <c r="DH21">
        <v>0</v>
      </c>
      <c r="DI21">
        <v>-8000</v>
      </c>
      <c r="DJ21">
        <v>-790878</v>
      </c>
      <c r="DK21">
        <v>0</v>
      </c>
      <c r="DL21">
        <v>-790878</v>
      </c>
      <c r="DM21">
        <v>-874602</v>
      </c>
      <c r="DN21">
        <v>0</v>
      </c>
      <c r="DO21">
        <v>0</v>
      </c>
      <c r="DP21">
        <v>0</v>
      </c>
      <c r="DQ21">
        <v>-874602</v>
      </c>
      <c r="DR21">
        <v>0</v>
      </c>
      <c r="DS21">
        <v>-874602</v>
      </c>
      <c r="DT21">
        <v>48506481</v>
      </c>
      <c r="DU21">
        <v>0</v>
      </c>
      <c r="DV21" s="661">
        <v>48506481</v>
      </c>
      <c r="DW21" t="s">
        <v>1674</v>
      </c>
    </row>
    <row r="22" spans="1:127" ht="12.75" x14ac:dyDescent="0.2">
      <c r="A22" s="605">
        <v>15</v>
      </c>
      <c r="B22" s="606" t="s">
        <v>705</v>
      </c>
      <c r="C22" s="607" t="s">
        <v>524</v>
      </c>
      <c r="D22" s="608" t="s">
        <v>1194</v>
      </c>
      <c r="E22" s="609" t="s">
        <v>918</v>
      </c>
      <c r="G22">
        <v>172109837</v>
      </c>
      <c r="H22">
        <v>14421335</v>
      </c>
      <c r="I22">
        <v>186531172</v>
      </c>
      <c r="J22">
        <v>49.9</v>
      </c>
      <c r="K22">
        <v>85882809</v>
      </c>
      <c r="L22">
        <v>7196246</v>
      </c>
      <c r="M22">
        <v>295407</v>
      </c>
      <c r="N22">
        <v>-473695</v>
      </c>
      <c r="O22">
        <v>86178216</v>
      </c>
      <c r="P22">
        <v>6722551</v>
      </c>
      <c r="Q22">
        <v>92900767</v>
      </c>
      <c r="R22">
        <v>-314252</v>
      </c>
      <c r="S22">
        <v>-18870</v>
      </c>
      <c r="T22">
        <v>-333122</v>
      </c>
      <c r="U22">
        <v>413929</v>
      </c>
      <c r="V22">
        <v>0</v>
      </c>
      <c r="W22">
        <v>413929</v>
      </c>
      <c r="X22">
        <v>99677</v>
      </c>
      <c r="Y22">
        <v>-18870</v>
      </c>
      <c r="Z22">
        <v>0</v>
      </c>
      <c r="AA22">
        <v>0</v>
      </c>
      <c r="AB22">
        <v>99677</v>
      </c>
      <c r="AC22">
        <v>-18870</v>
      </c>
      <c r="AD22">
        <v>80807</v>
      </c>
      <c r="AE22">
        <v>-99677</v>
      </c>
      <c r="AF22">
        <v>18870</v>
      </c>
      <c r="AG22">
        <v>-80807</v>
      </c>
      <c r="AH22">
        <v>-7100694</v>
      </c>
      <c r="AI22">
        <v>-122737</v>
      </c>
      <c r="AJ22">
        <v>-7223431</v>
      </c>
      <c r="AK22">
        <v>-24838</v>
      </c>
      <c r="AL22">
        <v>0</v>
      </c>
      <c r="AM22">
        <v>-24838</v>
      </c>
      <c r="AN22">
        <v>1570875</v>
      </c>
      <c r="AO22">
        <v>152242</v>
      </c>
      <c r="AP22">
        <v>1723117</v>
      </c>
      <c r="AQ22">
        <v>-5529819</v>
      </c>
      <c r="AR22">
        <v>29505</v>
      </c>
      <c r="AS22">
        <v>-5500314</v>
      </c>
      <c r="AT22">
        <v>-9620930</v>
      </c>
      <c r="AU22">
        <v>-347939</v>
      </c>
      <c r="AV22">
        <v>-9968869</v>
      </c>
      <c r="AW22">
        <v>-170346</v>
      </c>
      <c r="AX22">
        <v>0</v>
      </c>
      <c r="AY22">
        <v>-170346</v>
      </c>
      <c r="AZ22">
        <v>-17292</v>
      </c>
      <c r="BA22">
        <v>0</v>
      </c>
      <c r="BB22">
        <v>-17292</v>
      </c>
      <c r="BC22">
        <v>0</v>
      </c>
      <c r="BD22">
        <v>0</v>
      </c>
      <c r="BE22">
        <v>0</v>
      </c>
      <c r="BF22">
        <v>-15338387</v>
      </c>
      <c r="BG22">
        <v>-318434</v>
      </c>
      <c r="BH22">
        <v>-491500</v>
      </c>
      <c r="BI22">
        <v>-8500</v>
      </c>
      <c r="BJ22">
        <v>-15829887</v>
      </c>
      <c r="BK22">
        <v>-326934</v>
      </c>
      <c r="BL22">
        <v>-16156821</v>
      </c>
      <c r="BM22">
        <v>0</v>
      </c>
      <c r="BN22">
        <v>0</v>
      </c>
      <c r="BO22">
        <v>0</v>
      </c>
      <c r="BP22">
        <v>-2920155</v>
      </c>
      <c r="BQ22">
        <v>-251446</v>
      </c>
      <c r="BR22">
        <v>-3171601</v>
      </c>
      <c r="BS22">
        <v>-2920155</v>
      </c>
      <c r="BT22">
        <v>-251446</v>
      </c>
      <c r="BU22">
        <v>-438000</v>
      </c>
      <c r="BV22">
        <v>-37700</v>
      </c>
      <c r="BW22">
        <v>-3358155</v>
      </c>
      <c r="BX22">
        <v>-289146</v>
      </c>
      <c r="BY22">
        <v>-3647301</v>
      </c>
      <c r="BZ22">
        <v>-96004</v>
      </c>
      <c r="CA22">
        <v>0</v>
      </c>
      <c r="CB22">
        <v>-96004</v>
      </c>
      <c r="CC22">
        <v>-29637</v>
      </c>
      <c r="CD22">
        <v>0</v>
      </c>
      <c r="CE22">
        <v>-29637</v>
      </c>
      <c r="CF22">
        <v>-22577</v>
      </c>
      <c r="CG22">
        <v>0</v>
      </c>
      <c r="CH22">
        <v>-22577</v>
      </c>
      <c r="CI22">
        <v>0</v>
      </c>
      <c r="CJ22">
        <v>0</v>
      </c>
      <c r="CK22">
        <v>0</v>
      </c>
      <c r="CL22">
        <v>-33040</v>
      </c>
      <c r="CM22">
        <v>0</v>
      </c>
      <c r="CN22">
        <v>-33040</v>
      </c>
      <c r="CO22">
        <v>0</v>
      </c>
      <c r="CP22">
        <v>-37000</v>
      </c>
      <c r="CQ22">
        <v>-37000</v>
      </c>
      <c r="CR22">
        <v>-37000</v>
      </c>
      <c r="CS22">
        <v>0</v>
      </c>
      <c r="CT22">
        <v>-181258</v>
      </c>
      <c r="CU22">
        <v>-37000</v>
      </c>
      <c r="CV22">
        <v>0</v>
      </c>
      <c r="CW22">
        <v>0</v>
      </c>
      <c r="CX22">
        <v>-181258</v>
      </c>
      <c r="CY22">
        <v>-37000</v>
      </c>
      <c r="CZ22">
        <v>-218258</v>
      </c>
      <c r="DA22">
        <v>-17292</v>
      </c>
      <c r="DB22">
        <v>0</v>
      </c>
      <c r="DC22">
        <v>-17292</v>
      </c>
      <c r="DD22">
        <v>-30001</v>
      </c>
      <c r="DE22">
        <v>0</v>
      </c>
      <c r="DF22">
        <v>-30001</v>
      </c>
      <c r="DG22">
        <v>-10685</v>
      </c>
      <c r="DH22">
        <v>-400</v>
      </c>
      <c r="DI22">
        <v>-11085</v>
      </c>
      <c r="DJ22">
        <v>-1590866</v>
      </c>
      <c r="DK22">
        <v>-87330</v>
      </c>
      <c r="DL22">
        <v>-1678196</v>
      </c>
      <c r="DM22">
        <v>-1648844</v>
      </c>
      <c r="DN22">
        <v>-87730</v>
      </c>
      <c r="DO22">
        <v>0</v>
      </c>
      <c r="DP22">
        <v>0</v>
      </c>
      <c r="DQ22">
        <v>-1648844</v>
      </c>
      <c r="DR22">
        <v>-87730</v>
      </c>
      <c r="DS22">
        <v>-1736574</v>
      </c>
      <c r="DT22">
        <v>65259749</v>
      </c>
      <c r="DU22">
        <v>5962871</v>
      </c>
      <c r="DV22" s="661">
        <v>71222620</v>
      </c>
      <c r="DW22" t="s">
        <v>1675</v>
      </c>
    </row>
    <row r="23" spans="1:127" ht="12.75" x14ac:dyDescent="0.2">
      <c r="A23" s="605">
        <v>16</v>
      </c>
      <c r="B23" s="606" t="s">
        <v>707</v>
      </c>
      <c r="C23" s="607" t="s">
        <v>524</v>
      </c>
      <c r="D23" s="608" t="s">
        <v>1189</v>
      </c>
      <c r="E23" s="609" t="s">
        <v>706</v>
      </c>
      <c r="G23">
        <v>163992499</v>
      </c>
      <c r="H23">
        <v>0</v>
      </c>
      <c r="I23">
        <v>163992499</v>
      </c>
      <c r="J23">
        <v>49.9</v>
      </c>
      <c r="K23">
        <v>81832257</v>
      </c>
      <c r="L23">
        <v>0</v>
      </c>
      <c r="M23">
        <v>3158108</v>
      </c>
      <c r="N23">
        <v>0</v>
      </c>
      <c r="O23">
        <v>84990365</v>
      </c>
      <c r="P23">
        <v>0</v>
      </c>
      <c r="Q23">
        <v>84990365</v>
      </c>
      <c r="R23">
        <v>-181636</v>
      </c>
      <c r="S23">
        <v>0</v>
      </c>
      <c r="T23">
        <v>-181636</v>
      </c>
      <c r="U23">
        <v>1352316</v>
      </c>
      <c r="V23">
        <v>0</v>
      </c>
      <c r="W23">
        <v>1352316</v>
      </c>
      <c r="X23">
        <v>1170680</v>
      </c>
      <c r="Y23">
        <v>0</v>
      </c>
      <c r="Z23">
        <v>0</v>
      </c>
      <c r="AA23">
        <v>0</v>
      </c>
      <c r="AB23">
        <v>1170680</v>
      </c>
      <c r="AC23">
        <v>0</v>
      </c>
      <c r="AD23">
        <v>1170680</v>
      </c>
      <c r="AE23">
        <v>-1170680</v>
      </c>
      <c r="AF23">
        <v>0</v>
      </c>
      <c r="AG23">
        <v>-1170680</v>
      </c>
      <c r="AH23">
        <v>-5891557</v>
      </c>
      <c r="AI23">
        <v>0</v>
      </c>
      <c r="AJ23">
        <v>-5891557</v>
      </c>
      <c r="AK23">
        <v>-5439</v>
      </c>
      <c r="AL23">
        <v>0</v>
      </c>
      <c r="AM23">
        <v>-5439</v>
      </c>
      <c r="AN23">
        <v>1589474</v>
      </c>
      <c r="AO23">
        <v>0</v>
      </c>
      <c r="AP23">
        <v>1589474</v>
      </c>
      <c r="AQ23">
        <v>-4302083</v>
      </c>
      <c r="AR23">
        <v>0</v>
      </c>
      <c r="AS23">
        <v>-4302083</v>
      </c>
      <c r="AT23">
        <v>-6705881</v>
      </c>
      <c r="AU23">
        <v>0</v>
      </c>
      <c r="AV23">
        <v>-6705881</v>
      </c>
      <c r="AW23">
        <v>-166728</v>
      </c>
      <c r="AX23">
        <v>0</v>
      </c>
      <c r="AY23">
        <v>-166728</v>
      </c>
      <c r="AZ23">
        <v>-42871</v>
      </c>
      <c r="BA23">
        <v>0</v>
      </c>
      <c r="BB23">
        <v>-42871</v>
      </c>
      <c r="BC23">
        <v>0</v>
      </c>
      <c r="BD23">
        <v>0</v>
      </c>
      <c r="BE23">
        <v>0</v>
      </c>
      <c r="BF23">
        <v>-11217563</v>
      </c>
      <c r="BG23">
        <v>0</v>
      </c>
      <c r="BH23">
        <v>0</v>
      </c>
      <c r="BI23">
        <v>0</v>
      </c>
      <c r="BJ23">
        <v>-11217563</v>
      </c>
      <c r="BK23">
        <v>0</v>
      </c>
      <c r="BL23">
        <v>-11217563</v>
      </c>
      <c r="BM23">
        <v>0</v>
      </c>
      <c r="BN23">
        <v>0</v>
      </c>
      <c r="BO23">
        <v>0</v>
      </c>
      <c r="BP23">
        <v>-2000000</v>
      </c>
      <c r="BQ23">
        <v>0</v>
      </c>
      <c r="BR23">
        <v>-2000000</v>
      </c>
      <c r="BS23">
        <v>-2000000</v>
      </c>
      <c r="BT23">
        <v>0</v>
      </c>
      <c r="BU23">
        <v>0</v>
      </c>
      <c r="BV23">
        <v>0</v>
      </c>
      <c r="BW23">
        <v>-2000000</v>
      </c>
      <c r="BX23">
        <v>0</v>
      </c>
      <c r="BY23">
        <v>-2000000</v>
      </c>
      <c r="BZ23">
        <v>-93000</v>
      </c>
      <c r="CA23">
        <v>0</v>
      </c>
      <c r="CB23">
        <v>-93000</v>
      </c>
      <c r="CC23">
        <v>-2500</v>
      </c>
      <c r="CD23">
        <v>0</v>
      </c>
      <c r="CE23">
        <v>-2500</v>
      </c>
      <c r="CF23">
        <v>-2000</v>
      </c>
      <c r="CG23">
        <v>0</v>
      </c>
      <c r="CH23">
        <v>-2000</v>
      </c>
      <c r="CI23">
        <v>0</v>
      </c>
      <c r="CJ23">
        <v>0</v>
      </c>
      <c r="CK23">
        <v>0</v>
      </c>
      <c r="CL23">
        <v>-2500</v>
      </c>
      <c r="CM23">
        <v>0</v>
      </c>
      <c r="CN23">
        <v>-2500</v>
      </c>
      <c r="CO23">
        <v>0</v>
      </c>
      <c r="CP23">
        <v>0</v>
      </c>
      <c r="CQ23">
        <v>0</v>
      </c>
      <c r="CR23">
        <v>0</v>
      </c>
      <c r="CS23">
        <v>0</v>
      </c>
      <c r="CT23">
        <v>-100000</v>
      </c>
      <c r="CU23">
        <v>0</v>
      </c>
      <c r="CV23">
        <v>0</v>
      </c>
      <c r="CW23">
        <v>0</v>
      </c>
      <c r="CX23">
        <v>-100000</v>
      </c>
      <c r="CY23">
        <v>0</v>
      </c>
      <c r="CZ23">
        <v>-100000</v>
      </c>
      <c r="DA23">
        <v>-37079</v>
      </c>
      <c r="DB23">
        <v>0</v>
      </c>
      <c r="DC23">
        <v>-37079</v>
      </c>
      <c r="DD23">
        <v>-10587</v>
      </c>
      <c r="DE23">
        <v>0</v>
      </c>
      <c r="DF23">
        <v>-10587</v>
      </c>
      <c r="DG23">
        <v>-6000</v>
      </c>
      <c r="DH23">
        <v>0</v>
      </c>
      <c r="DI23">
        <v>-6000</v>
      </c>
      <c r="DJ23">
        <v>-1416588</v>
      </c>
      <c r="DK23">
        <v>0</v>
      </c>
      <c r="DL23">
        <v>-1416588</v>
      </c>
      <c r="DM23">
        <v>-1470254</v>
      </c>
      <c r="DN23">
        <v>0</v>
      </c>
      <c r="DO23">
        <v>0</v>
      </c>
      <c r="DP23">
        <v>0</v>
      </c>
      <c r="DQ23">
        <v>-1470254</v>
      </c>
      <c r="DR23">
        <v>0</v>
      </c>
      <c r="DS23">
        <v>-1470254</v>
      </c>
      <c r="DT23">
        <v>71373228</v>
      </c>
      <c r="DU23">
        <v>0</v>
      </c>
      <c r="DV23" s="661">
        <v>71373228</v>
      </c>
      <c r="DW23" t="s">
        <v>1676</v>
      </c>
    </row>
    <row r="24" spans="1:127" ht="12.75" x14ac:dyDescent="0.2">
      <c r="A24" s="605">
        <v>17</v>
      </c>
      <c r="B24" s="606" t="s">
        <v>709</v>
      </c>
      <c r="C24" s="607" t="s">
        <v>1190</v>
      </c>
      <c r="D24" s="608" t="s">
        <v>1191</v>
      </c>
      <c r="E24" s="609" t="s">
        <v>708</v>
      </c>
      <c r="G24">
        <v>193129287</v>
      </c>
      <c r="H24">
        <v>0</v>
      </c>
      <c r="I24">
        <v>193129287</v>
      </c>
      <c r="J24">
        <v>49.9</v>
      </c>
      <c r="K24">
        <v>96371514</v>
      </c>
      <c r="L24">
        <v>0</v>
      </c>
      <c r="M24">
        <v>0</v>
      </c>
      <c r="N24">
        <v>0</v>
      </c>
      <c r="O24">
        <v>96371514</v>
      </c>
      <c r="P24">
        <v>0</v>
      </c>
      <c r="Q24">
        <v>96371514</v>
      </c>
      <c r="R24">
        <v>-269569</v>
      </c>
      <c r="S24">
        <v>0</v>
      </c>
      <c r="T24">
        <v>-269569</v>
      </c>
      <c r="U24">
        <v>447254</v>
      </c>
      <c r="V24">
        <v>0</v>
      </c>
      <c r="W24">
        <v>447254</v>
      </c>
      <c r="X24">
        <v>177685</v>
      </c>
      <c r="Y24">
        <v>0</v>
      </c>
      <c r="Z24">
        <v>0</v>
      </c>
      <c r="AA24">
        <v>0</v>
      </c>
      <c r="AB24">
        <v>177685</v>
      </c>
      <c r="AC24">
        <v>0</v>
      </c>
      <c r="AD24">
        <v>177685</v>
      </c>
      <c r="AE24">
        <v>-177685</v>
      </c>
      <c r="AF24">
        <v>0</v>
      </c>
      <c r="AG24">
        <v>-177685</v>
      </c>
      <c r="AH24">
        <v>-6782630</v>
      </c>
      <c r="AI24">
        <v>0</v>
      </c>
      <c r="AJ24">
        <v>-6782630</v>
      </c>
      <c r="AK24">
        <v>-3293</v>
      </c>
      <c r="AL24">
        <v>0</v>
      </c>
      <c r="AM24">
        <v>-3293</v>
      </c>
      <c r="AN24">
        <v>1886469</v>
      </c>
      <c r="AO24">
        <v>0</v>
      </c>
      <c r="AP24">
        <v>1886469</v>
      </c>
      <c r="AQ24">
        <v>-4896161</v>
      </c>
      <c r="AR24">
        <v>0</v>
      </c>
      <c r="AS24">
        <v>-4896161</v>
      </c>
      <c r="AT24">
        <v>-8520018</v>
      </c>
      <c r="AU24">
        <v>0</v>
      </c>
      <c r="AV24">
        <v>-8520018</v>
      </c>
      <c r="AW24">
        <v>-108769</v>
      </c>
      <c r="AX24">
        <v>0</v>
      </c>
      <c r="AY24">
        <v>-108769</v>
      </c>
      <c r="AZ24">
        <v>0</v>
      </c>
      <c r="BA24">
        <v>0</v>
      </c>
      <c r="BB24">
        <v>0</v>
      </c>
      <c r="BC24">
        <v>0</v>
      </c>
      <c r="BD24">
        <v>0</v>
      </c>
      <c r="BE24">
        <v>0</v>
      </c>
      <c r="BF24">
        <v>-13524948</v>
      </c>
      <c r="BG24">
        <v>0</v>
      </c>
      <c r="BH24">
        <v>0</v>
      </c>
      <c r="BI24">
        <v>0</v>
      </c>
      <c r="BJ24">
        <v>-13524948</v>
      </c>
      <c r="BK24">
        <v>0</v>
      </c>
      <c r="BL24">
        <v>-13524948</v>
      </c>
      <c r="BM24">
        <v>-6949</v>
      </c>
      <c r="BN24">
        <v>0</v>
      </c>
      <c r="BO24">
        <v>-6949</v>
      </c>
      <c r="BP24">
        <v>-1521754</v>
      </c>
      <c r="BQ24">
        <v>0</v>
      </c>
      <c r="BR24">
        <v>-1521754</v>
      </c>
      <c r="BS24">
        <v>-1528703</v>
      </c>
      <c r="BT24">
        <v>0</v>
      </c>
      <c r="BU24">
        <v>0</v>
      </c>
      <c r="BV24">
        <v>0</v>
      </c>
      <c r="BW24">
        <v>-1528703</v>
      </c>
      <c r="BX24">
        <v>0</v>
      </c>
      <c r="BY24">
        <v>-1528703</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-31369</v>
      </c>
      <c r="DE24">
        <v>0</v>
      </c>
      <c r="DF24">
        <v>-31369</v>
      </c>
      <c r="DG24">
        <v>-15669</v>
      </c>
      <c r="DH24">
        <v>0</v>
      </c>
      <c r="DI24">
        <v>-15669</v>
      </c>
      <c r="DJ24">
        <v>-1158208</v>
      </c>
      <c r="DK24">
        <v>0</v>
      </c>
      <c r="DL24">
        <v>-1158208</v>
      </c>
      <c r="DM24">
        <v>-1205246</v>
      </c>
      <c r="DN24">
        <v>0</v>
      </c>
      <c r="DO24">
        <v>0</v>
      </c>
      <c r="DP24">
        <v>0</v>
      </c>
      <c r="DQ24">
        <v>-1205246</v>
      </c>
      <c r="DR24">
        <v>0</v>
      </c>
      <c r="DS24">
        <v>-1205246</v>
      </c>
      <c r="DT24">
        <v>80290302</v>
      </c>
      <c r="DU24">
        <v>0</v>
      </c>
      <c r="DV24" s="661">
        <v>80290302</v>
      </c>
      <c r="DW24" t="s">
        <v>1677</v>
      </c>
    </row>
    <row r="25" spans="1:127" ht="12.75" x14ac:dyDescent="0.2">
      <c r="A25" s="605">
        <v>18</v>
      </c>
      <c r="B25" s="606" t="s">
        <v>711</v>
      </c>
      <c r="C25" s="607" t="s">
        <v>1192</v>
      </c>
      <c r="D25" s="608" t="s">
        <v>1195</v>
      </c>
      <c r="E25" s="609" t="s">
        <v>710</v>
      </c>
      <c r="G25">
        <v>1100587509</v>
      </c>
      <c r="H25">
        <v>30679765</v>
      </c>
      <c r="I25">
        <v>1131267274</v>
      </c>
      <c r="J25">
        <v>49.9</v>
      </c>
      <c r="K25">
        <v>549193167</v>
      </c>
      <c r="L25">
        <v>15309203</v>
      </c>
      <c r="M25">
        <v>17449565</v>
      </c>
      <c r="N25">
        <v>12564502</v>
      </c>
      <c r="O25">
        <v>566642732</v>
      </c>
      <c r="P25">
        <v>27873705</v>
      </c>
      <c r="Q25">
        <v>594516437</v>
      </c>
      <c r="R25">
        <v>-2547000</v>
      </c>
      <c r="S25">
        <v>0</v>
      </c>
      <c r="T25">
        <v>-2547000</v>
      </c>
      <c r="U25">
        <v>3615250</v>
      </c>
      <c r="V25">
        <v>0</v>
      </c>
      <c r="W25">
        <v>3615250</v>
      </c>
      <c r="X25">
        <v>1068250</v>
      </c>
      <c r="Y25">
        <v>0</v>
      </c>
      <c r="Z25">
        <v>0</v>
      </c>
      <c r="AA25">
        <v>0</v>
      </c>
      <c r="AB25">
        <v>1068250</v>
      </c>
      <c r="AC25">
        <v>0</v>
      </c>
      <c r="AD25">
        <v>1068250</v>
      </c>
      <c r="AE25">
        <v>-1068250</v>
      </c>
      <c r="AF25">
        <v>0</v>
      </c>
      <c r="AG25">
        <v>-1068250</v>
      </c>
      <c r="AH25">
        <v>-41082333</v>
      </c>
      <c r="AI25">
        <v>-1041453</v>
      </c>
      <c r="AJ25">
        <v>-42123786</v>
      </c>
      <c r="AK25">
        <v>0</v>
      </c>
      <c r="AL25">
        <v>0</v>
      </c>
      <c r="AM25">
        <v>0</v>
      </c>
      <c r="AN25">
        <v>11498226</v>
      </c>
      <c r="AO25">
        <v>274331</v>
      </c>
      <c r="AP25">
        <v>11772557</v>
      </c>
      <c r="AQ25">
        <v>-29584107</v>
      </c>
      <c r="AR25">
        <v>-767122</v>
      </c>
      <c r="AS25">
        <v>-30351229</v>
      </c>
      <c r="AT25">
        <v>-42507800</v>
      </c>
      <c r="AU25">
        <v>-2407110</v>
      </c>
      <c r="AV25">
        <v>-44914910</v>
      </c>
      <c r="AW25">
        <v>-135000</v>
      </c>
      <c r="AX25">
        <v>0</v>
      </c>
      <c r="AY25">
        <v>-135000</v>
      </c>
      <c r="AZ25">
        <v>0</v>
      </c>
      <c r="BA25">
        <v>0</v>
      </c>
      <c r="BB25">
        <v>0</v>
      </c>
      <c r="BC25">
        <v>0</v>
      </c>
      <c r="BD25">
        <v>0</v>
      </c>
      <c r="BE25">
        <v>0</v>
      </c>
      <c r="BF25">
        <v>-72226907</v>
      </c>
      <c r="BG25">
        <v>-3174232</v>
      </c>
      <c r="BH25">
        <v>0</v>
      </c>
      <c r="BI25">
        <v>0</v>
      </c>
      <c r="BJ25">
        <v>-72226907</v>
      </c>
      <c r="BK25">
        <v>-3174232</v>
      </c>
      <c r="BL25">
        <v>-75401139</v>
      </c>
      <c r="BM25">
        <v>-360962</v>
      </c>
      <c r="BN25">
        <v>0</v>
      </c>
      <c r="BO25">
        <v>-360962</v>
      </c>
      <c r="BP25">
        <v>-22661074</v>
      </c>
      <c r="BQ25">
        <v>-1076247</v>
      </c>
      <c r="BR25">
        <v>-23737321</v>
      </c>
      <c r="BS25">
        <v>-23022036</v>
      </c>
      <c r="BT25">
        <v>-1076247</v>
      </c>
      <c r="BU25">
        <v>0</v>
      </c>
      <c r="BV25">
        <v>0</v>
      </c>
      <c r="BW25">
        <v>-23022036</v>
      </c>
      <c r="BX25">
        <v>-1076247</v>
      </c>
      <c r="BY25">
        <v>-24098283</v>
      </c>
      <c r="BZ25">
        <v>-50000</v>
      </c>
      <c r="CA25">
        <v>0</v>
      </c>
      <c r="CB25">
        <v>-50000</v>
      </c>
      <c r="CC25">
        <v>-850000</v>
      </c>
      <c r="CD25">
        <v>-8558</v>
      </c>
      <c r="CE25">
        <v>-858558</v>
      </c>
      <c r="CF25">
        <v>0</v>
      </c>
      <c r="CG25">
        <v>0</v>
      </c>
      <c r="CH25">
        <v>0</v>
      </c>
      <c r="CI25">
        <v>0</v>
      </c>
      <c r="CJ25">
        <v>0</v>
      </c>
      <c r="CK25">
        <v>0</v>
      </c>
      <c r="CL25">
        <v>0</v>
      </c>
      <c r="CM25">
        <v>0</v>
      </c>
      <c r="CN25">
        <v>0</v>
      </c>
      <c r="CO25">
        <v>0</v>
      </c>
      <c r="CP25">
        <v>-872371</v>
      </c>
      <c r="CQ25">
        <v>-872371</v>
      </c>
      <c r="CR25">
        <v>-872371</v>
      </c>
      <c r="CS25">
        <v>0</v>
      </c>
      <c r="CT25">
        <v>-900000</v>
      </c>
      <c r="CU25">
        <v>-880929</v>
      </c>
      <c r="CV25">
        <v>0</v>
      </c>
      <c r="CW25">
        <v>0</v>
      </c>
      <c r="CX25">
        <v>-900000</v>
      </c>
      <c r="CY25">
        <v>-880929</v>
      </c>
      <c r="CZ25">
        <v>-1780929</v>
      </c>
      <c r="DA25">
        <v>0</v>
      </c>
      <c r="DB25">
        <v>0</v>
      </c>
      <c r="DC25">
        <v>0</v>
      </c>
      <c r="DD25">
        <v>-526922</v>
      </c>
      <c r="DE25">
        <v>0</v>
      </c>
      <c r="DF25">
        <v>-526922</v>
      </c>
      <c r="DG25">
        <v>-75000</v>
      </c>
      <c r="DH25">
        <v>0</v>
      </c>
      <c r="DI25">
        <v>-75000</v>
      </c>
      <c r="DJ25">
        <v>-6800563</v>
      </c>
      <c r="DK25">
        <v>-162025</v>
      </c>
      <c r="DL25">
        <v>-6962588</v>
      </c>
      <c r="DM25">
        <v>-7402485</v>
      </c>
      <c r="DN25">
        <v>-162025</v>
      </c>
      <c r="DO25">
        <v>0</v>
      </c>
      <c r="DP25">
        <v>0</v>
      </c>
      <c r="DQ25">
        <v>-7402485</v>
      </c>
      <c r="DR25">
        <v>-162025</v>
      </c>
      <c r="DS25">
        <v>-7564510</v>
      </c>
      <c r="DT25">
        <v>464159554</v>
      </c>
      <c r="DU25">
        <v>22580272</v>
      </c>
      <c r="DV25" s="661">
        <v>486739826</v>
      </c>
      <c r="DW25" t="s">
        <v>1678</v>
      </c>
    </row>
    <row r="26" spans="1:127" ht="12.75" x14ac:dyDescent="0.2">
      <c r="A26" s="605">
        <v>19</v>
      </c>
      <c r="B26" s="606" t="s">
        <v>713</v>
      </c>
      <c r="C26" s="607" t="s">
        <v>1185</v>
      </c>
      <c r="D26" s="608" t="s">
        <v>1188</v>
      </c>
      <c r="E26" s="609" t="s">
        <v>712</v>
      </c>
      <c r="G26">
        <v>106108342</v>
      </c>
      <c r="H26">
        <v>0</v>
      </c>
      <c r="I26">
        <v>106108342</v>
      </c>
      <c r="J26">
        <v>49.9</v>
      </c>
      <c r="K26">
        <v>52948063</v>
      </c>
      <c r="L26">
        <v>0</v>
      </c>
      <c r="M26">
        <v>2851865</v>
      </c>
      <c r="N26">
        <v>0</v>
      </c>
      <c r="O26">
        <v>55799928</v>
      </c>
      <c r="P26">
        <v>0</v>
      </c>
      <c r="Q26">
        <v>55799928</v>
      </c>
      <c r="R26">
        <v>-195934</v>
      </c>
      <c r="S26">
        <v>0</v>
      </c>
      <c r="T26">
        <v>-195934</v>
      </c>
      <c r="U26">
        <v>227583.21</v>
      </c>
      <c r="V26">
        <v>0</v>
      </c>
      <c r="W26">
        <v>227583.21</v>
      </c>
      <c r="X26">
        <v>31649.209999999992</v>
      </c>
      <c r="Y26">
        <v>0</v>
      </c>
      <c r="Z26">
        <v>0</v>
      </c>
      <c r="AA26">
        <v>0</v>
      </c>
      <c r="AB26">
        <v>31649.209999999992</v>
      </c>
      <c r="AC26">
        <v>0</v>
      </c>
      <c r="AD26">
        <v>31649.209999999992</v>
      </c>
      <c r="AE26">
        <v>-31649.209999999992</v>
      </c>
      <c r="AF26">
        <v>0</v>
      </c>
      <c r="AG26">
        <v>-31649.209999999992</v>
      </c>
      <c r="AH26">
        <v>-2397308</v>
      </c>
      <c r="AI26">
        <v>0</v>
      </c>
      <c r="AJ26">
        <v>-2397308</v>
      </c>
      <c r="AK26">
        <v>-5763</v>
      </c>
      <c r="AL26">
        <v>0</v>
      </c>
      <c r="AM26">
        <v>-5763</v>
      </c>
      <c r="AN26">
        <v>1141668</v>
      </c>
      <c r="AO26">
        <v>0</v>
      </c>
      <c r="AP26">
        <v>1141668</v>
      </c>
      <c r="AQ26">
        <v>-1255640</v>
      </c>
      <c r="AR26">
        <v>0</v>
      </c>
      <c r="AS26">
        <v>-1255640</v>
      </c>
      <c r="AT26">
        <v>-1288967.8999999999</v>
      </c>
      <c r="AU26">
        <v>0</v>
      </c>
      <c r="AV26">
        <v>-1288967.8999999999</v>
      </c>
      <c r="AW26">
        <v>-49101</v>
      </c>
      <c r="AX26">
        <v>0</v>
      </c>
      <c r="AY26">
        <v>-49101</v>
      </c>
      <c r="AZ26">
        <v>0</v>
      </c>
      <c r="BA26">
        <v>0</v>
      </c>
      <c r="BB26">
        <v>0</v>
      </c>
      <c r="BC26">
        <v>0</v>
      </c>
      <c r="BD26">
        <v>0</v>
      </c>
      <c r="BE26">
        <v>0</v>
      </c>
      <c r="BF26">
        <v>-2593708.9</v>
      </c>
      <c r="BG26">
        <v>0</v>
      </c>
      <c r="BH26">
        <v>0</v>
      </c>
      <c r="BI26">
        <v>0</v>
      </c>
      <c r="BJ26">
        <v>-2593708.9</v>
      </c>
      <c r="BK26">
        <v>0</v>
      </c>
      <c r="BL26">
        <v>-2593708.9</v>
      </c>
      <c r="BM26">
        <v>0</v>
      </c>
      <c r="BN26">
        <v>0</v>
      </c>
      <c r="BO26">
        <v>0</v>
      </c>
      <c r="BP26">
        <v>-1200000</v>
      </c>
      <c r="BQ26">
        <v>0</v>
      </c>
      <c r="BR26">
        <v>-1200000</v>
      </c>
      <c r="BS26">
        <v>-1200000</v>
      </c>
      <c r="BT26">
        <v>0</v>
      </c>
      <c r="BU26">
        <v>0</v>
      </c>
      <c r="BV26">
        <v>0</v>
      </c>
      <c r="BW26">
        <v>-1200000</v>
      </c>
      <c r="BX26">
        <v>0</v>
      </c>
      <c r="BY26">
        <v>-1200000</v>
      </c>
      <c r="BZ26">
        <v>-60032.43</v>
      </c>
      <c r="CA26">
        <v>0</v>
      </c>
      <c r="CB26">
        <v>-60032.43</v>
      </c>
      <c r="CC26">
        <v>-2714</v>
      </c>
      <c r="CD26">
        <v>0</v>
      </c>
      <c r="CE26">
        <v>-2714</v>
      </c>
      <c r="CF26">
        <v>-5204.4799999999996</v>
      </c>
      <c r="CG26">
        <v>0</v>
      </c>
      <c r="CH26">
        <v>-5204.4799999999996</v>
      </c>
      <c r="CI26">
        <v>0</v>
      </c>
      <c r="CJ26">
        <v>0</v>
      </c>
      <c r="CK26">
        <v>0</v>
      </c>
      <c r="CL26">
        <v>0</v>
      </c>
      <c r="CM26">
        <v>0</v>
      </c>
      <c r="CN26">
        <v>0</v>
      </c>
      <c r="CO26">
        <v>0</v>
      </c>
      <c r="CP26">
        <v>0</v>
      </c>
      <c r="CQ26">
        <v>0</v>
      </c>
      <c r="CR26">
        <v>0</v>
      </c>
      <c r="CS26">
        <v>0</v>
      </c>
      <c r="CT26">
        <v>-67950.91</v>
      </c>
      <c r="CU26">
        <v>0</v>
      </c>
      <c r="CV26">
        <v>0</v>
      </c>
      <c r="CW26">
        <v>0</v>
      </c>
      <c r="CX26">
        <v>-67950.91</v>
      </c>
      <c r="CY26">
        <v>0</v>
      </c>
      <c r="CZ26">
        <v>-67950.91</v>
      </c>
      <c r="DA26">
        <v>0</v>
      </c>
      <c r="DB26">
        <v>0</v>
      </c>
      <c r="DC26">
        <v>0</v>
      </c>
      <c r="DD26">
        <v>-18183</v>
      </c>
      <c r="DE26">
        <v>0</v>
      </c>
      <c r="DF26">
        <v>-18183</v>
      </c>
      <c r="DG26">
        <v>-5591</v>
      </c>
      <c r="DH26">
        <v>0</v>
      </c>
      <c r="DI26">
        <v>-5591</v>
      </c>
      <c r="DJ26">
        <v>-111723.41</v>
      </c>
      <c r="DK26">
        <v>0</v>
      </c>
      <c r="DL26">
        <v>-111723.41</v>
      </c>
      <c r="DM26">
        <v>-135497.41</v>
      </c>
      <c r="DN26">
        <v>0</v>
      </c>
      <c r="DO26">
        <v>0</v>
      </c>
      <c r="DP26">
        <v>0</v>
      </c>
      <c r="DQ26">
        <v>-135497.41</v>
      </c>
      <c r="DR26">
        <v>0</v>
      </c>
      <c r="DS26">
        <v>-135497.41</v>
      </c>
      <c r="DT26">
        <v>51834419.99000001</v>
      </c>
      <c r="DU26">
        <v>0</v>
      </c>
      <c r="DV26" s="661">
        <v>51834419.99000001</v>
      </c>
      <c r="DW26" t="s">
        <v>1679</v>
      </c>
    </row>
    <row r="27" spans="1:127" ht="12.75" x14ac:dyDescent="0.2">
      <c r="A27" s="605">
        <v>20</v>
      </c>
      <c r="B27" s="606" t="s">
        <v>715</v>
      </c>
      <c r="C27" s="607" t="s">
        <v>524</v>
      </c>
      <c r="D27" s="608" t="s">
        <v>1187</v>
      </c>
      <c r="E27" s="609" t="s">
        <v>587</v>
      </c>
      <c r="G27">
        <v>120183705</v>
      </c>
      <c r="H27">
        <v>0</v>
      </c>
      <c r="I27">
        <v>120183705</v>
      </c>
      <c r="J27">
        <v>49.9</v>
      </c>
      <c r="K27">
        <v>59971669</v>
      </c>
      <c r="L27">
        <v>0</v>
      </c>
      <c r="M27">
        <v>350000</v>
      </c>
      <c r="N27">
        <v>0</v>
      </c>
      <c r="O27">
        <v>60321669</v>
      </c>
      <c r="P27">
        <v>0</v>
      </c>
      <c r="Q27">
        <v>60321669</v>
      </c>
      <c r="R27">
        <v>-500000</v>
      </c>
      <c r="S27">
        <v>0</v>
      </c>
      <c r="T27">
        <v>-500000</v>
      </c>
      <c r="U27">
        <v>1500000</v>
      </c>
      <c r="V27">
        <v>0</v>
      </c>
      <c r="W27">
        <v>1500000</v>
      </c>
      <c r="X27">
        <v>1000000</v>
      </c>
      <c r="Y27">
        <v>0</v>
      </c>
      <c r="Z27">
        <v>0</v>
      </c>
      <c r="AA27">
        <v>0</v>
      </c>
      <c r="AB27">
        <v>1000000</v>
      </c>
      <c r="AC27">
        <v>0</v>
      </c>
      <c r="AD27">
        <v>1000000</v>
      </c>
      <c r="AE27">
        <v>-1000000</v>
      </c>
      <c r="AF27">
        <v>0</v>
      </c>
      <c r="AG27">
        <v>-1000000</v>
      </c>
      <c r="AH27">
        <v>-8300000</v>
      </c>
      <c r="AI27">
        <v>0</v>
      </c>
      <c r="AJ27">
        <v>-8300000</v>
      </c>
      <c r="AK27">
        <v>-36500</v>
      </c>
      <c r="AL27">
        <v>0</v>
      </c>
      <c r="AM27">
        <v>-36500</v>
      </c>
      <c r="AN27">
        <v>1030000</v>
      </c>
      <c r="AO27">
        <v>0</v>
      </c>
      <c r="AP27">
        <v>1030000</v>
      </c>
      <c r="AQ27">
        <v>-7270000</v>
      </c>
      <c r="AR27">
        <v>0</v>
      </c>
      <c r="AS27">
        <v>-7270000</v>
      </c>
      <c r="AT27">
        <v>-4800000</v>
      </c>
      <c r="AU27">
        <v>0</v>
      </c>
      <c r="AV27">
        <v>-4800000</v>
      </c>
      <c r="AW27">
        <v>-85000</v>
      </c>
      <c r="AX27">
        <v>0</v>
      </c>
      <c r="AY27">
        <v>-85000</v>
      </c>
      <c r="AZ27">
        <v>-2000</v>
      </c>
      <c r="BA27">
        <v>0</v>
      </c>
      <c r="BB27">
        <v>-2000</v>
      </c>
      <c r="BC27">
        <v>0</v>
      </c>
      <c r="BD27">
        <v>0</v>
      </c>
      <c r="BE27">
        <v>0</v>
      </c>
      <c r="BF27">
        <v>-12157000</v>
      </c>
      <c r="BG27">
        <v>0</v>
      </c>
      <c r="BH27">
        <v>-100000</v>
      </c>
      <c r="BI27">
        <v>0</v>
      </c>
      <c r="BJ27">
        <v>-12257000</v>
      </c>
      <c r="BK27">
        <v>0</v>
      </c>
      <c r="BL27">
        <v>-12257000</v>
      </c>
      <c r="BM27">
        <v>-100000</v>
      </c>
      <c r="BN27">
        <v>0</v>
      </c>
      <c r="BO27">
        <v>-100000</v>
      </c>
      <c r="BP27">
        <v>-2200000</v>
      </c>
      <c r="BQ27">
        <v>0</v>
      </c>
      <c r="BR27">
        <v>-2200000</v>
      </c>
      <c r="BS27">
        <v>-2300000</v>
      </c>
      <c r="BT27">
        <v>0</v>
      </c>
      <c r="BU27">
        <v>-100000</v>
      </c>
      <c r="BV27">
        <v>0</v>
      </c>
      <c r="BW27">
        <v>-2400000</v>
      </c>
      <c r="BX27">
        <v>0</v>
      </c>
      <c r="BY27">
        <v>-2400000</v>
      </c>
      <c r="BZ27">
        <v>-35000</v>
      </c>
      <c r="CA27">
        <v>0</v>
      </c>
      <c r="CB27">
        <v>-35000</v>
      </c>
      <c r="CC27">
        <v>0</v>
      </c>
      <c r="CD27">
        <v>0</v>
      </c>
      <c r="CE27">
        <v>0</v>
      </c>
      <c r="CF27">
        <v>-1000</v>
      </c>
      <c r="CG27">
        <v>0</v>
      </c>
      <c r="CH27">
        <v>-1000</v>
      </c>
      <c r="CI27">
        <v>0</v>
      </c>
      <c r="CJ27">
        <v>0</v>
      </c>
      <c r="CK27">
        <v>0</v>
      </c>
      <c r="CL27">
        <v>0</v>
      </c>
      <c r="CM27">
        <v>0</v>
      </c>
      <c r="CN27">
        <v>0</v>
      </c>
      <c r="CO27">
        <v>-40000</v>
      </c>
      <c r="CP27">
        <v>0</v>
      </c>
      <c r="CQ27">
        <v>-40000</v>
      </c>
      <c r="CR27">
        <v>0</v>
      </c>
      <c r="CS27">
        <v>0</v>
      </c>
      <c r="CT27">
        <v>-76000</v>
      </c>
      <c r="CU27">
        <v>0</v>
      </c>
      <c r="CV27">
        <v>0</v>
      </c>
      <c r="CW27">
        <v>0</v>
      </c>
      <c r="CX27">
        <v>-76000</v>
      </c>
      <c r="CY27">
        <v>0</v>
      </c>
      <c r="CZ27">
        <v>-76000</v>
      </c>
      <c r="DA27">
        <v>-2000</v>
      </c>
      <c r="DB27">
        <v>0</v>
      </c>
      <c r="DC27">
        <v>-2000</v>
      </c>
      <c r="DD27">
        <v>-20000</v>
      </c>
      <c r="DE27">
        <v>0</v>
      </c>
      <c r="DF27">
        <v>-20000</v>
      </c>
      <c r="DG27">
        <v>-5000</v>
      </c>
      <c r="DH27">
        <v>0</v>
      </c>
      <c r="DI27">
        <v>-5000</v>
      </c>
      <c r="DJ27">
        <v>-1300000</v>
      </c>
      <c r="DK27">
        <v>0</v>
      </c>
      <c r="DL27">
        <v>-1300000</v>
      </c>
      <c r="DM27">
        <v>-1327000</v>
      </c>
      <c r="DN27">
        <v>0</v>
      </c>
      <c r="DO27">
        <v>0</v>
      </c>
      <c r="DP27">
        <v>0</v>
      </c>
      <c r="DQ27">
        <v>-1327000</v>
      </c>
      <c r="DR27">
        <v>0</v>
      </c>
      <c r="DS27">
        <v>-1327000</v>
      </c>
      <c r="DT27">
        <v>45261669</v>
      </c>
      <c r="DU27">
        <v>0</v>
      </c>
      <c r="DV27" s="661">
        <v>45261669</v>
      </c>
      <c r="DW27" t="s">
        <v>1680</v>
      </c>
    </row>
    <row r="28" spans="1:127" ht="12.75" x14ac:dyDescent="0.2">
      <c r="A28" s="605">
        <v>21</v>
      </c>
      <c r="B28" s="606" t="s">
        <v>717</v>
      </c>
      <c r="C28" s="607" t="s">
        <v>524</v>
      </c>
      <c r="D28" s="608" t="s">
        <v>1187</v>
      </c>
      <c r="E28" s="609" t="s">
        <v>589</v>
      </c>
      <c r="G28">
        <v>122621472</v>
      </c>
      <c r="H28">
        <v>5307895</v>
      </c>
      <c r="I28">
        <v>127929367</v>
      </c>
      <c r="J28">
        <v>49.9</v>
      </c>
      <c r="K28">
        <v>61188115</v>
      </c>
      <c r="L28">
        <v>2648640</v>
      </c>
      <c r="M28">
        <v>-2946000</v>
      </c>
      <c r="N28">
        <v>-93000</v>
      </c>
      <c r="O28">
        <v>58242115</v>
      </c>
      <c r="P28">
        <v>2555640</v>
      </c>
      <c r="Q28">
        <v>60797755</v>
      </c>
      <c r="R28">
        <v>-195335</v>
      </c>
      <c r="S28">
        <v>0</v>
      </c>
      <c r="T28">
        <v>-195335</v>
      </c>
      <c r="U28">
        <v>492672</v>
      </c>
      <c r="V28">
        <v>0</v>
      </c>
      <c r="W28">
        <v>492672</v>
      </c>
      <c r="X28">
        <v>297337</v>
      </c>
      <c r="Y28">
        <v>0</v>
      </c>
      <c r="Z28">
        <v>-39000</v>
      </c>
      <c r="AA28">
        <v>0</v>
      </c>
      <c r="AB28">
        <v>258337</v>
      </c>
      <c r="AC28">
        <v>0</v>
      </c>
      <c r="AD28">
        <v>258337</v>
      </c>
      <c r="AE28">
        <v>-258337</v>
      </c>
      <c r="AF28">
        <v>0</v>
      </c>
      <c r="AG28">
        <v>-258337</v>
      </c>
      <c r="AH28">
        <v>-9491418</v>
      </c>
      <c r="AI28">
        <v>-250859</v>
      </c>
      <c r="AJ28">
        <v>-9742277</v>
      </c>
      <c r="AK28">
        <v>-4741</v>
      </c>
      <c r="AL28">
        <v>0</v>
      </c>
      <c r="AM28">
        <v>-4741</v>
      </c>
      <c r="AN28">
        <v>1045829</v>
      </c>
      <c r="AO28">
        <v>42323</v>
      </c>
      <c r="AP28">
        <v>1088152</v>
      </c>
      <c r="AQ28">
        <v>-8445589</v>
      </c>
      <c r="AR28">
        <v>-208536</v>
      </c>
      <c r="AS28">
        <v>-8654125</v>
      </c>
      <c r="AT28">
        <v>-3135133</v>
      </c>
      <c r="AU28">
        <v>-29332</v>
      </c>
      <c r="AV28">
        <v>-3164465</v>
      </c>
      <c r="AW28">
        <v>0</v>
      </c>
      <c r="AX28">
        <v>0</v>
      </c>
      <c r="AY28">
        <v>0</v>
      </c>
      <c r="AZ28">
        <v>0</v>
      </c>
      <c r="BA28">
        <v>0</v>
      </c>
      <c r="BB28">
        <v>0</v>
      </c>
      <c r="BC28">
        <v>0</v>
      </c>
      <c r="BD28">
        <v>0</v>
      </c>
      <c r="BE28">
        <v>0</v>
      </c>
      <c r="BF28">
        <v>-11580722</v>
      </c>
      <c r="BG28">
        <v>-237868</v>
      </c>
      <c r="BH28">
        <v>-781000</v>
      </c>
      <c r="BI28">
        <v>-14000</v>
      </c>
      <c r="BJ28">
        <v>-12361722</v>
      </c>
      <c r="BK28">
        <v>-251868</v>
      </c>
      <c r="BL28">
        <v>-12613590</v>
      </c>
      <c r="BM28">
        <v>-10000</v>
      </c>
      <c r="BN28">
        <v>0</v>
      </c>
      <c r="BO28">
        <v>-10000</v>
      </c>
      <c r="BP28">
        <v>-1526805</v>
      </c>
      <c r="BQ28">
        <v>-149741</v>
      </c>
      <c r="BR28">
        <v>-1676546</v>
      </c>
      <c r="BS28">
        <v>-1536805</v>
      </c>
      <c r="BT28">
        <v>-149741</v>
      </c>
      <c r="BU28">
        <v>-687000</v>
      </c>
      <c r="BV28">
        <v>-200000</v>
      </c>
      <c r="BW28">
        <v>-2223805</v>
      </c>
      <c r="BX28">
        <v>-349741</v>
      </c>
      <c r="BY28">
        <v>-2573546</v>
      </c>
      <c r="BZ28">
        <v>-4326</v>
      </c>
      <c r="CA28">
        <v>0</v>
      </c>
      <c r="CB28">
        <v>-4326</v>
      </c>
      <c r="CC28">
        <v>-18638</v>
      </c>
      <c r="CD28">
        <v>-6387</v>
      </c>
      <c r="CE28">
        <v>-25025</v>
      </c>
      <c r="CF28">
        <v>0</v>
      </c>
      <c r="CG28">
        <v>0</v>
      </c>
      <c r="CH28">
        <v>0</v>
      </c>
      <c r="CI28">
        <v>0</v>
      </c>
      <c r="CJ28">
        <v>0</v>
      </c>
      <c r="CK28">
        <v>0</v>
      </c>
      <c r="CL28">
        <v>0</v>
      </c>
      <c r="CM28">
        <v>0</v>
      </c>
      <c r="CN28">
        <v>0</v>
      </c>
      <c r="CO28">
        <v>0</v>
      </c>
      <c r="CP28">
        <v>-323998</v>
      </c>
      <c r="CQ28">
        <v>-323998</v>
      </c>
      <c r="CR28">
        <v>-323998</v>
      </c>
      <c r="CS28">
        <v>0</v>
      </c>
      <c r="CT28">
        <v>-22964</v>
      </c>
      <c r="CU28">
        <v>-330385</v>
      </c>
      <c r="CV28">
        <v>0</v>
      </c>
      <c r="CW28">
        <v>-50000</v>
      </c>
      <c r="CX28">
        <v>-22964</v>
      </c>
      <c r="CY28">
        <v>-380385</v>
      </c>
      <c r="CZ28">
        <v>-403349</v>
      </c>
      <c r="DA28">
        <v>0</v>
      </c>
      <c r="DB28">
        <v>0</v>
      </c>
      <c r="DC28">
        <v>0</v>
      </c>
      <c r="DD28">
        <v>-12874</v>
      </c>
      <c r="DE28">
        <v>0</v>
      </c>
      <c r="DF28">
        <v>-12874</v>
      </c>
      <c r="DG28">
        <v>-6418</v>
      </c>
      <c r="DH28">
        <v>-124</v>
      </c>
      <c r="DI28">
        <v>-6542</v>
      </c>
      <c r="DJ28">
        <v>-1676689</v>
      </c>
      <c r="DK28">
        <v>0</v>
      </c>
      <c r="DL28">
        <v>-1676689</v>
      </c>
      <c r="DM28">
        <v>-1695981</v>
      </c>
      <c r="DN28">
        <v>-124</v>
      </c>
      <c r="DO28">
        <v>-50000</v>
      </c>
      <c r="DP28">
        <v>0</v>
      </c>
      <c r="DQ28">
        <v>-1745981</v>
      </c>
      <c r="DR28">
        <v>-124</v>
      </c>
      <c r="DS28">
        <v>-1746105</v>
      </c>
      <c r="DT28">
        <v>42145980</v>
      </c>
      <c r="DU28">
        <v>1573522</v>
      </c>
      <c r="DV28" s="661">
        <v>43719502</v>
      </c>
      <c r="DW28" t="s">
        <v>1681</v>
      </c>
    </row>
    <row r="29" spans="1:127" ht="12.75" x14ac:dyDescent="0.2">
      <c r="A29" s="605">
        <v>22</v>
      </c>
      <c r="B29" s="606" t="s">
        <v>719</v>
      </c>
      <c r="C29" s="607" t="s">
        <v>1185</v>
      </c>
      <c r="D29" s="608" t="s">
        <v>1188</v>
      </c>
      <c r="E29" s="609" t="s">
        <v>718</v>
      </c>
      <c r="G29">
        <v>65281823</v>
      </c>
      <c r="H29">
        <v>0</v>
      </c>
      <c r="I29">
        <v>65281823</v>
      </c>
      <c r="J29">
        <v>49.9</v>
      </c>
      <c r="K29">
        <v>32575630</v>
      </c>
      <c r="L29">
        <v>0</v>
      </c>
      <c r="M29">
        <v>0</v>
      </c>
      <c r="N29">
        <v>0</v>
      </c>
      <c r="O29">
        <v>32575630</v>
      </c>
      <c r="P29">
        <v>0</v>
      </c>
      <c r="Q29">
        <v>32575630</v>
      </c>
      <c r="R29">
        <v>-200303</v>
      </c>
      <c r="S29">
        <v>0</v>
      </c>
      <c r="T29">
        <v>-200303</v>
      </c>
      <c r="U29">
        <v>219028</v>
      </c>
      <c r="V29">
        <v>0</v>
      </c>
      <c r="W29">
        <v>219028</v>
      </c>
      <c r="X29">
        <v>18725</v>
      </c>
      <c r="Y29">
        <v>0</v>
      </c>
      <c r="Z29">
        <v>0</v>
      </c>
      <c r="AA29">
        <v>0</v>
      </c>
      <c r="AB29">
        <v>18725</v>
      </c>
      <c r="AC29">
        <v>0</v>
      </c>
      <c r="AD29">
        <v>18725</v>
      </c>
      <c r="AE29">
        <v>-18725</v>
      </c>
      <c r="AF29">
        <v>0</v>
      </c>
      <c r="AG29">
        <v>-18725</v>
      </c>
      <c r="AH29">
        <v>-2276545</v>
      </c>
      <c r="AI29">
        <v>0</v>
      </c>
      <c r="AJ29">
        <v>-2276545</v>
      </c>
      <c r="AK29">
        <v>0</v>
      </c>
      <c r="AL29">
        <v>0</v>
      </c>
      <c r="AM29">
        <v>0</v>
      </c>
      <c r="AN29">
        <v>643046</v>
      </c>
      <c r="AO29">
        <v>0</v>
      </c>
      <c r="AP29">
        <v>643046</v>
      </c>
      <c r="AQ29">
        <v>-1633499</v>
      </c>
      <c r="AR29">
        <v>0</v>
      </c>
      <c r="AS29">
        <v>-1633499</v>
      </c>
      <c r="AT29">
        <v>-952825</v>
      </c>
      <c r="AU29">
        <v>0</v>
      </c>
      <c r="AV29">
        <v>-952825</v>
      </c>
      <c r="AW29">
        <v>0</v>
      </c>
      <c r="AX29">
        <v>0</v>
      </c>
      <c r="AY29">
        <v>0</v>
      </c>
      <c r="AZ29">
        <v>-9400</v>
      </c>
      <c r="BA29">
        <v>0</v>
      </c>
      <c r="BB29">
        <v>-9400</v>
      </c>
      <c r="BC29">
        <v>0</v>
      </c>
      <c r="BD29">
        <v>0</v>
      </c>
      <c r="BE29">
        <v>0</v>
      </c>
      <c r="BF29">
        <v>-2595724</v>
      </c>
      <c r="BG29">
        <v>0</v>
      </c>
      <c r="BH29">
        <v>0</v>
      </c>
      <c r="BI29">
        <v>0</v>
      </c>
      <c r="BJ29">
        <v>-2595724</v>
      </c>
      <c r="BK29">
        <v>0</v>
      </c>
      <c r="BL29">
        <v>-2595724</v>
      </c>
      <c r="BM29">
        <v>0</v>
      </c>
      <c r="BN29">
        <v>0</v>
      </c>
      <c r="BO29">
        <v>0</v>
      </c>
      <c r="BP29">
        <v>-625785</v>
      </c>
      <c r="BQ29">
        <v>0</v>
      </c>
      <c r="BR29">
        <v>-625785</v>
      </c>
      <c r="BS29">
        <v>-625785</v>
      </c>
      <c r="BT29">
        <v>0</v>
      </c>
      <c r="BU29">
        <v>0</v>
      </c>
      <c r="BV29">
        <v>0</v>
      </c>
      <c r="BW29">
        <v>-625785</v>
      </c>
      <c r="BX29">
        <v>0</v>
      </c>
      <c r="BY29">
        <v>-625785</v>
      </c>
      <c r="BZ29">
        <v>-614</v>
      </c>
      <c r="CA29">
        <v>0</v>
      </c>
      <c r="CB29">
        <v>-614</v>
      </c>
      <c r="CC29">
        <v>-24254</v>
      </c>
      <c r="CD29">
        <v>0</v>
      </c>
      <c r="CE29">
        <v>-24254</v>
      </c>
      <c r="CF29">
        <v>0</v>
      </c>
      <c r="CG29">
        <v>0</v>
      </c>
      <c r="CH29">
        <v>0</v>
      </c>
      <c r="CI29">
        <v>0</v>
      </c>
      <c r="CJ29">
        <v>0</v>
      </c>
      <c r="CK29">
        <v>0</v>
      </c>
      <c r="CL29">
        <v>0</v>
      </c>
      <c r="CM29">
        <v>0</v>
      </c>
      <c r="CN29">
        <v>0</v>
      </c>
      <c r="CO29">
        <v>0</v>
      </c>
      <c r="CP29">
        <v>0</v>
      </c>
      <c r="CQ29">
        <v>0</v>
      </c>
      <c r="CR29">
        <v>0</v>
      </c>
      <c r="CS29">
        <v>0</v>
      </c>
      <c r="CT29">
        <v>-24868</v>
      </c>
      <c r="CU29">
        <v>0</v>
      </c>
      <c r="CV29">
        <v>0</v>
      </c>
      <c r="CW29">
        <v>0</v>
      </c>
      <c r="CX29">
        <v>-24868</v>
      </c>
      <c r="CY29">
        <v>0</v>
      </c>
      <c r="CZ29">
        <v>-24868</v>
      </c>
      <c r="DA29">
        <v>-9400</v>
      </c>
      <c r="DB29">
        <v>0</v>
      </c>
      <c r="DC29">
        <v>-9400</v>
      </c>
      <c r="DD29">
        <v>-16518</v>
      </c>
      <c r="DE29">
        <v>0</v>
      </c>
      <c r="DF29">
        <v>-16518</v>
      </c>
      <c r="DG29">
        <v>-6050</v>
      </c>
      <c r="DH29">
        <v>0</v>
      </c>
      <c r="DI29">
        <v>-6050</v>
      </c>
      <c r="DJ29">
        <v>-486985</v>
      </c>
      <c r="DK29">
        <v>0</v>
      </c>
      <c r="DL29">
        <v>-486985</v>
      </c>
      <c r="DM29">
        <v>-518953</v>
      </c>
      <c r="DN29">
        <v>0</v>
      </c>
      <c r="DO29">
        <v>0</v>
      </c>
      <c r="DP29">
        <v>0</v>
      </c>
      <c r="DQ29">
        <v>-518953</v>
      </c>
      <c r="DR29">
        <v>0</v>
      </c>
      <c r="DS29">
        <v>-518953</v>
      </c>
      <c r="DT29">
        <v>28829025</v>
      </c>
      <c r="DU29">
        <v>0</v>
      </c>
      <c r="DV29" s="661">
        <v>28829025</v>
      </c>
      <c r="DW29" t="s">
        <v>1682</v>
      </c>
    </row>
    <row r="30" spans="1:127" ht="12.75" x14ac:dyDescent="0.2">
      <c r="A30" s="605">
        <v>23</v>
      </c>
      <c r="B30" s="606" t="s">
        <v>721</v>
      </c>
      <c r="C30" s="607" t="s">
        <v>1192</v>
      </c>
      <c r="D30" s="608" t="s">
        <v>1187</v>
      </c>
      <c r="E30" s="609" t="s">
        <v>720</v>
      </c>
      <c r="G30">
        <v>235182659</v>
      </c>
      <c r="H30">
        <v>0</v>
      </c>
      <c r="I30">
        <v>235182659</v>
      </c>
      <c r="J30">
        <v>49.9</v>
      </c>
      <c r="K30">
        <v>117356147</v>
      </c>
      <c r="L30">
        <v>0</v>
      </c>
      <c r="M30">
        <v>0</v>
      </c>
      <c r="N30">
        <v>0</v>
      </c>
      <c r="O30">
        <v>117356147</v>
      </c>
      <c r="P30">
        <v>0</v>
      </c>
      <c r="Q30">
        <v>117356147</v>
      </c>
      <c r="R30">
        <v>-175000</v>
      </c>
      <c r="S30">
        <v>0</v>
      </c>
      <c r="T30">
        <v>-175000</v>
      </c>
      <c r="U30">
        <v>1727000</v>
      </c>
      <c r="V30">
        <v>0</v>
      </c>
      <c r="W30">
        <v>1727000</v>
      </c>
      <c r="X30">
        <v>1552000</v>
      </c>
      <c r="Y30">
        <v>0</v>
      </c>
      <c r="Z30">
        <v>0</v>
      </c>
      <c r="AA30">
        <v>0</v>
      </c>
      <c r="AB30">
        <v>1552000</v>
      </c>
      <c r="AC30">
        <v>0</v>
      </c>
      <c r="AD30">
        <v>1552000</v>
      </c>
      <c r="AE30">
        <v>-1552000</v>
      </c>
      <c r="AF30">
        <v>0</v>
      </c>
      <c r="AG30">
        <v>-1552000</v>
      </c>
      <c r="AH30">
        <v>-12800000</v>
      </c>
      <c r="AI30">
        <v>0</v>
      </c>
      <c r="AJ30">
        <v>-12800000</v>
      </c>
      <c r="AK30">
        <v>0</v>
      </c>
      <c r="AL30">
        <v>0</v>
      </c>
      <c r="AM30">
        <v>0</v>
      </c>
      <c r="AN30">
        <v>2100000</v>
      </c>
      <c r="AO30">
        <v>0</v>
      </c>
      <c r="AP30">
        <v>2100000</v>
      </c>
      <c r="AQ30">
        <v>-10700000</v>
      </c>
      <c r="AR30">
        <v>0</v>
      </c>
      <c r="AS30">
        <v>-10700000</v>
      </c>
      <c r="AT30">
        <v>-7600000</v>
      </c>
      <c r="AU30">
        <v>0</v>
      </c>
      <c r="AV30">
        <v>-7600000</v>
      </c>
      <c r="AW30">
        <v>-100000</v>
      </c>
      <c r="AX30">
        <v>0</v>
      </c>
      <c r="AY30">
        <v>-100000</v>
      </c>
      <c r="AZ30">
        <v>0</v>
      </c>
      <c r="BA30">
        <v>0</v>
      </c>
      <c r="BB30">
        <v>0</v>
      </c>
      <c r="BC30">
        <v>0</v>
      </c>
      <c r="BD30">
        <v>0</v>
      </c>
      <c r="BE30">
        <v>0</v>
      </c>
      <c r="BF30">
        <v>-18400000</v>
      </c>
      <c r="BG30">
        <v>0</v>
      </c>
      <c r="BH30">
        <v>0</v>
      </c>
      <c r="BI30">
        <v>0</v>
      </c>
      <c r="BJ30">
        <v>-18400000</v>
      </c>
      <c r="BK30">
        <v>0</v>
      </c>
      <c r="BL30">
        <v>-18400000</v>
      </c>
      <c r="BM30">
        <v>-200000</v>
      </c>
      <c r="BN30">
        <v>0</v>
      </c>
      <c r="BO30">
        <v>-200000</v>
      </c>
      <c r="BP30">
        <v>-3960000</v>
      </c>
      <c r="BQ30">
        <v>0</v>
      </c>
      <c r="BR30">
        <v>-3960000</v>
      </c>
      <c r="BS30">
        <v>-4160000</v>
      </c>
      <c r="BT30">
        <v>0</v>
      </c>
      <c r="BU30">
        <v>0</v>
      </c>
      <c r="BV30">
        <v>0</v>
      </c>
      <c r="BW30">
        <v>-4160000</v>
      </c>
      <c r="BX30">
        <v>0</v>
      </c>
      <c r="BY30">
        <v>-4160000</v>
      </c>
      <c r="BZ30">
        <v>-640000</v>
      </c>
      <c r="CA30">
        <v>0</v>
      </c>
      <c r="CB30">
        <v>-640000</v>
      </c>
      <c r="CC30">
        <v>-270000</v>
      </c>
      <c r="CD30">
        <v>0</v>
      </c>
      <c r="CE30">
        <v>-270000</v>
      </c>
      <c r="CF30">
        <v>-5000</v>
      </c>
      <c r="CG30">
        <v>0</v>
      </c>
      <c r="CH30">
        <v>-5000</v>
      </c>
      <c r="CI30">
        <v>0</v>
      </c>
      <c r="CJ30">
        <v>0</v>
      </c>
      <c r="CK30">
        <v>0</v>
      </c>
      <c r="CL30">
        <v>0</v>
      </c>
      <c r="CM30">
        <v>0</v>
      </c>
      <c r="CN30">
        <v>0</v>
      </c>
      <c r="CO30">
        <v>0</v>
      </c>
      <c r="CP30">
        <v>0</v>
      </c>
      <c r="CQ30">
        <v>0</v>
      </c>
      <c r="CR30">
        <v>0</v>
      </c>
      <c r="CS30">
        <v>0</v>
      </c>
      <c r="CT30">
        <v>-915000</v>
      </c>
      <c r="CU30">
        <v>0</v>
      </c>
      <c r="CV30">
        <v>0</v>
      </c>
      <c r="CW30">
        <v>0</v>
      </c>
      <c r="CX30">
        <v>-915000</v>
      </c>
      <c r="CY30">
        <v>0</v>
      </c>
      <c r="CZ30">
        <v>-915000</v>
      </c>
      <c r="DA30">
        <v>0</v>
      </c>
      <c r="DB30">
        <v>0</v>
      </c>
      <c r="DC30">
        <v>0</v>
      </c>
      <c r="DD30">
        <v>-40000</v>
      </c>
      <c r="DE30">
        <v>0</v>
      </c>
      <c r="DF30">
        <v>-40000</v>
      </c>
      <c r="DG30">
        <v>-11980</v>
      </c>
      <c r="DH30">
        <v>0</v>
      </c>
      <c r="DI30">
        <v>-11980</v>
      </c>
      <c r="DJ30">
        <v>-1700000</v>
      </c>
      <c r="DK30">
        <v>0</v>
      </c>
      <c r="DL30">
        <v>-1700000</v>
      </c>
      <c r="DM30">
        <v>-1751980</v>
      </c>
      <c r="DN30">
        <v>0</v>
      </c>
      <c r="DO30">
        <v>0</v>
      </c>
      <c r="DP30">
        <v>0</v>
      </c>
      <c r="DQ30">
        <v>-1751980</v>
      </c>
      <c r="DR30">
        <v>0</v>
      </c>
      <c r="DS30">
        <v>-1751980</v>
      </c>
      <c r="DT30">
        <v>93681167</v>
      </c>
      <c r="DU30">
        <v>0</v>
      </c>
      <c r="DV30" s="661">
        <v>93681167</v>
      </c>
      <c r="DW30" t="s">
        <v>1683</v>
      </c>
    </row>
    <row r="31" spans="1:127" ht="12.75" x14ac:dyDescent="0.2">
      <c r="A31" s="605">
        <v>24</v>
      </c>
      <c r="B31" s="606" t="s">
        <v>723</v>
      </c>
      <c r="C31" s="607" t="s">
        <v>1185</v>
      </c>
      <c r="D31" s="608" t="s">
        <v>1188</v>
      </c>
      <c r="E31" s="609" t="s">
        <v>722</v>
      </c>
      <c r="G31">
        <v>53970849</v>
      </c>
      <c r="H31">
        <v>0</v>
      </c>
      <c r="I31">
        <v>53970849</v>
      </c>
      <c r="J31">
        <v>49.9</v>
      </c>
      <c r="K31">
        <v>26931454</v>
      </c>
      <c r="L31">
        <v>0</v>
      </c>
      <c r="M31">
        <v>0</v>
      </c>
      <c r="N31">
        <v>0</v>
      </c>
      <c r="O31">
        <v>26931454</v>
      </c>
      <c r="P31">
        <v>0</v>
      </c>
      <c r="Q31">
        <v>26931454</v>
      </c>
      <c r="R31">
        <v>-159851</v>
      </c>
      <c r="S31">
        <v>0</v>
      </c>
      <c r="T31">
        <v>-159851</v>
      </c>
      <c r="U31">
        <v>66614</v>
      </c>
      <c r="V31">
        <v>0</v>
      </c>
      <c r="W31">
        <v>66614</v>
      </c>
      <c r="X31">
        <v>-93237</v>
      </c>
      <c r="Y31">
        <v>0</v>
      </c>
      <c r="Z31">
        <v>0</v>
      </c>
      <c r="AA31">
        <v>0</v>
      </c>
      <c r="AB31">
        <v>-93237</v>
      </c>
      <c r="AC31">
        <v>0</v>
      </c>
      <c r="AD31">
        <v>-93237</v>
      </c>
      <c r="AE31">
        <v>93237</v>
      </c>
      <c r="AF31">
        <v>0</v>
      </c>
      <c r="AG31">
        <v>93237</v>
      </c>
      <c r="AH31">
        <v>-2879478</v>
      </c>
      <c r="AI31">
        <v>0</v>
      </c>
      <c r="AJ31">
        <v>-2879478</v>
      </c>
      <c r="AK31">
        <v>0</v>
      </c>
      <c r="AL31">
        <v>0</v>
      </c>
      <c r="AM31">
        <v>0</v>
      </c>
      <c r="AN31">
        <v>477002</v>
      </c>
      <c r="AO31">
        <v>0</v>
      </c>
      <c r="AP31">
        <v>477002</v>
      </c>
      <c r="AQ31">
        <v>-2402476</v>
      </c>
      <c r="AR31">
        <v>0</v>
      </c>
      <c r="AS31">
        <v>-2402476</v>
      </c>
      <c r="AT31">
        <v>-1847565</v>
      </c>
      <c r="AU31">
        <v>0</v>
      </c>
      <c r="AV31">
        <v>-1847565</v>
      </c>
      <c r="AW31">
        <v>-84986</v>
      </c>
      <c r="AX31">
        <v>0</v>
      </c>
      <c r="AY31">
        <v>-84986</v>
      </c>
      <c r="AZ31">
        <v>-19356</v>
      </c>
      <c r="BA31">
        <v>0</v>
      </c>
      <c r="BB31">
        <v>-19356</v>
      </c>
      <c r="BC31">
        <v>0</v>
      </c>
      <c r="BD31">
        <v>0</v>
      </c>
      <c r="BE31">
        <v>0</v>
      </c>
      <c r="BF31">
        <v>-4354383</v>
      </c>
      <c r="BG31">
        <v>0</v>
      </c>
      <c r="BH31">
        <v>0</v>
      </c>
      <c r="BI31">
        <v>0</v>
      </c>
      <c r="BJ31">
        <v>-4354383</v>
      </c>
      <c r="BK31">
        <v>0</v>
      </c>
      <c r="BL31">
        <v>-4354383</v>
      </c>
      <c r="BM31">
        <v>0</v>
      </c>
      <c r="BN31">
        <v>0</v>
      </c>
      <c r="BO31">
        <v>0</v>
      </c>
      <c r="BP31">
        <v>-1039326</v>
      </c>
      <c r="BQ31">
        <v>0</v>
      </c>
      <c r="BR31">
        <v>-1039326</v>
      </c>
      <c r="BS31">
        <v>-1039326</v>
      </c>
      <c r="BT31">
        <v>0</v>
      </c>
      <c r="BU31">
        <v>0</v>
      </c>
      <c r="BV31">
        <v>0</v>
      </c>
      <c r="BW31">
        <v>-1039326</v>
      </c>
      <c r="BX31">
        <v>0</v>
      </c>
      <c r="BY31">
        <v>-1039326</v>
      </c>
      <c r="BZ31">
        <v>-52880</v>
      </c>
      <c r="CA31">
        <v>0</v>
      </c>
      <c r="CB31">
        <v>-52880</v>
      </c>
      <c r="CC31">
        <v>-7345</v>
      </c>
      <c r="CD31">
        <v>0</v>
      </c>
      <c r="CE31">
        <v>-7345</v>
      </c>
      <c r="CF31">
        <v>-15935</v>
      </c>
      <c r="CG31">
        <v>0</v>
      </c>
      <c r="CH31">
        <v>-15935</v>
      </c>
      <c r="CI31">
        <v>0</v>
      </c>
      <c r="CJ31">
        <v>0</v>
      </c>
      <c r="CK31">
        <v>0</v>
      </c>
      <c r="CL31">
        <v>0</v>
      </c>
      <c r="CM31">
        <v>0</v>
      </c>
      <c r="CN31">
        <v>0</v>
      </c>
      <c r="CO31">
        <v>0</v>
      </c>
      <c r="CP31">
        <v>0</v>
      </c>
      <c r="CQ31">
        <v>0</v>
      </c>
      <c r="CR31">
        <v>0</v>
      </c>
      <c r="CS31">
        <v>0</v>
      </c>
      <c r="CT31">
        <v>-76160</v>
      </c>
      <c r="CU31">
        <v>0</v>
      </c>
      <c r="CV31">
        <v>0</v>
      </c>
      <c r="CW31">
        <v>0</v>
      </c>
      <c r="CX31">
        <v>-76160</v>
      </c>
      <c r="CY31">
        <v>0</v>
      </c>
      <c r="CZ31">
        <v>-76160</v>
      </c>
      <c r="DA31">
        <v>-19356</v>
      </c>
      <c r="DB31">
        <v>0</v>
      </c>
      <c r="DC31">
        <v>-19356</v>
      </c>
      <c r="DD31">
        <v>-9596</v>
      </c>
      <c r="DE31">
        <v>0</v>
      </c>
      <c r="DF31">
        <v>-9596</v>
      </c>
      <c r="DG31">
        <v>-3805</v>
      </c>
      <c r="DH31">
        <v>0</v>
      </c>
      <c r="DI31">
        <v>-3805</v>
      </c>
      <c r="DJ31">
        <v>-377421</v>
      </c>
      <c r="DK31">
        <v>0</v>
      </c>
      <c r="DL31">
        <v>-377421</v>
      </c>
      <c r="DM31">
        <v>-410178</v>
      </c>
      <c r="DN31">
        <v>0</v>
      </c>
      <c r="DO31">
        <v>0</v>
      </c>
      <c r="DP31">
        <v>0</v>
      </c>
      <c r="DQ31">
        <v>-410178</v>
      </c>
      <c r="DR31">
        <v>0</v>
      </c>
      <c r="DS31">
        <v>-410178</v>
      </c>
      <c r="DT31">
        <v>20958170</v>
      </c>
      <c r="DU31">
        <v>0</v>
      </c>
      <c r="DV31" s="661">
        <v>20958170</v>
      </c>
      <c r="DW31" t="s">
        <v>1684</v>
      </c>
    </row>
    <row r="32" spans="1:127" ht="12.75" x14ac:dyDescent="0.2">
      <c r="A32" s="605">
        <v>25</v>
      </c>
      <c r="B32" s="606" t="s">
        <v>1124</v>
      </c>
      <c r="C32" s="607" t="s">
        <v>524</v>
      </c>
      <c r="D32" s="608" t="s">
        <v>1194</v>
      </c>
      <c r="E32" s="609" t="s">
        <v>1145</v>
      </c>
      <c r="G32">
        <v>375867903</v>
      </c>
      <c r="H32">
        <v>0</v>
      </c>
      <c r="I32">
        <v>375867903</v>
      </c>
      <c r="J32">
        <v>49.9</v>
      </c>
      <c r="K32">
        <v>187558084</v>
      </c>
      <c r="L32">
        <v>0</v>
      </c>
      <c r="M32">
        <v>-472000</v>
      </c>
      <c r="N32">
        <v>0</v>
      </c>
      <c r="O32">
        <v>187086084</v>
      </c>
      <c r="P32">
        <v>0</v>
      </c>
      <c r="Q32">
        <v>187086084</v>
      </c>
      <c r="R32">
        <v>-1087880</v>
      </c>
      <c r="S32">
        <v>0</v>
      </c>
      <c r="T32">
        <v>-1087880</v>
      </c>
      <c r="U32">
        <v>1560708</v>
      </c>
      <c r="V32">
        <v>0</v>
      </c>
      <c r="W32">
        <v>1560708</v>
      </c>
      <c r="X32">
        <v>472828</v>
      </c>
      <c r="Y32">
        <v>0</v>
      </c>
      <c r="Z32">
        <v>0</v>
      </c>
      <c r="AA32">
        <v>0</v>
      </c>
      <c r="AB32">
        <v>472828</v>
      </c>
      <c r="AC32">
        <v>0</v>
      </c>
      <c r="AD32">
        <v>472828</v>
      </c>
      <c r="AE32">
        <v>-472828</v>
      </c>
      <c r="AF32">
        <v>0</v>
      </c>
      <c r="AG32">
        <v>-472828</v>
      </c>
      <c r="AH32">
        <v>-16650537</v>
      </c>
      <c r="AI32">
        <v>0</v>
      </c>
      <c r="AJ32">
        <v>-16650537</v>
      </c>
      <c r="AK32">
        <v>-1796</v>
      </c>
      <c r="AL32">
        <v>0</v>
      </c>
      <c r="AM32">
        <v>-1796</v>
      </c>
      <c r="AN32">
        <v>3440606</v>
      </c>
      <c r="AO32">
        <v>0</v>
      </c>
      <c r="AP32">
        <v>3440606</v>
      </c>
      <c r="AQ32">
        <v>-13209931</v>
      </c>
      <c r="AR32">
        <v>0</v>
      </c>
      <c r="AS32">
        <v>-13209931</v>
      </c>
      <c r="AT32">
        <v>-13508056</v>
      </c>
      <c r="AU32">
        <v>0</v>
      </c>
      <c r="AV32">
        <v>-13508056</v>
      </c>
      <c r="AW32">
        <v>-240865</v>
      </c>
      <c r="AX32">
        <v>0</v>
      </c>
      <c r="AY32">
        <v>-240865</v>
      </c>
      <c r="AZ32">
        <v>0</v>
      </c>
      <c r="BA32">
        <v>0</v>
      </c>
      <c r="BB32">
        <v>0</v>
      </c>
      <c r="BC32">
        <v>0</v>
      </c>
      <c r="BD32">
        <v>0</v>
      </c>
      <c r="BE32">
        <v>0</v>
      </c>
      <c r="BF32">
        <v>-26958852</v>
      </c>
      <c r="BG32">
        <v>0</v>
      </c>
      <c r="BH32">
        <v>0</v>
      </c>
      <c r="BI32">
        <v>0</v>
      </c>
      <c r="BJ32">
        <v>-26958852</v>
      </c>
      <c r="BK32">
        <v>0</v>
      </c>
      <c r="BL32">
        <v>-26958852</v>
      </c>
      <c r="BM32">
        <v>0</v>
      </c>
      <c r="BN32">
        <v>0</v>
      </c>
      <c r="BO32">
        <v>0</v>
      </c>
      <c r="BP32">
        <v>-2331740</v>
      </c>
      <c r="BQ32">
        <v>0</v>
      </c>
      <c r="BR32">
        <v>-2331740</v>
      </c>
      <c r="BS32">
        <v>-2331740</v>
      </c>
      <c r="BT32">
        <v>0</v>
      </c>
      <c r="BU32">
        <v>-1000000</v>
      </c>
      <c r="BV32">
        <v>0</v>
      </c>
      <c r="BW32">
        <v>-3331740</v>
      </c>
      <c r="BX32">
        <v>0</v>
      </c>
      <c r="BY32">
        <v>-3331740</v>
      </c>
      <c r="BZ32">
        <v>-227913</v>
      </c>
      <c r="CA32">
        <v>0</v>
      </c>
      <c r="CB32">
        <v>-227913</v>
      </c>
      <c r="CC32">
        <v>-58489</v>
      </c>
      <c r="CD32">
        <v>0</v>
      </c>
      <c r="CE32">
        <v>-58489</v>
      </c>
      <c r="CF32">
        <v>-7185</v>
      </c>
      <c r="CG32">
        <v>0</v>
      </c>
      <c r="CH32">
        <v>-7185</v>
      </c>
      <c r="CI32">
        <v>0</v>
      </c>
      <c r="CJ32">
        <v>0</v>
      </c>
      <c r="CK32">
        <v>0</v>
      </c>
      <c r="CL32">
        <v>0</v>
      </c>
      <c r="CM32">
        <v>0</v>
      </c>
      <c r="CN32">
        <v>0</v>
      </c>
      <c r="CO32">
        <v>0</v>
      </c>
      <c r="CP32">
        <v>0</v>
      </c>
      <c r="CQ32">
        <v>0</v>
      </c>
      <c r="CR32">
        <v>0</v>
      </c>
      <c r="CS32">
        <v>0</v>
      </c>
      <c r="CT32">
        <v>-293587</v>
      </c>
      <c r="CU32">
        <v>0</v>
      </c>
      <c r="CV32">
        <v>0</v>
      </c>
      <c r="CW32">
        <v>0</v>
      </c>
      <c r="CX32">
        <v>-293587</v>
      </c>
      <c r="CY32">
        <v>0</v>
      </c>
      <c r="CZ32">
        <v>-293587</v>
      </c>
      <c r="DA32">
        <v>0</v>
      </c>
      <c r="DB32">
        <v>0</v>
      </c>
      <c r="DC32">
        <v>0</v>
      </c>
      <c r="DD32">
        <v>-72697</v>
      </c>
      <c r="DE32">
        <v>0</v>
      </c>
      <c r="DF32">
        <v>-72697</v>
      </c>
      <c r="DG32">
        <v>-28000</v>
      </c>
      <c r="DH32">
        <v>0</v>
      </c>
      <c r="DI32">
        <v>-28000</v>
      </c>
      <c r="DJ32">
        <v>-5858845</v>
      </c>
      <c r="DK32">
        <v>0</v>
      </c>
      <c r="DL32">
        <v>-5858845</v>
      </c>
      <c r="DM32">
        <v>-5959542</v>
      </c>
      <c r="DN32">
        <v>0</v>
      </c>
      <c r="DO32">
        <v>500000</v>
      </c>
      <c r="DP32">
        <v>0</v>
      </c>
      <c r="DQ32">
        <v>-5459542</v>
      </c>
      <c r="DR32">
        <v>0</v>
      </c>
      <c r="DS32">
        <v>-5459542</v>
      </c>
      <c r="DT32">
        <v>151515191</v>
      </c>
      <c r="DU32">
        <v>0</v>
      </c>
      <c r="DV32" s="661">
        <v>151515191</v>
      </c>
      <c r="DW32" t="s">
        <v>1685</v>
      </c>
    </row>
    <row r="33" spans="1:127" ht="12.75" x14ac:dyDescent="0.2">
      <c r="A33" s="605">
        <v>26</v>
      </c>
      <c r="B33" s="606" t="s">
        <v>725</v>
      </c>
      <c r="C33" s="607" t="s">
        <v>524</v>
      </c>
      <c r="D33" s="608" t="s">
        <v>1186</v>
      </c>
      <c r="E33" s="609" t="s">
        <v>531</v>
      </c>
      <c r="G33">
        <v>168226538</v>
      </c>
      <c r="H33">
        <v>0</v>
      </c>
      <c r="I33">
        <v>168226538</v>
      </c>
      <c r="J33">
        <v>49.9</v>
      </c>
      <c r="K33">
        <v>83945042</v>
      </c>
      <c r="L33">
        <v>0</v>
      </c>
      <c r="M33">
        <v>-3616502</v>
      </c>
      <c r="N33">
        <v>0</v>
      </c>
      <c r="O33">
        <v>80328540</v>
      </c>
      <c r="P33">
        <v>0</v>
      </c>
      <c r="Q33">
        <v>80328540</v>
      </c>
      <c r="R33">
        <v>-664549</v>
      </c>
      <c r="S33">
        <v>0</v>
      </c>
      <c r="T33">
        <v>-664549</v>
      </c>
      <c r="U33">
        <v>518166</v>
      </c>
      <c r="V33">
        <v>0</v>
      </c>
      <c r="W33">
        <v>518166</v>
      </c>
      <c r="X33">
        <v>-146383</v>
      </c>
      <c r="Y33">
        <v>0</v>
      </c>
      <c r="Z33">
        <v>0</v>
      </c>
      <c r="AA33">
        <v>0</v>
      </c>
      <c r="AB33">
        <v>-146383</v>
      </c>
      <c r="AC33">
        <v>0</v>
      </c>
      <c r="AD33">
        <v>-146383</v>
      </c>
      <c r="AE33">
        <v>146383</v>
      </c>
      <c r="AF33">
        <v>0</v>
      </c>
      <c r="AG33">
        <v>146383</v>
      </c>
      <c r="AH33">
        <v>-1748526</v>
      </c>
      <c r="AI33">
        <v>0</v>
      </c>
      <c r="AJ33">
        <v>-1748526</v>
      </c>
      <c r="AK33">
        <v>-3939</v>
      </c>
      <c r="AL33">
        <v>0</v>
      </c>
      <c r="AM33">
        <v>-3939</v>
      </c>
      <c r="AN33">
        <v>1932649</v>
      </c>
      <c r="AO33">
        <v>0</v>
      </c>
      <c r="AP33">
        <v>1932649</v>
      </c>
      <c r="AQ33">
        <v>184123</v>
      </c>
      <c r="AR33">
        <v>0</v>
      </c>
      <c r="AS33">
        <v>184123</v>
      </c>
      <c r="AT33">
        <v>-3345964</v>
      </c>
      <c r="AU33">
        <v>0</v>
      </c>
      <c r="AV33">
        <v>-3345964</v>
      </c>
      <c r="AW33">
        <v>-3645</v>
      </c>
      <c r="AX33">
        <v>0</v>
      </c>
      <c r="AY33">
        <v>-3645</v>
      </c>
      <c r="AZ33">
        <v>0</v>
      </c>
      <c r="BA33">
        <v>0</v>
      </c>
      <c r="BB33">
        <v>0</v>
      </c>
      <c r="BC33">
        <v>0</v>
      </c>
      <c r="BD33">
        <v>0</v>
      </c>
      <c r="BE33">
        <v>0</v>
      </c>
      <c r="BF33">
        <v>-3165486</v>
      </c>
      <c r="BG33">
        <v>0</v>
      </c>
      <c r="BH33">
        <v>0</v>
      </c>
      <c r="BI33">
        <v>0</v>
      </c>
      <c r="BJ33">
        <v>-3165486</v>
      </c>
      <c r="BK33">
        <v>0</v>
      </c>
      <c r="BL33">
        <v>-3165486</v>
      </c>
      <c r="BM33">
        <v>-67256</v>
      </c>
      <c r="BN33">
        <v>0</v>
      </c>
      <c r="BO33">
        <v>-67256</v>
      </c>
      <c r="BP33">
        <v>-2144882</v>
      </c>
      <c r="BQ33">
        <v>0</v>
      </c>
      <c r="BR33">
        <v>-2144882</v>
      </c>
      <c r="BS33">
        <v>-2212138</v>
      </c>
      <c r="BT33">
        <v>0</v>
      </c>
      <c r="BU33">
        <v>0</v>
      </c>
      <c r="BV33">
        <v>0</v>
      </c>
      <c r="BW33">
        <v>-2212138</v>
      </c>
      <c r="BX33">
        <v>0</v>
      </c>
      <c r="BY33">
        <v>-2212138</v>
      </c>
      <c r="BZ33">
        <v>-102164</v>
      </c>
      <c r="CA33">
        <v>0</v>
      </c>
      <c r="CB33">
        <v>-102164</v>
      </c>
      <c r="CC33">
        <v>-51002</v>
      </c>
      <c r="CD33">
        <v>0</v>
      </c>
      <c r="CE33">
        <v>-51002</v>
      </c>
      <c r="CF33">
        <v>-3645</v>
      </c>
      <c r="CG33">
        <v>0</v>
      </c>
      <c r="CH33">
        <v>-3645</v>
      </c>
      <c r="CI33">
        <v>0</v>
      </c>
      <c r="CJ33">
        <v>0</v>
      </c>
      <c r="CK33">
        <v>0</v>
      </c>
      <c r="CL33">
        <v>0</v>
      </c>
      <c r="CM33">
        <v>0</v>
      </c>
      <c r="CN33">
        <v>0</v>
      </c>
      <c r="CO33">
        <v>0</v>
      </c>
      <c r="CP33">
        <v>0</v>
      </c>
      <c r="CQ33">
        <v>0</v>
      </c>
      <c r="CR33">
        <v>0</v>
      </c>
      <c r="CS33">
        <v>0</v>
      </c>
      <c r="CT33">
        <v>-156811</v>
      </c>
      <c r="CU33">
        <v>0</v>
      </c>
      <c r="CV33">
        <v>0</v>
      </c>
      <c r="CW33">
        <v>0</v>
      </c>
      <c r="CX33">
        <v>-156811</v>
      </c>
      <c r="CY33">
        <v>0</v>
      </c>
      <c r="CZ33">
        <v>-156811</v>
      </c>
      <c r="DA33">
        <v>0</v>
      </c>
      <c r="DB33">
        <v>0</v>
      </c>
      <c r="DC33">
        <v>0</v>
      </c>
      <c r="DD33">
        <v>-110128</v>
      </c>
      <c r="DE33">
        <v>0</v>
      </c>
      <c r="DF33">
        <v>-110128</v>
      </c>
      <c r="DG33">
        <v>0</v>
      </c>
      <c r="DH33">
        <v>0</v>
      </c>
      <c r="DI33">
        <v>0</v>
      </c>
      <c r="DJ33">
        <v>-1057740</v>
      </c>
      <c r="DK33">
        <v>0</v>
      </c>
      <c r="DL33">
        <v>-1057740</v>
      </c>
      <c r="DM33">
        <v>-1167868</v>
      </c>
      <c r="DN33">
        <v>0</v>
      </c>
      <c r="DO33">
        <v>0</v>
      </c>
      <c r="DP33">
        <v>0</v>
      </c>
      <c r="DQ33">
        <v>-1167868</v>
      </c>
      <c r="DR33">
        <v>0</v>
      </c>
      <c r="DS33">
        <v>-1167868</v>
      </c>
      <c r="DT33">
        <v>73479854</v>
      </c>
      <c r="DU33">
        <v>0</v>
      </c>
      <c r="DV33" s="661">
        <v>73479854</v>
      </c>
      <c r="DW33" t="s">
        <v>1686</v>
      </c>
    </row>
    <row r="34" spans="1:127" ht="12.75" x14ac:dyDescent="0.2">
      <c r="A34" s="605">
        <v>27</v>
      </c>
      <c r="B34" s="606" t="s">
        <v>727</v>
      </c>
      <c r="C34" s="607" t="s">
        <v>1192</v>
      </c>
      <c r="D34" s="608" t="s">
        <v>1193</v>
      </c>
      <c r="E34" s="609" t="s">
        <v>726</v>
      </c>
      <c r="G34">
        <v>391428194</v>
      </c>
      <c r="H34">
        <v>0</v>
      </c>
      <c r="I34">
        <v>391428194</v>
      </c>
      <c r="J34">
        <v>49.9</v>
      </c>
      <c r="K34">
        <v>195322669</v>
      </c>
      <c r="L34">
        <v>0</v>
      </c>
      <c r="M34">
        <v>0</v>
      </c>
      <c r="N34">
        <v>0</v>
      </c>
      <c r="O34">
        <v>195322669</v>
      </c>
      <c r="P34">
        <v>0</v>
      </c>
      <c r="Q34">
        <v>195322669</v>
      </c>
      <c r="R34">
        <v>-973272</v>
      </c>
      <c r="S34">
        <v>0</v>
      </c>
      <c r="T34">
        <v>-973272</v>
      </c>
      <c r="U34">
        <v>1670201</v>
      </c>
      <c r="V34">
        <v>0</v>
      </c>
      <c r="W34">
        <v>1670201</v>
      </c>
      <c r="X34">
        <v>696929</v>
      </c>
      <c r="Y34">
        <v>0</v>
      </c>
      <c r="Z34">
        <v>0</v>
      </c>
      <c r="AA34">
        <v>0</v>
      </c>
      <c r="AB34">
        <v>696929</v>
      </c>
      <c r="AC34">
        <v>0</v>
      </c>
      <c r="AD34">
        <v>696929</v>
      </c>
      <c r="AE34">
        <v>-696929</v>
      </c>
      <c r="AF34">
        <v>0</v>
      </c>
      <c r="AG34">
        <v>-696929</v>
      </c>
      <c r="AH34">
        <v>-27425247</v>
      </c>
      <c r="AI34">
        <v>0</v>
      </c>
      <c r="AJ34">
        <v>-27425247</v>
      </c>
      <c r="AK34">
        <v>-60391</v>
      </c>
      <c r="AL34">
        <v>0</v>
      </c>
      <c r="AM34">
        <v>-60391</v>
      </c>
      <c r="AN34">
        <v>3358511</v>
      </c>
      <c r="AO34">
        <v>0</v>
      </c>
      <c r="AP34">
        <v>3358511</v>
      </c>
      <c r="AQ34">
        <v>-24066736</v>
      </c>
      <c r="AR34">
        <v>0</v>
      </c>
      <c r="AS34">
        <v>-24066736</v>
      </c>
      <c r="AT34">
        <v>-16600000</v>
      </c>
      <c r="AU34">
        <v>0</v>
      </c>
      <c r="AV34">
        <v>-16600000</v>
      </c>
      <c r="AW34">
        <v>-182882</v>
      </c>
      <c r="AX34">
        <v>0</v>
      </c>
      <c r="AY34">
        <v>-182882</v>
      </c>
      <c r="AZ34">
        <v>0</v>
      </c>
      <c r="BA34">
        <v>0</v>
      </c>
      <c r="BB34">
        <v>0</v>
      </c>
      <c r="BC34">
        <v>0</v>
      </c>
      <c r="BD34">
        <v>0</v>
      </c>
      <c r="BE34">
        <v>0</v>
      </c>
      <c r="BF34">
        <v>-40849618</v>
      </c>
      <c r="BG34">
        <v>0</v>
      </c>
      <c r="BH34">
        <v>0</v>
      </c>
      <c r="BI34">
        <v>0</v>
      </c>
      <c r="BJ34">
        <v>-40849618</v>
      </c>
      <c r="BK34">
        <v>0</v>
      </c>
      <c r="BL34">
        <v>-40849618</v>
      </c>
      <c r="BM34">
        <v>-200000</v>
      </c>
      <c r="BN34">
        <v>0</v>
      </c>
      <c r="BO34">
        <v>-200000</v>
      </c>
      <c r="BP34">
        <v>-7900000</v>
      </c>
      <c r="BQ34">
        <v>0</v>
      </c>
      <c r="BR34">
        <v>-7900000</v>
      </c>
      <c r="BS34">
        <v>-8100000</v>
      </c>
      <c r="BT34">
        <v>0</v>
      </c>
      <c r="BU34">
        <v>0</v>
      </c>
      <c r="BV34">
        <v>0</v>
      </c>
      <c r="BW34">
        <v>-8100000</v>
      </c>
      <c r="BX34">
        <v>0</v>
      </c>
      <c r="BY34">
        <v>-8100000</v>
      </c>
      <c r="BZ34">
        <v>-3618</v>
      </c>
      <c r="CA34">
        <v>0</v>
      </c>
      <c r="CB34">
        <v>-3618</v>
      </c>
      <c r="CC34">
        <v>-10092</v>
      </c>
      <c r="CD34">
        <v>0</v>
      </c>
      <c r="CE34">
        <v>-10092</v>
      </c>
      <c r="CF34">
        <v>0</v>
      </c>
      <c r="CG34">
        <v>0</v>
      </c>
      <c r="CH34">
        <v>0</v>
      </c>
      <c r="CI34">
        <v>0</v>
      </c>
      <c r="CJ34">
        <v>0</v>
      </c>
      <c r="CK34">
        <v>0</v>
      </c>
      <c r="CL34">
        <v>-5489</v>
      </c>
      <c r="CM34">
        <v>0</v>
      </c>
      <c r="CN34">
        <v>-5489</v>
      </c>
      <c r="CO34">
        <v>-42000</v>
      </c>
      <c r="CP34">
        <v>0</v>
      </c>
      <c r="CQ34">
        <v>-42000</v>
      </c>
      <c r="CR34">
        <v>0</v>
      </c>
      <c r="CS34">
        <v>0</v>
      </c>
      <c r="CT34">
        <v>-61199</v>
      </c>
      <c r="CU34">
        <v>0</v>
      </c>
      <c r="CV34">
        <v>0</v>
      </c>
      <c r="CW34">
        <v>0</v>
      </c>
      <c r="CX34">
        <v>-61199</v>
      </c>
      <c r="CY34">
        <v>0</v>
      </c>
      <c r="CZ34">
        <v>-61199</v>
      </c>
      <c r="DA34">
        <v>-5489</v>
      </c>
      <c r="DB34">
        <v>0</v>
      </c>
      <c r="DC34">
        <v>-5489</v>
      </c>
      <c r="DD34">
        <v>-62472</v>
      </c>
      <c r="DE34">
        <v>0</v>
      </c>
      <c r="DF34">
        <v>-62472</v>
      </c>
      <c r="DG34">
        <v>0</v>
      </c>
      <c r="DH34">
        <v>0</v>
      </c>
      <c r="DI34">
        <v>0</v>
      </c>
      <c r="DJ34">
        <v>-3470742</v>
      </c>
      <c r="DK34">
        <v>0</v>
      </c>
      <c r="DL34">
        <v>-3470742</v>
      </c>
      <c r="DM34">
        <v>-3538703</v>
      </c>
      <c r="DN34">
        <v>0</v>
      </c>
      <c r="DO34">
        <v>0</v>
      </c>
      <c r="DP34">
        <v>0</v>
      </c>
      <c r="DQ34">
        <v>-3538703</v>
      </c>
      <c r="DR34">
        <v>0</v>
      </c>
      <c r="DS34">
        <v>-3538703</v>
      </c>
      <c r="DT34">
        <v>143470078</v>
      </c>
      <c r="DU34">
        <v>0</v>
      </c>
      <c r="DV34" s="661">
        <v>143470078</v>
      </c>
      <c r="DW34" t="s">
        <v>1687</v>
      </c>
    </row>
    <row r="35" spans="1:127" ht="12.75" x14ac:dyDescent="0.2">
      <c r="A35" s="605">
        <v>28</v>
      </c>
      <c r="B35" s="606" t="s">
        <v>729</v>
      </c>
      <c r="C35" s="607" t="s">
        <v>1185</v>
      </c>
      <c r="D35" s="608" t="s">
        <v>1189</v>
      </c>
      <c r="E35" s="609" t="s">
        <v>728</v>
      </c>
      <c r="G35">
        <v>110955052</v>
      </c>
      <c r="H35">
        <v>0</v>
      </c>
      <c r="I35">
        <v>110955052</v>
      </c>
      <c r="J35">
        <v>49.9</v>
      </c>
      <c r="K35">
        <v>55366571</v>
      </c>
      <c r="L35">
        <v>0</v>
      </c>
      <c r="M35">
        <v>-16371</v>
      </c>
      <c r="N35">
        <v>0</v>
      </c>
      <c r="O35">
        <v>55350200</v>
      </c>
      <c r="P35">
        <v>0</v>
      </c>
      <c r="Q35">
        <v>55350200</v>
      </c>
      <c r="R35">
        <v>-180051</v>
      </c>
      <c r="S35">
        <v>0</v>
      </c>
      <c r="T35">
        <v>-180051</v>
      </c>
      <c r="U35">
        <v>25351</v>
      </c>
      <c r="V35">
        <v>0</v>
      </c>
      <c r="W35">
        <v>25351</v>
      </c>
      <c r="X35">
        <v>-154700</v>
      </c>
      <c r="Y35">
        <v>0</v>
      </c>
      <c r="Z35">
        <v>0</v>
      </c>
      <c r="AA35">
        <v>0</v>
      </c>
      <c r="AB35">
        <v>-154700</v>
      </c>
      <c r="AC35">
        <v>0</v>
      </c>
      <c r="AD35">
        <v>-154700</v>
      </c>
      <c r="AE35">
        <v>154700</v>
      </c>
      <c r="AF35">
        <v>0</v>
      </c>
      <c r="AG35">
        <v>154700</v>
      </c>
      <c r="AH35">
        <v>-5798100</v>
      </c>
      <c r="AI35">
        <v>0</v>
      </c>
      <c r="AJ35">
        <v>-5798100</v>
      </c>
      <c r="AK35">
        <v>0</v>
      </c>
      <c r="AL35">
        <v>0</v>
      </c>
      <c r="AM35">
        <v>0</v>
      </c>
      <c r="AN35">
        <v>902300</v>
      </c>
      <c r="AO35">
        <v>0</v>
      </c>
      <c r="AP35">
        <v>902300</v>
      </c>
      <c r="AQ35">
        <v>-4895800</v>
      </c>
      <c r="AR35">
        <v>0</v>
      </c>
      <c r="AS35">
        <v>-4895800</v>
      </c>
      <c r="AT35">
        <v>-3273489</v>
      </c>
      <c r="AU35">
        <v>0</v>
      </c>
      <c r="AV35">
        <v>-3273489</v>
      </c>
      <c r="AW35">
        <v>-114033</v>
      </c>
      <c r="AX35">
        <v>0</v>
      </c>
      <c r="AY35">
        <v>-114033</v>
      </c>
      <c r="AZ35">
        <v>-14178</v>
      </c>
      <c r="BA35">
        <v>0</v>
      </c>
      <c r="BB35">
        <v>-14178</v>
      </c>
      <c r="BC35">
        <v>0</v>
      </c>
      <c r="BD35">
        <v>0</v>
      </c>
      <c r="BE35">
        <v>0</v>
      </c>
      <c r="BF35">
        <v>-8297500</v>
      </c>
      <c r="BG35">
        <v>0</v>
      </c>
      <c r="BH35">
        <v>0</v>
      </c>
      <c r="BI35">
        <v>0</v>
      </c>
      <c r="BJ35">
        <v>-8297500</v>
      </c>
      <c r="BK35">
        <v>0</v>
      </c>
      <c r="BL35">
        <v>-8297500</v>
      </c>
      <c r="BM35">
        <v>-1046</v>
      </c>
      <c r="BN35">
        <v>0</v>
      </c>
      <c r="BO35">
        <v>-1046</v>
      </c>
      <c r="BP35">
        <v>-1494554</v>
      </c>
      <c r="BQ35">
        <v>0</v>
      </c>
      <c r="BR35">
        <v>-1494554</v>
      </c>
      <c r="BS35">
        <v>-1495600</v>
      </c>
      <c r="BT35">
        <v>0</v>
      </c>
      <c r="BU35">
        <v>0</v>
      </c>
      <c r="BV35">
        <v>0</v>
      </c>
      <c r="BW35">
        <v>-1495600</v>
      </c>
      <c r="BX35">
        <v>0</v>
      </c>
      <c r="BY35">
        <v>-1495600</v>
      </c>
      <c r="BZ35">
        <v>0</v>
      </c>
      <c r="CA35">
        <v>0</v>
      </c>
      <c r="CB35">
        <v>0</v>
      </c>
      <c r="CC35">
        <v>-269622</v>
      </c>
      <c r="CD35">
        <v>0</v>
      </c>
      <c r="CE35">
        <v>-269622</v>
      </c>
      <c r="CF35">
        <v>0</v>
      </c>
      <c r="CG35">
        <v>0</v>
      </c>
      <c r="CH35">
        <v>0</v>
      </c>
      <c r="CI35">
        <v>-9628</v>
      </c>
      <c r="CJ35">
        <v>0</v>
      </c>
      <c r="CK35">
        <v>-9628</v>
      </c>
      <c r="CL35">
        <v>0</v>
      </c>
      <c r="CM35">
        <v>0</v>
      </c>
      <c r="CN35">
        <v>0</v>
      </c>
      <c r="CO35">
        <v>0</v>
      </c>
      <c r="CP35">
        <v>0</v>
      </c>
      <c r="CQ35">
        <v>0</v>
      </c>
      <c r="CR35">
        <v>0</v>
      </c>
      <c r="CS35">
        <v>0</v>
      </c>
      <c r="CT35">
        <v>-279250</v>
      </c>
      <c r="CU35">
        <v>0</v>
      </c>
      <c r="CV35">
        <v>0</v>
      </c>
      <c r="CW35">
        <v>0</v>
      </c>
      <c r="CX35">
        <v>-279250</v>
      </c>
      <c r="CY35">
        <v>0</v>
      </c>
      <c r="CZ35">
        <v>-279250</v>
      </c>
      <c r="DA35">
        <v>-9628</v>
      </c>
      <c r="DB35">
        <v>0</v>
      </c>
      <c r="DC35">
        <v>-9628</v>
      </c>
      <c r="DD35">
        <v>-14106</v>
      </c>
      <c r="DE35">
        <v>0</v>
      </c>
      <c r="DF35">
        <v>-14106</v>
      </c>
      <c r="DG35">
        <v>-8200</v>
      </c>
      <c r="DH35">
        <v>0</v>
      </c>
      <c r="DI35">
        <v>-8200</v>
      </c>
      <c r="DJ35">
        <v>-830782</v>
      </c>
      <c r="DK35">
        <v>0</v>
      </c>
      <c r="DL35">
        <v>-830782</v>
      </c>
      <c r="DM35">
        <v>-862716</v>
      </c>
      <c r="DN35">
        <v>0</v>
      </c>
      <c r="DO35">
        <v>0</v>
      </c>
      <c r="DP35">
        <v>0</v>
      </c>
      <c r="DQ35">
        <v>-862716</v>
      </c>
      <c r="DR35">
        <v>0</v>
      </c>
      <c r="DS35">
        <v>-862716</v>
      </c>
      <c r="DT35">
        <v>44260434</v>
      </c>
      <c r="DU35">
        <v>0</v>
      </c>
      <c r="DV35" s="661">
        <v>44260434</v>
      </c>
      <c r="DW35" t="s">
        <v>1688</v>
      </c>
    </row>
    <row r="36" spans="1:127" ht="12.75" x14ac:dyDescent="0.2">
      <c r="A36" s="605">
        <v>29</v>
      </c>
      <c r="B36" s="606" t="s">
        <v>731</v>
      </c>
      <c r="C36" s="607" t="s">
        <v>1185</v>
      </c>
      <c r="D36" s="608" t="s">
        <v>1189</v>
      </c>
      <c r="E36" s="609" t="s">
        <v>730</v>
      </c>
      <c r="G36">
        <v>90675302</v>
      </c>
      <c r="H36">
        <v>0</v>
      </c>
      <c r="I36">
        <v>90675302</v>
      </c>
      <c r="J36">
        <v>49.9</v>
      </c>
      <c r="K36">
        <v>45246976</v>
      </c>
      <c r="L36">
        <v>0</v>
      </c>
      <c r="M36">
        <v>0</v>
      </c>
      <c r="N36">
        <v>0</v>
      </c>
      <c r="O36">
        <v>45246976</v>
      </c>
      <c r="P36">
        <v>0</v>
      </c>
      <c r="Q36">
        <v>45246976</v>
      </c>
      <c r="R36">
        <v>-187892</v>
      </c>
      <c r="S36">
        <v>0</v>
      </c>
      <c r="T36">
        <v>-187892</v>
      </c>
      <c r="U36">
        <v>67281</v>
      </c>
      <c r="V36">
        <v>0</v>
      </c>
      <c r="W36">
        <v>67281</v>
      </c>
      <c r="X36">
        <v>-120611</v>
      </c>
      <c r="Y36">
        <v>0</v>
      </c>
      <c r="Z36">
        <v>0</v>
      </c>
      <c r="AA36">
        <v>0</v>
      </c>
      <c r="AB36">
        <v>-120611</v>
      </c>
      <c r="AC36">
        <v>0</v>
      </c>
      <c r="AD36">
        <v>-120611</v>
      </c>
      <c r="AE36">
        <v>120611</v>
      </c>
      <c r="AF36">
        <v>0</v>
      </c>
      <c r="AG36">
        <v>120611</v>
      </c>
      <c r="AH36">
        <v>-5104844</v>
      </c>
      <c r="AI36">
        <v>0</v>
      </c>
      <c r="AJ36">
        <v>-5104844</v>
      </c>
      <c r="AK36">
        <v>0</v>
      </c>
      <c r="AL36">
        <v>0</v>
      </c>
      <c r="AM36">
        <v>0</v>
      </c>
      <c r="AN36">
        <v>727069</v>
      </c>
      <c r="AO36">
        <v>0</v>
      </c>
      <c r="AP36">
        <v>727069</v>
      </c>
      <c r="AQ36">
        <v>-4377775</v>
      </c>
      <c r="AR36">
        <v>0</v>
      </c>
      <c r="AS36">
        <v>-4377775</v>
      </c>
      <c r="AT36">
        <v>-2718964</v>
      </c>
      <c r="AU36">
        <v>0</v>
      </c>
      <c r="AV36">
        <v>-2718964</v>
      </c>
      <c r="AW36">
        <v>-23327</v>
      </c>
      <c r="AX36">
        <v>0</v>
      </c>
      <c r="AY36">
        <v>-23327</v>
      </c>
      <c r="AZ36">
        <v>-60128</v>
      </c>
      <c r="BA36">
        <v>0</v>
      </c>
      <c r="BB36">
        <v>-60128</v>
      </c>
      <c r="BC36">
        <v>0</v>
      </c>
      <c r="BD36">
        <v>0</v>
      </c>
      <c r="BE36">
        <v>0</v>
      </c>
      <c r="BF36">
        <v>-7180194</v>
      </c>
      <c r="BG36">
        <v>0</v>
      </c>
      <c r="BH36">
        <v>0</v>
      </c>
      <c r="BI36">
        <v>0</v>
      </c>
      <c r="BJ36">
        <v>-7180194</v>
      </c>
      <c r="BK36">
        <v>0</v>
      </c>
      <c r="BL36">
        <v>-7180194</v>
      </c>
      <c r="BM36">
        <v>0</v>
      </c>
      <c r="BN36">
        <v>0</v>
      </c>
      <c r="BO36">
        <v>0</v>
      </c>
      <c r="BP36">
        <v>-875442</v>
      </c>
      <c r="BQ36">
        <v>0</v>
      </c>
      <c r="BR36">
        <v>-875442</v>
      </c>
      <c r="BS36">
        <v>-875442</v>
      </c>
      <c r="BT36">
        <v>0</v>
      </c>
      <c r="BU36">
        <v>0</v>
      </c>
      <c r="BV36">
        <v>0</v>
      </c>
      <c r="BW36">
        <v>-875442</v>
      </c>
      <c r="BX36">
        <v>0</v>
      </c>
      <c r="BY36">
        <v>-875442</v>
      </c>
      <c r="BZ36">
        <v>-43266</v>
      </c>
      <c r="CA36">
        <v>0</v>
      </c>
      <c r="CB36">
        <v>-43266</v>
      </c>
      <c r="CC36">
        <v>-230649</v>
      </c>
      <c r="CD36">
        <v>0</v>
      </c>
      <c r="CE36">
        <v>-230649</v>
      </c>
      <c r="CF36">
        <v>-2458</v>
      </c>
      <c r="CG36">
        <v>0</v>
      </c>
      <c r="CH36">
        <v>-2458</v>
      </c>
      <c r="CI36">
        <v>0</v>
      </c>
      <c r="CJ36">
        <v>0</v>
      </c>
      <c r="CK36">
        <v>0</v>
      </c>
      <c r="CL36">
        <v>0</v>
      </c>
      <c r="CM36">
        <v>0</v>
      </c>
      <c r="CN36">
        <v>0</v>
      </c>
      <c r="CO36">
        <v>-22257</v>
      </c>
      <c r="CP36">
        <v>0</v>
      </c>
      <c r="CQ36">
        <v>-22257</v>
      </c>
      <c r="CR36">
        <v>0</v>
      </c>
      <c r="CS36">
        <v>0</v>
      </c>
      <c r="CT36">
        <v>-298630</v>
      </c>
      <c r="CU36">
        <v>0</v>
      </c>
      <c r="CV36">
        <v>0</v>
      </c>
      <c r="CW36">
        <v>0</v>
      </c>
      <c r="CX36">
        <v>-298630</v>
      </c>
      <c r="CY36">
        <v>0</v>
      </c>
      <c r="CZ36">
        <v>-298630</v>
      </c>
      <c r="DA36">
        <v>-71619</v>
      </c>
      <c r="DB36">
        <v>0</v>
      </c>
      <c r="DC36">
        <v>-71619</v>
      </c>
      <c r="DD36">
        <v>-34601</v>
      </c>
      <c r="DE36">
        <v>0</v>
      </c>
      <c r="DF36">
        <v>-34601</v>
      </c>
      <c r="DG36">
        <v>-9000</v>
      </c>
      <c r="DH36">
        <v>0</v>
      </c>
      <c r="DI36">
        <v>-9000</v>
      </c>
      <c r="DJ36">
        <v>-727637</v>
      </c>
      <c r="DK36">
        <v>0</v>
      </c>
      <c r="DL36">
        <v>-727637</v>
      </c>
      <c r="DM36">
        <v>-842857</v>
      </c>
      <c r="DN36">
        <v>0</v>
      </c>
      <c r="DO36">
        <v>0</v>
      </c>
      <c r="DP36">
        <v>0</v>
      </c>
      <c r="DQ36">
        <v>-842857</v>
      </c>
      <c r="DR36">
        <v>0</v>
      </c>
      <c r="DS36">
        <v>-842857</v>
      </c>
      <c r="DT36">
        <v>35929242</v>
      </c>
      <c r="DU36">
        <v>0</v>
      </c>
      <c r="DV36" s="661">
        <v>35929242</v>
      </c>
      <c r="DW36" t="s">
        <v>1689</v>
      </c>
    </row>
    <row r="37" spans="1:127" ht="12.75" x14ac:dyDescent="0.2">
      <c r="A37" s="605">
        <v>30</v>
      </c>
      <c r="B37" s="606" t="s">
        <v>733</v>
      </c>
      <c r="C37" s="607" t="s">
        <v>1190</v>
      </c>
      <c r="D37" s="608" t="s">
        <v>1191</v>
      </c>
      <c r="E37" s="609" t="s">
        <v>732</v>
      </c>
      <c r="G37">
        <v>318939334</v>
      </c>
      <c r="H37">
        <v>0</v>
      </c>
      <c r="I37">
        <v>318939334</v>
      </c>
      <c r="J37">
        <v>49.9</v>
      </c>
      <c r="K37">
        <v>159150728</v>
      </c>
      <c r="L37">
        <v>0</v>
      </c>
      <c r="M37">
        <v>0</v>
      </c>
      <c r="N37">
        <v>0</v>
      </c>
      <c r="O37">
        <v>159150728</v>
      </c>
      <c r="P37">
        <v>0</v>
      </c>
      <c r="Q37">
        <v>159150728</v>
      </c>
      <c r="R37">
        <v>-783836</v>
      </c>
      <c r="S37">
        <v>0</v>
      </c>
      <c r="T37">
        <v>-783836</v>
      </c>
      <c r="U37">
        <v>279540</v>
      </c>
      <c r="V37">
        <v>0</v>
      </c>
      <c r="W37">
        <v>279540</v>
      </c>
      <c r="X37">
        <v>-504296</v>
      </c>
      <c r="Y37">
        <v>0</v>
      </c>
      <c r="Z37">
        <v>0</v>
      </c>
      <c r="AA37">
        <v>0</v>
      </c>
      <c r="AB37">
        <v>-504296</v>
      </c>
      <c r="AC37">
        <v>0</v>
      </c>
      <c r="AD37">
        <v>-504296</v>
      </c>
      <c r="AE37">
        <v>504296</v>
      </c>
      <c r="AF37">
        <v>0</v>
      </c>
      <c r="AG37">
        <v>504296</v>
      </c>
      <c r="AH37">
        <v>-9651286</v>
      </c>
      <c r="AI37">
        <v>0</v>
      </c>
      <c r="AJ37">
        <v>-9651286</v>
      </c>
      <c r="AK37">
        <v>-4192</v>
      </c>
      <c r="AL37">
        <v>0</v>
      </c>
      <c r="AM37">
        <v>-4192</v>
      </c>
      <c r="AN37">
        <v>2929060</v>
      </c>
      <c r="AO37">
        <v>0</v>
      </c>
      <c r="AP37">
        <v>2929060</v>
      </c>
      <c r="AQ37">
        <v>-6722226</v>
      </c>
      <c r="AR37">
        <v>0</v>
      </c>
      <c r="AS37">
        <v>-6722226</v>
      </c>
      <c r="AT37">
        <v>-10245161</v>
      </c>
      <c r="AU37">
        <v>0</v>
      </c>
      <c r="AV37">
        <v>-10245161</v>
      </c>
      <c r="AW37">
        <v>-18637</v>
      </c>
      <c r="AX37">
        <v>0</v>
      </c>
      <c r="AY37">
        <v>-18637</v>
      </c>
      <c r="AZ37">
        <v>0</v>
      </c>
      <c r="BA37">
        <v>0</v>
      </c>
      <c r="BB37">
        <v>0</v>
      </c>
      <c r="BC37">
        <v>0</v>
      </c>
      <c r="BD37">
        <v>0</v>
      </c>
      <c r="BE37">
        <v>0</v>
      </c>
      <c r="BF37">
        <v>-16986024</v>
      </c>
      <c r="BG37">
        <v>0</v>
      </c>
      <c r="BH37">
        <v>0</v>
      </c>
      <c r="BI37">
        <v>0</v>
      </c>
      <c r="BJ37">
        <v>-16986024</v>
      </c>
      <c r="BK37">
        <v>0</v>
      </c>
      <c r="BL37">
        <v>-16986024</v>
      </c>
      <c r="BM37">
        <v>-8119</v>
      </c>
      <c r="BN37">
        <v>0</v>
      </c>
      <c r="BO37">
        <v>-8119</v>
      </c>
      <c r="BP37">
        <v>-3793976</v>
      </c>
      <c r="BQ37">
        <v>0</v>
      </c>
      <c r="BR37">
        <v>-3793976</v>
      </c>
      <c r="BS37">
        <v>-3802095</v>
      </c>
      <c r="BT37">
        <v>0</v>
      </c>
      <c r="BU37">
        <v>0</v>
      </c>
      <c r="BV37">
        <v>0</v>
      </c>
      <c r="BW37">
        <v>-3802095</v>
      </c>
      <c r="BX37">
        <v>0</v>
      </c>
      <c r="BY37">
        <v>-3802095</v>
      </c>
      <c r="BZ37">
        <v>-440309</v>
      </c>
      <c r="CA37">
        <v>0</v>
      </c>
      <c r="CB37">
        <v>-440309</v>
      </c>
      <c r="CC37">
        <v>-22006</v>
      </c>
      <c r="CD37">
        <v>0</v>
      </c>
      <c r="CE37">
        <v>-22006</v>
      </c>
      <c r="CF37">
        <v>0</v>
      </c>
      <c r="CG37">
        <v>0</v>
      </c>
      <c r="CH37">
        <v>0</v>
      </c>
      <c r="CI37">
        <v>0</v>
      </c>
      <c r="CJ37">
        <v>0</v>
      </c>
      <c r="CK37">
        <v>0</v>
      </c>
      <c r="CL37">
        <v>0</v>
      </c>
      <c r="CM37">
        <v>0</v>
      </c>
      <c r="CN37">
        <v>0</v>
      </c>
      <c r="CO37">
        <v>0</v>
      </c>
      <c r="CP37">
        <v>0</v>
      </c>
      <c r="CQ37">
        <v>0</v>
      </c>
      <c r="CR37">
        <v>0</v>
      </c>
      <c r="CS37">
        <v>0</v>
      </c>
      <c r="CT37">
        <v>-462315</v>
      </c>
      <c r="CU37">
        <v>0</v>
      </c>
      <c r="CV37">
        <v>0</v>
      </c>
      <c r="CW37">
        <v>0</v>
      </c>
      <c r="CX37">
        <v>-462315</v>
      </c>
      <c r="CY37">
        <v>0</v>
      </c>
      <c r="CZ37">
        <v>-462315</v>
      </c>
      <c r="DA37">
        <v>0</v>
      </c>
      <c r="DB37">
        <v>0</v>
      </c>
      <c r="DC37">
        <v>0</v>
      </c>
      <c r="DD37">
        <v>-100173</v>
      </c>
      <c r="DE37">
        <v>0</v>
      </c>
      <c r="DF37">
        <v>-100173</v>
      </c>
      <c r="DG37">
        <v>-31311</v>
      </c>
      <c r="DH37">
        <v>0</v>
      </c>
      <c r="DI37">
        <v>-31311</v>
      </c>
      <c r="DJ37">
        <v>-6718100</v>
      </c>
      <c r="DK37">
        <v>0</v>
      </c>
      <c r="DL37">
        <v>-6718100</v>
      </c>
      <c r="DM37">
        <v>-6849584</v>
      </c>
      <c r="DN37">
        <v>0</v>
      </c>
      <c r="DO37">
        <v>0</v>
      </c>
      <c r="DP37">
        <v>0</v>
      </c>
      <c r="DQ37">
        <v>-6849584</v>
      </c>
      <c r="DR37">
        <v>0</v>
      </c>
      <c r="DS37">
        <v>-6849584</v>
      </c>
      <c r="DT37">
        <v>130546414</v>
      </c>
      <c r="DU37">
        <v>0</v>
      </c>
      <c r="DV37" s="661">
        <v>130546414</v>
      </c>
      <c r="DW37" t="s">
        <v>1690</v>
      </c>
    </row>
    <row r="38" spans="1:127" ht="12.75" x14ac:dyDescent="0.2">
      <c r="A38" s="605">
        <v>31</v>
      </c>
      <c r="B38" s="606" t="s">
        <v>735</v>
      </c>
      <c r="C38" s="607" t="s">
        <v>1185</v>
      </c>
      <c r="D38" s="608" t="s">
        <v>1189</v>
      </c>
      <c r="E38" s="609" t="s">
        <v>734</v>
      </c>
      <c r="G38">
        <v>71518334</v>
      </c>
      <c r="H38">
        <v>0</v>
      </c>
      <c r="I38">
        <v>71518334</v>
      </c>
      <c r="J38">
        <v>49.9</v>
      </c>
      <c r="K38">
        <v>35687649</v>
      </c>
      <c r="L38">
        <v>0</v>
      </c>
      <c r="M38">
        <v>-1694915</v>
      </c>
      <c r="N38">
        <v>0</v>
      </c>
      <c r="O38">
        <v>33992734</v>
      </c>
      <c r="P38">
        <v>0</v>
      </c>
      <c r="Q38">
        <v>33992734</v>
      </c>
      <c r="R38">
        <v>-104256</v>
      </c>
      <c r="S38">
        <v>0</v>
      </c>
      <c r="T38">
        <v>-104256</v>
      </c>
      <c r="U38">
        <v>119377</v>
      </c>
      <c r="V38">
        <v>0</v>
      </c>
      <c r="W38">
        <v>119377</v>
      </c>
      <c r="X38">
        <v>15121</v>
      </c>
      <c r="Y38">
        <v>0</v>
      </c>
      <c r="Z38">
        <v>0</v>
      </c>
      <c r="AA38">
        <v>0</v>
      </c>
      <c r="AB38">
        <v>15121</v>
      </c>
      <c r="AC38">
        <v>0</v>
      </c>
      <c r="AD38">
        <v>15121</v>
      </c>
      <c r="AE38">
        <v>-15121</v>
      </c>
      <c r="AF38">
        <v>0</v>
      </c>
      <c r="AG38">
        <v>-15121</v>
      </c>
      <c r="AH38">
        <v>-2763941</v>
      </c>
      <c r="AI38">
        <v>0</v>
      </c>
      <c r="AJ38">
        <v>-2763941</v>
      </c>
      <c r="AK38">
        <v>0</v>
      </c>
      <c r="AL38">
        <v>0</v>
      </c>
      <c r="AM38">
        <v>0</v>
      </c>
      <c r="AN38">
        <v>601033</v>
      </c>
      <c r="AO38">
        <v>0</v>
      </c>
      <c r="AP38">
        <v>601033</v>
      </c>
      <c r="AQ38">
        <v>-2162908</v>
      </c>
      <c r="AR38">
        <v>0</v>
      </c>
      <c r="AS38">
        <v>-2162908</v>
      </c>
      <c r="AT38">
        <v>-2397283</v>
      </c>
      <c r="AU38">
        <v>0</v>
      </c>
      <c r="AV38">
        <v>-2397283</v>
      </c>
      <c r="AW38">
        <v>-41677</v>
      </c>
      <c r="AX38">
        <v>0</v>
      </c>
      <c r="AY38">
        <v>-41677</v>
      </c>
      <c r="AZ38">
        <v>0</v>
      </c>
      <c r="BA38">
        <v>0</v>
      </c>
      <c r="BB38">
        <v>0</v>
      </c>
      <c r="BC38">
        <v>0</v>
      </c>
      <c r="BD38">
        <v>0</v>
      </c>
      <c r="BE38">
        <v>0</v>
      </c>
      <c r="BF38">
        <v>-4601868</v>
      </c>
      <c r="BG38">
        <v>0</v>
      </c>
      <c r="BH38">
        <v>0</v>
      </c>
      <c r="BI38">
        <v>0</v>
      </c>
      <c r="BJ38">
        <v>-4601868</v>
      </c>
      <c r="BK38">
        <v>0</v>
      </c>
      <c r="BL38">
        <v>-4601868</v>
      </c>
      <c r="BM38">
        <v>-46590</v>
      </c>
      <c r="BN38">
        <v>0</v>
      </c>
      <c r="BO38">
        <v>-46590</v>
      </c>
      <c r="BP38">
        <v>-1103410</v>
      </c>
      <c r="BQ38">
        <v>0</v>
      </c>
      <c r="BR38">
        <v>-1103410</v>
      </c>
      <c r="BS38">
        <v>-1150000</v>
      </c>
      <c r="BT38">
        <v>0</v>
      </c>
      <c r="BU38">
        <v>0</v>
      </c>
      <c r="BV38">
        <v>0</v>
      </c>
      <c r="BW38">
        <v>-1150000</v>
      </c>
      <c r="BX38">
        <v>0</v>
      </c>
      <c r="BY38">
        <v>-1150000</v>
      </c>
      <c r="BZ38">
        <v>-38717</v>
      </c>
      <c r="CA38">
        <v>0</v>
      </c>
      <c r="CB38">
        <v>-38717</v>
      </c>
      <c r="CC38">
        <v>-8965</v>
      </c>
      <c r="CD38">
        <v>0</v>
      </c>
      <c r="CE38">
        <v>-8965</v>
      </c>
      <c r="CF38">
        <v>0</v>
      </c>
      <c r="CG38">
        <v>0</v>
      </c>
      <c r="CH38">
        <v>0</v>
      </c>
      <c r="CI38">
        <v>0</v>
      </c>
      <c r="CJ38">
        <v>0</v>
      </c>
      <c r="CK38">
        <v>0</v>
      </c>
      <c r="CL38">
        <v>0</v>
      </c>
      <c r="CM38">
        <v>0</v>
      </c>
      <c r="CN38">
        <v>0</v>
      </c>
      <c r="CO38">
        <v>0</v>
      </c>
      <c r="CP38">
        <v>0</v>
      </c>
      <c r="CQ38">
        <v>0</v>
      </c>
      <c r="CR38">
        <v>0</v>
      </c>
      <c r="CS38">
        <v>0</v>
      </c>
      <c r="CT38">
        <v>-47682</v>
      </c>
      <c r="CU38">
        <v>0</v>
      </c>
      <c r="CV38">
        <v>0</v>
      </c>
      <c r="CW38">
        <v>0</v>
      </c>
      <c r="CX38">
        <v>-47682</v>
      </c>
      <c r="CY38">
        <v>0</v>
      </c>
      <c r="CZ38">
        <v>-47682</v>
      </c>
      <c r="DA38">
        <v>0</v>
      </c>
      <c r="DB38">
        <v>0</v>
      </c>
      <c r="DC38">
        <v>0</v>
      </c>
      <c r="DD38">
        <v>-4723</v>
      </c>
      <c r="DE38">
        <v>0</v>
      </c>
      <c r="DF38">
        <v>-4723</v>
      </c>
      <c r="DG38">
        <v>-3581</v>
      </c>
      <c r="DH38">
        <v>0</v>
      </c>
      <c r="DI38">
        <v>-3581</v>
      </c>
      <c r="DJ38">
        <v>-1105588</v>
      </c>
      <c r="DK38">
        <v>0</v>
      </c>
      <c r="DL38">
        <v>-1105588</v>
      </c>
      <c r="DM38">
        <v>-1113892</v>
      </c>
      <c r="DN38">
        <v>0</v>
      </c>
      <c r="DO38">
        <v>0</v>
      </c>
      <c r="DP38">
        <v>0</v>
      </c>
      <c r="DQ38">
        <v>-1113892</v>
      </c>
      <c r="DR38">
        <v>0</v>
      </c>
      <c r="DS38">
        <v>-1113892</v>
      </c>
      <c r="DT38">
        <v>27094413</v>
      </c>
      <c r="DU38">
        <v>0</v>
      </c>
      <c r="DV38" s="661">
        <v>27094413</v>
      </c>
      <c r="DW38" t="s">
        <v>1691</v>
      </c>
    </row>
    <row r="39" spans="1:127" ht="12.75" x14ac:dyDescent="0.2">
      <c r="A39" s="605">
        <v>32</v>
      </c>
      <c r="B39" s="606" t="s">
        <v>737</v>
      </c>
      <c r="C39" s="607" t="s">
        <v>524</v>
      </c>
      <c r="D39" s="608" t="s">
        <v>1186</v>
      </c>
      <c r="E39" s="609" t="s">
        <v>916</v>
      </c>
      <c r="G39">
        <v>311150632</v>
      </c>
      <c r="H39">
        <v>0</v>
      </c>
      <c r="I39">
        <v>311150632</v>
      </c>
      <c r="J39">
        <v>49.9</v>
      </c>
      <c r="K39">
        <v>155264165</v>
      </c>
      <c r="L39">
        <v>0</v>
      </c>
      <c r="M39">
        <v>2109448</v>
      </c>
      <c r="N39">
        <v>0</v>
      </c>
      <c r="O39">
        <v>157373613</v>
      </c>
      <c r="P39">
        <v>0</v>
      </c>
      <c r="Q39">
        <v>157373613</v>
      </c>
      <c r="R39">
        <v>-1597185</v>
      </c>
      <c r="S39">
        <v>0</v>
      </c>
      <c r="T39">
        <v>-1597185</v>
      </c>
      <c r="U39">
        <v>126813</v>
      </c>
      <c r="V39">
        <v>0</v>
      </c>
      <c r="W39">
        <v>126813</v>
      </c>
      <c r="X39">
        <v>-1470372</v>
      </c>
      <c r="Y39">
        <v>0</v>
      </c>
      <c r="Z39">
        <v>0</v>
      </c>
      <c r="AA39">
        <v>0</v>
      </c>
      <c r="AB39">
        <v>-1470372</v>
      </c>
      <c r="AC39">
        <v>0</v>
      </c>
      <c r="AD39">
        <v>-1470372</v>
      </c>
      <c r="AE39">
        <v>1470372</v>
      </c>
      <c r="AF39">
        <v>0</v>
      </c>
      <c r="AG39">
        <v>1470372</v>
      </c>
      <c r="AH39">
        <v>-11829419</v>
      </c>
      <c r="AI39">
        <v>0</v>
      </c>
      <c r="AJ39">
        <v>-11829419</v>
      </c>
      <c r="AK39">
        <v>-21816</v>
      </c>
      <c r="AL39">
        <v>0</v>
      </c>
      <c r="AM39">
        <v>-21816</v>
      </c>
      <c r="AN39">
        <v>2824915</v>
      </c>
      <c r="AO39">
        <v>0</v>
      </c>
      <c r="AP39">
        <v>2824915</v>
      </c>
      <c r="AQ39">
        <v>-9004504</v>
      </c>
      <c r="AR39">
        <v>0</v>
      </c>
      <c r="AS39">
        <v>-9004504</v>
      </c>
      <c r="AT39">
        <v>-11962808</v>
      </c>
      <c r="AU39">
        <v>0</v>
      </c>
      <c r="AV39">
        <v>-11962808</v>
      </c>
      <c r="AW39">
        <v>-55644</v>
      </c>
      <c r="AX39">
        <v>0</v>
      </c>
      <c r="AY39">
        <v>-55644</v>
      </c>
      <c r="AZ39">
        <v>0</v>
      </c>
      <c r="BA39">
        <v>0</v>
      </c>
      <c r="BB39">
        <v>0</v>
      </c>
      <c r="BC39">
        <v>0</v>
      </c>
      <c r="BD39">
        <v>0</v>
      </c>
      <c r="BE39">
        <v>0</v>
      </c>
      <c r="BF39">
        <v>-21022956</v>
      </c>
      <c r="BG39">
        <v>0</v>
      </c>
      <c r="BH39">
        <v>27423</v>
      </c>
      <c r="BI39">
        <v>0</v>
      </c>
      <c r="BJ39">
        <v>-20995533</v>
      </c>
      <c r="BK39">
        <v>0</v>
      </c>
      <c r="BL39">
        <v>-20995533</v>
      </c>
      <c r="BM39">
        <v>0</v>
      </c>
      <c r="BN39">
        <v>0</v>
      </c>
      <c r="BO39">
        <v>0</v>
      </c>
      <c r="BP39">
        <v>-3937647</v>
      </c>
      <c r="BQ39">
        <v>0</v>
      </c>
      <c r="BR39">
        <v>-3937647</v>
      </c>
      <c r="BS39">
        <v>-3937647</v>
      </c>
      <c r="BT39">
        <v>0</v>
      </c>
      <c r="BU39">
        <v>0</v>
      </c>
      <c r="BV39">
        <v>0</v>
      </c>
      <c r="BW39">
        <v>-3937647</v>
      </c>
      <c r="BX39">
        <v>0</v>
      </c>
      <c r="BY39">
        <v>-3937647</v>
      </c>
      <c r="BZ39">
        <v>-35243</v>
      </c>
      <c r="CA39">
        <v>0</v>
      </c>
      <c r="CB39">
        <v>-35243</v>
      </c>
      <c r="CC39">
        <v>-38326</v>
      </c>
      <c r="CD39">
        <v>0</v>
      </c>
      <c r="CE39">
        <v>-38326</v>
      </c>
      <c r="CF39">
        <v>-207</v>
      </c>
      <c r="CG39">
        <v>0</v>
      </c>
      <c r="CH39">
        <v>-207</v>
      </c>
      <c r="CI39">
        <v>0</v>
      </c>
      <c r="CJ39">
        <v>0</v>
      </c>
      <c r="CK39">
        <v>0</v>
      </c>
      <c r="CL39">
        <v>0</v>
      </c>
      <c r="CM39">
        <v>0</v>
      </c>
      <c r="CN39">
        <v>0</v>
      </c>
      <c r="CO39">
        <v>0</v>
      </c>
      <c r="CP39">
        <v>0</v>
      </c>
      <c r="CQ39">
        <v>0</v>
      </c>
      <c r="CR39">
        <v>0</v>
      </c>
      <c r="CS39">
        <v>0</v>
      </c>
      <c r="CT39">
        <v>-73776</v>
      </c>
      <c r="CU39">
        <v>0</v>
      </c>
      <c r="CV39">
        <v>0</v>
      </c>
      <c r="CW39">
        <v>0</v>
      </c>
      <c r="CX39">
        <v>-73776</v>
      </c>
      <c r="CY39">
        <v>0</v>
      </c>
      <c r="CZ39">
        <v>-73776</v>
      </c>
      <c r="DA39">
        <v>0</v>
      </c>
      <c r="DB39">
        <v>0</v>
      </c>
      <c r="DC39">
        <v>0</v>
      </c>
      <c r="DD39">
        <v>-200516</v>
      </c>
      <c r="DE39">
        <v>0</v>
      </c>
      <c r="DF39">
        <v>-200516</v>
      </c>
      <c r="DG39">
        <v>-32097</v>
      </c>
      <c r="DH39">
        <v>0</v>
      </c>
      <c r="DI39">
        <v>-32097</v>
      </c>
      <c r="DJ39">
        <v>-4797494</v>
      </c>
      <c r="DK39">
        <v>0</v>
      </c>
      <c r="DL39">
        <v>-4797494</v>
      </c>
      <c r="DM39">
        <v>-5030107</v>
      </c>
      <c r="DN39">
        <v>0</v>
      </c>
      <c r="DO39">
        <v>0</v>
      </c>
      <c r="DP39">
        <v>0</v>
      </c>
      <c r="DQ39">
        <v>-5030107</v>
      </c>
      <c r="DR39">
        <v>0</v>
      </c>
      <c r="DS39">
        <v>-5030107</v>
      </c>
      <c r="DT39">
        <v>125866178</v>
      </c>
      <c r="DU39">
        <v>0</v>
      </c>
      <c r="DV39" s="661">
        <v>125866178</v>
      </c>
      <c r="DW39" t="s">
        <v>1692</v>
      </c>
    </row>
    <row r="40" spans="1:127" ht="12.75" x14ac:dyDescent="0.2">
      <c r="A40" s="605">
        <v>33</v>
      </c>
      <c r="B40" s="606" t="s">
        <v>739</v>
      </c>
      <c r="C40" s="607" t="s">
        <v>524</v>
      </c>
      <c r="D40" s="608" t="s">
        <v>1194</v>
      </c>
      <c r="E40" s="609" t="s">
        <v>526</v>
      </c>
      <c r="G40">
        <v>485367569</v>
      </c>
      <c r="H40">
        <v>76863790</v>
      </c>
      <c r="I40">
        <v>562231359</v>
      </c>
      <c r="J40">
        <v>49.9</v>
      </c>
      <c r="K40">
        <v>242198417</v>
      </c>
      <c r="L40">
        <v>38355031</v>
      </c>
      <c r="M40">
        <v>100000</v>
      </c>
      <c r="N40">
        <v>409600</v>
      </c>
      <c r="O40">
        <v>242298417</v>
      </c>
      <c r="P40">
        <v>38764631</v>
      </c>
      <c r="Q40">
        <v>281063048</v>
      </c>
      <c r="R40">
        <v>-1481939</v>
      </c>
      <c r="S40">
        <v>-35705</v>
      </c>
      <c r="T40">
        <v>-1517644</v>
      </c>
      <c r="U40">
        <v>3275597</v>
      </c>
      <c r="V40">
        <v>139089</v>
      </c>
      <c r="W40">
        <v>3414686</v>
      </c>
      <c r="X40">
        <v>1793658</v>
      </c>
      <c r="Y40">
        <v>103384</v>
      </c>
      <c r="Z40">
        <v>0</v>
      </c>
      <c r="AA40">
        <v>0</v>
      </c>
      <c r="AB40">
        <v>1793658</v>
      </c>
      <c r="AC40">
        <v>103384</v>
      </c>
      <c r="AD40">
        <v>1897042</v>
      </c>
      <c r="AE40">
        <v>-1793658</v>
      </c>
      <c r="AF40">
        <v>-103384</v>
      </c>
      <c r="AG40">
        <v>-1897042</v>
      </c>
      <c r="AH40">
        <v>-15031494</v>
      </c>
      <c r="AI40">
        <v>-367975</v>
      </c>
      <c r="AJ40">
        <v>-15399469</v>
      </c>
      <c r="AK40">
        <v>-11317</v>
      </c>
      <c r="AL40">
        <v>0</v>
      </c>
      <c r="AM40">
        <v>-11317</v>
      </c>
      <c r="AN40">
        <v>4645047</v>
      </c>
      <c r="AO40">
        <v>887407</v>
      </c>
      <c r="AP40">
        <v>5532454</v>
      </c>
      <c r="AQ40">
        <v>-10386447</v>
      </c>
      <c r="AR40">
        <v>519432</v>
      </c>
      <c r="AS40">
        <v>-9867015</v>
      </c>
      <c r="AT40">
        <v>-20259292</v>
      </c>
      <c r="AU40">
        <v>-478105</v>
      </c>
      <c r="AV40">
        <v>-20737397</v>
      </c>
      <c r="AW40">
        <v>-104525</v>
      </c>
      <c r="AX40">
        <v>0</v>
      </c>
      <c r="AY40">
        <v>-104525</v>
      </c>
      <c r="AZ40">
        <v>0</v>
      </c>
      <c r="BA40">
        <v>0</v>
      </c>
      <c r="BB40">
        <v>0</v>
      </c>
      <c r="BC40">
        <v>0</v>
      </c>
      <c r="BD40">
        <v>0</v>
      </c>
      <c r="BE40">
        <v>0</v>
      </c>
      <c r="BF40">
        <v>-30750264</v>
      </c>
      <c r="BG40">
        <v>41327</v>
      </c>
      <c r="BH40">
        <v>-1225000</v>
      </c>
      <c r="BI40">
        <v>-25000</v>
      </c>
      <c r="BJ40">
        <v>-31975264</v>
      </c>
      <c r="BK40">
        <v>16327</v>
      </c>
      <c r="BL40">
        <v>-31958937</v>
      </c>
      <c r="BM40">
        <v>-51953</v>
      </c>
      <c r="BN40">
        <v>-51953</v>
      </c>
      <c r="BO40">
        <v>-103906</v>
      </c>
      <c r="BP40">
        <v>-5516336</v>
      </c>
      <c r="BQ40">
        <v>-249784</v>
      </c>
      <c r="BR40">
        <v>-5766120</v>
      </c>
      <c r="BS40">
        <v>-5568289</v>
      </c>
      <c r="BT40">
        <v>-301737</v>
      </c>
      <c r="BU40">
        <v>-3300000</v>
      </c>
      <c r="BV40">
        <v>0</v>
      </c>
      <c r="BW40">
        <v>-8868289</v>
      </c>
      <c r="BX40">
        <v>-301737</v>
      </c>
      <c r="BY40">
        <v>-9170026</v>
      </c>
      <c r="BZ40">
        <v>-285392</v>
      </c>
      <c r="CA40">
        <v>-11878</v>
      </c>
      <c r="CB40">
        <v>-297270</v>
      </c>
      <c r="CC40">
        <v>-196478</v>
      </c>
      <c r="CD40">
        <v>0</v>
      </c>
      <c r="CE40">
        <v>-196478</v>
      </c>
      <c r="CF40">
        <v>-2143</v>
      </c>
      <c r="CG40">
        <v>0</v>
      </c>
      <c r="CH40">
        <v>-2143</v>
      </c>
      <c r="CI40">
        <v>0</v>
      </c>
      <c r="CJ40">
        <v>0</v>
      </c>
      <c r="CK40">
        <v>0</v>
      </c>
      <c r="CL40">
        <v>0</v>
      </c>
      <c r="CM40">
        <v>0</v>
      </c>
      <c r="CN40">
        <v>0</v>
      </c>
      <c r="CO40">
        <v>0</v>
      </c>
      <c r="CP40">
        <v>-1614490</v>
      </c>
      <c r="CQ40">
        <v>-1614490</v>
      </c>
      <c r="CR40">
        <v>-1614490</v>
      </c>
      <c r="CS40">
        <v>0</v>
      </c>
      <c r="CT40">
        <v>-484013</v>
      </c>
      <c r="CU40">
        <v>-1626368</v>
      </c>
      <c r="CV40">
        <v>0</v>
      </c>
      <c r="CW40">
        <v>-100000</v>
      </c>
      <c r="CX40">
        <v>-484013</v>
      </c>
      <c r="CY40">
        <v>-1726368</v>
      </c>
      <c r="CZ40">
        <v>-2210381</v>
      </c>
      <c r="DA40">
        <v>0</v>
      </c>
      <c r="DB40">
        <v>0</v>
      </c>
      <c r="DC40">
        <v>0</v>
      </c>
      <c r="DD40">
        <v>-77140</v>
      </c>
      <c r="DE40">
        <v>-2253</v>
      </c>
      <c r="DF40">
        <v>-79393</v>
      </c>
      <c r="DG40">
        <v>-27879</v>
      </c>
      <c r="DH40">
        <v>0</v>
      </c>
      <c r="DI40">
        <v>-27879</v>
      </c>
      <c r="DJ40">
        <v>-3352984</v>
      </c>
      <c r="DK40">
        <v>-18290</v>
      </c>
      <c r="DL40">
        <v>-3371274</v>
      </c>
      <c r="DM40">
        <v>-3458003</v>
      </c>
      <c r="DN40">
        <v>-20543</v>
      </c>
      <c r="DO40">
        <v>-50000</v>
      </c>
      <c r="DP40">
        <v>0</v>
      </c>
      <c r="DQ40">
        <v>-3508003</v>
      </c>
      <c r="DR40">
        <v>-20543</v>
      </c>
      <c r="DS40">
        <v>-3528546</v>
      </c>
      <c r="DT40">
        <v>199256506</v>
      </c>
      <c r="DU40">
        <v>36835694</v>
      </c>
      <c r="DV40" s="661">
        <v>236092200</v>
      </c>
      <c r="DW40" t="s">
        <v>1693</v>
      </c>
    </row>
    <row r="41" spans="1:127" ht="12.75" x14ac:dyDescent="0.2">
      <c r="A41" s="605">
        <v>34</v>
      </c>
      <c r="B41" s="606" t="s">
        <v>741</v>
      </c>
      <c r="C41" s="607" t="s">
        <v>1185</v>
      </c>
      <c r="D41" s="608" t="s">
        <v>1189</v>
      </c>
      <c r="E41" s="609" t="s">
        <v>740</v>
      </c>
      <c r="G41">
        <v>78516868</v>
      </c>
      <c r="H41">
        <v>0</v>
      </c>
      <c r="I41">
        <v>78516868</v>
      </c>
      <c r="J41">
        <v>49.9</v>
      </c>
      <c r="K41">
        <v>39179917</v>
      </c>
      <c r="L41">
        <v>0</v>
      </c>
      <c r="M41">
        <v>339380</v>
      </c>
      <c r="N41">
        <v>0</v>
      </c>
      <c r="O41">
        <v>39519297</v>
      </c>
      <c r="P41">
        <v>0</v>
      </c>
      <c r="Q41">
        <v>39519297</v>
      </c>
      <c r="R41">
        <v>-192074</v>
      </c>
      <c r="S41">
        <v>0</v>
      </c>
      <c r="T41">
        <v>-192074</v>
      </c>
      <c r="U41">
        <v>679573</v>
      </c>
      <c r="V41">
        <v>0</v>
      </c>
      <c r="W41">
        <v>679573</v>
      </c>
      <c r="X41">
        <v>487499</v>
      </c>
      <c r="Y41">
        <v>0</v>
      </c>
      <c r="Z41">
        <v>66284</v>
      </c>
      <c r="AA41">
        <v>0</v>
      </c>
      <c r="AB41">
        <v>553783</v>
      </c>
      <c r="AC41">
        <v>0</v>
      </c>
      <c r="AD41">
        <v>553783</v>
      </c>
      <c r="AE41">
        <v>-553783</v>
      </c>
      <c r="AF41">
        <v>0</v>
      </c>
      <c r="AG41">
        <v>-553783</v>
      </c>
      <c r="AH41">
        <v>-4480092</v>
      </c>
      <c r="AI41">
        <v>0</v>
      </c>
      <c r="AJ41">
        <v>-4480092</v>
      </c>
      <c r="AK41">
        <v>0</v>
      </c>
      <c r="AL41">
        <v>0</v>
      </c>
      <c r="AM41">
        <v>0</v>
      </c>
      <c r="AN41">
        <v>670135</v>
      </c>
      <c r="AO41">
        <v>0</v>
      </c>
      <c r="AP41">
        <v>670135</v>
      </c>
      <c r="AQ41">
        <v>-3809957</v>
      </c>
      <c r="AR41">
        <v>0</v>
      </c>
      <c r="AS41">
        <v>-3809957</v>
      </c>
      <c r="AT41">
        <v>-2323158</v>
      </c>
      <c r="AU41">
        <v>0</v>
      </c>
      <c r="AV41">
        <v>-2323158</v>
      </c>
      <c r="AW41">
        <v>-38828</v>
      </c>
      <c r="AX41">
        <v>0</v>
      </c>
      <c r="AY41">
        <v>-38828</v>
      </c>
      <c r="AZ41">
        <v>-38258</v>
      </c>
      <c r="BA41">
        <v>0</v>
      </c>
      <c r="BB41">
        <v>-38258</v>
      </c>
      <c r="BC41">
        <v>0</v>
      </c>
      <c r="BD41">
        <v>0</v>
      </c>
      <c r="BE41">
        <v>0</v>
      </c>
      <c r="BF41">
        <v>-6210201</v>
      </c>
      <c r="BG41">
        <v>0</v>
      </c>
      <c r="BH41">
        <v>-465765</v>
      </c>
      <c r="BI41">
        <v>0</v>
      </c>
      <c r="BJ41">
        <v>-6675966</v>
      </c>
      <c r="BK41">
        <v>0</v>
      </c>
      <c r="BL41">
        <v>-6675966</v>
      </c>
      <c r="BM41">
        <v>-5000</v>
      </c>
      <c r="BN41">
        <v>0</v>
      </c>
      <c r="BO41">
        <v>-5000</v>
      </c>
      <c r="BP41">
        <v>-660308</v>
      </c>
      <c r="BQ41">
        <v>0</v>
      </c>
      <c r="BR41">
        <v>-660308</v>
      </c>
      <c r="BS41">
        <v>-665308</v>
      </c>
      <c r="BT41">
        <v>0</v>
      </c>
      <c r="BU41">
        <v>-70000</v>
      </c>
      <c r="BV41">
        <v>0</v>
      </c>
      <c r="BW41">
        <v>-735308</v>
      </c>
      <c r="BX41">
        <v>0</v>
      </c>
      <c r="BY41">
        <v>-735308</v>
      </c>
      <c r="BZ41">
        <v>-22350</v>
      </c>
      <c r="CA41">
        <v>0</v>
      </c>
      <c r="CB41">
        <v>-22350</v>
      </c>
      <c r="CC41">
        <v>-39789</v>
      </c>
      <c r="CD41">
        <v>0</v>
      </c>
      <c r="CE41">
        <v>-39789</v>
      </c>
      <c r="CF41">
        <v>-9707</v>
      </c>
      <c r="CG41">
        <v>0</v>
      </c>
      <c r="CH41">
        <v>-9707</v>
      </c>
      <c r="CI41">
        <v>0</v>
      </c>
      <c r="CJ41">
        <v>0</v>
      </c>
      <c r="CK41">
        <v>0</v>
      </c>
      <c r="CL41">
        <v>-1377</v>
      </c>
      <c r="CM41">
        <v>0</v>
      </c>
      <c r="CN41">
        <v>-1377</v>
      </c>
      <c r="CO41">
        <v>-28016</v>
      </c>
      <c r="CP41">
        <v>0</v>
      </c>
      <c r="CQ41">
        <v>-28016</v>
      </c>
      <c r="CR41">
        <v>0</v>
      </c>
      <c r="CS41">
        <v>0</v>
      </c>
      <c r="CT41">
        <v>-101239</v>
      </c>
      <c r="CU41">
        <v>0</v>
      </c>
      <c r="CV41">
        <v>0</v>
      </c>
      <c r="CW41">
        <v>0</v>
      </c>
      <c r="CX41">
        <v>-101239</v>
      </c>
      <c r="CY41">
        <v>0</v>
      </c>
      <c r="CZ41">
        <v>-101239</v>
      </c>
      <c r="DA41">
        <v>-38257</v>
      </c>
      <c r="DB41">
        <v>0</v>
      </c>
      <c r="DC41">
        <v>-38257</v>
      </c>
      <c r="DD41">
        <v>-27025</v>
      </c>
      <c r="DE41">
        <v>0</v>
      </c>
      <c r="DF41">
        <v>-27025</v>
      </c>
      <c r="DG41">
        <v>-7500</v>
      </c>
      <c r="DH41">
        <v>0</v>
      </c>
      <c r="DI41">
        <v>-7500</v>
      </c>
      <c r="DJ41">
        <v>-634772</v>
      </c>
      <c r="DK41">
        <v>0</v>
      </c>
      <c r="DL41">
        <v>-634772</v>
      </c>
      <c r="DM41">
        <v>-707554</v>
      </c>
      <c r="DN41">
        <v>0</v>
      </c>
      <c r="DO41">
        <v>-47000</v>
      </c>
      <c r="DP41">
        <v>0</v>
      </c>
      <c r="DQ41">
        <v>-754554</v>
      </c>
      <c r="DR41">
        <v>0</v>
      </c>
      <c r="DS41">
        <v>-754554</v>
      </c>
      <c r="DT41">
        <v>31806013</v>
      </c>
      <c r="DU41">
        <v>0</v>
      </c>
      <c r="DV41" s="661">
        <v>31806013</v>
      </c>
      <c r="DW41" t="s">
        <v>1694</v>
      </c>
    </row>
    <row r="42" spans="1:127" ht="12.75" x14ac:dyDescent="0.2">
      <c r="A42" s="605">
        <v>35</v>
      </c>
      <c r="B42" s="606" t="s">
        <v>743</v>
      </c>
      <c r="C42" s="607" t="s">
        <v>1190</v>
      </c>
      <c r="D42" s="608" t="s">
        <v>1191</v>
      </c>
      <c r="E42" s="609" t="s">
        <v>742</v>
      </c>
      <c r="G42">
        <v>243832678</v>
      </c>
      <c r="H42">
        <v>0</v>
      </c>
      <c r="I42">
        <v>243832678</v>
      </c>
      <c r="J42">
        <v>49.9</v>
      </c>
      <c r="K42">
        <v>121672506</v>
      </c>
      <c r="L42">
        <v>0</v>
      </c>
      <c r="M42">
        <v>0</v>
      </c>
      <c r="N42">
        <v>0</v>
      </c>
      <c r="O42">
        <v>121672506</v>
      </c>
      <c r="P42">
        <v>0</v>
      </c>
      <c r="Q42">
        <v>121672506</v>
      </c>
      <c r="R42">
        <v>-905511</v>
      </c>
      <c r="S42">
        <v>0</v>
      </c>
      <c r="T42">
        <v>-905511</v>
      </c>
      <c r="U42">
        <v>262056</v>
      </c>
      <c r="V42">
        <v>0</v>
      </c>
      <c r="W42">
        <v>262056</v>
      </c>
      <c r="X42">
        <v>-643455</v>
      </c>
      <c r="Y42">
        <v>0</v>
      </c>
      <c r="Z42">
        <v>0</v>
      </c>
      <c r="AA42">
        <v>0</v>
      </c>
      <c r="AB42">
        <v>-643455</v>
      </c>
      <c r="AC42">
        <v>0</v>
      </c>
      <c r="AD42">
        <v>-643455</v>
      </c>
      <c r="AE42">
        <v>643455</v>
      </c>
      <c r="AF42">
        <v>0</v>
      </c>
      <c r="AG42">
        <v>643455</v>
      </c>
      <c r="AH42">
        <v>-7573633</v>
      </c>
      <c r="AI42">
        <v>0</v>
      </c>
      <c r="AJ42">
        <v>-7573633</v>
      </c>
      <c r="AK42">
        <v>0</v>
      </c>
      <c r="AL42">
        <v>0</v>
      </c>
      <c r="AM42">
        <v>0</v>
      </c>
      <c r="AN42">
        <v>2272915</v>
      </c>
      <c r="AO42">
        <v>0</v>
      </c>
      <c r="AP42">
        <v>2272915</v>
      </c>
      <c r="AQ42">
        <v>-5300718</v>
      </c>
      <c r="AR42">
        <v>0</v>
      </c>
      <c r="AS42">
        <v>-5300718</v>
      </c>
      <c r="AT42">
        <v>-11805476</v>
      </c>
      <c r="AU42">
        <v>0</v>
      </c>
      <c r="AV42">
        <v>-11805476</v>
      </c>
      <c r="AW42">
        <v>-190159</v>
      </c>
      <c r="AX42">
        <v>0</v>
      </c>
      <c r="AY42">
        <v>-190159</v>
      </c>
      <c r="AZ42">
        <v>0</v>
      </c>
      <c r="BA42">
        <v>0</v>
      </c>
      <c r="BB42">
        <v>0</v>
      </c>
      <c r="BC42">
        <v>0</v>
      </c>
      <c r="BD42">
        <v>0</v>
      </c>
      <c r="BE42">
        <v>0</v>
      </c>
      <c r="BF42">
        <v>-17296353</v>
      </c>
      <c r="BG42">
        <v>0</v>
      </c>
      <c r="BH42">
        <v>0</v>
      </c>
      <c r="BI42">
        <v>0</v>
      </c>
      <c r="BJ42">
        <v>-17296353</v>
      </c>
      <c r="BK42">
        <v>0</v>
      </c>
      <c r="BL42">
        <v>-17296353</v>
      </c>
      <c r="BM42">
        <v>0</v>
      </c>
      <c r="BN42">
        <v>0</v>
      </c>
      <c r="BO42">
        <v>0</v>
      </c>
      <c r="BP42">
        <v>-2326736</v>
      </c>
      <c r="BQ42">
        <v>0</v>
      </c>
      <c r="BR42">
        <v>-2326736</v>
      </c>
      <c r="BS42">
        <v>-2326736</v>
      </c>
      <c r="BT42">
        <v>0</v>
      </c>
      <c r="BU42">
        <v>0</v>
      </c>
      <c r="BV42">
        <v>0</v>
      </c>
      <c r="BW42">
        <v>-2326736</v>
      </c>
      <c r="BX42">
        <v>0</v>
      </c>
      <c r="BY42">
        <v>-2326736</v>
      </c>
      <c r="BZ42">
        <v>-307528</v>
      </c>
      <c r="CA42">
        <v>0</v>
      </c>
      <c r="CB42">
        <v>-307528</v>
      </c>
      <c r="CC42">
        <v>-355301</v>
      </c>
      <c r="CD42">
        <v>0</v>
      </c>
      <c r="CE42">
        <v>-355301</v>
      </c>
      <c r="CF42">
        <v>-47540</v>
      </c>
      <c r="CG42">
        <v>0</v>
      </c>
      <c r="CH42">
        <v>-47540</v>
      </c>
      <c r="CI42">
        <v>0</v>
      </c>
      <c r="CJ42">
        <v>0</v>
      </c>
      <c r="CK42">
        <v>0</v>
      </c>
      <c r="CL42">
        <v>0</v>
      </c>
      <c r="CM42">
        <v>0</v>
      </c>
      <c r="CN42">
        <v>0</v>
      </c>
      <c r="CO42">
        <v>0</v>
      </c>
      <c r="CP42">
        <v>0</v>
      </c>
      <c r="CQ42">
        <v>0</v>
      </c>
      <c r="CR42">
        <v>0</v>
      </c>
      <c r="CS42">
        <v>0</v>
      </c>
      <c r="CT42">
        <v>-710369</v>
      </c>
      <c r="CU42">
        <v>0</v>
      </c>
      <c r="CV42">
        <v>0</v>
      </c>
      <c r="CW42">
        <v>0</v>
      </c>
      <c r="CX42">
        <v>-710369</v>
      </c>
      <c r="CY42">
        <v>0</v>
      </c>
      <c r="CZ42">
        <v>-710369</v>
      </c>
      <c r="DA42">
        <v>0</v>
      </c>
      <c r="DB42">
        <v>0</v>
      </c>
      <c r="DC42">
        <v>0</v>
      </c>
      <c r="DD42">
        <v>-70030</v>
      </c>
      <c r="DE42">
        <v>0</v>
      </c>
      <c r="DF42">
        <v>-70030</v>
      </c>
      <c r="DG42">
        <v>-40000</v>
      </c>
      <c r="DH42">
        <v>0</v>
      </c>
      <c r="DI42">
        <v>-40000</v>
      </c>
      <c r="DJ42">
        <v>-3430158</v>
      </c>
      <c r="DK42">
        <v>0</v>
      </c>
      <c r="DL42">
        <v>-3430158</v>
      </c>
      <c r="DM42">
        <v>-3540188</v>
      </c>
      <c r="DN42">
        <v>0</v>
      </c>
      <c r="DO42">
        <v>0</v>
      </c>
      <c r="DP42">
        <v>0</v>
      </c>
      <c r="DQ42">
        <v>-3540188</v>
      </c>
      <c r="DR42">
        <v>0</v>
      </c>
      <c r="DS42">
        <v>-3540188</v>
      </c>
      <c r="DT42">
        <v>97155405</v>
      </c>
      <c r="DU42">
        <v>0</v>
      </c>
      <c r="DV42" s="661">
        <v>97155405</v>
      </c>
      <c r="DW42" t="s">
        <v>1695</v>
      </c>
    </row>
    <row r="43" spans="1:127" ht="12.75" x14ac:dyDescent="0.2">
      <c r="A43" s="605">
        <v>36</v>
      </c>
      <c r="B43" s="606" t="s">
        <v>745</v>
      </c>
      <c r="C43" s="607" t="s">
        <v>1185</v>
      </c>
      <c r="D43" s="608" t="s">
        <v>1195</v>
      </c>
      <c r="E43" s="609" t="s">
        <v>744</v>
      </c>
      <c r="G43">
        <v>68512407</v>
      </c>
      <c r="H43">
        <v>0</v>
      </c>
      <c r="I43">
        <v>68512407</v>
      </c>
      <c r="J43">
        <v>49.9</v>
      </c>
      <c r="K43">
        <v>34187691</v>
      </c>
      <c r="L43">
        <v>0</v>
      </c>
      <c r="M43">
        <v>0</v>
      </c>
      <c r="N43">
        <v>0</v>
      </c>
      <c r="O43">
        <v>34187691</v>
      </c>
      <c r="P43">
        <v>0</v>
      </c>
      <c r="Q43">
        <v>34187691</v>
      </c>
      <c r="R43">
        <v>-145485</v>
      </c>
      <c r="S43">
        <v>0</v>
      </c>
      <c r="T43">
        <v>-145485</v>
      </c>
      <c r="U43">
        <v>222765</v>
      </c>
      <c r="V43">
        <v>0</v>
      </c>
      <c r="W43">
        <v>222765</v>
      </c>
      <c r="X43">
        <v>77280</v>
      </c>
      <c r="Y43">
        <v>0</v>
      </c>
      <c r="Z43">
        <v>0</v>
      </c>
      <c r="AA43">
        <v>0</v>
      </c>
      <c r="AB43">
        <v>77280</v>
      </c>
      <c r="AC43">
        <v>0</v>
      </c>
      <c r="AD43">
        <v>77280</v>
      </c>
      <c r="AE43">
        <v>-77280</v>
      </c>
      <c r="AF43">
        <v>0</v>
      </c>
      <c r="AG43">
        <v>-77280</v>
      </c>
      <c r="AH43">
        <v>-4290587</v>
      </c>
      <c r="AI43">
        <v>0</v>
      </c>
      <c r="AJ43">
        <v>-4290587</v>
      </c>
      <c r="AK43">
        <v>0</v>
      </c>
      <c r="AL43">
        <v>0</v>
      </c>
      <c r="AM43">
        <v>0</v>
      </c>
      <c r="AN43">
        <v>546152</v>
      </c>
      <c r="AO43">
        <v>0</v>
      </c>
      <c r="AP43">
        <v>546152</v>
      </c>
      <c r="AQ43">
        <v>-3744435</v>
      </c>
      <c r="AR43">
        <v>0</v>
      </c>
      <c r="AS43">
        <v>-3744435</v>
      </c>
      <c r="AT43">
        <v>-2434992</v>
      </c>
      <c r="AU43">
        <v>0</v>
      </c>
      <c r="AV43">
        <v>-2434992</v>
      </c>
      <c r="AW43">
        <v>0</v>
      </c>
      <c r="AX43">
        <v>0</v>
      </c>
      <c r="AY43">
        <v>0</v>
      </c>
      <c r="AZ43">
        <v>-1549</v>
      </c>
      <c r="BA43">
        <v>0</v>
      </c>
      <c r="BB43">
        <v>-1549</v>
      </c>
      <c r="BC43">
        <v>0</v>
      </c>
      <c r="BD43">
        <v>0</v>
      </c>
      <c r="BE43">
        <v>0</v>
      </c>
      <c r="BF43">
        <v>-6180976</v>
      </c>
      <c r="BG43">
        <v>0</v>
      </c>
      <c r="BH43">
        <v>0</v>
      </c>
      <c r="BI43">
        <v>0</v>
      </c>
      <c r="BJ43">
        <v>-6180976</v>
      </c>
      <c r="BK43">
        <v>0</v>
      </c>
      <c r="BL43">
        <v>-6180976</v>
      </c>
      <c r="BM43">
        <v>0</v>
      </c>
      <c r="BN43">
        <v>0</v>
      </c>
      <c r="BO43">
        <v>0</v>
      </c>
      <c r="BP43">
        <v>-956779</v>
      </c>
      <c r="BQ43">
        <v>0</v>
      </c>
      <c r="BR43">
        <v>-956779</v>
      </c>
      <c r="BS43">
        <v>-956779</v>
      </c>
      <c r="BT43">
        <v>0</v>
      </c>
      <c r="BU43">
        <v>0</v>
      </c>
      <c r="BV43">
        <v>0</v>
      </c>
      <c r="BW43">
        <v>-956779</v>
      </c>
      <c r="BX43">
        <v>0</v>
      </c>
      <c r="BY43">
        <v>-956779</v>
      </c>
      <c r="BZ43">
        <v>-37127</v>
      </c>
      <c r="CA43">
        <v>0</v>
      </c>
      <c r="CB43">
        <v>-37127</v>
      </c>
      <c r="CC43">
        <v>-12781</v>
      </c>
      <c r="CD43">
        <v>0</v>
      </c>
      <c r="CE43">
        <v>-12781</v>
      </c>
      <c r="CF43">
        <v>0</v>
      </c>
      <c r="CG43">
        <v>0</v>
      </c>
      <c r="CH43">
        <v>0</v>
      </c>
      <c r="CI43">
        <v>0</v>
      </c>
      <c r="CJ43">
        <v>0</v>
      </c>
      <c r="CK43">
        <v>0</v>
      </c>
      <c r="CL43">
        <v>0</v>
      </c>
      <c r="CM43">
        <v>0</v>
      </c>
      <c r="CN43">
        <v>0</v>
      </c>
      <c r="CO43">
        <v>0</v>
      </c>
      <c r="CP43">
        <v>0</v>
      </c>
      <c r="CQ43">
        <v>0</v>
      </c>
      <c r="CR43">
        <v>0</v>
      </c>
      <c r="CS43">
        <v>0</v>
      </c>
      <c r="CT43">
        <v>-49908</v>
      </c>
      <c r="CU43">
        <v>0</v>
      </c>
      <c r="CV43">
        <v>0</v>
      </c>
      <c r="CW43">
        <v>0</v>
      </c>
      <c r="CX43">
        <v>-49908</v>
      </c>
      <c r="CY43">
        <v>0</v>
      </c>
      <c r="CZ43">
        <v>-49908</v>
      </c>
      <c r="DA43">
        <v>-1589</v>
      </c>
      <c r="DB43">
        <v>0</v>
      </c>
      <c r="DC43">
        <v>-1589</v>
      </c>
      <c r="DD43">
        <v>-21939</v>
      </c>
      <c r="DE43">
        <v>0</v>
      </c>
      <c r="DF43">
        <v>-21939</v>
      </c>
      <c r="DG43">
        <v>-4000</v>
      </c>
      <c r="DH43">
        <v>0</v>
      </c>
      <c r="DI43">
        <v>-4000</v>
      </c>
      <c r="DJ43">
        <v>-746823</v>
      </c>
      <c r="DK43">
        <v>0</v>
      </c>
      <c r="DL43">
        <v>-746823</v>
      </c>
      <c r="DM43">
        <v>-774351</v>
      </c>
      <c r="DN43">
        <v>0</v>
      </c>
      <c r="DO43">
        <v>0</v>
      </c>
      <c r="DP43">
        <v>0</v>
      </c>
      <c r="DQ43">
        <v>-774351</v>
      </c>
      <c r="DR43">
        <v>0</v>
      </c>
      <c r="DS43">
        <v>-774351</v>
      </c>
      <c r="DT43">
        <v>26302957</v>
      </c>
      <c r="DU43">
        <v>0</v>
      </c>
      <c r="DV43" s="661">
        <v>26302957</v>
      </c>
      <c r="DW43" t="s">
        <v>1696</v>
      </c>
    </row>
    <row r="44" spans="1:127" ht="12.75" x14ac:dyDescent="0.2">
      <c r="A44" s="605">
        <v>37</v>
      </c>
      <c r="B44" s="606" t="s">
        <v>747</v>
      </c>
      <c r="C44" s="607" t="s">
        <v>1185</v>
      </c>
      <c r="D44" s="608" t="s">
        <v>1189</v>
      </c>
      <c r="E44" s="609" t="s">
        <v>746</v>
      </c>
      <c r="G44">
        <v>94370538</v>
      </c>
      <c r="H44">
        <v>0</v>
      </c>
      <c r="I44">
        <v>94370538</v>
      </c>
      <c r="J44">
        <v>49.9</v>
      </c>
      <c r="K44">
        <v>47090898</v>
      </c>
      <c r="L44">
        <v>0</v>
      </c>
      <c r="M44">
        <v>0</v>
      </c>
      <c r="N44">
        <v>0</v>
      </c>
      <c r="O44">
        <v>47090898</v>
      </c>
      <c r="P44">
        <v>0</v>
      </c>
      <c r="Q44">
        <v>47090898</v>
      </c>
      <c r="R44">
        <v>-163117</v>
      </c>
      <c r="S44">
        <v>0</v>
      </c>
      <c r="T44">
        <v>-163117</v>
      </c>
      <c r="U44">
        <v>902100</v>
      </c>
      <c r="V44">
        <v>0</v>
      </c>
      <c r="W44">
        <v>902100</v>
      </c>
      <c r="X44">
        <v>738983</v>
      </c>
      <c r="Y44">
        <v>0</v>
      </c>
      <c r="Z44">
        <v>0</v>
      </c>
      <c r="AA44">
        <v>0</v>
      </c>
      <c r="AB44">
        <v>738983</v>
      </c>
      <c r="AC44">
        <v>0</v>
      </c>
      <c r="AD44">
        <v>738983</v>
      </c>
      <c r="AE44">
        <v>-738983</v>
      </c>
      <c r="AF44">
        <v>0</v>
      </c>
      <c r="AG44">
        <v>-738983</v>
      </c>
      <c r="AH44">
        <v>-3061540</v>
      </c>
      <c r="AI44">
        <v>0</v>
      </c>
      <c r="AJ44">
        <v>-3061540</v>
      </c>
      <c r="AK44">
        <v>0</v>
      </c>
      <c r="AL44">
        <v>0</v>
      </c>
      <c r="AM44">
        <v>0</v>
      </c>
      <c r="AN44">
        <v>916388</v>
      </c>
      <c r="AO44">
        <v>0</v>
      </c>
      <c r="AP44">
        <v>916388</v>
      </c>
      <c r="AQ44">
        <v>-2145152</v>
      </c>
      <c r="AR44">
        <v>0</v>
      </c>
      <c r="AS44">
        <v>-2145152</v>
      </c>
      <c r="AT44">
        <v>-2418595</v>
      </c>
      <c r="AU44">
        <v>0</v>
      </c>
      <c r="AV44">
        <v>-2418595</v>
      </c>
      <c r="AW44">
        <v>-71373</v>
      </c>
      <c r="AX44">
        <v>0</v>
      </c>
      <c r="AY44">
        <v>-71373</v>
      </c>
      <c r="AZ44">
        <v>0</v>
      </c>
      <c r="BA44">
        <v>0</v>
      </c>
      <c r="BB44">
        <v>0</v>
      </c>
      <c r="BC44">
        <v>0</v>
      </c>
      <c r="BD44">
        <v>0</v>
      </c>
      <c r="BE44">
        <v>0</v>
      </c>
      <c r="BF44">
        <v>-4635120</v>
      </c>
      <c r="BG44">
        <v>0</v>
      </c>
      <c r="BH44">
        <v>0</v>
      </c>
      <c r="BI44">
        <v>0</v>
      </c>
      <c r="BJ44">
        <v>-4635120</v>
      </c>
      <c r="BK44">
        <v>0</v>
      </c>
      <c r="BL44">
        <v>-4635120</v>
      </c>
      <c r="BM44">
        <v>0</v>
      </c>
      <c r="BN44">
        <v>0</v>
      </c>
      <c r="BO44">
        <v>0</v>
      </c>
      <c r="BP44">
        <v>-266254</v>
      </c>
      <c r="BQ44">
        <v>0</v>
      </c>
      <c r="BR44">
        <v>-266254</v>
      </c>
      <c r="BS44">
        <v>-266254</v>
      </c>
      <c r="BT44">
        <v>0</v>
      </c>
      <c r="BU44">
        <v>0</v>
      </c>
      <c r="BV44">
        <v>0</v>
      </c>
      <c r="BW44">
        <v>-266254</v>
      </c>
      <c r="BX44">
        <v>0</v>
      </c>
      <c r="BY44">
        <v>-266254</v>
      </c>
      <c r="BZ44">
        <v>-48399</v>
      </c>
      <c r="CA44">
        <v>0</v>
      </c>
      <c r="CB44">
        <v>-48399</v>
      </c>
      <c r="CC44">
        <v>-2720</v>
      </c>
      <c r="CD44">
        <v>0</v>
      </c>
      <c r="CE44">
        <v>-2720</v>
      </c>
      <c r="CF44">
        <v>-6144</v>
      </c>
      <c r="CG44">
        <v>0</v>
      </c>
      <c r="CH44">
        <v>-6144</v>
      </c>
      <c r="CI44">
        <v>0</v>
      </c>
      <c r="CJ44">
        <v>0</v>
      </c>
      <c r="CK44">
        <v>0</v>
      </c>
      <c r="CL44">
        <v>0</v>
      </c>
      <c r="CM44">
        <v>0</v>
      </c>
      <c r="CN44">
        <v>0</v>
      </c>
      <c r="CO44">
        <v>0</v>
      </c>
      <c r="CP44">
        <v>0</v>
      </c>
      <c r="CQ44">
        <v>0</v>
      </c>
      <c r="CR44">
        <v>0</v>
      </c>
      <c r="CS44">
        <v>0</v>
      </c>
      <c r="CT44">
        <v>-57263</v>
      </c>
      <c r="CU44">
        <v>0</v>
      </c>
      <c r="CV44">
        <v>0</v>
      </c>
      <c r="CW44">
        <v>0</v>
      </c>
      <c r="CX44">
        <v>-57263</v>
      </c>
      <c r="CY44">
        <v>0</v>
      </c>
      <c r="CZ44">
        <v>-57263</v>
      </c>
      <c r="DA44">
        <v>0</v>
      </c>
      <c r="DB44">
        <v>0</v>
      </c>
      <c r="DC44">
        <v>0</v>
      </c>
      <c r="DD44">
        <v>-17978</v>
      </c>
      <c r="DE44">
        <v>0</v>
      </c>
      <c r="DF44">
        <v>-17978</v>
      </c>
      <c r="DG44">
        <v>-825</v>
      </c>
      <c r="DH44">
        <v>0</v>
      </c>
      <c r="DI44">
        <v>-825</v>
      </c>
      <c r="DJ44">
        <v>-1216983</v>
      </c>
      <c r="DK44">
        <v>0</v>
      </c>
      <c r="DL44">
        <v>-1216983</v>
      </c>
      <c r="DM44">
        <v>-1235786</v>
      </c>
      <c r="DN44">
        <v>0</v>
      </c>
      <c r="DO44">
        <v>0</v>
      </c>
      <c r="DP44">
        <v>0</v>
      </c>
      <c r="DQ44">
        <v>-1235786</v>
      </c>
      <c r="DR44">
        <v>0</v>
      </c>
      <c r="DS44">
        <v>-1235786</v>
      </c>
      <c r="DT44">
        <v>41635458</v>
      </c>
      <c r="DU44">
        <v>0</v>
      </c>
      <c r="DV44" s="661">
        <v>41635458</v>
      </c>
      <c r="DW44" t="s">
        <v>1697</v>
      </c>
    </row>
    <row r="45" spans="1:127" ht="12.75" x14ac:dyDescent="0.2">
      <c r="A45" s="605">
        <v>38</v>
      </c>
      <c r="B45" s="606" t="s">
        <v>749</v>
      </c>
      <c r="C45" s="607" t="s">
        <v>1185</v>
      </c>
      <c r="D45" s="608" t="s">
        <v>1188</v>
      </c>
      <c r="E45" s="609" t="s">
        <v>748</v>
      </c>
      <c r="G45">
        <v>65705637</v>
      </c>
      <c r="H45">
        <v>1055500</v>
      </c>
      <c r="I45">
        <v>66761137</v>
      </c>
      <c r="J45">
        <v>49.9</v>
      </c>
      <c r="K45">
        <v>32787113</v>
      </c>
      <c r="L45">
        <v>526695</v>
      </c>
      <c r="M45">
        <v>500000</v>
      </c>
      <c r="N45">
        <v>0</v>
      </c>
      <c r="O45">
        <v>33287113</v>
      </c>
      <c r="P45">
        <v>526695</v>
      </c>
      <c r="Q45">
        <v>33813808</v>
      </c>
      <c r="R45">
        <v>-185274.91</v>
      </c>
      <c r="S45">
        <v>0</v>
      </c>
      <c r="T45">
        <v>-185274.91</v>
      </c>
      <c r="U45">
        <v>22245.040000000001</v>
      </c>
      <c r="V45">
        <v>0</v>
      </c>
      <c r="W45">
        <v>22245.040000000001</v>
      </c>
      <c r="X45">
        <v>-163029.87</v>
      </c>
      <c r="Y45">
        <v>0</v>
      </c>
      <c r="Z45">
        <v>0</v>
      </c>
      <c r="AA45">
        <v>0</v>
      </c>
      <c r="AB45">
        <v>-163029.87</v>
      </c>
      <c r="AC45">
        <v>0</v>
      </c>
      <c r="AD45">
        <v>-163029.87</v>
      </c>
      <c r="AE45">
        <v>163029.87</v>
      </c>
      <c r="AF45">
        <v>0</v>
      </c>
      <c r="AG45">
        <v>163029.87</v>
      </c>
      <c r="AH45">
        <v>-2924205.58</v>
      </c>
      <c r="AI45">
        <v>0</v>
      </c>
      <c r="AJ45">
        <v>-2924205.58</v>
      </c>
      <c r="AK45">
        <v>0</v>
      </c>
      <c r="AL45">
        <v>0</v>
      </c>
      <c r="AM45">
        <v>0</v>
      </c>
      <c r="AN45">
        <v>598962.23</v>
      </c>
      <c r="AO45">
        <v>13721.5</v>
      </c>
      <c r="AP45">
        <v>612683.73</v>
      </c>
      <c r="AQ45">
        <v>-2325243.35</v>
      </c>
      <c r="AR45">
        <v>13721.5</v>
      </c>
      <c r="AS45">
        <v>-2311521.85</v>
      </c>
      <c r="AT45">
        <v>-1631903.18</v>
      </c>
      <c r="AU45">
        <v>0</v>
      </c>
      <c r="AV45">
        <v>-1631903.18</v>
      </c>
      <c r="AW45">
        <v>-4403.2</v>
      </c>
      <c r="AX45">
        <v>0</v>
      </c>
      <c r="AY45">
        <v>-4403.2</v>
      </c>
      <c r="AZ45">
        <v>-3075.08</v>
      </c>
      <c r="BA45">
        <v>0</v>
      </c>
      <c r="BB45">
        <v>-3075.08</v>
      </c>
      <c r="BC45">
        <v>0</v>
      </c>
      <c r="BD45">
        <v>0</v>
      </c>
      <c r="BE45">
        <v>0</v>
      </c>
      <c r="BF45">
        <v>-3964624.8100000005</v>
      </c>
      <c r="BG45">
        <v>13721.5</v>
      </c>
      <c r="BH45">
        <v>0</v>
      </c>
      <c r="BI45">
        <v>0</v>
      </c>
      <c r="BJ45">
        <v>-3964624.8100000005</v>
      </c>
      <c r="BK45">
        <v>13721.5</v>
      </c>
      <c r="BL45">
        <v>-3950903.3100000005</v>
      </c>
      <c r="BM45">
        <v>0</v>
      </c>
      <c r="BN45">
        <v>0</v>
      </c>
      <c r="BO45">
        <v>0</v>
      </c>
      <c r="BP45">
        <v>-787443.27</v>
      </c>
      <c r="BQ45">
        <v>0</v>
      </c>
      <c r="BR45">
        <v>-787443.27</v>
      </c>
      <c r="BS45">
        <v>-787443.27</v>
      </c>
      <c r="BT45">
        <v>0</v>
      </c>
      <c r="BU45">
        <v>0</v>
      </c>
      <c r="BV45">
        <v>0</v>
      </c>
      <c r="BW45">
        <v>-787443.27</v>
      </c>
      <c r="BX45">
        <v>0</v>
      </c>
      <c r="BY45">
        <v>-787443.27</v>
      </c>
      <c r="BZ45">
        <v>-73593.070000000007</v>
      </c>
      <c r="CA45">
        <v>0</v>
      </c>
      <c r="CB45">
        <v>-73593.070000000007</v>
      </c>
      <c r="CC45">
        <v>-14520.9</v>
      </c>
      <c r="CD45">
        <v>0</v>
      </c>
      <c r="CE45">
        <v>-14520.9</v>
      </c>
      <c r="CF45">
        <v>0</v>
      </c>
      <c r="CG45">
        <v>0</v>
      </c>
      <c r="CH45">
        <v>0</v>
      </c>
      <c r="CI45">
        <v>0</v>
      </c>
      <c r="CJ45">
        <v>0</v>
      </c>
      <c r="CK45">
        <v>0</v>
      </c>
      <c r="CL45">
        <v>0</v>
      </c>
      <c r="CM45">
        <v>0</v>
      </c>
      <c r="CN45">
        <v>0</v>
      </c>
      <c r="CO45">
        <v>0</v>
      </c>
      <c r="CP45">
        <v>-110000</v>
      </c>
      <c r="CQ45">
        <v>-110000</v>
      </c>
      <c r="CR45">
        <v>-110000</v>
      </c>
      <c r="CS45">
        <v>0</v>
      </c>
      <c r="CT45">
        <v>-88113.97</v>
      </c>
      <c r="CU45">
        <v>-110000</v>
      </c>
      <c r="CV45">
        <v>0</v>
      </c>
      <c r="CW45">
        <v>0</v>
      </c>
      <c r="CX45">
        <v>-88113.97</v>
      </c>
      <c r="CY45">
        <v>-110000</v>
      </c>
      <c r="CZ45">
        <v>-198113.97</v>
      </c>
      <c r="DA45">
        <v>-3075</v>
      </c>
      <c r="DB45">
        <v>0</v>
      </c>
      <c r="DC45">
        <v>-3075</v>
      </c>
      <c r="DD45">
        <v>-8065.19</v>
      </c>
      <c r="DE45">
        <v>0</v>
      </c>
      <c r="DF45">
        <v>-8065.19</v>
      </c>
      <c r="DG45">
        <v>0</v>
      </c>
      <c r="DH45">
        <v>0</v>
      </c>
      <c r="DI45">
        <v>0</v>
      </c>
      <c r="DJ45">
        <v>-507728.98</v>
      </c>
      <c r="DK45">
        <v>0</v>
      </c>
      <c r="DL45">
        <v>-507728.98</v>
      </c>
      <c r="DM45">
        <v>-518869.17</v>
      </c>
      <c r="DN45">
        <v>0</v>
      </c>
      <c r="DO45">
        <v>0</v>
      </c>
      <c r="DP45">
        <v>0</v>
      </c>
      <c r="DQ45">
        <v>-518869.17</v>
      </c>
      <c r="DR45">
        <v>0</v>
      </c>
      <c r="DS45">
        <v>-518869.17</v>
      </c>
      <c r="DT45">
        <v>27765031.91</v>
      </c>
      <c r="DU45">
        <v>430416.5</v>
      </c>
      <c r="DV45" s="661">
        <v>28195448.41</v>
      </c>
      <c r="DW45" t="s">
        <v>1698</v>
      </c>
    </row>
    <row r="46" spans="1:127" ht="12.75" x14ac:dyDescent="0.2">
      <c r="A46" s="605">
        <v>39</v>
      </c>
      <c r="B46" s="606" t="s">
        <v>1488</v>
      </c>
      <c r="C46" s="607" t="s">
        <v>524</v>
      </c>
      <c r="D46" s="659" t="s">
        <v>1187</v>
      </c>
      <c r="E46" s="609" t="s">
        <v>1489</v>
      </c>
      <c r="G46">
        <v>459793937</v>
      </c>
      <c r="H46">
        <v>1558300</v>
      </c>
      <c r="I46">
        <v>461352237</v>
      </c>
      <c r="J46">
        <v>49.9</v>
      </c>
      <c r="K46">
        <v>229437175</v>
      </c>
      <c r="L46">
        <v>777592</v>
      </c>
      <c r="M46">
        <v>0</v>
      </c>
      <c r="N46">
        <v>0</v>
      </c>
      <c r="O46">
        <v>229437175</v>
      </c>
      <c r="P46">
        <v>777592</v>
      </c>
      <c r="Q46">
        <v>230214767</v>
      </c>
      <c r="R46">
        <v>-1448135</v>
      </c>
      <c r="S46">
        <v>0</v>
      </c>
      <c r="T46">
        <v>-1448135</v>
      </c>
      <c r="U46">
        <v>665290</v>
      </c>
      <c r="V46">
        <v>0</v>
      </c>
      <c r="W46">
        <v>665290</v>
      </c>
      <c r="X46">
        <v>-782845</v>
      </c>
      <c r="Y46">
        <v>0</v>
      </c>
      <c r="Z46">
        <v>0</v>
      </c>
      <c r="AA46">
        <v>0</v>
      </c>
      <c r="AB46">
        <v>-782845</v>
      </c>
      <c r="AC46">
        <v>0</v>
      </c>
      <c r="AD46">
        <v>-782845</v>
      </c>
      <c r="AE46">
        <v>782845</v>
      </c>
      <c r="AF46">
        <v>0</v>
      </c>
      <c r="AG46">
        <v>782845</v>
      </c>
      <c r="AH46">
        <v>-15690817</v>
      </c>
      <c r="AI46">
        <v>-11875</v>
      </c>
      <c r="AJ46">
        <v>-15702692</v>
      </c>
      <c r="AK46">
        <v>-23648</v>
      </c>
      <c r="AL46">
        <v>0</v>
      </c>
      <c r="AM46">
        <v>-23648</v>
      </c>
      <c r="AN46">
        <v>4078137</v>
      </c>
      <c r="AO46">
        <v>103610</v>
      </c>
      <c r="AP46">
        <v>4181747</v>
      </c>
      <c r="AQ46">
        <v>-11612680</v>
      </c>
      <c r="AR46">
        <v>91735</v>
      </c>
      <c r="AS46">
        <v>-11520945</v>
      </c>
      <c r="AT46">
        <v>-16921355</v>
      </c>
      <c r="AU46">
        <v>0</v>
      </c>
      <c r="AV46">
        <v>-16921355</v>
      </c>
      <c r="AW46">
        <v>-219239</v>
      </c>
      <c r="AX46">
        <v>0</v>
      </c>
      <c r="AY46">
        <v>-219239</v>
      </c>
      <c r="AZ46">
        <v>-78752</v>
      </c>
      <c r="BA46">
        <v>0</v>
      </c>
      <c r="BB46">
        <v>-78752</v>
      </c>
      <c r="BC46">
        <v>0</v>
      </c>
      <c r="BD46">
        <v>0</v>
      </c>
      <c r="BE46">
        <v>0</v>
      </c>
      <c r="BF46">
        <v>-28832026</v>
      </c>
      <c r="BG46">
        <v>91735</v>
      </c>
      <c r="BH46">
        <v>0</v>
      </c>
      <c r="BI46">
        <v>0</v>
      </c>
      <c r="BJ46">
        <v>-28832026</v>
      </c>
      <c r="BK46">
        <v>91735</v>
      </c>
      <c r="BL46">
        <v>-28740291</v>
      </c>
      <c r="BM46">
        <v>-15000</v>
      </c>
      <c r="BN46">
        <v>0</v>
      </c>
      <c r="BO46">
        <v>-15000</v>
      </c>
      <c r="BP46">
        <v>-5938209</v>
      </c>
      <c r="BQ46">
        <v>0</v>
      </c>
      <c r="BR46">
        <v>-5938209</v>
      </c>
      <c r="BS46">
        <v>-5953209</v>
      </c>
      <c r="BT46">
        <v>0</v>
      </c>
      <c r="BU46">
        <v>0</v>
      </c>
      <c r="BV46">
        <v>0</v>
      </c>
      <c r="BW46">
        <v>-5953209</v>
      </c>
      <c r="BX46">
        <v>0</v>
      </c>
      <c r="BY46">
        <v>-5953209</v>
      </c>
      <c r="BZ46">
        <v>-611314</v>
      </c>
      <c r="CA46">
        <v>0</v>
      </c>
      <c r="CB46">
        <v>-611314</v>
      </c>
      <c r="CC46">
        <v>-112636</v>
      </c>
      <c r="CD46">
        <v>0</v>
      </c>
      <c r="CE46">
        <v>-112636</v>
      </c>
      <c r="CF46">
        <v>-10888</v>
      </c>
      <c r="CG46">
        <v>0</v>
      </c>
      <c r="CH46">
        <v>-10888</v>
      </c>
      <c r="CI46">
        <v>-48655</v>
      </c>
      <c r="CJ46">
        <v>0</v>
      </c>
      <c r="CK46">
        <v>-48655</v>
      </c>
      <c r="CL46">
        <v>-16609</v>
      </c>
      <c r="CM46">
        <v>0</v>
      </c>
      <c r="CN46">
        <v>-16609</v>
      </c>
      <c r="CO46">
        <v>0</v>
      </c>
      <c r="CP46">
        <v>-357184</v>
      </c>
      <c r="CQ46">
        <v>-357184</v>
      </c>
      <c r="CR46">
        <v>-357184</v>
      </c>
      <c r="CS46">
        <v>0</v>
      </c>
      <c r="CT46">
        <v>-800102</v>
      </c>
      <c r="CU46">
        <v>-357184</v>
      </c>
      <c r="CV46">
        <v>0</v>
      </c>
      <c r="CW46">
        <v>0</v>
      </c>
      <c r="CX46">
        <v>-800102</v>
      </c>
      <c r="CY46">
        <v>-357184</v>
      </c>
      <c r="CZ46">
        <v>-1157286</v>
      </c>
      <c r="DA46">
        <v>-66675</v>
      </c>
      <c r="DB46">
        <v>0</v>
      </c>
      <c r="DC46">
        <v>-66675</v>
      </c>
      <c r="DD46">
        <v>-96732</v>
      </c>
      <c r="DE46">
        <v>0</v>
      </c>
      <c r="DF46">
        <v>-96732</v>
      </c>
      <c r="DG46">
        <v>-33235</v>
      </c>
      <c r="DH46">
        <v>0</v>
      </c>
      <c r="DI46">
        <v>-33235</v>
      </c>
      <c r="DJ46">
        <v>-3942370</v>
      </c>
      <c r="DK46">
        <v>0</v>
      </c>
      <c r="DL46">
        <v>-3942370</v>
      </c>
      <c r="DM46">
        <v>-4139012</v>
      </c>
      <c r="DN46">
        <v>0</v>
      </c>
      <c r="DO46">
        <v>0</v>
      </c>
      <c r="DP46">
        <v>0</v>
      </c>
      <c r="DQ46">
        <v>-4139012</v>
      </c>
      <c r="DR46">
        <v>0</v>
      </c>
      <c r="DS46">
        <v>-4139012</v>
      </c>
      <c r="DT46">
        <v>188929981</v>
      </c>
      <c r="DU46">
        <v>512143</v>
      </c>
      <c r="DV46">
        <v>189442124</v>
      </c>
      <c r="DW46" s="819" t="s">
        <v>1657</v>
      </c>
    </row>
    <row r="47" spans="1:127" ht="12.75" x14ac:dyDescent="0.2">
      <c r="A47" s="605">
        <v>40</v>
      </c>
      <c r="B47" s="606" t="s">
        <v>751</v>
      </c>
      <c r="C47" s="607" t="s">
        <v>1185</v>
      </c>
      <c r="D47" s="608" t="s">
        <v>1187</v>
      </c>
      <c r="E47" s="609" t="s">
        <v>750</v>
      </c>
      <c r="G47">
        <v>76022880</v>
      </c>
      <c r="H47">
        <v>0</v>
      </c>
      <c r="I47">
        <v>76022880</v>
      </c>
      <c r="J47">
        <v>49.9</v>
      </c>
      <c r="K47">
        <v>37935417</v>
      </c>
      <c r="L47">
        <v>0</v>
      </c>
      <c r="M47">
        <v>387994</v>
      </c>
      <c r="N47">
        <v>0</v>
      </c>
      <c r="O47">
        <v>38323411</v>
      </c>
      <c r="P47">
        <v>0</v>
      </c>
      <c r="Q47">
        <v>38323411</v>
      </c>
      <c r="R47">
        <v>-180833</v>
      </c>
      <c r="S47">
        <v>0</v>
      </c>
      <c r="T47">
        <v>-180833</v>
      </c>
      <c r="U47">
        <v>287208</v>
      </c>
      <c r="V47">
        <v>0</v>
      </c>
      <c r="W47">
        <v>287208</v>
      </c>
      <c r="X47">
        <v>106375</v>
      </c>
      <c r="Y47">
        <v>0</v>
      </c>
      <c r="Z47">
        <v>0</v>
      </c>
      <c r="AA47">
        <v>0</v>
      </c>
      <c r="AB47">
        <v>106375</v>
      </c>
      <c r="AC47">
        <v>0</v>
      </c>
      <c r="AD47">
        <v>106375</v>
      </c>
      <c r="AE47">
        <v>-106375</v>
      </c>
      <c r="AF47">
        <v>0</v>
      </c>
      <c r="AG47">
        <v>-106375</v>
      </c>
      <c r="AH47">
        <v>-4178921</v>
      </c>
      <c r="AI47">
        <v>0</v>
      </c>
      <c r="AJ47">
        <v>-4178921</v>
      </c>
      <c r="AK47">
        <v>-11577</v>
      </c>
      <c r="AL47">
        <v>0</v>
      </c>
      <c r="AM47">
        <v>-11577</v>
      </c>
      <c r="AN47">
        <v>714445</v>
      </c>
      <c r="AO47">
        <v>0</v>
      </c>
      <c r="AP47">
        <v>714445</v>
      </c>
      <c r="AQ47">
        <v>-3464476</v>
      </c>
      <c r="AR47">
        <v>0</v>
      </c>
      <c r="AS47">
        <v>-3464476</v>
      </c>
      <c r="AT47">
        <v>-2297612</v>
      </c>
      <c r="AU47">
        <v>0</v>
      </c>
      <c r="AV47">
        <v>-2297612</v>
      </c>
      <c r="AW47">
        <v>-24371</v>
      </c>
      <c r="AX47">
        <v>0</v>
      </c>
      <c r="AY47">
        <v>-24371</v>
      </c>
      <c r="AZ47">
        <v>-1068</v>
      </c>
      <c r="BA47">
        <v>0</v>
      </c>
      <c r="BB47">
        <v>-1068</v>
      </c>
      <c r="BC47">
        <v>0</v>
      </c>
      <c r="BD47">
        <v>0</v>
      </c>
      <c r="BE47">
        <v>0</v>
      </c>
      <c r="BF47">
        <v>-5787527</v>
      </c>
      <c r="BG47">
        <v>0</v>
      </c>
      <c r="BH47">
        <v>0</v>
      </c>
      <c r="BI47">
        <v>0</v>
      </c>
      <c r="BJ47">
        <v>-5787527</v>
      </c>
      <c r="BK47">
        <v>0</v>
      </c>
      <c r="BL47">
        <v>-5787527</v>
      </c>
      <c r="BM47">
        <v>-50000</v>
      </c>
      <c r="BN47">
        <v>0</v>
      </c>
      <c r="BO47">
        <v>-50000</v>
      </c>
      <c r="BP47">
        <v>-936046</v>
      </c>
      <c r="BQ47">
        <v>0</v>
      </c>
      <c r="BR47">
        <v>-936046</v>
      </c>
      <c r="BS47">
        <v>-986046</v>
      </c>
      <c r="BT47">
        <v>0</v>
      </c>
      <c r="BU47">
        <v>0</v>
      </c>
      <c r="BV47">
        <v>0</v>
      </c>
      <c r="BW47">
        <v>-986046</v>
      </c>
      <c r="BX47">
        <v>0</v>
      </c>
      <c r="BY47">
        <v>-986046</v>
      </c>
      <c r="BZ47">
        <v>-104965</v>
      </c>
      <c r="CA47">
        <v>0</v>
      </c>
      <c r="CB47">
        <v>-104965</v>
      </c>
      <c r="CC47">
        <v>-103701</v>
      </c>
      <c r="CD47">
        <v>0</v>
      </c>
      <c r="CE47">
        <v>-103701</v>
      </c>
      <c r="CF47">
        <v>0</v>
      </c>
      <c r="CG47">
        <v>0</v>
      </c>
      <c r="CH47">
        <v>0</v>
      </c>
      <c r="CI47">
        <v>0</v>
      </c>
      <c r="CJ47">
        <v>0</v>
      </c>
      <c r="CK47">
        <v>0</v>
      </c>
      <c r="CL47">
        <v>0</v>
      </c>
      <c r="CM47">
        <v>0</v>
      </c>
      <c r="CN47">
        <v>0</v>
      </c>
      <c r="CO47">
        <v>-300000</v>
      </c>
      <c r="CP47">
        <v>0</v>
      </c>
      <c r="CQ47">
        <v>-300000</v>
      </c>
      <c r="CR47">
        <v>0</v>
      </c>
      <c r="CS47">
        <v>0</v>
      </c>
      <c r="CT47">
        <v>-508666</v>
      </c>
      <c r="CU47">
        <v>0</v>
      </c>
      <c r="CV47">
        <v>0</v>
      </c>
      <c r="CW47">
        <v>0</v>
      </c>
      <c r="CX47">
        <v>-508666</v>
      </c>
      <c r="CY47">
        <v>0</v>
      </c>
      <c r="CZ47">
        <v>-508666</v>
      </c>
      <c r="DA47">
        <v>-1068</v>
      </c>
      <c r="DB47">
        <v>0</v>
      </c>
      <c r="DC47">
        <v>-1068</v>
      </c>
      <c r="DD47">
        <v>-13126</v>
      </c>
      <c r="DE47">
        <v>0</v>
      </c>
      <c r="DF47">
        <v>-13126</v>
      </c>
      <c r="DG47">
        <v>-2584</v>
      </c>
      <c r="DH47">
        <v>0</v>
      </c>
      <c r="DI47">
        <v>-2584</v>
      </c>
      <c r="DJ47">
        <v>-468639</v>
      </c>
      <c r="DK47">
        <v>0</v>
      </c>
      <c r="DL47">
        <v>-468639</v>
      </c>
      <c r="DM47">
        <v>-485417</v>
      </c>
      <c r="DN47">
        <v>0</v>
      </c>
      <c r="DO47">
        <v>0</v>
      </c>
      <c r="DP47">
        <v>0</v>
      </c>
      <c r="DQ47">
        <v>-485417</v>
      </c>
      <c r="DR47">
        <v>0</v>
      </c>
      <c r="DS47">
        <v>-485417</v>
      </c>
      <c r="DT47">
        <v>30662130</v>
      </c>
      <c r="DU47">
        <v>0</v>
      </c>
      <c r="DV47" s="661">
        <v>30662130</v>
      </c>
      <c r="DW47" t="s">
        <v>1699</v>
      </c>
    </row>
    <row r="48" spans="1:127" ht="12.75" x14ac:dyDescent="0.2">
      <c r="A48" s="605">
        <v>41</v>
      </c>
      <c r="B48" s="606" t="s">
        <v>753</v>
      </c>
      <c r="C48" s="607" t="s">
        <v>1192</v>
      </c>
      <c r="D48" s="608" t="s">
        <v>1187</v>
      </c>
      <c r="E48" s="609" t="s">
        <v>752</v>
      </c>
      <c r="G48">
        <v>133202880</v>
      </c>
      <c r="H48">
        <v>0</v>
      </c>
      <c r="I48">
        <v>133202880</v>
      </c>
      <c r="J48">
        <v>49.9</v>
      </c>
      <c r="K48">
        <v>66468237</v>
      </c>
      <c r="L48">
        <v>0</v>
      </c>
      <c r="M48">
        <v>0</v>
      </c>
      <c r="N48">
        <v>0</v>
      </c>
      <c r="O48">
        <v>66468237</v>
      </c>
      <c r="P48">
        <v>0</v>
      </c>
      <c r="Q48">
        <v>66468237</v>
      </c>
      <c r="R48">
        <v>-215871</v>
      </c>
      <c r="S48">
        <v>0</v>
      </c>
      <c r="T48">
        <v>-215871</v>
      </c>
      <c r="U48">
        <v>514221</v>
      </c>
      <c r="V48">
        <v>0</v>
      </c>
      <c r="W48">
        <v>514221</v>
      </c>
      <c r="X48">
        <v>298350</v>
      </c>
      <c r="Y48">
        <v>0</v>
      </c>
      <c r="Z48">
        <v>0</v>
      </c>
      <c r="AA48">
        <v>0</v>
      </c>
      <c r="AB48">
        <v>298350</v>
      </c>
      <c r="AC48">
        <v>0</v>
      </c>
      <c r="AD48">
        <v>298350</v>
      </c>
      <c r="AE48">
        <v>-298350</v>
      </c>
      <c r="AF48">
        <v>0</v>
      </c>
      <c r="AG48">
        <v>-298350</v>
      </c>
      <c r="AH48">
        <v>-8366748</v>
      </c>
      <c r="AI48">
        <v>0</v>
      </c>
      <c r="AJ48">
        <v>-8366748</v>
      </c>
      <c r="AK48">
        <v>-3719</v>
      </c>
      <c r="AL48">
        <v>0</v>
      </c>
      <c r="AM48">
        <v>-3719</v>
      </c>
      <c r="AN48">
        <v>1111467</v>
      </c>
      <c r="AO48">
        <v>0</v>
      </c>
      <c r="AP48">
        <v>1111467</v>
      </c>
      <c r="AQ48">
        <v>-7255281</v>
      </c>
      <c r="AR48">
        <v>0</v>
      </c>
      <c r="AS48">
        <v>-7255281</v>
      </c>
      <c r="AT48">
        <v>-3251651</v>
      </c>
      <c r="AU48">
        <v>0</v>
      </c>
      <c r="AV48">
        <v>-3251651</v>
      </c>
      <c r="AW48">
        <v>-119394</v>
      </c>
      <c r="AX48">
        <v>0</v>
      </c>
      <c r="AY48">
        <v>-119394</v>
      </c>
      <c r="AZ48">
        <v>-1613</v>
      </c>
      <c r="BA48">
        <v>0</v>
      </c>
      <c r="BB48">
        <v>-1613</v>
      </c>
      <c r="BC48">
        <v>0</v>
      </c>
      <c r="BD48">
        <v>0</v>
      </c>
      <c r="BE48">
        <v>0</v>
      </c>
      <c r="BF48">
        <v>-10627939</v>
      </c>
      <c r="BG48">
        <v>0</v>
      </c>
      <c r="BH48">
        <v>0</v>
      </c>
      <c r="BI48">
        <v>0</v>
      </c>
      <c r="BJ48">
        <v>-10627939</v>
      </c>
      <c r="BK48">
        <v>0</v>
      </c>
      <c r="BL48">
        <v>-10627939</v>
      </c>
      <c r="BM48">
        <v>-22923</v>
      </c>
      <c r="BN48">
        <v>0</v>
      </c>
      <c r="BO48">
        <v>-22923</v>
      </c>
      <c r="BP48">
        <v>-1087240</v>
      </c>
      <c r="BQ48">
        <v>0</v>
      </c>
      <c r="BR48">
        <v>-1087240</v>
      </c>
      <c r="BS48">
        <v>-1110163</v>
      </c>
      <c r="BT48">
        <v>0</v>
      </c>
      <c r="BU48">
        <v>0</v>
      </c>
      <c r="BV48">
        <v>0</v>
      </c>
      <c r="BW48">
        <v>-1110163</v>
      </c>
      <c r="BX48">
        <v>0</v>
      </c>
      <c r="BY48">
        <v>-1110163</v>
      </c>
      <c r="BZ48">
        <v>-384140</v>
      </c>
      <c r="CA48">
        <v>0</v>
      </c>
      <c r="CB48">
        <v>-384140</v>
      </c>
      <c r="CC48">
        <v>-78122</v>
      </c>
      <c r="CD48">
        <v>0</v>
      </c>
      <c r="CE48">
        <v>-78122</v>
      </c>
      <c r="CF48">
        <v>-29849</v>
      </c>
      <c r="CG48">
        <v>0</v>
      </c>
      <c r="CH48">
        <v>-29849</v>
      </c>
      <c r="CI48">
        <v>0</v>
      </c>
      <c r="CJ48">
        <v>0</v>
      </c>
      <c r="CK48">
        <v>0</v>
      </c>
      <c r="CL48">
        <v>0</v>
      </c>
      <c r="CM48">
        <v>0</v>
      </c>
      <c r="CN48">
        <v>0</v>
      </c>
      <c r="CO48">
        <v>0</v>
      </c>
      <c r="CP48">
        <v>0</v>
      </c>
      <c r="CQ48">
        <v>0</v>
      </c>
      <c r="CR48">
        <v>0</v>
      </c>
      <c r="CS48">
        <v>0</v>
      </c>
      <c r="CT48">
        <v>-492111</v>
      </c>
      <c r="CU48">
        <v>0</v>
      </c>
      <c r="CV48">
        <v>0</v>
      </c>
      <c r="CW48">
        <v>0</v>
      </c>
      <c r="CX48">
        <v>-492111</v>
      </c>
      <c r="CY48">
        <v>0</v>
      </c>
      <c r="CZ48">
        <v>-492111</v>
      </c>
      <c r="DA48">
        <v>-1613</v>
      </c>
      <c r="DB48">
        <v>0</v>
      </c>
      <c r="DC48">
        <v>-1613</v>
      </c>
      <c r="DD48">
        <v>-31350</v>
      </c>
      <c r="DE48">
        <v>0</v>
      </c>
      <c r="DF48">
        <v>-31350</v>
      </c>
      <c r="DG48">
        <v>-10848</v>
      </c>
      <c r="DH48">
        <v>0</v>
      </c>
      <c r="DI48">
        <v>-10848</v>
      </c>
      <c r="DJ48">
        <v>-1678121</v>
      </c>
      <c r="DK48">
        <v>0</v>
      </c>
      <c r="DL48">
        <v>-1678121</v>
      </c>
      <c r="DM48">
        <v>-1721932</v>
      </c>
      <c r="DN48">
        <v>0</v>
      </c>
      <c r="DO48">
        <v>0</v>
      </c>
      <c r="DP48">
        <v>0</v>
      </c>
      <c r="DQ48">
        <v>-1721932</v>
      </c>
      <c r="DR48">
        <v>0</v>
      </c>
      <c r="DS48">
        <v>-1721932</v>
      </c>
      <c r="DT48">
        <v>52814442</v>
      </c>
      <c r="DU48">
        <v>0</v>
      </c>
      <c r="DV48" s="661">
        <v>52814442</v>
      </c>
      <c r="DW48" t="s">
        <v>1700</v>
      </c>
    </row>
    <row r="49" spans="1:127" ht="12.75" x14ac:dyDescent="0.2">
      <c r="A49" s="605">
        <v>42</v>
      </c>
      <c r="B49" s="606" t="s">
        <v>755</v>
      </c>
      <c r="C49" s="607" t="s">
        <v>1192</v>
      </c>
      <c r="D49" s="608" t="s">
        <v>1193</v>
      </c>
      <c r="E49" s="609" t="s">
        <v>754</v>
      </c>
      <c r="G49">
        <v>161056176</v>
      </c>
      <c r="H49">
        <v>0</v>
      </c>
      <c r="I49">
        <v>161056176</v>
      </c>
      <c r="J49">
        <v>49.9</v>
      </c>
      <c r="K49">
        <v>80367032</v>
      </c>
      <c r="L49">
        <v>0</v>
      </c>
      <c r="M49">
        <v>329985</v>
      </c>
      <c r="N49">
        <v>0</v>
      </c>
      <c r="O49">
        <v>80697017</v>
      </c>
      <c r="P49">
        <v>0</v>
      </c>
      <c r="Q49">
        <v>80697017</v>
      </c>
      <c r="R49">
        <v>-532245</v>
      </c>
      <c r="S49">
        <v>0</v>
      </c>
      <c r="T49">
        <v>-532245</v>
      </c>
      <c r="U49">
        <v>466961</v>
      </c>
      <c r="V49">
        <v>0</v>
      </c>
      <c r="W49">
        <v>466961</v>
      </c>
      <c r="X49">
        <v>-65284</v>
      </c>
      <c r="Y49">
        <v>0</v>
      </c>
      <c r="Z49">
        <v>-6528</v>
      </c>
      <c r="AA49">
        <v>0</v>
      </c>
      <c r="AB49">
        <v>-71812</v>
      </c>
      <c r="AC49">
        <v>0</v>
      </c>
      <c r="AD49">
        <v>-71812</v>
      </c>
      <c r="AE49">
        <v>71812</v>
      </c>
      <c r="AF49">
        <v>0</v>
      </c>
      <c r="AG49">
        <v>71812</v>
      </c>
      <c r="AH49">
        <v>-11757836</v>
      </c>
      <c r="AI49">
        <v>0</v>
      </c>
      <c r="AJ49">
        <v>-11757836</v>
      </c>
      <c r="AK49">
        <v>0</v>
      </c>
      <c r="AL49">
        <v>0</v>
      </c>
      <c r="AM49">
        <v>0</v>
      </c>
      <c r="AN49">
        <v>1164938</v>
      </c>
      <c r="AO49">
        <v>0</v>
      </c>
      <c r="AP49">
        <v>1164938</v>
      </c>
      <c r="AQ49">
        <v>-10592898</v>
      </c>
      <c r="AR49">
        <v>0</v>
      </c>
      <c r="AS49">
        <v>-10592898</v>
      </c>
      <c r="AT49">
        <v>-4706055</v>
      </c>
      <c r="AU49">
        <v>0</v>
      </c>
      <c r="AV49">
        <v>-4706055</v>
      </c>
      <c r="AW49">
        <v>-189450</v>
      </c>
      <c r="AX49">
        <v>0</v>
      </c>
      <c r="AY49">
        <v>-189450</v>
      </c>
      <c r="AZ49">
        <v>-7380</v>
      </c>
      <c r="BA49">
        <v>0</v>
      </c>
      <c r="BB49">
        <v>-7380</v>
      </c>
      <c r="BC49">
        <v>0</v>
      </c>
      <c r="BD49">
        <v>0</v>
      </c>
      <c r="BE49">
        <v>0</v>
      </c>
      <c r="BF49">
        <v>-15495783</v>
      </c>
      <c r="BG49">
        <v>0</v>
      </c>
      <c r="BH49">
        <v>-490289</v>
      </c>
      <c r="BI49">
        <v>0</v>
      </c>
      <c r="BJ49">
        <v>-15986072</v>
      </c>
      <c r="BK49">
        <v>0</v>
      </c>
      <c r="BL49">
        <v>-15986072</v>
      </c>
      <c r="BM49">
        <v>0</v>
      </c>
      <c r="BN49">
        <v>0</v>
      </c>
      <c r="BO49">
        <v>0</v>
      </c>
      <c r="BP49">
        <v>-2729578</v>
      </c>
      <c r="BQ49">
        <v>0</v>
      </c>
      <c r="BR49">
        <v>-2729578</v>
      </c>
      <c r="BS49">
        <v>-2729578</v>
      </c>
      <c r="BT49">
        <v>0</v>
      </c>
      <c r="BU49">
        <v>-272958</v>
      </c>
      <c r="BV49">
        <v>0</v>
      </c>
      <c r="BW49">
        <v>-3002536</v>
      </c>
      <c r="BX49">
        <v>0</v>
      </c>
      <c r="BY49">
        <v>-3002536</v>
      </c>
      <c r="BZ49">
        <v>-265080</v>
      </c>
      <c r="CA49">
        <v>0</v>
      </c>
      <c r="CB49">
        <v>-265080</v>
      </c>
      <c r="CC49">
        <v>-269323</v>
      </c>
      <c r="CD49">
        <v>0</v>
      </c>
      <c r="CE49">
        <v>-269323</v>
      </c>
      <c r="CF49">
        <v>0</v>
      </c>
      <c r="CG49">
        <v>0</v>
      </c>
      <c r="CH49">
        <v>0</v>
      </c>
      <c r="CI49">
        <v>0</v>
      </c>
      <c r="CJ49">
        <v>0</v>
      </c>
      <c r="CK49">
        <v>0</v>
      </c>
      <c r="CL49">
        <v>0</v>
      </c>
      <c r="CM49">
        <v>0</v>
      </c>
      <c r="CN49">
        <v>0</v>
      </c>
      <c r="CO49">
        <v>0</v>
      </c>
      <c r="CP49">
        <v>0</v>
      </c>
      <c r="CQ49">
        <v>0</v>
      </c>
      <c r="CR49">
        <v>0</v>
      </c>
      <c r="CS49">
        <v>0</v>
      </c>
      <c r="CT49">
        <v>-534403</v>
      </c>
      <c r="CU49">
        <v>0</v>
      </c>
      <c r="CV49">
        <v>-53440</v>
      </c>
      <c r="CW49">
        <v>0</v>
      </c>
      <c r="CX49">
        <v>-587843</v>
      </c>
      <c r="CY49">
        <v>0</v>
      </c>
      <c r="CZ49">
        <v>-587843</v>
      </c>
      <c r="DA49">
        <v>-7380</v>
      </c>
      <c r="DB49">
        <v>0</v>
      </c>
      <c r="DC49">
        <v>-7380</v>
      </c>
      <c r="DD49">
        <v>-43458</v>
      </c>
      <c r="DE49">
        <v>0</v>
      </c>
      <c r="DF49">
        <v>-43458</v>
      </c>
      <c r="DG49">
        <v>0</v>
      </c>
      <c r="DH49">
        <v>0</v>
      </c>
      <c r="DI49">
        <v>0</v>
      </c>
      <c r="DJ49">
        <v>-1612422</v>
      </c>
      <c r="DK49">
        <v>0</v>
      </c>
      <c r="DL49">
        <v>-1612422</v>
      </c>
      <c r="DM49">
        <v>-1663260</v>
      </c>
      <c r="DN49">
        <v>0</v>
      </c>
      <c r="DO49">
        <v>-166326</v>
      </c>
      <c r="DP49">
        <v>0</v>
      </c>
      <c r="DQ49">
        <v>-1829586</v>
      </c>
      <c r="DR49">
        <v>0</v>
      </c>
      <c r="DS49">
        <v>-1829586</v>
      </c>
      <c r="DT49">
        <v>59219168</v>
      </c>
      <c r="DU49">
        <v>0</v>
      </c>
      <c r="DV49" s="661">
        <v>59219168</v>
      </c>
      <c r="DW49" t="s">
        <v>1701</v>
      </c>
    </row>
    <row r="50" spans="1:127" ht="12.75" x14ac:dyDescent="0.2">
      <c r="A50" s="605">
        <v>43</v>
      </c>
      <c r="B50" s="606" t="s">
        <v>757</v>
      </c>
      <c r="C50" s="607" t="s">
        <v>1185</v>
      </c>
      <c r="D50" s="608" t="s">
        <v>1189</v>
      </c>
      <c r="E50" s="609" t="s">
        <v>756</v>
      </c>
      <c r="G50">
        <v>311095402</v>
      </c>
      <c r="H50">
        <v>0</v>
      </c>
      <c r="I50">
        <v>311095402</v>
      </c>
      <c r="J50">
        <v>49.9</v>
      </c>
      <c r="K50">
        <v>155236606</v>
      </c>
      <c r="L50">
        <v>0</v>
      </c>
      <c r="M50">
        <v>6318647</v>
      </c>
      <c r="N50">
        <v>0</v>
      </c>
      <c r="O50">
        <v>161555253</v>
      </c>
      <c r="P50">
        <v>0</v>
      </c>
      <c r="Q50">
        <v>161555253</v>
      </c>
      <c r="R50">
        <v>-403882</v>
      </c>
      <c r="S50">
        <v>0</v>
      </c>
      <c r="T50">
        <v>-403882</v>
      </c>
      <c r="U50">
        <v>468480</v>
      </c>
      <c r="V50">
        <v>0</v>
      </c>
      <c r="W50">
        <v>468480</v>
      </c>
      <c r="X50">
        <v>64598</v>
      </c>
      <c r="Y50">
        <v>0</v>
      </c>
      <c r="Z50">
        <v>0</v>
      </c>
      <c r="AA50">
        <v>0</v>
      </c>
      <c r="AB50">
        <v>64598</v>
      </c>
      <c r="AC50">
        <v>0</v>
      </c>
      <c r="AD50">
        <v>64598</v>
      </c>
      <c r="AE50">
        <v>-64598</v>
      </c>
      <c r="AF50">
        <v>0</v>
      </c>
      <c r="AG50">
        <v>-64598</v>
      </c>
      <c r="AH50">
        <v>-2978952</v>
      </c>
      <c r="AI50">
        <v>0</v>
      </c>
      <c r="AJ50">
        <v>-2978952</v>
      </c>
      <c r="AK50">
        <v>-5000</v>
      </c>
      <c r="AL50">
        <v>0</v>
      </c>
      <c r="AM50">
        <v>-5000</v>
      </c>
      <c r="AN50">
        <v>3534541</v>
      </c>
      <c r="AO50">
        <v>0</v>
      </c>
      <c r="AP50">
        <v>3534541</v>
      </c>
      <c r="AQ50">
        <v>555589</v>
      </c>
      <c r="AR50">
        <v>0</v>
      </c>
      <c r="AS50">
        <v>555589</v>
      </c>
      <c r="AT50">
        <v>-31224696</v>
      </c>
      <c r="AU50">
        <v>0</v>
      </c>
      <c r="AV50">
        <v>-31224696</v>
      </c>
      <c r="AW50">
        <v>-16865</v>
      </c>
      <c r="AX50">
        <v>0</v>
      </c>
      <c r="AY50">
        <v>-16865</v>
      </c>
      <c r="AZ50">
        <v>0</v>
      </c>
      <c r="BA50">
        <v>0</v>
      </c>
      <c r="BB50">
        <v>0</v>
      </c>
      <c r="BC50">
        <v>0</v>
      </c>
      <c r="BD50">
        <v>0</v>
      </c>
      <c r="BE50">
        <v>0</v>
      </c>
      <c r="BF50">
        <v>-30685972</v>
      </c>
      <c r="BG50">
        <v>0</v>
      </c>
      <c r="BH50">
        <v>-2976563</v>
      </c>
      <c r="BI50">
        <v>0</v>
      </c>
      <c r="BJ50">
        <v>-33662535</v>
      </c>
      <c r="BK50">
        <v>0</v>
      </c>
      <c r="BL50">
        <v>-33662535</v>
      </c>
      <c r="BM50">
        <v>-20000</v>
      </c>
      <c r="BN50">
        <v>0</v>
      </c>
      <c r="BO50">
        <v>-20000</v>
      </c>
      <c r="BP50">
        <v>-3354187</v>
      </c>
      <c r="BQ50">
        <v>0</v>
      </c>
      <c r="BR50">
        <v>-3354187</v>
      </c>
      <c r="BS50">
        <v>-3374187</v>
      </c>
      <c r="BT50">
        <v>0</v>
      </c>
      <c r="BU50">
        <v>0</v>
      </c>
      <c r="BV50">
        <v>0</v>
      </c>
      <c r="BW50">
        <v>-3374187</v>
      </c>
      <c r="BX50">
        <v>0</v>
      </c>
      <c r="BY50">
        <v>-3374187</v>
      </c>
      <c r="BZ50">
        <v>-127379</v>
      </c>
      <c r="CA50">
        <v>0</v>
      </c>
      <c r="CB50">
        <v>-127379</v>
      </c>
      <c r="CC50">
        <v>0</v>
      </c>
      <c r="CD50">
        <v>0</v>
      </c>
      <c r="CE50">
        <v>0</v>
      </c>
      <c r="CF50">
        <v>0</v>
      </c>
      <c r="CG50">
        <v>0</v>
      </c>
      <c r="CH50">
        <v>0</v>
      </c>
      <c r="CI50">
        <v>0</v>
      </c>
      <c r="CJ50">
        <v>0</v>
      </c>
      <c r="CK50">
        <v>0</v>
      </c>
      <c r="CL50">
        <v>0</v>
      </c>
      <c r="CM50">
        <v>0</v>
      </c>
      <c r="CN50">
        <v>0</v>
      </c>
      <c r="CO50">
        <v>0</v>
      </c>
      <c r="CP50">
        <v>0</v>
      </c>
      <c r="CQ50">
        <v>0</v>
      </c>
      <c r="CR50">
        <v>0</v>
      </c>
      <c r="CS50">
        <v>0</v>
      </c>
      <c r="CT50">
        <v>-127379</v>
      </c>
      <c r="CU50">
        <v>0</v>
      </c>
      <c r="CV50">
        <v>0</v>
      </c>
      <c r="CW50">
        <v>0</v>
      </c>
      <c r="CX50">
        <v>-127379</v>
      </c>
      <c r="CY50">
        <v>0</v>
      </c>
      <c r="CZ50">
        <v>-127379</v>
      </c>
      <c r="DA50">
        <v>0</v>
      </c>
      <c r="DB50">
        <v>0</v>
      </c>
      <c r="DC50">
        <v>0</v>
      </c>
      <c r="DD50">
        <v>-11000</v>
      </c>
      <c r="DE50">
        <v>0</v>
      </c>
      <c r="DF50">
        <v>-11000</v>
      </c>
      <c r="DG50">
        <v>-12572</v>
      </c>
      <c r="DH50">
        <v>0</v>
      </c>
      <c r="DI50">
        <v>-12572</v>
      </c>
      <c r="DJ50">
        <v>-1997125</v>
      </c>
      <c r="DK50">
        <v>0</v>
      </c>
      <c r="DL50">
        <v>-1997125</v>
      </c>
      <c r="DM50">
        <v>-2020697</v>
      </c>
      <c r="DN50">
        <v>0</v>
      </c>
      <c r="DO50">
        <v>0</v>
      </c>
      <c r="DP50">
        <v>0</v>
      </c>
      <c r="DQ50">
        <v>-2020697</v>
      </c>
      <c r="DR50">
        <v>0</v>
      </c>
      <c r="DS50">
        <v>-2020697</v>
      </c>
      <c r="DT50">
        <v>122435053</v>
      </c>
      <c r="DU50">
        <v>0</v>
      </c>
      <c r="DV50" s="661">
        <v>122435053</v>
      </c>
      <c r="DW50" t="s">
        <v>1702</v>
      </c>
    </row>
    <row r="51" spans="1:127" ht="12.75" x14ac:dyDescent="0.2">
      <c r="A51" s="605">
        <v>44</v>
      </c>
      <c r="B51" s="606" t="s">
        <v>759</v>
      </c>
      <c r="C51" s="607" t="s">
        <v>1196</v>
      </c>
      <c r="D51" s="608" t="s">
        <v>1191</v>
      </c>
      <c r="E51" s="609" t="s">
        <v>758</v>
      </c>
      <c r="G51">
        <v>1589998527</v>
      </c>
      <c r="H51">
        <v>0</v>
      </c>
      <c r="I51">
        <v>1589998527</v>
      </c>
      <c r="J51">
        <v>49.9</v>
      </c>
      <c r="K51">
        <v>793409265</v>
      </c>
      <c r="L51">
        <v>0</v>
      </c>
      <c r="M51">
        <v>24000000</v>
      </c>
      <c r="N51">
        <v>0</v>
      </c>
      <c r="O51">
        <v>817409265</v>
      </c>
      <c r="P51">
        <v>0</v>
      </c>
      <c r="Q51">
        <v>817409265</v>
      </c>
      <c r="R51">
        <v>-3672007</v>
      </c>
      <c r="S51">
        <v>0</v>
      </c>
      <c r="T51">
        <v>-3672007</v>
      </c>
      <c r="U51">
        <v>296502</v>
      </c>
      <c r="V51">
        <v>0</v>
      </c>
      <c r="W51">
        <v>296502</v>
      </c>
      <c r="X51">
        <v>-3375505</v>
      </c>
      <c r="Y51">
        <v>0</v>
      </c>
      <c r="Z51">
        <v>0</v>
      </c>
      <c r="AA51">
        <v>0</v>
      </c>
      <c r="AB51">
        <v>-3375505</v>
      </c>
      <c r="AC51">
        <v>0</v>
      </c>
      <c r="AD51">
        <v>-3375505</v>
      </c>
      <c r="AE51">
        <v>3375505</v>
      </c>
      <c r="AF51">
        <v>0</v>
      </c>
      <c r="AG51">
        <v>3375505</v>
      </c>
      <c r="AH51">
        <v>-6336230</v>
      </c>
      <c r="AI51">
        <v>0</v>
      </c>
      <c r="AJ51">
        <v>-6336230</v>
      </c>
      <c r="AK51">
        <v>0</v>
      </c>
      <c r="AL51">
        <v>0</v>
      </c>
      <c r="AM51">
        <v>0</v>
      </c>
      <c r="AN51">
        <v>18376208</v>
      </c>
      <c r="AO51">
        <v>0</v>
      </c>
      <c r="AP51">
        <v>18376208</v>
      </c>
      <c r="AQ51">
        <v>12039978</v>
      </c>
      <c r="AR51">
        <v>0</v>
      </c>
      <c r="AS51">
        <v>12039978</v>
      </c>
      <c r="AT51">
        <v>-89350186</v>
      </c>
      <c r="AU51">
        <v>0</v>
      </c>
      <c r="AV51">
        <v>-89350186</v>
      </c>
      <c r="AW51">
        <v>0</v>
      </c>
      <c r="AX51">
        <v>0</v>
      </c>
      <c r="AY51">
        <v>0</v>
      </c>
      <c r="AZ51">
        <v>0</v>
      </c>
      <c r="BA51">
        <v>0</v>
      </c>
      <c r="BB51">
        <v>0</v>
      </c>
      <c r="BC51">
        <v>0</v>
      </c>
      <c r="BD51">
        <v>0</v>
      </c>
      <c r="BE51">
        <v>0</v>
      </c>
      <c r="BF51">
        <v>-77310208</v>
      </c>
      <c r="BG51">
        <v>0</v>
      </c>
      <c r="BH51">
        <v>0</v>
      </c>
      <c r="BI51">
        <v>0</v>
      </c>
      <c r="BJ51">
        <v>-77310208</v>
      </c>
      <c r="BK51">
        <v>0</v>
      </c>
      <c r="BL51">
        <v>-77310208</v>
      </c>
      <c r="BM51">
        <v>-8733</v>
      </c>
      <c r="BN51">
        <v>0</v>
      </c>
      <c r="BO51">
        <v>-8733</v>
      </c>
      <c r="BP51">
        <v>-26463769</v>
      </c>
      <c r="BQ51">
        <v>0</v>
      </c>
      <c r="BR51">
        <v>-26463769</v>
      </c>
      <c r="BS51">
        <v>-26472502</v>
      </c>
      <c r="BT51">
        <v>0</v>
      </c>
      <c r="BU51">
        <v>0</v>
      </c>
      <c r="BV51">
        <v>0</v>
      </c>
      <c r="BW51">
        <v>-26472502</v>
      </c>
      <c r="BX51">
        <v>0</v>
      </c>
      <c r="BY51">
        <v>-26472502</v>
      </c>
      <c r="BZ51">
        <v>-420689</v>
      </c>
      <c r="CA51">
        <v>0</v>
      </c>
      <c r="CB51">
        <v>-420689</v>
      </c>
      <c r="CC51">
        <v>-2000</v>
      </c>
      <c r="CD51">
        <v>0</v>
      </c>
      <c r="CE51">
        <v>-2000</v>
      </c>
      <c r="CF51">
        <v>0</v>
      </c>
      <c r="CG51">
        <v>0</v>
      </c>
      <c r="CH51">
        <v>0</v>
      </c>
      <c r="CI51">
        <v>0</v>
      </c>
      <c r="CJ51">
        <v>0</v>
      </c>
      <c r="CK51">
        <v>0</v>
      </c>
      <c r="CL51">
        <v>0</v>
      </c>
      <c r="CM51">
        <v>0</v>
      </c>
      <c r="CN51">
        <v>0</v>
      </c>
      <c r="CO51">
        <v>0</v>
      </c>
      <c r="CP51">
        <v>0</v>
      </c>
      <c r="CQ51">
        <v>0</v>
      </c>
      <c r="CR51">
        <v>0</v>
      </c>
      <c r="CS51">
        <v>0</v>
      </c>
      <c r="CT51">
        <v>-422689</v>
      </c>
      <c r="CU51">
        <v>0</v>
      </c>
      <c r="CV51">
        <v>0</v>
      </c>
      <c r="CW51">
        <v>0</v>
      </c>
      <c r="CX51">
        <v>-422689</v>
      </c>
      <c r="CY51">
        <v>0</v>
      </c>
      <c r="CZ51">
        <v>-422689</v>
      </c>
      <c r="DA51">
        <v>0</v>
      </c>
      <c r="DB51">
        <v>0</v>
      </c>
      <c r="DC51">
        <v>0</v>
      </c>
      <c r="DD51">
        <v>-169369</v>
      </c>
      <c r="DE51">
        <v>0</v>
      </c>
      <c r="DF51">
        <v>-169369</v>
      </c>
      <c r="DG51">
        <v>-160876</v>
      </c>
      <c r="DH51">
        <v>0</v>
      </c>
      <c r="DI51">
        <v>-160876</v>
      </c>
      <c r="DJ51">
        <v>-9291945</v>
      </c>
      <c r="DK51">
        <v>0</v>
      </c>
      <c r="DL51">
        <v>-9291945</v>
      </c>
      <c r="DM51">
        <v>-9622190</v>
      </c>
      <c r="DN51">
        <v>0</v>
      </c>
      <c r="DO51">
        <v>0</v>
      </c>
      <c r="DP51">
        <v>0</v>
      </c>
      <c r="DQ51">
        <v>-9622190</v>
      </c>
      <c r="DR51">
        <v>0</v>
      </c>
      <c r="DS51">
        <v>-9622190</v>
      </c>
      <c r="DT51">
        <v>700206171</v>
      </c>
      <c r="DU51">
        <v>0</v>
      </c>
      <c r="DV51" s="661">
        <v>700206171</v>
      </c>
      <c r="DW51" t="s">
        <v>1703</v>
      </c>
    </row>
    <row r="52" spans="1:127" ht="12.75" x14ac:dyDescent="0.2">
      <c r="A52" s="605">
        <v>45</v>
      </c>
      <c r="B52" s="606" t="s">
        <v>761</v>
      </c>
      <c r="C52" s="607" t="s">
        <v>1185</v>
      </c>
      <c r="D52" s="608" t="s">
        <v>1195</v>
      </c>
      <c r="E52" s="609" t="s">
        <v>760</v>
      </c>
      <c r="G52">
        <v>85218140</v>
      </c>
      <c r="H52">
        <v>0</v>
      </c>
      <c r="I52">
        <v>85218140</v>
      </c>
      <c r="J52">
        <v>49.9</v>
      </c>
      <c r="K52">
        <v>42523852</v>
      </c>
      <c r="L52">
        <v>0</v>
      </c>
      <c r="M52">
        <v>2092523</v>
      </c>
      <c r="N52">
        <v>0</v>
      </c>
      <c r="O52">
        <v>44616375</v>
      </c>
      <c r="P52">
        <v>0</v>
      </c>
      <c r="Q52">
        <v>44616375</v>
      </c>
      <c r="R52">
        <v>-312696</v>
      </c>
      <c r="S52">
        <v>0</v>
      </c>
      <c r="T52">
        <v>-312696</v>
      </c>
      <c r="U52">
        <v>219661</v>
      </c>
      <c r="V52">
        <v>0</v>
      </c>
      <c r="W52">
        <v>219661</v>
      </c>
      <c r="X52">
        <v>-93035</v>
      </c>
      <c r="Y52">
        <v>0</v>
      </c>
      <c r="Z52">
        <v>0</v>
      </c>
      <c r="AA52">
        <v>0</v>
      </c>
      <c r="AB52">
        <v>-93035</v>
      </c>
      <c r="AC52">
        <v>0</v>
      </c>
      <c r="AD52">
        <v>-93035</v>
      </c>
      <c r="AE52">
        <v>93035</v>
      </c>
      <c r="AF52">
        <v>0</v>
      </c>
      <c r="AG52">
        <v>93035</v>
      </c>
      <c r="AH52">
        <v>-4796679</v>
      </c>
      <c r="AI52">
        <v>0</v>
      </c>
      <c r="AJ52">
        <v>-4796679</v>
      </c>
      <c r="AK52">
        <v>-14671</v>
      </c>
      <c r="AL52">
        <v>0</v>
      </c>
      <c r="AM52">
        <v>-14671</v>
      </c>
      <c r="AN52">
        <v>747459</v>
      </c>
      <c r="AO52">
        <v>0</v>
      </c>
      <c r="AP52">
        <v>747459</v>
      </c>
      <c r="AQ52">
        <v>-4049220</v>
      </c>
      <c r="AR52">
        <v>0</v>
      </c>
      <c r="AS52">
        <v>-4049220</v>
      </c>
      <c r="AT52">
        <v>-1853433</v>
      </c>
      <c r="AU52">
        <v>0</v>
      </c>
      <c r="AV52">
        <v>-1853433</v>
      </c>
      <c r="AW52">
        <v>-594</v>
      </c>
      <c r="AX52">
        <v>0</v>
      </c>
      <c r="AY52">
        <v>-594</v>
      </c>
      <c r="AZ52">
        <v>0</v>
      </c>
      <c r="BA52">
        <v>0</v>
      </c>
      <c r="BB52">
        <v>0</v>
      </c>
      <c r="BC52">
        <v>0</v>
      </c>
      <c r="BD52">
        <v>0</v>
      </c>
      <c r="BE52">
        <v>0</v>
      </c>
      <c r="BF52">
        <v>-5903247</v>
      </c>
      <c r="BG52">
        <v>0</v>
      </c>
      <c r="BH52">
        <v>0</v>
      </c>
      <c r="BI52">
        <v>0</v>
      </c>
      <c r="BJ52">
        <v>-5903247</v>
      </c>
      <c r="BK52">
        <v>0</v>
      </c>
      <c r="BL52">
        <v>-5903247</v>
      </c>
      <c r="BM52">
        <v>0</v>
      </c>
      <c r="BN52">
        <v>0</v>
      </c>
      <c r="BO52">
        <v>0</v>
      </c>
      <c r="BP52">
        <v>-1807182</v>
      </c>
      <c r="BQ52">
        <v>0</v>
      </c>
      <c r="BR52">
        <v>-1807182</v>
      </c>
      <c r="BS52">
        <v>-1807182</v>
      </c>
      <c r="BT52">
        <v>0</v>
      </c>
      <c r="BU52">
        <v>0</v>
      </c>
      <c r="BV52">
        <v>0</v>
      </c>
      <c r="BW52">
        <v>-1807182</v>
      </c>
      <c r="BX52">
        <v>0</v>
      </c>
      <c r="BY52">
        <v>-1807182</v>
      </c>
      <c r="BZ52">
        <v>-95896</v>
      </c>
      <c r="CA52">
        <v>0</v>
      </c>
      <c r="CB52">
        <v>-95896</v>
      </c>
      <c r="CC52">
        <v>-17884</v>
      </c>
      <c r="CD52">
        <v>0</v>
      </c>
      <c r="CE52">
        <v>-17884</v>
      </c>
      <c r="CF52">
        <v>-37</v>
      </c>
      <c r="CG52">
        <v>0</v>
      </c>
      <c r="CH52">
        <v>-37</v>
      </c>
      <c r="CI52">
        <v>0</v>
      </c>
      <c r="CJ52">
        <v>0</v>
      </c>
      <c r="CK52">
        <v>0</v>
      </c>
      <c r="CL52">
        <v>0</v>
      </c>
      <c r="CM52">
        <v>0</v>
      </c>
      <c r="CN52">
        <v>0</v>
      </c>
      <c r="CO52">
        <v>-5000</v>
      </c>
      <c r="CP52">
        <v>0</v>
      </c>
      <c r="CQ52">
        <v>-5000</v>
      </c>
      <c r="CR52">
        <v>0</v>
      </c>
      <c r="CS52">
        <v>0</v>
      </c>
      <c r="CT52">
        <v>-118817</v>
      </c>
      <c r="CU52">
        <v>0</v>
      </c>
      <c r="CV52">
        <v>0</v>
      </c>
      <c r="CW52">
        <v>0</v>
      </c>
      <c r="CX52">
        <v>-118817</v>
      </c>
      <c r="CY52">
        <v>0</v>
      </c>
      <c r="CZ52">
        <v>-118817</v>
      </c>
      <c r="DA52">
        <v>0</v>
      </c>
      <c r="DB52">
        <v>0</v>
      </c>
      <c r="DC52">
        <v>0</v>
      </c>
      <c r="DD52">
        <v>-6176</v>
      </c>
      <c r="DE52">
        <v>0</v>
      </c>
      <c r="DF52">
        <v>-6176</v>
      </c>
      <c r="DG52">
        <v>-3787</v>
      </c>
      <c r="DH52">
        <v>0</v>
      </c>
      <c r="DI52">
        <v>-3787</v>
      </c>
      <c r="DJ52">
        <v>-958333</v>
      </c>
      <c r="DK52">
        <v>0</v>
      </c>
      <c r="DL52">
        <v>-958333</v>
      </c>
      <c r="DM52">
        <v>-968296</v>
      </c>
      <c r="DN52">
        <v>0</v>
      </c>
      <c r="DO52">
        <v>0</v>
      </c>
      <c r="DP52">
        <v>0</v>
      </c>
      <c r="DQ52">
        <v>-968296</v>
      </c>
      <c r="DR52">
        <v>0</v>
      </c>
      <c r="DS52">
        <v>-968296</v>
      </c>
      <c r="DT52">
        <v>35725798</v>
      </c>
      <c r="DU52">
        <v>0</v>
      </c>
      <c r="DV52" s="661">
        <v>35725798</v>
      </c>
      <c r="DW52" t="s">
        <v>1704</v>
      </c>
    </row>
    <row r="53" spans="1:127" ht="12.75" x14ac:dyDescent="0.2">
      <c r="A53" s="605">
        <v>46</v>
      </c>
      <c r="B53" s="606" t="s">
        <v>763</v>
      </c>
      <c r="C53" s="607" t="s">
        <v>1185</v>
      </c>
      <c r="D53" s="608" t="s">
        <v>1186</v>
      </c>
      <c r="E53" s="609" t="s">
        <v>762</v>
      </c>
      <c r="G53">
        <v>146072284</v>
      </c>
      <c r="H53">
        <v>0</v>
      </c>
      <c r="I53">
        <v>146072284</v>
      </c>
      <c r="J53">
        <v>49.9</v>
      </c>
      <c r="K53">
        <v>72890070</v>
      </c>
      <c r="L53">
        <v>0</v>
      </c>
      <c r="M53">
        <v>0</v>
      </c>
      <c r="N53">
        <v>0</v>
      </c>
      <c r="O53">
        <v>72890070</v>
      </c>
      <c r="P53">
        <v>0</v>
      </c>
      <c r="Q53">
        <v>72890070</v>
      </c>
      <c r="R53">
        <v>-431949</v>
      </c>
      <c r="S53">
        <v>0</v>
      </c>
      <c r="T53">
        <v>-431949</v>
      </c>
      <c r="U53">
        <v>1541077</v>
      </c>
      <c r="V53">
        <v>0</v>
      </c>
      <c r="W53">
        <v>1541077</v>
      </c>
      <c r="X53">
        <v>1109128</v>
      </c>
      <c r="Y53">
        <v>0</v>
      </c>
      <c r="Z53">
        <v>0</v>
      </c>
      <c r="AA53">
        <v>0</v>
      </c>
      <c r="AB53">
        <v>1109128</v>
      </c>
      <c r="AC53">
        <v>0</v>
      </c>
      <c r="AD53">
        <v>1109128</v>
      </c>
      <c r="AE53">
        <v>-1109128</v>
      </c>
      <c r="AF53">
        <v>0</v>
      </c>
      <c r="AG53">
        <v>-1109128</v>
      </c>
      <c r="AH53">
        <v>-6131647</v>
      </c>
      <c r="AI53">
        <v>0</v>
      </c>
      <c r="AJ53">
        <v>-6131647</v>
      </c>
      <c r="AK53">
        <v>-2811</v>
      </c>
      <c r="AL53">
        <v>0</v>
      </c>
      <c r="AM53">
        <v>-2811</v>
      </c>
      <c r="AN53">
        <v>1358353</v>
      </c>
      <c r="AO53">
        <v>0</v>
      </c>
      <c r="AP53">
        <v>1358353</v>
      </c>
      <c r="AQ53">
        <v>-4773294</v>
      </c>
      <c r="AR53">
        <v>0</v>
      </c>
      <c r="AS53">
        <v>-4773294</v>
      </c>
      <c r="AT53">
        <v>-9767987</v>
      </c>
      <c r="AU53">
        <v>0</v>
      </c>
      <c r="AV53">
        <v>-9767987</v>
      </c>
      <c r="AW53">
        <v>-64164</v>
      </c>
      <c r="AX53">
        <v>0</v>
      </c>
      <c r="AY53">
        <v>-64164</v>
      </c>
      <c r="AZ53">
        <v>-14528</v>
      </c>
      <c r="BA53">
        <v>0</v>
      </c>
      <c r="BB53">
        <v>-14528</v>
      </c>
      <c r="BC53">
        <v>0</v>
      </c>
      <c r="BD53">
        <v>0</v>
      </c>
      <c r="BE53">
        <v>0</v>
      </c>
      <c r="BF53">
        <v>-14619973</v>
      </c>
      <c r="BG53">
        <v>0</v>
      </c>
      <c r="BH53">
        <v>0</v>
      </c>
      <c r="BI53">
        <v>0</v>
      </c>
      <c r="BJ53">
        <v>-14619973</v>
      </c>
      <c r="BK53">
        <v>0</v>
      </c>
      <c r="BL53">
        <v>-14619973</v>
      </c>
      <c r="BM53">
        <v>0</v>
      </c>
      <c r="BN53">
        <v>0</v>
      </c>
      <c r="BO53">
        <v>0</v>
      </c>
      <c r="BP53">
        <v>-1248429</v>
      </c>
      <c r="BQ53">
        <v>0</v>
      </c>
      <c r="BR53">
        <v>-1248429</v>
      </c>
      <c r="BS53">
        <v>-1248429</v>
      </c>
      <c r="BT53">
        <v>0</v>
      </c>
      <c r="BU53">
        <v>0</v>
      </c>
      <c r="BV53">
        <v>0</v>
      </c>
      <c r="BW53">
        <v>-1248429</v>
      </c>
      <c r="BX53">
        <v>0</v>
      </c>
      <c r="BY53">
        <v>-1248429</v>
      </c>
      <c r="BZ53">
        <v>-284178</v>
      </c>
      <c r="CA53">
        <v>0</v>
      </c>
      <c r="CB53">
        <v>-284178</v>
      </c>
      <c r="CC53">
        <v>-111571</v>
      </c>
      <c r="CD53">
        <v>0</v>
      </c>
      <c r="CE53">
        <v>-111571</v>
      </c>
      <c r="CF53">
        <v>-5002</v>
      </c>
      <c r="CG53">
        <v>0</v>
      </c>
      <c r="CH53">
        <v>-5002</v>
      </c>
      <c r="CI53">
        <v>-1040</v>
      </c>
      <c r="CJ53">
        <v>0</v>
      </c>
      <c r="CK53">
        <v>-1040</v>
      </c>
      <c r="CL53">
        <v>0</v>
      </c>
      <c r="CM53">
        <v>0</v>
      </c>
      <c r="CN53">
        <v>0</v>
      </c>
      <c r="CO53">
        <v>0</v>
      </c>
      <c r="CP53">
        <v>0</v>
      </c>
      <c r="CQ53">
        <v>0</v>
      </c>
      <c r="CR53">
        <v>0</v>
      </c>
      <c r="CS53">
        <v>0</v>
      </c>
      <c r="CT53">
        <v>-401791</v>
      </c>
      <c r="CU53">
        <v>0</v>
      </c>
      <c r="CV53">
        <v>0</v>
      </c>
      <c r="CW53">
        <v>0</v>
      </c>
      <c r="CX53">
        <v>-401791</v>
      </c>
      <c r="CY53">
        <v>0</v>
      </c>
      <c r="CZ53">
        <v>-401791</v>
      </c>
      <c r="DA53">
        <v>-14528</v>
      </c>
      <c r="DB53">
        <v>0</v>
      </c>
      <c r="DC53">
        <v>-14528</v>
      </c>
      <c r="DD53">
        <v>-83800</v>
      </c>
      <c r="DE53">
        <v>0</v>
      </c>
      <c r="DF53">
        <v>-83800</v>
      </c>
      <c r="DG53">
        <v>-12136</v>
      </c>
      <c r="DH53">
        <v>0</v>
      </c>
      <c r="DI53">
        <v>-12136</v>
      </c>
      <c r="DJ53">
        <v>-1770582</v>
      </c>
      <c r="DK53">
        <v>0</v>
      </c>
      <c r="DL53">
        <v>-1770582</v>
      </c>
      <c r="DM53">
        <v>-1881046</v>
      </c>
      <c r="DN53">
        <v>0</v>
      </c>
      <c r="DO53">
        <v>0</v>
      </c>
      <c r="DP53">
        <v>0</v>
      </c>
      <c r="DQ53">
        <v>-1881046</v>
      </c>
      <c r="DR53">
        <v>0</v>
      </c>
      <c r="DS53">
        <v>-1881046</v>
      </c>
      <c r="DT53">
        <v>55847959</v>
      </c>
      <c r="DU53">
        <v>0</v>
      </c>
      <c r="DV53" s="661">
        <v>55847959</v>
      </c>
      <c r="DW53" t="s">
        <v>1705</v>
      </c>
    </row>
    <row r="54" spans="1:127" ht="12.75" x14ac:dyDescent="0.2">
      <c r="A54" s="605">
        <v>47</v>
      </c>
      <c r="B54" s="606" t="s">
        <v>765</v>
      </c>
      <c r="C54" s="607" t="s">
        <v>1185</v>
      </c>
      <c r="D54" s="608" t="s">
        <v>1187</v>
      </c>
      <c r="E54" s="609" t="s">
        <v>764</v>
      </c>
      <c r="G54">
        <v>105455643</v>
      </c>
      <c r="H54">
        <v>4597565</v>
      </c>
      <c r="I54">
        <v>110053208</v>
      </c>
      <c r="J54">
        <v>49.9</v>
      </c>
      <c r="K54">
        <v>52622366</v>
      </c>
      <c r="L54">
        <v>2294185</v>
      </c>
      <c r="M54">
        <v>185902</v>
      </c>
      <c r="N54">
        <v>0</v>
      </c>
      <c r="O54">
        <v>52808268</v>
      </c>
      <c r="P54">
        <v>2294185</v>
      </c>
      <c r="Q54">
        <v>55102453</v>
      </c>
      <c r="R54">
        <v>-161066</v>
      </c>
      <c r="S54">
        <v>-426</v>
      </c>
      <c r="T54">
        <v>-161492</v>
      </c>
      <c r="U54">
        <v>612535</v>
      </c>
      <c r="V54">
        <v>0</v>
      </c>
      <c r="W54">
        <v>612535</v>
      </c>
      <c r="X54">
        <v>451469</v>
      </c>
      <c r="Y54">
        <v>-426</v>
      </c>
      <c r="Z54">
        <v>0</v>
      </c>
      <c r="AA54">
        <v>0</v>
      </c>
      <c r="AB54">
        <v>451469</v>
      </c>
      <c r="AC54">
        <v>-426</v>
      </c>
      <c r="AD54">
        <v>451043</v>
      </c>
      <c r="AE54">
        <v>-451469</v>
      </c>
      <c r="AF54">
        <v>426</v>
      </c>
      <c r="AG54">
        <v>-451043</v>
      </c>
      <c r="AH54">
        <v>-4533223</v>
      </c>
      <c r="AI54">
        <v>-107707</v>
      </c>
      <c r="AJ54">
        <v>-4640930</v>
      </c>
      <c r="AK54">
        <v>-17764</v>
      </c>
      <c r="AL54">
        <v>-5614</v>
      </c>
      <c r="AM54">
        <v>-23378</v>
      </c>
      <c r="AN54">
        <v>936126</v>
      </c>
      <c r="AO54">
        <v>45167</v>
      </c>
      <c r="AP54">
        <v>981293</v>
      </c>
      <c r="AQ54">
        <v>-3597097</v>
      </c>
      <c r="AR54">
        <v>-62540</v>
      </c>
      <c r="AS54">
        <v>-3659637</v>
      </c>
      <c r="AT54">
        <v>-3460240</v>
      </c>
      <c r="AU54">
        <v>-3277</v>
      </c>
      <c r="AV54">
        <v>-3463517</v>
      </c>
      <c r="AW54">
        <v>-82422</v>
      </c>
      <c r="AX54">
        <v>0</v>
      </c>
      <c r="AY54">
        <v>-82422</v>
      </c>
      <c r="AZ54">
        <v>-25106</v>
      </c>
      <c r="BA54">
        <v>0</v>
      </c>
      <c r="BB54">
        <v>-25106</v>
      </c>
      <c r="BC54">
        <v>0</v>
      </c>
      <c r="BD54">
        <v>0</v>
      </c>
      <c r="BE54">
        <v>0</v>
      </c>
      <c r="BF54">
        <v>-7164865</v>
      </c>
      <c r="BG54">
        <v>-65817</v>
      </c>
      <c r="BH54">
        <v>0</v>
      </c>
      <c r="BI54">
        <v>0</v>
      </c>
      <c r="BJ54">
        <v>-7164865</v>
      </c>
      <c r="BK54">
        <v>-65817</v>
      </c>
      <c r="BL54">
        <v>-7230682</v>
      </c>
      <c r="BM54">
        <v>0</v>
      </c>
      <c r="BN54">
        <v>0</v>
      </c>
      <c r="BO54">
        <v>0</v>
      </c>
      <c r="BP54">
        <v>-1239027</v>
      </c>
      <c r="BQ54">
        <v>-9651</v>
      </c>
      <c r="BR54">
        <v>-1248678</v>
      </c>
      <c r="BS54">
        <v>-1239027</v>
      </c>
      <c r="BT54">
        <v>-9651</v>
      </c>
      <c r="BU54">
        <v>-650000</v>
      </c>
      <c r="BV54">
        <v>-180000</v>
      </c>
      <c r="BW54">
        <v>-1889027</v>
      </c>
      <c r="BX54">
        <v>-189651</v>
      </c>
      <c r="BY54">
        <v>-2078678</v>
      </c>
      <c r="BZ54">
        <v>-55459</v>
      </c>
      <c r="CA54">
        <v>0</v>
      </c>
      <c r="CB54">
        <v>-55459</v>
      </c>
      <c r="CC54">
        <v>-31981</v>
      </c>
      <c r="CD54">
        <v>0</v>
      </c>
      <c r="CE54">
        <v>-31981</v>
      </c>
      <c r="CF54">
        <v>-2967</v>
      </c>
      <c r="CG54">
        <v>0</v>
      </c>
      <c r="CH54">
        <v>-2967</v>
      </c>
      <c r="CI54">
        <v>0</v>
      </c>
      <c r="CJ54">
        <v>0</v>
      </c>
      <c r="CK54">
        <v>0</v>
      </c>
      <c r="CL54">
        <v>-848</v>
      </c>
      <c r="CM54">
        <v>0</v>
      </c>
      <c r="CN54">
        <v>-848</v>
      </c>
      <c r="CO54">
        <v>-70824</v>
      </c>
      <c r="CP54">
        <v>-297594</v>
      </c>
      <c r="CQ54">
        <v>-368418</v>
      </c>
      <c r="CR54">
        <v>-297594</v>
      </c>
      <c r="CS54">
        <v>0</v>
      </c>
      <c r="CT54">
        <v>-162079</v>
      </c>
      <c r="CU54">
        <v>-297594</v>
      </c>
      <c r="CV54">
        <v>0</v>
      </c>
      <c r="CW54">
        <v>0</v>
      </c>
      <c r="CX54">
        <v>-162079</v>
      </c>
      <c r="CY54">
        <v>-297594</v>
      </c>
      <c r="CZ54">
        <v>-459673</v>
      </c>
      <c r="DA54">
        <v>-25106</v>
      </c>
      <c r="DB54">
        <v>0</v>
      </c>
      <c r="DC54">
        <v>-25106</v>
      </c>
      <c r="DD54">
        <v>-15128</v>
      </c>
      <c r="DE54">
        <v>0</v>
      </c>
      <c r="DF54">
        <v>-15128</v>
      </c>
      <c r="DG54">
        <v>-5671</v>
      </c>
      <c r="DH54">
        <v>0</v>
      </c>
      <c r="DI54">
        <v>-5671</v>
      </c>
      <c r="DJ54">
        <v>-787974</v>
      </c>
      <c r="DK54">
        <v>0</v>
      </c>
      <c r="DL54">
        <v>-787974</v>
      </c>
      <c r="DM54">
        <v>-833879</v>
      </c>
      <c r="DN54">
        <v>0</v>
      </c>
      <c r="DO54">
        <v>0</v>
      </c>
      <c r="DP54">
        <v>0</v>
      </c>
      <c r="DQ54">
        <v>-833879</v>
      </c>
      <c r="DR54">
        <v>0</v>
      </c>
      <c r="DS54">
        <v>-833879</v>
      </c>
      <c r="DT54">
        <v>43209887</v>
      </c>
      <c r="DU54">
        <v>1740697</v>
      </c>
      <c r="DV54" s="661">
        <v>44950584</v>
      </c>
      <c r="DW54" t="s">
        <v>1706</v>
      </c>
    </row>
    <row r="55" spans="1:127" ht="12.75" x14ac:dyDescent="0.2">
      <c r="A55" s="605">
        <v>48</v>
      </c>
      <c r="B55" s="606" t="s">
        <v>767</v>
      </c>
      <c r="C55" s="607" t="s">
        <v>1185</v>
      </c>
      <c r="D55" s="608" t="s">
        <v>1189</v>
      </c>
      <c r="E55" s="609" t="s">
        <v>766</v>
      </c>
      <c r="G55">
        <v>41396921</v>
      </c>
      <c r="H55">
        <v>0</v>
      </c>
      <c r="I55">
        <v>41396921</v>
      </c>
      <c r="J55">
        <v>49.9</v>
      </c>
      <c r="K55">
        <v>20657064</v>
      </c>
      <c r="L55">
        <v>0</v>
      </c>
      <c r="M55">
        <v>475000</v>
      </c>
      <c r="N55">
        <v>0</v>
      </c>
      <c r="O55">
        <v>21132064</v>
      </c>
      <c r="P55">
        <v>0</v>
      </c>
      <c r="Q55">
        <v>21132064</v>
      </c>
      <c r="R55">
        <v>-76472</v>
      </c>
      <c r="S55">
        <v>0</v>
      </c>
      <c r="T55">
        <v>-76472</v>
      </c>
      <c r="U55">
        <v>40538</v>
      </c>
      <c r="V55">
        <v>0</v>
      </c>
      <c r="W55">
        <v>40538</v>
      </c>
      <c r="X55">
        <v>-35934</v>
      </c>
      <c r="Y55">
        <v>0</v>
      </c>
      <c r="Z55">
        <v>0</v>
      </c>
      <c r="AA55">
        <v>0</v>
      </c>
      <c r="AB55">
        <v>-35934</v>
      </c>
      <c r="AC55">
        <v>0</v>
      </c>
      <c r="AD55">
        <v>-35934</v>
      </c>
      <c r="AE55">
        <v>35934</v>
      </c>
      <c r="AF55">
        <v>0</v>
      </c>
      <c r="AG55">
        <v>35934</v>
      </c>
      <c r="AH55">
        <v>-3415242</v>
      </c>
      <c r="AI55">
        <v>0</v>
      </c>
      <c r="AJ55">
        <v>-3415242</v>
      </c>
      <c r="AK55">
        <v>-7708</v>
      </c>
      <c r="AL55">
        <v>0</v>
      </c>
      <c r="AM55">
        <v>-7708</v>
      </c>
      <c r="AN55">
        <v>317610</v>
      </c>
      <c r="AO55">
        <v>0</v>
      </c>
      <c r="AP55">
        <v>317610</v>
      </c>
      <c r="AQ55">
        <v>-3097632</v>
      </c>
      <c r="AR55">
        <v>0</v>
      </c>
      <c r="AS55">
        <v>-3097632</v>
      </c>
      <c r="AT55">
        <v>-1803972</v>
      </c>
      <c r="AU55">
        <v>0</v>
      </c>
      <c r="AV55">
        <v>-1803972</v>
      </c>
      <c r="AW55">
        <v>-10691</v>
      </c>
      <c r="AX55">
        <v>0</v>
      </c>
      <c r="AY55">
        <v>-10691</v>
      </c>
      <c r="AZ55">
        <v>0</v>
      </c>
      <c r="BA55">
        <v>0</v>
      </c>
      <c r="BB55">
        <v>0</v>
      </c>
      <c r="BC55">
        <v>0</v>
      </c>
      <c r="BD55">
        <v>0</v>
      </c>
      <c r="BE55">
        <v>0</v>
      </c>
      <c r="BF55">
        <v>-4912295</v>
      </c>
      <c r="BG55">
        <v>0</v>
      </c>
      <c r="BH55">
        <v>0</v>
      </c>
      <c r="BI55">
        <v>0</v>
      </c>
      <c r="BJ55">
        <v>-4912295</v>
      </c>
      <c r="BK55">
        <v>0</v>
      </c>
      <c r="BL55">
        <v>-4912295</v>
      </c>
      <c r="BM55">
        <v>-1000</v>
      </c>
      <c r="BN55">
        <v>0</v>
      </c>
      <c r="BO55">
        <v>-1000</v>
      </c>
      <c r="BP55">
        <v>-192655</v>
      </c>
      <c r="BQ55">
        <v>0</v>
      </c>
      <c r="BR55">
        <v>-192655</v>
      </c>
      <c r="BS55">
        <v>-193655</v>
      </c>
      <c r="BT55">
        <v>0</v>
      </c>
      <c r="BU55">
        <v>0</v>
      </c>
      <c r="BV55">
        <v>0</v>
      </c>
      <c r="BW55">
        <v>-193655</v>
      </c>
      <c r="BX55">
        <v>0</v>
      </c>
      <c r="BY55">
        <v>-193655</v>
      </c>
      <c r="BZ55">
        <v>-67315</v>
      </c>
      <c r="CA55">
        <v>0</v>
      </c>
      <c r="CB55">
        <v>-67315</v>
      </c>
      <c r="CC55">
        <v>-50179</v>
      </c>
      <c r="CD55">
        <v>0</v>
      </c>
      <c r="CE55">
        <v>-50179</v>
      </c>
      <c r="CF55">
        <v>-2673</v>
      </c>
      <c r="CG55">
        <v>0</v>
      </c>
      <c r="CH55">
        <v>-2673</v>
      </c>
      <c r="CI55">
        <v>0</v>
      </c>
      <c r="CJ55">
        <v>0</v>
      </c>
      <c r="CK55">
        <v>0</v>
      </c>
      <c r="CL55">
        <v>0</v>
      </c>
      <c r="CM55">
        <v>0</v>
      </c>
      <c r="CN55">
        <v>0</v>
      </c>
      <c r="CO55">
        <v>0</v>
      </c>
      <c r="CP55">
        <v>0</v>
      </c>
      <c r="CQ55">
        <v>0</v>
      </c>
      <c r="CR55">
        <v>0</v>
      </c>
      <c r="CS55">
        <v>0</v>
      </c>
      <c r="CT55">
        <v>-120167</v>
      </c>
      <c r="CU55">
        <v>0</v>
      </c>
      <c r="CV55">
        <v>-1000</v>
      </c>
      <c r="CW55">
        <v>0</v>
      </c>
      <c r="CX55">
        <v>-121167</v>
      </c>
      <c r="CY55">
        <v>0</v>
      </c>
      <c r="CZ55">
        <v>-121167</v>
      </c>
      <c r="DA55">
        <v>0</v>
      </c>
      <c r="DB55">
        <v>0</v>
      </c>
      <c r="DC55">
        <v>0</v>
      </c>
      <c r="DD55">
        <v>-9354</v>
      </c>
      <c r="DE55">
        <v>0</v>
      </c>
      <c r="DF55">
        <v>-9354</v>
      </c>
      <c r="DG55">
        <v>-1397</v>
      </c>
      <c r="DH55">
        <v>0</v>
      </c>
      <c r="DI55">
        <v>-1397</v>
      </c>
      <c r="DJ55">
        <v>-463442</v>
      </c>
      <c r="DK55">
        <v>0</v>
      </c>
      <c r="DL55">
        <v>-463442</v>
      </c>
      <c r="DM55">
        <v>-474193</v>
      </c>
      <c r="DN55">
        <v>0</v>
      </c>
      <c r="DO55">
        <v>0</v>
      </c>
      <c r="DP55">
        <v>0</v>
      </c>
      <c r="DQ55">
        <v>-474193</v>
      </c>
      <c r="DR55">
        <v>0</v>
      </c>
      <c r="DS55">
        <v>-474193</v>
      </c>
      <c r="DT55">
        <v>15394820</v>
      </c>
      <c r="DU55">
        <v>0</v>
      </c>
      <c r="DV55" s="661">
        <v>15394820</v>
      </c>
      <c r="DW55" t="s">
        <v>1707</v>
      </c>
    </row>
    <row r="56" spans="1:127" ht="12.75" x14ac:dyDescent="0.2">
      <c r="A56" s="605">
        <v>49</v>
      </c>
      <c r="B56" s="606" t="s">
        <v>769</v>
      </c>
      <c r="C56" s="607" t="s">
        <v>524</v>
      </c>
      <c r="D56" s="608" t="s">
        <v>1189</v>
      </c>
      <c r="E56" s="609" t="s">
        <v>768</v>
      </c>
      <c r="G56">
        <v>226336358</v>
      </c>
      <c r="H56">
        <v>0</v>
      </c>
      <c r="I56">
        <v>226336358</v>
      </c>
      <c r="J56">
        <v>49.9</v>
      </c>
      <c r="K56">
        <v>112941843</v>
      </c>
      <c r="L56">
        <v>0</v>
      </c>
      <c r="M56">
        <v>8013157</v>
      </c>
      <c r="N56">
        <v>0</v>
      </c>
      <c r="O56">
        <v>120955000</v>
      </c>
      <c r="P56">
        <v>0</v>
      </c>
      <c r="Q56">
        <v>120955000</v>
      </c>
      <c r="R56">
        <v>-295112</v>
      </c>
      <c r="S56">
        <v>0</v>
      </c>
      <c r="T56">
        <v>-295112</v>
      </c>
      <c r="U56">
        <v>347275</v>
      </c>
      <c r="V56">
        <v>0</v>
      </c>
      <c r="W56">
        <v>347275</v>
      </c>
      <c r="X56">
        <v>52163</v>
      </c>
      <c r="Y56">
        <v>0</v>
      </c>
      <c r="Z56">
        <v>-100</v>
      </c>
      <c r="AA56">
        <v>0</v>
      </c>
      <c r="AB56">
        <v>52063</v>
      </c>
      <c r="AC56">
        <v>0</v>
      </c>
      <c r="AD56">
        <v>52063</v>
      </c>
      <c r="AE56">
        <v>-52063</v>
      </c>
      <c r="AF56">
        <v>0</v>
      </c>
      <c r="AG56">
        <v>-52063</v>
      </c>
      <c r="AH56">
        <v>-8609476</v>
      </c>
      <c r="AI56">
        <v>0</v>
      </c>
      <c r="AJ56">
        <v>-8609476</v>
      </c>
      <c r="AK56">
        <v>0</v>
      </c>
      <c r="AL56">
        <v>0</v>
      </c>
      <c r="AM56">
        <v>0</v>
      </c>
      <c r="AN56">
        <v>2114166</v>
      </c>
      <c r="AO56">
        <v>0</v>
      </c>
      <c r="AP56">
        <v>2114166</v>
      </c>
      <c r="AQ56">
        <v>-6495310</v>
      </c>
      <c r="AR56">
        <v>0</v>
      </c>
      <c r="AS56">
        <v>-6495310</v>
      </c>
      <c r="AT56">
        <v>-8264294</v>
      </c>
      <c r="AU56">
        <v>0</v>
      </c>
      <c r="AV56">
        <v>-8264294</v>
      </c>
      <c r="AW56">
        <v>-70267</v>
      </c>
      <c r="AX56">
        <v>0</v>
      </c>
      <c r="AY56">
        <v>-70267</v>
      </c>
      <c r="AZ56">
        <v>-25370</v>
      </c>
      <c r="BA56">
        <v>0</v>
      </c>
      <c r="BB56">
        <v>-25370</v>
      </c>
      <c r="BC56">
        <v>0</v>
      </c>
      <c r="BD56">
        <v>0</v>
      </c>
      <c r="BE56">
        <v>0</v>
      </c>
      <c r="BF56">
        <v>-14855241</v>
      </c>
      <c r="BG56">
        <v>0</v>
      </c>
      <c r="BH56">
        <v>0</v>
      </c>
      <c r="BI56">
        <v>0</v>
      </c>
      <c r="BJ56">
        <v>-14855241</v>
      </c>
      <c r="BK56">
        <v>0</v>
      </c>
      <c r="BL56">
        <v>-14855241</v>
      </c>
      <c r="BM56">
        <v>-50000</v>
      </c>
      <c r="BN56">
        <v>0</v>
      </c>
      <c r="BO56">
        <v>-50000</v>
      </c>
      <c r="BP56">
        <v>-1843060</v>
      </c>
      <c r="BQ56">
        <v>0</v>
      </c>
      <c r="BR56">
        <v>-1843060</v>
      </c>
      <c r="BS56">
        <v>-1893060</v>
      </c>
      <c r="BT56">
        <v>0</v>
      </c>
      <c r="BU56">
        <v>0</v>
      </c>
      <c r="BV56">
        <v>0</v>
      </c>
      <c r="BW56">
        <v>-1893060</v>
      </c>
      <c r="BX56">
        <v>0</v>
      </c>
      <c r="BY56">
        <v>-1893060</v>
      </c>
      <c r="BZ56">
        <v>-324889</v>
      </c>
      <c r="CA56">
        <v>0</v>
      </c>
      <c r="CB56">
        <v>-324889</v>
      </c>
      <c r="CC56">
        <v>-209275</v>
      </c>
      <c r="CD56">
        <v>0</v>
      </c>
      <c r="CE56">
        <v>-209275</v>
      </c>
      <c r="CF56">
        <v>-3316</v>
      </c>
      <c r="CG56">
        <v>0</v>
      </c>
      <c r="CH56">
        <v>-3316</v>
      </c>
      <c r="CI56">
        <v>0</v>
      </c>
      <c r="CJ56">
        <v>0</v>
      </c>
      <c r="CK56">
        <v>0</v>
      </c>
      <c r="CL56">
        <v>0</v>
      </c>
      <c r="CM56">
        <v>0</v>
      </c>
      <c r="CN56">
        <v>0</v>
      </c>
      <c r="CO56">
        <v>0</v>
      </c>
      <c r="CP56">
        <v>0</v>
      </c>
      <c r="CQ56">
        <v>0</v>
      </c>
      <c r="CR56">
        <v>0</v>
      </c>
      <c r="CS56">
        <v>0</v>
      </c>
      <c r="CT56">
        <v>-537480</v>
      </c>
      <c r="CU56">
        <v>0</v>
      </c>
      <c r="CV56">
        <v>0</v>
      </c>
      <c r="CW56">
        <v>0</v>
      </c>
      <c r="CX56">
        <v>-537480</v>
      </c>
      <c r="CY56">
        <v>0</v>
      </c>
      <c r="CZ56">
        <v>-537480</v>
      </c>
      <c r="DA56">
        <v>-13995</v>
      </c>
      <c r="DB56">
        <v>0</v>
      </c>
      <c r="DC56">
        <v>-13995</v>
      </c>
      <c r="DD56">
        <v>-21076</v>
      </c>
      <c r="DE56">
        <v>0</v>
      </c>
      <c r="DF56">
        <v>-21076</v>
      </c>
      <c r="DG56">
        <v>-10000</v>
      </c>
      <c r="DH56">
        <v>0</v>
      </c>
      <c r="DI56">
        <v>-10000</v>
      </c>
      <c r="DJ56">
        <v>-2335349</v>
      </c>
      <c r="DK56">
        <v>0</v>
      </c>
      <c r="DL56">
        <v>-2335349</v>
      </c>
      <c r="DM56">
        <v>-2380420</v>
      </c>
      <c r="DN56">
        <v>0</v>
      </c>
      <c r="DO56">
        <v>0</v>
      </c>
      <c r="DP56">
        <v>0</v>
      </c>
      <c r="DQ56">
        <v>-2380420</v>
      </c>
      <c r="DR56">
        <v>0</v>
      </c>
      <c r="DS56">
        <v>-2380420</v>
      </c>
      <c r="DT56">
        <v>101340862</v>
      </c>
      <c r="DU56">
        <v>0</v>
      </c>
      <c r="DV56" s="661">
        <v>101340862</v>
      </c>
      <c r="DW56" t="s">
        <v>1708</v>
      </c>
    </row>
    <row r="57" spans="1:127" ht="12.75" x14ac:dyDescent="0.2">
      <c r="A57" s="605">
        <v>50</v>
      </c>
      <c r="B57" s="606" t="s">
        <v>771</v>
      </c>
      <c r="C57" s="607" t="s">
        <v>1185</v>
      </c>
      <c r="D57" s="608" t="s">
        <v>1188</v>
      </c>
      <c r="E57" s="609" t="s">
        <v>770</v>
      </c>
      <c r="G57">
        <v>131008686</v>
      </c>
      <c r="H57">
        <v>1715000</v>
      </c>
      <c r="I57">
        <v>132723686</v>
      </c>
      <c r="J57">
        <v>49.9</v>
      </c>
      <c r="K57">
        <v>65373334</v>
      </c>
      <c r="L57">
        <v>855785</v>
      </c>
      <c r="M57">
        <v>100000</v>
      </c>
      <c r="N57">
        <v>0</v>
      </c>
      <c r="O57">
        <v>65473334</v>
      </c>
      <c r="P57">
        <v>855785</v>
      </c>
      <c r="Q57">
        <v>66329119</v>
      </c>
      <c r="R57">
        <v>-462315</v>
      </c>
      <c r="S57">
        <v>0</v>
      </c>
      <c r="T57">
        <v>-462315</v>
      </c>
      <c r="U57">
        <v>105527</v>
      </c>
      <c r="V57">
        <v>0</v>
      </c>
      <c r="W57">
        <v>105527</v>
      </c>
      <c r="X57">
        <v>-356788</v>
      </c>
      <c r="Y57">
        <v>0</v>
      </c>
      <c r="Z57">
        <v>0</v>
      </c>
      <c r="AA57">
        <v>0</v>
      </c>
      <c r="AB57">
        <v>-356788</v>
      </c>
      <c r="AC57">
        <v>0</v>
      </c>
      <c r="AD57">
        <v>-356788</v>
      </c>
      <c r="AE57">
        <v>356788</v>
      </c>
      <c r="AF57">
        <v>0</v>
      </c>
      <c r="AG57">
        <v>356788</v>
      </c>
      <c r="AH57">
        <v>-6180458</v>
      </c>
      <c r="AI57">
        <v>0</v>
      </c>
      <c r="AJ57">
        <v>-6180458</v>
      </c>
      <c r="AK57">
        <v>-16257</v>
      </c>
      <c r="AL57">
        <v>0</v>
      </c>
      <c r="AM57">
        <v>-16257</v>
      </c>
      <c r="AN57">
        <v>1156531</v>
      </c>
      <c r="AO57">
        <v>22295</v>
      </c>
      <c r="AP57">
        <v>1178826</v>
      </c>
      <c r="AQ57">
        <v>-5023927</v>
      </c>
      <c r="AR57">
        <v>22295</v>
      </c>
      <c r="AS57">
        <v>-5001632</v>
      </c>
      <c r="AT57">
        <v>-7964625</v>
      </c>
      <c r="AU57">
        <v>0</v>
      </c>
      <c r="AV57">
        <v>-7964625</v>
      </c>
      <c r="AW57">
        <v>-19968</v>
      </c>
      <c r="AX57">
        <v>0</v>
      </c>
      <c r="AY57">
        <v>-19968</v>
      </c>
      <c r="AZ57">
        <v>-2608</v>
      </c>
      <c r="BA57">
        <v>0</v>
      </c>
      <c r="BB57">
        <v>-2608</v>
      </c>
      <c r="BC57">
        <v>0</v>
      </c>
      <c r="BD57">
        <v>0</v>
      </c>
      <c r="BE57">
        <v>0</v>
      </c>
      <c r="BF57">
        <v>-13011128</v>
      </c>
      <c r="BG57">
        <v>22295</v>
      </c>
      <c r="BH57">
        <v>0</v>
      </c>
      <c r="BI57">
        <v>0</v>
      </c>
      <c r="BJ57">
        <v>-13011128</v>
      </c>
      <c r="BK57">
        <v>22295</v>
      </c>
      <c r="BL57">
        <v>-12988833</v>
      </c>
      <c r="BM57">
        <v>-250000</v>
      </c>
      <c r="BN57">
        <v>0</v>
      </c>
      <c r="BO57">
        <v>-250000</v>
      </c>
      <c r="BP57">
        <v>-1600000</v>
      </c>
      <c r="BQ57">
        <v>0</v>
      </c>
      <c r="BR57">
        <v>-1600000</v>
      </c>
      <c r="BS57">
        <v>-1850000</v>
      </c>
      <c r="BT57">
        <v>0</v>
      </c>
      <c r="BU57">
        <v>0</v>
      </c>
      <c r="BV57">
        <v>0</v>
      </c>
      <c r="BW57">
        <v>-1850000</v>
      </c>
      <c r="BX57">
        <v>0</v>
      </c>
      <c r="BY57">
        <v>-1850000</v>
      </c>
      <c r="BZ57">
        <v>-81707</v>
      </c>
      <c r="CA57">
        <v>0</v>
      </c>
      <c r="CB57">
        <v>-81707</v>
      </c>
      <c r="CC57">
        <v>-184124</v>
      </c>
      <c r="CD57">
        <v>0</v>
      </c>
      <c r="CE57">
        <v>-184124</v>
      </c>
      <c r="CF57">
        <v>-438</v>
      </c>
      <c r="CG57">
        <v>0</v>
      </c>
      <c r="CH57">
        <v>-438</v>
      </c>
      <c r="CI57">
        <v>0</v>
      </c>
      <c r="CJ57">
        <v>0</v>
      </c>
      <c r="CK57">
        <v>0</v>
      </c>
      <c r="CL57">
        <v>0</v>
      </c>
      <c r="CM57">
        <v>0</v>
      </c>
      <c r="CN57">
        <v>0</v>
      </c>
      <c r="CO57">
        <v>-98668</v>
      </c>
      <c r="CP57">
        <v>-6400</v>
      </c>
      <c r="CQ57">
        <v>-105068</v>
      </c>
      <c r="CR57">
        <v>-6400</v>
      </c>
      <c r="CS57">
        <v>0</v>
      </c>
      <c r="CT57">
        <v>-364937</v>
      </c>
      <c r="CU57">
        <v>-6400</v>
      </c>
      <c r="CV57">
        <v>0</v>
      </c>
      <c r="CW57">
        <v>0</v>
      </c>
      <c r="CX57">
        <v>-364937</v>
      </c>
      <c r="CY57">
        <v>-6400</v>
      </c>
      <c r="CZ57">
        <v>-371337</v>
      </c>
      <c r="DA57">
        <v>-2608</v>
      </c>
      <c r="DB57">
        <v>0</v>
      </c>
      <c r="DC57">
        <v>-2608</v>
      </c>
      <c r="DD57">
        <v>-53353</v>
      </c>
      <c r="DE57">
        <v>0</v>
      </c>
      <c r="DF57">
        <v>-53353</v>
      </c>
      <c r="DG57">
        <v>-13000</v>
      </c>
      <c r="DH57">
        <v>0</v>
      </c>
      <c r="DI57">
        <v>-13000</v>
      </c>
      <c r="DJ57">
        <v>-1407669</v>
      </c>
      <c r="DK57">
        <v>0</v>
      </c>
      <c r="DL57">
        <v>-1407669</v>
      </c>
      <c r="DM57">
        <v>-1476630</v>
      </c>
      <c r="DN57">
        <v>0</v>
      </c>
      <c r="DO57">
        <v>0</v>
      </c>
      <c r="DP57">
        <v>0</v>
      </c>
      <c r="DQ57">
        <v>-1476630</v>
      </c>
      <c r="DR57">
        <v>0</v>
      </c>
      <c r="DS57">
        <v>-1476630</v>
      </c>
      <c r="DT57">
        <v>48413851</v>
      </c>
      <c r="DU57">
        <v>871680</v>
      </c>
      <c r="DV57" s="661">
        <v>49285531</v>
      </c>
      <c r="DW57" t="s">
        <v>1709</v>
      </c>
    </row>
    <row r="58" spans="1:127" ht="12.75" x14ac:dyDescent="0.2">
      <c r="A58" s="605">
        <v>51</v>
      </c>
      <c r="B58" s="606" t="s">
        <v>773</v>
      </c>
      <c r="C58" s="607" t="s">
        <v>1185</v>
      </c>
      <c r="D58" s="608" t="s">
        <v>1189</v>
      </c>
      <c r="E58" s="609" t="s">
        <v>772</v>
      </c>
      <c r="G58">
        <v>193048967</v>
      </c>
      <c r="H58">
        <v>0</v>
      </c>
      <c r="I58">
        <v>193048967</v>
      </c>
      <c r="J58">
        <v>49.9</v>
      </c>
      <c r="K58">
        <v>96331435</v>
      </c>
      <c r="L58">
        <v>0</v>
      </c>
      <c r="M58">
        <v>1607000</v>
      </c>
      <c r="N58">
        <v>0</v>
      </c>
      <c r="O58">
        <v>97938435</v>
      </c>
      <c r="P58">
        <v>0</v>
      </c>
      <c r="Q58">
        <v>97938435</v>
      </c>
      <c r="R58">
        <v>-195481</v>
      </c>
      <c r="S58">
        <v>0</v>
      </c>
      <c r="T58">
        <v>-195481</v>
      </c>
      <c r="U58">
        <v>512612</v>
      </c>
      <c r="V58">
        <v>0</v>
      </c>
      <c r="W58">
        <v>512612</v>
      </c>
      <c r="X58">
        <v>317131</v>
      </c>
      <c r="Y58">
        <v>0</v>
      </c>
      <c r="Z58">
        <v>0</v>
      </c>
      <c r="AA58">
        <v>0</v>
      </c>
      <c r="AB58">
        <v>317131</v>
      </c>
      <c r="AC58">
        <v>0</v>
      </c>
      <c r="AD58">
        <v>317131</v>
      </c>
      <c r="AE58">
        <v>-317131</v>
      </c>
      <c r="AF58">
        <v>0</v>
      </c>
      <c r="AG58">
        <v>-317131</v>
      </c>
      <c r="AH58">
        <v>-5611237</v>
      </c>
      <c r="AI58">
        <v>0</v>
      </c>
      <c r="AJ58">
        <v>-5611237</v>
      </c>
      <c r="AK58">
        <v>0</v>
      </c>
      <c r="AL58">
        <v>0</v>
      </c>
      <c r="AM58">
        <v>0</v>
      </c>
      <c r="AN58">
        <v>1915132</v>
      </c>
      <c r="AO58">
        <v>0</v>
      </c>
      <c r="AP58">
        <v>1915132</v>
      </c>
      <c r="AQ58">
        <v>-3696105</v>
      </c>
      <c r="AR58">
        <v>0</v>
      </c>
      <c r="AS58">
        <v>-3696105</v>
      </c>
      <c r="AT58">
        <v>-5471584</v>
      </c>
      <c r="AU58">
        <v>0</v>
      </c>
      <c r="AV58">
        <v>-5471584</v>
      </c>
      <c r="AW58">
        <v>-36782</v>
      </c>
      <c r="AX58">
        <v>0</v>
      </c>
      <c r="AY58">
        <v>-36782</v>
      </c>
      <c r="AZ58">
        <v>-5133</v>
      </c>
      <c r="BA58">
        <v>0</v>
      </c>
      <c r="BB58">
        <v>-5133</v>
      </c>
      <c r="BC58">
        <v>0</v>
      </c>
      <c r="BD58">
        <v>0</v>
      </c>
      <c r="BE58">
        <v>0</v>
      </c>
      <c r="BF58">
        <v>-9209604</v>
      </c>
      <c r="BG58">
        <v>0</v>
      </c>
      <c r="BH58">
        <v>0</v>
      </c>
      <c r="BI58">
        <v>0</v>
      </c>
      <c r="BJ58">
        <v>-9209604</v>
      </c>
      <c r="BK58">
        <v>0</v>
      </c>
      <c r="BL58">
        <v>-9209604</v>
      </c>
      <c r="BM58">
        <v>0</v>
      </c>
      <c r="BN58">
        <v>0</v>
      </c>
      <c r="BO58">
        <v>0</v>
      </c>
      <c r="BP58">
        <v>-2814086</v>
      </c>
      <c r="BQ58">
        <v>0</v>
      </c>
      <c r="BR58">
        <v>-2814086</v>
      </c>
      <c r="BS58">
        <v>-2814086</v>
      </c>
      <c r="BT58">
        <v>0</v>
      </c>
      <c r="BU58">
        <v>0</v>
      </c>
      <c r="BV58">
        <v>0</v>
      </c>
      <c r="BW58">
        <v>-2814086</v>
      </c>
      <c r="BX58">
        <v>0</v>
      </c>
      <c r="BY58">
        <v>-2814086</v>
      </c>
      <c r="BZ58">
        <v>-9542</v>
      </c>
      <c r="CA58">
        <v>0</v>
      </c>
      <c r="CB58">
        <v>-9542</v>
      </c>
      <c r="CC58">
        <v>-103238</v>
      </c>
      <c r="CD58">
        <v>0</v>
      </c>
      <c r="CE58">
        <v>-103238</v>
      </c>
      <c r="CF58">
        <v>0</v>
      </c>
      <c r="CG58">
        <v>0</v>
      </c>
      <c r="CH58">
        <v>0</v>
      </c>
      <c r="CI58">
        <v>0</v>
      </c>
      <c r="CJ58">
        <v>0</v>
      </c>
      <c r="CK58">
        <v>0</v>
      </c>
      <c r="CL58">
        <v>0</v>
      </c>
      <c r="CM58">
        <v>0</v>
      </c>
      <c r="CN58">
        <v>0</v>
      </c>
      <c r="CO58">
        <v>0</v>
      </c>
      <c r="CP58">
        <v>0</v>
      </c>
      <c r="CQ58">
        <v>0</v>
      </c>
      <c r="CR58">
        <v>0</v>
      </c>
      <c r="CS58">
        <v>0</v>
      </c>
      <c r="CT58">
        <v>-112780</v>
      </c>
      <c r="CU58">
        <v>0</v>
      </c>
      <c r="CV58">
        <v>0</v>
      </c>
      <c r="CW58">
        <v>0</v>
      </c>
      <c r="CX58">
        <v>-112780</v>
      </c>
      <c r="CY58">
        <v>0</v>
      </c>
      <c r="CZ58">
        <v>-112780</v>
      </c>
      <c r="DA58">
        <v>-5133</v>
      </c>
      <c r="DB58">
        <v>0</v>
      </c>
      <c r="DC58">
        <v>-5133</v>
      </c>
      <c r="DD58">
        <v>-30242</v>
      </c>
      <c r="DE58">
        <v>0</v>
      </c>
      <c r="DF58">
        <v>-30242</v>
      </c>
      <c r="DG58">
        <v>-7763</v>
      </c>
      <c r="DH58">
        <v>0</v>
      </c>
      <c r="DI58">
        <v>-7763</v>
      </c>
      <c r="DJ58">
        <v>-2234549</v>
      </c>
      <c r="DK58">
        <v>0</v>
      </c>
      <c r="DL58">
        <v>-2234549</v>
      </c>
      <c r="DM58">
        <v>-2277687</v>
      </c>
      <c r="DN58">
        <v>0</v>
      </c>
      <c r="DO58">
        <v>0</v>
      </c>
      <c r="DP58">
        <v>0</v>
      </c>
      <c r="DQ58">
        <v>-2277687</v>
      </c>
      <c r="DR58">
        <v>0</v>
      </c>
      <c r="DS58">
        <v>-2277687</v>
      </c>
      <c r="DT58">
        <v>83841409</v>
      </c>
      <c r="DU58">
        <v>0</v>
      </c>
      <c r="DV58" s="661">
        <v>83841409</v>
      </c>
      <c r="DW58" t="s">
        <v>1710</v>
      </c>
    </row>
    <row r="59" spans="1:127" ht="12.75" x14ac:dyDescent="0.2">
      <c r="A59" s="605">
        <v>52</v>
      </c>
      <c r="B59" s="606" t="s">
        <v>775</v>
      </c>
      <c r="C59" s="607" t="s">
        <v>1185</v>
      </c>
      <c r="D59" s="608" t="s">
        <v>1194</v>
      </c>
      <c r="E59" s="609" t="s">
        <v>774</v>
      </c>
      <c r="G59">
        <v>136026530</v>
      </c>
      <c r="H59">
        <v>0</v>
      </c>
      <c r="I59">
        <v>136026530</v>
      </c>
      <c r="J59">
        <v>49.9</v>
      </c>
      <c r="K59">
        <v>67877238</v>
      </c>
      <c r="L59">
        <v>0</v>
      </c>
      <c r="M59">
        <v>200000</v>
      </c>
      <c r="N59">
        <v>0</v>
      </c>
      <c r="O59">
        <v>68077238</v>
      </c>
      <c r="P59">
        <v>0</v>
      </c>
      <c r="Q59">
        <v>68077238</v>
      </c>
      <c r="R59">
        <v>-113661</v>
      </c>
      <c r="S59">
        <v>0</v>
      </c>
      <c r="T59">
        <v>-113661</v>
      </c>
      <c r="U59">
        <v>370458</v>
      </c>
      <c r="V59">
        <v>0</v>
      </c>
      <c r="W59">
        <v>370458</v>
      </c>
      <c r="X59">
        <v>256797</v>
      </c>
      <c r="Y59">
        <v>0</v>
      </c>
      <c r="Z59">
        <v>-15000</v>
      </c>
      <c r="AA59">
        <v>0</v>
      </c>
      <c r="AB59">
        <v>241797</v>
      </c>
      <c r="AC59">
        <v>0</v>
      </c>
      <c r="AD59">
        <v>241797</v>
      </c>
      <c r="AE59">
        <v>-241797</v>
      </c>
      <c r="AF59">
        <v>0</v>
      </c>
      <c r="AG59">
        <v>-241797</v>
      </c>
      <c r="AH59">
        <v>-4073034</v>
      </c>
      <c r="AI59">
        <v>0</v>
      </c>
      <c r="AJ59">
        <v>-4073034</v>
      </c>
      <c r="AK59">
        <v>0</v>
      </c>
      <c r="AL59">
        <v>0</v>
      </c>
      <c r="AM59">
        <v>0</v>
      </c>
      <c r="AN59">
        <v>1331350</v>
      </c>
      <c r="AO59">
        <v>0</v>
      </c>
      <c r="AP59">
        <v>1331350</v>
      </c>
      <c r="AQ59">
        <v>-2741684</v>
      </c>
      <c r="AR59">
        <v>0</v>
      </c>
      <c r="AS59">
        <v>-2741684</v>
      </c>
      <c r="AT59">
        <v>-4800574</v>
      </c>
      <c r="AU59">
        <v>0</v>
      </c>
      <c r="AV59">
        <v>-4800574</v>
      </c>
      <c r="AW59">
        <v>-52804</v>
      </c>
      <c r="AX59">
        <v>0</v>
      </c>
      <c r="AY59">
        <v>-52804</v>
      </c>
      <c r="AZ59">
        <v>0</v>
      </c>
      <c r="BA59">
        <v>0</v>
      </c>
      <c r="BB59">
        <v>0</v>
      </c>
      <c r="BC59">
        <v>0</v>
      </c>
      <c r="BD59">
        <v>0</v>
      </c>
      <c r="BE59">
        <v>0</v>
      </c>
      <c r="BF59">
        <v>-7595062</v>
      </c>
      <c r="BG59">
        <v>0</v>
      </c>
      <c r="BH59">
        <v>-75000</v>
      </c>
      <c r="BI59">
        <v>0</v>
      </c>
      <c r="BJ59">
        <v>-7670062</v>
      </c>
      <c r="BK59">
        <v>0</v>
      </c>
      <c r="BL59">
        <v>-7670062</v>
      </c>
      <c r="BM59">
        <v>-20000</v>
      </c>
      <c r="BN59">
        <v>0</v>
      </c>
      <c r="BO59">
        <v>-20000</v>
      </c>
      <c r="BP59">
        <v>-1419032</v>
      </c>
      <c r="BQ59">
        <v>0</v>
      </c>
      <c r="BR59">
        <v>-1419032</v>
      </c>
      <c r="BS59">
        <v>-1439032</v>
      </c>
      <c r="BT59">
        <v>0</v>
      </c>
      <c r="BU59">
        <v>-200000</v>
      </c>
      <c r="BV59">
        <v>0</v>
      </c>
      <c r="BW59">
        <v>-1639032</v>
      </c>
      <c r="BX59">
        <v>0</v>
      </c>
      <c r="BY59">
        <v>-1639032</v>
      </c>
      <c r="BZ59">
        <v>-21010</v>
      </c>
      <c r="CA59">
        <v>0</v>
      </c>
      <c r="CB59">
        <v>-21010</v>
      </c>
      <c r="CC59">
        <v>-32560</v>
      </c>
      <c r="CD59">
        <v>0</v>
      </c>
      <c r="CE59">
        <v>-32560</v>
      </c>
      <c r="CF59">
        <v>0</v>
      </c>
      <c r="CG59">
        <v>0</v>
      </c>
      <c r="CH59">
        <v>0</v>
      </c>
      <c r="CI59">
        <v>0</v>
      </c>
      <c r="CJ59">
        <v>0</v>
      </c>
      <c r="CK59">
        <v>0</v>
      </c>
      <c r="CL59">
        <v>0</v>
      </c>
      <c r="CM59">
        <v>0</v>
      </c>
      <c r="CN59">
        <v>0</v>
      </c>
      <c r="CO59">
        <v>0</v>
      </c>
      <c r="CP59">
        <v>0</v>
      </c>
      <c r="CQ59">
        <v>0</v>
      </c>
      <c r="CR59">
        <v>0</v>
      </c>
      <c r="CS59">
        <v>0</v>
      </c>
      <c r="CT59">
        <v>-53570</v>
      </c>
      <c r="CU59">
        <v>0</v>
      </c>
      <c r="CV59">
        <v>0</v>
      </c>
      <c r="CW59">
        <v>0</v>
      </c>
      <c r="CX59">
        <v>-53570</v>
      </c>
      <c r="CY59">
        <v>0</v>
      </c>
      <c r="CZ59">
        <v>-53570</v>
      </c>
      <c r="DA59">
        <v>0</v>
      </c>
      <c r="DB59">
        <v>0</v>
      </c>
      <c r="DC59">
        <v>0</v>
      </c>
      <c r="DD59">
        <v>-14138</v>
      </c>
      <c r="DE59">
        <v>0</v>
      </c>
      <c r="DF59">
        <v>-14138</v>
      </c>
      <c r="DG59">
        <v>-7736</v>
      </c>
      <c r="DH59">
        <v>0</v>
      </c>
      <c r="DI59">
        <v>-7736</v>
      </c>
      <c r="DJ59">
        <v>-989940</v>
      </c>
      <c r="DK59">
        <v>0</v>
      </c>
      <c r="DL59">
        <v>-989940</v>
      </c>
      <c r="DM59">
        <v>-1011814</v>
      </c>
      <c r="DN59">
        <v>0</v>
      </c>
      <c r="DO59">
        <v>-20000</v>
      </c>
      <c r="DP59">
        <v>0</v>
      </c>
      <c r="DQ59">
        <v>-1031814</v>
      </c>
      <c r="DR59">
        <v>0</v>
      </c>
      <c r="DS59">
        <v>-1031814</v>
      </c>
      <c r="DT59">
        <v>57924557</v>
      </c>
      <c r="DU59">
        <v>0</v>
      </c>
      <c r="DV59" s="661">
        <v>57924557</v>
      </c>
      <c r="DW59" t="s">
        <v>1711</v>
      </c>
    </row>
    <row r="60" spans="1:127" ht="12.75" x14ac:dyDescent="0.2">
      <c r="A60" s="605">
        <v>53</v>
      </c>
      <c r="B60" s="606" t="s">
        <v>777</v>
      </c>
      <c r="C60" s="607" t="s">
        <v>1185</v>
      </c>
      <c r="D60" s="608" t="s">
        <v>1186</v>
      </c>
      <c r="E60" s="609" t="s">
        <v>776</v>
      </c>
      <c r="G60">
        <v>231594491</v>
      </c>
      <c r="H60">
        <v>0</v>
      </c>
      <c r="I60">
        <v>231594491</v>
      </c>
      <c r="J60">
        <v>49.9</v>
      </c>
      <c r="K60">
        <v>115565651</v>
      </c>
      <c r="L60">
        <v>0</v>
      </c>
      <c r="M60">
        <v>-3626733</v>
      </c>
      <c r="N60">
        <v>0</v>
      </c>
      <c r="O60">
        <v>111938918</v>
      </c>
      <c r="P60">
        <v>0</v>
      </c>
      <c r="Q60">
        <v>111938918</v>
      </c>
      <c r="R60">
        <v>-726132</v>
      </c>
      <c r="S60">
        <v>0</v>
      </c>
      <c r="T60">
        <v>-726132</v>
      </c>
      <c r="U60">
        <v>221898</v>
      </c>
      <c r="V60">
        <v>0</v>
      </c>
      <c r="W60">
        <v>221898</v>
      </c>
      <c r="X60">
        <v>-504234</v>
      </c>
      <c r="Y60">
        <v>0</v>
      </c>
      <c r="Z60">
        <v>0</v>
      </c>
      <c r="AA60">
        <v>0</v>
      </c>
      <c r="AB60">
        <v>-504234</v>
      </c>
      <c r="AC60">
        <v>0</v>
      </c>
      <c r="AD60">
        <v>-504234</v>
      </c>
      <c r="AE60">
        <v>504234</v>
      </c>
      <c r="AF60">
        <v>0</v>
      </c>
      <c r="AG60">
        <v>504234</v>
      </c>
      <c r="AH60">
        <v>-4430537</v>
      </c>
      <c r="AI60">
        <v>0</v>
      </c>
      <c r="AJ60">
        <v>-4430537</v>
      </c>
      <c r="AK60">
        <v>0</v>
      </c>
      <c r="AL60">
        <v>0</v>
      </c>
      <c r="AM60">
        <v>0</v>
      </c>
      <c r="AN60">
        <v>2416919</v>
      </c>
      <c r="AO60">
        <v>0</v>
      </c>
      <c r="AP60">
        <v>2416919</v>
      </c>
      <c r="AQ60">
        <v>-2013618</v>
      </c>
      <c r="AR60">
        <v>0</v>
      </c>
      <c r="AS60">
        <v>-2013618</v>
      </c>
      <c r="AT60">
        <v>-4332287</v>
      </c>
      <c r="AU60">
        <v>0</v>
      </c>
      <c r="AV60">
        <v>-4332287</v>
      </c>
      <c r="AW60">
        <v>-50607</v>
      </c>
      <c r="AX60">
        <v>0</v>
      </c>
      <c r="AY60">
        <v>-50607</v>
      </c>
      <c r="AZ60">
        <v>0</v>
      </c>
      <c r="BA60">
        <v>0</v>
      </c>
      <c r="BB60">
        <v>0</v>
      </c>
      <c r="BC60">
        <v>0</v>
      </c>
      <c r="BD60">
        <v>0</v>
      </c>
      <c r="BE60">
        <v>0</v>
      </c>
      <c r="BF60">
        <v>-6396512</v>
      </c>
      <c r="BG60">
        <v>0</v>
      </c>
      <c r="BH60">
        <v>0</v>
      </c>
      <c r="BI60">
        <v>0</v>
      </c>
      <c r="BJ60">
        <v>-6396512</v>
      </c>
      <c r="BK60">
        <v>0</v>
      </c>
      <c r="BL60">
        <v>-6396512</v>
      </c>
      <c r="BM60">
        <v>0</v>
      </c>
      <c r="BN60">
        <v>0</v>
      </c>
      <c r="BO60">
        <v>0</v>
      </c>
      <c r="BP60">
        <v>-1203062</v>
      </c>
      <c r="BQ60">
        <v>0</v>
      </c>
      <c r="BR60">
        <v>-1203062</v>
      </c>
      <c r="BS60">
        <v>-1203062</v>
      </c>
      <c r="BT60">
        <v>0</v>
      </c>
      <c r="BU60">
        <v>-1020752</v>
      </c>
      <c r="BV60">
        <v>0</v>
      </c>
      <c r="BW60">
        <v>-2223814</v>
      </c>
      <c r="BX60">
        <v>0</v>
      </c>
      <c r="BY60">
        <v>-2223814</v>
      </c>
      <c r="BZ60">
        <v>-84040</v>
      </c>
      <c r="CA60">
        <v>0</v>
      </c>
      <c r="CB60">
        <v>-84040</v>
      </c>
      <c r="CC60">
        <v>-8109</v>
      </c>
      <c r="CD60">
        <v>0</v>
      </c>
      <c r="CE60">
        <v>-8109</v>
      </c>
      <c r="CF60">
        <v>-922</v>
      </c>
      <c r="CG60">
        <v>0</v>
      </c>
      <c r="CH60">
        <v>-922</v>
      </c>
      <c r="CI60">
        <v>0</v>
      </c>
      <c r="CJ60">
        <v>0</v>
      </c>
      <c r="CK60">
        <v>0</v>
      </c>
      <c r="CL60">
        <v>0</v>
      </c>
      <c r="CM60">
        <v>0</v>
      </c>
      <c r="CN60">
        <v>0</v>
      </c>
      <c r="CO60">
        <v>-5489</v>
      </c>
      <c r="CP60">
        <v>0</v>
      </c>
      <c r="CQ60">
        <v>-5489</v>
      </c>
      <c r="CR60">
        <v>0</v>
      </c>
      <c r="CS60">
        <v>0</v>
      </c>
      <c r="CT60">
        <v>-98560</v>
      </c>
      <c r="CU60">
        <v>0</v>
      </c>
      <c r="CV60">
        <v>0</v>
      </c>
      <c r="CW60">
        <v>0</v>
      </c>
      <c r="CX60">
        <v>-98560</v>
      </c>
      <c r="CY60">
        <v>0</v>
      </c>
      <c r="CZ60">
        <v>-98560</v>
      </c>
      <c r="DA60">
        <v>-60796</v>
      </c>
      <c r="DB60">
        <v>0</v>
      </c>
      <c r="DC60">
        <v>-60796</v>
      </c>
      <c r="DD60">
        <v>-49551</v>
      </c>
      <c r="DE60">
        <v>0</v>
      </c>
      <c r="DF60">
        <v>-49551</v>
      </c>
      <c r="DG60">
        <v>-21042</v>
      </c>
      <c r="DH60">
        <v>0</v>
      </c>
      <c r="DI60">
        <v>-21042</v>
      </c>
      <c r="DJ60">
        <v>-1045472</v>
      </c>
      <c r="DK60">
        <v>0</v>
      </c>
      <c r="DL60">
        <v>-1045472</v>
      </c>
      <c r="DM60">
        <v>-1176861</v>
      </c>
      <c r="DN60">
        <v>0</v>
      </c>
      <c r="DO60">
        <v>0</v>
      </c>
      <c r="DP60">
        <v>0</v>
      </c>
      <c r="DQ60">
        <v>-1176861</v>
      </c>
      <c r="DR60">
        <v>0</v>
      </c>
      <c r="DS60">
        <v>-1176861</v>
      </c>
      <c r="DT60">
        <v>101538937</v>
      </c>
      <c r="DU60">
        <v>0</v>
      </c>
      <c r="DV60" s="661">
        <v>101538937</v>
      </c>
      <c r="DW60" t="s">
        <v>1712</v>
      </c>
    </row>
    <row r="61" spans="1:127" ht="12.75" x14ac:dyDescent="0.2">
      <c r="A61" s="605">
        <v>54</v>
      </c>
      <c r="B61" s="606" t="s">
        <v>779</v>
      </c>
      <c r="C61" s="607" t="s">
        <v>524</v>
      </c>
      <c r="D61" s="608" t="s">
        <v>1187</v>
      </c>
      <c r="E61" s="609" t="s">
        <v>778</v>
      </c>
      <c r="G61">
        <v>348904061</v>
      </c>
      <c r="H61">
        <v>7107267</v>
      </c>
      <c r="I61">
        <v>356011328</v>
      </c>
      <c r="J61">
        <v>49.9</v>
      </c>
      <c r="K61">
        <v>174103126</v>
      </c>
      <c r="L61">
        <v>3546526</v>
      </c>
      <c r="M61">
        <v>2273600</v>
      </c>
      <c r="N61">
        <v>771800</v>
      </c>
      <c r="O61">
        <v>176376726</v>
      </c>
      <c r="P61">
        <v>4318326</v>
      </c>
      <c r="Q61">
        <v>180695052</v>
      </c>
      <c r="R61">
        <v>-736707</v>
      </c>
      <c r="S61">
        <v>-20490</v>
      </c>
      <c r="T61">
        <v>-757197</v>
      </c>
      <c r="U61">
        <v>1478490</v>
      </c>
      <c r="V61">
        <v>0</v>
      </c>
      <c r="W61">
        <v>1478490</v>
      </c>
      <c r="X61">
        <v>741783</v>
      </c>
      <c r="Y61">
        <v>-20490</v>
      </c>
      <c r="Z61">
        <v>0</v>
      </c>
      <c r="AA61">
        <v>0</v>
      </c>
      <c r="AB61">
        <v>741783</v>
      </c>
      <c r="AC61">
        <v>-20490</v>
      </c>
      <c r="AD61">
        <v>721293</v>
      </c>
      <c r="AE61">
        <v>-741783</v>
      </c>
      <c r="AF61">
        <v>20490</v>
      </c>
      <c r="AG61">
        <v>-721293</v>
      </c>
      <c r="AH61">
        <v>-15909905</v>
      </c>
      <c r="AI61">
        <v>-27232</v>
      </c>
      <c r="AJ61">
        <v>-15937137</v>
      </c>
      <c r="AK61">
        <v>-68383</v>
      </c>
      <c r="AL61">
        <v>0</v>
      </c>
      <c r="AM61">
        <v>-68383</v>
      </c>
      <c r="AN61">
        <v>3049092</v>
      </c>
      <c r="AO61">
        <v>77437</v>
      </c>
      <c r="AP61">
        <v>3126529</v>
      </c>
      <c r="AQ61">
        <v>-12860813</v>
      </c>
      <c r="AR61">
        <v>50205</v>
      </c>
      <c r="AS61">
        <v>-12810608</v>
      </c>
      <c r="AT61">
        <v>-8917563</v>
      </c>
      <c r="AU61">
        <v>-273547</v>
      </c>
      <c r="AV61">
        <v>-9191110</v>
      </c>
      <c r="AW61">
        <v>-145337</v>
      </c>
      <c r="AX61">
        <v>0</v>
      </c>
      <c r="AY61">
        <v>-145337</v>
      </c>
      <c r="AZ61">
        <v>-14632</v>
      </c>
      <c r="BA61">
        <v>0</v>
      </c>
      <c r="BB61">
        <v>-14632</v>
      </c>
      <c r="BC61">
        <v>0</v>
      </c>
      <c r="BD61">
        <v>0</v>
      </c>
      <c r="BE61">
        <v>0</v>
      </c>
      <c r="BF61">
        <v>-21938345</v>
      </c>
      <c r="BG61">
        <v>-223342</v>
      </c>
      <c r="BH61">
        <v>-1677321</v>
      </c>
      <c r="BI61">
        <v>-136774</v>
      </c>
      <c r="BJ61">
        <v>-23615666</v>
      </c>
      <c r="BK61">
        <v>-360116</v>
      </c>
      <c r="BL61">
        <v>-23975782</v>
      </c>
      <c r="BM61">
        <v>-57152</v>
      </c>
      <c r="BN61">
        <v>0</v>
      </c>
      <c r="BO61">
        <v>-57152</v>
      </c>
      <c r="BP61">
        <v>-3327414</v>
      </c>
      <c r="BQ61">
        <v>-403134</v>
      </c>
      <c r="BR61">
        <v>-3730548</v>
      </c>
      <c r="BS61">
        <v>-3384566</v>
      </c>
      <c r="BT61">
        <v>-403134</v>
      </c>
      <c r="BU61">
        <v>-235573</v>
      </c>
      <c r="BV61">
        <v>-154116</v>
      </c>
      <c r="BW61">
        <v>-3620139</v>
      </c>
      <c r="BX61">
        <v>-557250</v>
      </c>
      <c r="BY61">
        <v>-4177389</v>
      </c>
      <c r="BZ61">
        <v>-243627</v>
      </c>
      <c r="CA61">
        <v>-122</v>
      </c>
      <c r="CB61">
        <v>-243749</v>
      </c>
      <c r="CC61">
        <v>-75318</v>
      </c>
      <c r="CD61">
        <v>0</v>
      </c>
      <c r="CE61">
        <v>-75318</v>
      </c>
      <c r="CF61">
        <v>-6503</v>
      </c>
      <c r="CG61">
        <v>0</v>
      </c>
      <c r="CH61">
        <v>-6503</v>
      </c>
      <c r="CI61">
        <v>0</v>
      </c>
      <c r="CJ61">
        <v>0</v>
      </c>
      <c r="CK61">
        <v>0</v>
      </c>
      <c r="CL61">
        <v>-7184</v>
      </c>
      <c r="CM61">
        <v>0</v>
      </c>
      <c r="CN61">
        <v>-7184</v>
      </c>
      <c r="CO61">
        <v>0</v>
      </c>
      <c r="CP61">
        <v>-356784</v>
      </c>
      <c r="CQ61">
        <v>-356784</v>
      </c>
      <c r="CR61">
        <v>-356784</v>
      </c>
      <c r="CS61">
        <v>0</v>
      </c>
      <c r="CT61">
        <v>-332632</v>
      </c>
      <c r="CU61">
        <v>-356906</v>
      </c>
      <c r="CV61">
        <v>-11775</v>
      </c>
      <c r="CW61">
        <v>-88521</v>
      </c>
      <c r="CX61">
        <v>-344407</v>
      </c>
      <c r="CY61">
        <v>-445427</v>
      </c>
      <c r="CZ61">
        <v>-789834</v>
      </c>
      <c r="DA61">
        <v>-14632</v>
      </c>
      <c r="DB61">
        <v>0</v>
      </c>
      <c r="DC61">
        <v>-14632</v>
      </c>
      <c r="DD61">
        <v>-92584</v>
      </c>
      <c r="DE61">
        <v>0</v>
      </c>
      <c r="DF61">
        <v>-92584</v>
      </c>
      <c r="DG61">
        <v>-21615</v>
      </c>
      <c r="DH61">
        <v>0</v>
      </c>
      <c r="DI61">
        <v>-21615</v>
      </c>
      <c r="DJ61">
        <v>-2749584</v>
      </c>
      <c r="DK61">
        <v>0</v>
      </c>
      <c r="DL61">
        <v>-2749584</v>
      </c>
      <c r="DM61">
        <v>-2878415</v>
      </c>
      <c r="DN61">
        <v>0</v>
      </c>
      <c r="DO61">
        <v>-1507792</v>
      </c>
      <c r="DP61">
        <v>0</v>
      </c>
      <c r="DQ61">
        <v>-4386207</v>
      </c>
      <c r="DR61">
        <v>0</v>
      </c>
      <c r="DS61">
        <v>-4386207</v>
      </c>
      <c r="DT61">
        <v>145152090</v>
      </c>
      <c r="DU61">
        <v>2935043</v>
      </c>
      <c r="DV61" s="661">
        <v>148087133</v>
      </c>
      <c r="DW61" t="s">
        <v>1713</v>
      </c>
    </row>
    <row r="62" spans="1:127" ht="12.75" x14ac:dyDescent="0.2">
      <c r="A62" s="605">
        <v>55</v>
      </c>
      <c r="B62" s="606" t="s">
        <v>780</v>
      </c>
      <c r="C62" s="607" t="s">
        <v>524</v>
      </c>
      <c r="D62" s="608" t="s">
        <v>1187</v>
      </c>
      <c r="E62" s="609" t="s">
        <v>546</v>
      </c>
      <c r="G62">
        <v>384780685</v>
      </c>
      <c r="H62">
        <v>892750</v>
      </c>
      <c r="I62">
        <v>385673435</v>
      </c>
      <c r="J62">
        <v>49.9</v>
      </c>
      <c r="K62">
        <v>192005562</v>
      </c>
      <c r="L62">
        <v>445482</v>
      </c>
      <c r="M62">
        <v>-2000000</v>
      </c>
      <c r="N62">
        <v>0</v>
      </c>
      <c r="O62">
        <v>190005562</v>
      </c>
      <c r="P62">
        <v>445482</v>
      </c>
      <c r="Q62">
        <v>190451044</v>
      </c>
      <c r="R62">
        <v>-700000</v>
      </c>
      <c r="S62">
        <v>0</v>
      </c>
      <c r="T62">
        <v>-700000</v>
      </c>
      <c r="U62">
        <v>7000000</v>
      </c>
      <c r="V62">
        <v>0</v>
      </c>
      <c r="W62">
        <v>7000000</v>
      </c>
      <c r="X62">
        <v>6300000</v>
      </c>
      <c r="Y62">
        <v>0</v>
      </c>
      <c r="Z62">
        <v>0</v>
      </c>
      <c r="AA62">
        <v>0</v>
      </c>
      <c r="AB62">
        <v>6300000</v>
      </c>
      <c r="AC62">
        <v>0</v>
      </c>
      <c r="AD62">
        <v>6300000</v>
      </c>
      <c r="AE62">
        <v>-6300000</v>
      </c>
      <c r="AF62">
        <v>0</v>
      </c>
      <c r="AG62">
        <v>-6300000</v>
      </c>
      <c r="AH62">
        <v>-12000000</v>
      </c>
      <c r="AI62">
        <v>0</v>
      </c>
      <c r="AJ62">
        <v>-12000000</v>
      </c>
      <c r="AK62">
        <v>-55000</v>
      </c>
      <c r="AL62">
        <v>0</v>
      </c>
      <c r="AM62">
        <v>-55000</v>
      </c>
      <c r="AN62">
        <v>3875223</v>
      </c>
      <c r="AO62">
        <v>10257</v>
      </c>
      <c r="AP62">
        <v>3885480</v>
      </c>
      <c r="AQ62">
        <v>-8124777</v>
      </c>
      <c r="AR62">
        <v>10257</v>
      </c>
      <c r="AS62">
        <v>-8114520</v>
      </c>
      <c r="AT62">
        <v>-10920000</v>
      </c>
      <c r="AU62">
        <v>0</v>
      </c>
      <c r="AV62">
        <v>-10920000</v>
      </c>
      <c r="AW62">
        <v>-75000</v>
      </c>
      <c r="AX62">
        <v>0</v>
      </c>
      <c r="AY62">
        <v>-75000</v>
      </c>
      <c r="AZ62">
        <v>-5000</v>
      </c>
      <c r="BA62">
        <v>0</v>
      </c>
      <c r="BB62">
        <v>-5000</v>
      </c>
      <c r="BC62">
        <v>0</v>
      </c>
      <c r="BD62">
        <v>0</v>
      </c>
      <c r="BE62">
        <v>0</v>
      </c>
      <c r="BF62">
        <v>-19124777</v>
      </c>
      <c r="BG62">
        <v>10257</v>
      </c>
      <c r="BH62">
        <v>0</v>
      </c>
      <c r="BI62">
        <v>0</v>
      </c>
      <c r="BJ62">
        <v>-19124777</v>
      </c>
      <c r="BK62">
        <v>10257</v>
      </c>
      <c r="BL62">
        <v>-19114520</v>
      </c>
      <c r="BM62">
        <v>-200000</v>
      </c>
      <c r="BN62">
        <v>0</v>
      </c>
      <c r="BO62">
        <v>-200000</v>
      </c>
      <c r="BP62">
        <v>-7500000</v>
      </c>
      <c r="BQ62">
        <v>0</v>
      </c>
      <c r="BR62">
        <v>-7500000</v>
      </c>
      <c r="BS62">
        <v>-7700000</v>
      </c>
      <c r="BT62">
        <v>0</v>
      </c>
      <c r="BU62">
        <v>0</v>
      </c>
      <c r="BV62">
        <v>0</v>
      </c>
      <c r="BW62">
        <v>-7700000</v>
      </c>
      <c r="BX62">
        <v>0</v>
      </c>
      <c r="BY62">
        <v>-7700000</v>
      </c>
      <c r="BZ62">
        <v>-1246000</v>
      </c>
      <c r="CA62">
        <v>0</v>
      </c>
      <c r="CB62">
        <v>-1246000</v>
      </c>
      <c r="CC62">
        <v>-1360000</v>
      </c>
      <c r="CD62">
        <v>0</v>
      </c>
      <c r="CE62">
        <v>-1360000</v>
      </c>
      <c r="CF62">
        <v>-16000</v>
      </c>
      <c r="CG62">
        <v>0</v>
      </c>
      <c r="CH62">
        <v>-16000</v>
      </c>
      <c r="CI62">
        <v>-5000</v>
      </c>
      <c r="CJ62">
        <v>0</v>
      </c>
      <c r="CK62">
        <v>-5000</v>
      </c>
      <c r="CL62">
        <v>-15000</v>
      </c>
      <c r="CM62">
        <v>0</v>
      </c>
      <c r="CN62">
        <v>-15000</v>
      </c>
      <c r="CO62">
        <v>-300000</v>
      </c>
      <c r="CP62">
        <v>-252146</v>
      </c>
      <c r="CQ62">
        <v>-552146</v>
      </c>
      <c r="CR62">
        <v>-252146</v>
      </c>
      <c r="CS62">
        <v>0</v>
      </c>
      <c r="CT62">
        <v>-2942000</v>
      </c>
      <c r="CU62">
        <v>-252146</v>
      </c>
      <c r="CV62">
        <v>0</v>
      </c>
      <c r="CW62">
        <v>0</v>
      </c>
      <c r="CX62">
        <v>-2942000</v>
      </c>
      <c r="CY62">
        <v>-252146</v>
      </c>
      <c r="CZ62">
        <v>-3194146</v>
      </c>
      <c r="DA62">
        <v>0</v>
      </c>
      <c r="DB62">
        <v>0</v>
      </c>
      <c r="DC62">
        <v>0</v>
      </c>
      <c r="DD62">
        <v>-60000</v>
      </c>
      <c r="DE62">
        <v>0</v>
      </c>
      <c r="DF62">
        <v>-60000</v>
      </c>
      <c r="DG62">
        <v>-25816</v>
      </c>
      <c r="DH62">
        <v>0</v>
      </c>
      <c r="DI62">
        <v>-25816</v>
      </c>
      <c r="DJ62">
        <v>-4300000</v>
      </c>
      <c r="DK62">
        <v>0</v>
      </c>
      <c r="DL62">
        <v>-4300000</v>
      </c>
      <c r="DM62">
        <v>-4385816</v>
      </c>
      <c r="DN62">
        <v>0</v>
      </c>
      <c r="DO62">
        <v>0</v>
      </c>
      <c r="DP62">
        <v>0</v>
      </c>
      <c r="DQ62">
        <v>-4385816</v>
      </c>
      <c r="DR62">
        <v>0</v>
      </c>
      <c r="DS62">
        <v>-4385816</v>
      </c>
      <c r="DT62">
        <v>162152969</v>
      </c>
      <c r="DU62">
        <v>203593</v>
      </c>
      <c r="DV62" s="661">
        <v>162356562</v>
      </c>
      <c r="DW62" t="s">
        <v>1714</v>
      </c>
    </row>
    <row r="63" spans="1:127" ht="12.75" x14ac:dyDescent="0.2">
      <c r="A63" s="605">
        <v>56</v>
      </c>
      <c r="B63" s="606" t="s">
        <v>782</v>
      </c>
      <c r="C63" s="607" t="s">
        <v>1185</v>
      </c>
      <c r="D63" s="608" t="s">
        <v>1188</v>
      </c>
      <c r="E63" s="609" t="s">
        <v>781</v>
      </c>
      <c r="G63">
        <v>99049931</v>
      </c>
      <c r="H63">
        <v>3734750</v>
      </c>
      <c r="I63">
        <v>102784681</v>
      </c>
      <c r="J63">
        <v>49.9</v>
      </c>
      <c r="K63">
        <v>49425916</v>
      </c>
      <c r="L63">
        <v>1863640</v>
      </c>
      <c r="M63">
        <v>117825</v>
      </c>
      <c r="N63">
        <v>7485</v>
      </c>
      <c r="O63">
        <v>49543741</v>
      </c>
      <c r="P63">
        <v>1871125</v>
      </c>
      <c r="Q63">
        <v>51414866</v>
      </c>
      <c r="R63">
        <v>-139992</v>
      </c>
      <c r="S63">
        <v>0</v>
      </c>
      <c r="T63">
        <v>-139992</v>
      </c>
      <c r="U63">
        <v>280457</v>
      </c>
      <c r="V63">
        <v>0</v>
      </c>
      <c r="W63">
        <v>280457</v>
      </c>
      <c r="X63">
        <v>140465</v>
      </c>
      <c r="Y63">
        <v>0</v>
      </c>
      <c r="Z63">
        <v>0</v>
      </c>
      <c r="AA63">
        <v>0</v>
      </c>
      <c r="AB63">
        <v>140465</v>
      </c>
      <c r="AC63">
        <v>0</v>
      </c>
      <c r="AD63">
        <v>140465</v>
      </c>
      <c r="AE63">
        <v>-140465</v>
      </c>
      <c r="AF63">
        <v>0</v>
      </c>
      <c r="AG63">
        <v>-140465</v>
      </c>
      <c r="AH63">
        <v>-4883066</v>
      </c>
      <c r="AI63">
        <v>0</v>
      </c>
      <c r="AJ63">
        <v>-4883066</v>
      </c>
      <c r="AK63">
        <v>-5439</v>
      </c>
      <c r="AL63">
        <v>0</v>
      </c>
      <c r="AM63">
        <v>-5439</v>
      </c>
      <c r="AN63">
        <v>836409</v>
      </c>
      <c r="AO63">
        <v>48512</v>
      </c>
      <c r="AP63">
        <v>884921</v>
      </c>
      <c r="AQ63">
        <v>-4046657</v>
      </c>
      <c r="AR63">
        <v>48512</v>
      </c>
      <c r="AS63">
        <v>-3998145</v>
      </c>
      <c r="AT63">
        <v>-2200645</v>
      </c>
      <c r="AU63">
        <v>0</v>
      </c>
      <c r="AV63">
        <v>-2200645</v>
      </c>
      <c r="AW63">
        <v>-43489</v>
      </c>
      <c r="AX63">
        <v>0</v>
      </c>
      <c r="AY63">
        <v>-43489</v>
      </c>
      <c r="AZ63">
        <v>-2970</v>
      </c>
      <c r="BA63">
        <v>0</v>
      </c>
      <c r="BB63">
        <v>-2970</v>
      </c>
      <c r="BC63">
        <v>0</v>
      </c>
      <c r="BD63">
        <v>0</v>
      </c>
      <c r="BE63">
        <v>0</v>
      </c>
      <c r="BF63">
        <v>-6293761</v>
      </c>
      <c r="BG63">
        <v>48512</v>
      </c>
      <c r="BH63">
        <v>-17959</v>
      </c>
      <c r="BI63">
        <v>195</v>
      </c>
      <c r="BJ63">
        <v>-6311720</v>
      </c>
      <c r="BK63">
        <v>48707</v>
      </c>
      <c r="BL63">
        <v>-6263013</v>
      </c>
      <c r="BM63">
        <v>0</v>
      </c>
      <c r="BN63">
        <v>0</v>
      </c>
      <c r="BO63">
        <v>0</v>
      </c>
      <c r="BP63">
        <v>-1803870</v>
      </c>
      <c r="BQ63">
        <v>0</v>
      </c>
      <c r="BR63">
        <v>-1803870</v>
      </c>
      <c r="BS63">
        <v>-1803870</v>
      </c>
      <c r="BT63">
        <v>0</v>
      </c>
      <c r="BU63">
        <v>-49178</v>
      </c>
      <c r="BV63">
        <v>0</v>
      </c>
      <c r="BW63">
        <v>-1853048</v>
      </c>
      <c r="BX63">
        <v>0</v>
      </c>
      <c r="BY63">
        <v>-1853048</v>
      </c>
      <c r="BZ63">
        <v>-51166</v>
      </c>
      <c r="CA63">
        <v>0</v>
      </c>
      <c r="CB63">
        <v>-51166</v>
      </c>
      <c r="CC63">
        <v>-51838</v>
      </c>
      <c r="CD63">
        <v>0</v>
      </c>
      <c r="CE63">
        <v>-51838</v>
      </c>
      <c r="CF63">
        <v>-95</v>
      </c>
      <c r="CG63">
        <v>0</v>
      </c>
      <c r="CH63">
        <v>-95</v>
      </c>
      <c r="CI63">
        <v>0</v>
      </c>
      <c r="CJ63">
        <v>0</v>
      </c>
      <c r="CK63">
        <v>0</v>
      </c>
      <c r="CL63">
        <v>0</v>
      </c>
      <c r="CM63">
        <v>0</v>
      </c>
      <c r="CN63">
        <v>0</v>
      </c>
      <c r="CO63">
        <v>0</v>
      </c>
      <c r="CP63">
        <v>0</v>
      </c>
      <c r="CQ63">
        <v>0</v>
      </c>
      <c r="CR63">
        <v>0</v>
      </c>
      <c r="CS63">
        <v>0</v>
      </c>
      <c r="CT63">
        <v>-103099</v>
      </c>
      <c r="CU63">
        <v>0</v>
      </c>
      <c r="CV63">
        <v>-150</v>
      </c>
      <c r="CW63">
        <v>0</v>
      </c>
      <c r="CX63">
        <v>-103249</v>
      </c>
      <c r="CY63">
        <v>0</v>
      </c>
      <c r="CZ63">
        <v>-103249</v>
      </c>
      <c r="DA63">
        <v>-2970</v>
      </c>
      <c r="DB63">
        <v>0</v>
      </c>
      <c r="DC63">
        <v>-2970</v>
      </c>
      <c r="DD63">
        <v>-13490</v>
      </c>
      <c r="DE63">
        <v>0</v>
      </c>
      <c r="DF63">
        <v>-13490</v>
      </c>
      <c r="DG63">
        <v>-8942</v>
      </c>
      <c r="DH63">
        <v>0</v>
      </c>
      <c r="DI63">
        <v>-8942</v>
      </c>
      <c r="DJ63">
        <v>-1042366</v>
      </c>
      <c r="DK63">
        <v>0</v>
      </c>
      <c r="DL63">
        <v>-1042366</v>
      </c>
      <c r="DM63">
        <v>-1067768</v>
      </c>
      <c r="DN63">
        <v>0</v>
      </c>
      <c r="DO63">
        <v>0</v>
      </c>
      <c r="DP63">
        <v>0</v>
      </c>
      <c r="DQ63">
        <v>-1067768</v>
      </c>
      <c r="DR63">
        <v>0</v>
      </c>
      <c r="DS63">
        <v>-1067768</v>
      </c>
      <c r="DT63">
        <v>40348421</v>
      </c>
      <c r="DU63">
        <v>1919832</v>
      </c>
      <c r="DV63" s="661">
        <v>42268253</v>
      </c>
      <c r="DW63" t="s">
        <v>1715</v>
      </c>
    </row>
    <row r="64" spans="1:127" ht="12.75" x14ac:dyDescent="0.2">
      <c r="A64" s="605">
        <v>57</v>
      </c>
      <c r="B64" s="606" t="s">
        <v>784</v>
      </c>
      <c r="C64" s="607" t="s">
        <v>1185</v>
      </c>
      <c r="D64" s="608" t="s">
        <v>1186</v>
      </c>
      <c r="E64" s="609" t="s">
        <v>783</v>
      </c>
      <c r="G64">
        <v>129780368</v>
      </c>
      <c r="H64">
        <v>0</v>
      </c>
      <c r="I64">
        <v>129780368</v>
      </c>
      <c r="J64">
        <v>49.9</v>
      </c>
      <c r="K64">
        <v>64760404</v>
      </c>
      <c r="L64">
        <v>0</v>
      </c>
      <c r="M64">
        <v>395000</v>
      </c>
      <c r="N64">
        <v>0</v>
      </c>
      <c r="O64">
        <v>65155404</v>
      </c>
      <c r="P64">
        <v>0</v>
      </c>
      <c r="Q64">
        <v>65155404</v>
      </c>
      <c r="R64">
        <v>-416020</v>
      </c>
      <c r="S64">
        <v>0</v>
      </c>
      <c r="T64">
        <v>-416020</v>
      </c>
      <c r="U64">
        <v>50796</v>
      </c>
      <c r="V64">
        <v>0</v>
      </c>
      <c r="W64">
        <v>50796</v>
      </c>
      <c r="X64">
        <v>-365224</v>
      </c>
      <c r="Y64">
        <v>0</v>
      </c>
      <c r="Z64">
        <v>0</v>
      </c>
      <c r="AA64">
        <v>0</v>
      </c>
      <c r="AB64">
        <v>-365224</v>
      </c>
      <c r="AC64">
        <v>0</v>
      </c>
      <c r="AD64">
        <v>-365224</v>
      </c>
      <c r="AE64">
        <v>365224</v>
      </c>
      <c r="AF64">
        <v>0</v>
      </c>
      <c r="AG64">
        <v>365224</v>
      </c>
      <c r="AH64">
        <v>-6036686</v>
      </c>
      <c r="AI64">
        <v>0</v>
      </c>
      <c r="AJ64">
        <v>-6036686</v>
      </c>
      <c r="AK64">
        <v>-17250</v>
      </c>
      <c r="AL64">
        <v>0</v>
      </c>
      <c r="AM64">
        <v>-17250</v>
      </c>
      <c r="AN64">
        <v>1159260</v>
      </c>
      <c r="AO64">
        <v>0</v>
      </c>
      <c r="AP64">
        <v>1159260</v>
      </c>
      <c r="AQ64">
        <v>-4877426</v>
      </c>
      <c r="AR64">
        <v>0</v>
      </c>
      <c r="AS64">
        <v>-4877426</v>
      </c>
      <c r="AT64">
        <v>-5324801</v>
      </c>
      <c r="AU64">
        <v>0</v>
      </c>
      <c r="AV64">
        <v>-5324801</v>
      </c>
      <c r="AW64">
        <v>-43000</v>
      </c>
      <c r="AX64">
        <v>0</v>
      </c>
      <c r="AY64">
        <v>-43000</v>
      </c>
      <c r="AZ64">
        <v>-20000</v>
      </c>
      <c r="BA64">
        <v>0</v>
      </c>
      <c r="BB64">
        <v>-20000</v>
      </c>
      <c r="BC64">
        <v>0</v>
      </c>
      <c r="BD64">
        <v>0</v>
      </c>
      <c r="BE64">
        <v>0</v>
      </c>
      <c r="BF64">
        <v>-10265227</v>
      </c>
      <c r="BG64">
        <v>0</v>
      </c>
      <c r="BH64">
        <v>-800000</v>
      </c>
      <c r="BI64">
        <v>0</v>
      </c>
      <c r="BJ64">
        <v>-11065227</v>
      </c>
      <c r="BK64">
        <v>0</v>
      </c>
      <c r="BL64">
        <v>-11065227</v>
      </c>
      <c r="BM64">
        <v>-51000</v>
      </c>
      <c r="BN64">
        <v>0</v>
      </c>
      <c r="BO64">
        <v>-51000</v>
      </c>
      <c r="BP64">
        <v>-1507228</v>
      </c>
      <c r="BQ64">
        <v>0</v>
      </c>
      <c r="BR64">
        <v>-1507228</v>
      </c>
      <c r="BS64">
        <v>-1558228</v>
      </c>
      <c r="BT64">
        <v>0</v>
      </c>
      <c r="BU64">
        <v>-875000</v>
      </c>
      <c r="BV64">
        <v>0</v>
      </c>
      <c r="BW64">
        <v>-2433228</v>
      </c>
      <c r="BX64">
        <v>0</v>
      </c>
      <c r="BY64">
        <v>-2433228</v>
      </c>
      <c r="BZ64">
        <v>-5000</v>
      </c>
      <c r="CA64">
        <v>0</v>
      </c>
      <c r="CB64">
        <v>-5000</v>
      </c>
      <c r="CC64">
        <v>-5000</v>
      </c>
      <c r="CD64">
        <v>0</v>
      </c>
      <c r="CE64">
        <v>-5000</v>
      </c>
      <c r="CF64">
        <v>-5000</v>
      </c>
      <c r="CG64">
        <v>0</v>
      </c>
      <c r="CH64">
        <v>-5000</v>
      </c>
      <c r="CI64">
        <v>0</v>
      </c>
      <c r="CJ64">
        <v>0</v>
      </c>
      <c r="CK64">
        <v>0</v>
      </c>
      <c r="CL64">
        <v>-5000</v>
      </c>
      <c r="CM64">
        <v>0</v>
      </c>
      <c r="CN64">
        <v>-5000</v>
      </c>
      <c r="CO64">
        <v>-5000</v>
      </c>
      <c r="CP64">
        <v>0</v>
      </c>
      <c r="CQ64">
        <v>-5000</v>
      </c>
      <c r="CR64">
        <v>0</v>
      </c>
      <c r="CS64">
        <v>0</v>
      </c>
      <c r="CT64">
        <v>-25000</v>
      </c>
      <c r="CU64">
        <v>0</v>
      </c>
      <c r="CV64">
        <v>0</v>
      </c>
      <c r="CW64">
        <v>0</v>
      </c>
      <c r="CX64">
        <v>-25000</v>
      </c>
      <c r="CY64">
        <v>0</v>
      </c>
      <c r="CZ64">
        <v>-25000</v>
      </c>
      <c r="DA64">
        <v>-20000</v>
      </c>
      <c r="DB64">
        <v>0</v>
      </c>
      <c r="DC64">
        <v>-20000</v>
      </c>
      <c r="DD64">
        <v>-67327</v>
      </c>
      <c r="DE64">
        <v>0</v>
      </c>
      <c r="DF64">
        <v>-67327</v>
      </c>
      <c r="DG64">
        <v>-13000</v>
      </c>
      <c r="DH64">
        <v>0</v>
      </c>
      <c r="DI64">
        <v>-13000</v>
      </c>
      <c r="DJ64">
        <v>-1492000</v>
      </c>
      <c r="DK64">
        <v>0</v>
      </c>
      <c r="DL64">
        <v>-1492000</v>
      </c>
      <c r="DM64">
        <v>-1592327</v>
      </c>
      <c r="DN64">
        <v>0</v>
      </c>
      <c r="DO64">
        <v>-61000</v>
      </c>
      <c r="DP64">
        <v>0</v>
      </c>
      <c r="DQ64">
        <v>-1653327</v>
      </c>
      <c r="DR64">
        <v>0</v>
      </c>
      <c r="DS64">
        <v>-1653327</v>
      </c>
      <c r="DT64">
        <v>49613398</v>
      </c>
      <c r="DU64">
        <v>0</v>
      </c>
      <c r="DV64" s="661">
        <v>49613398</v>
      </c>
      <c r="DW64" t="s">
        <v>1716</v>
      </c>
    </row>
    <row r="65" spans="1:127" ht="12.75" x14ac:dyDescent="0.2">
      <c r="A65" s="605">
        <v>58</v>
      </c>
      <c r="B65" s="606" t="s">
        <v>788</v>
      </c>
      <c r="C65" s="607" t="s">
        <v>1185</v>
      </c>
      <c r="D65" s="608" t="s">
        <v>1187</v>
      </c>
      <c r="E65" s="609" t="s">
        <v>787</v>
      </c>
      <c r="G65">
        <v>67500147</v>
      </c>
      <c r="H65">
        <v>0</v>
      </c>
      <c r="I65">
        <v>67500147</v>
      </c>
      <c r="J65">
        <v>49.9</v>
      </c>
      <c r="K65">
        <v>33682573</v>
      </c>
      <c r="L65">
        <v>0</v>
      </c>
      <c r="M65">
        <v>0</v>
      </c>
      <c r="N65">
        <v>0</v>
      </c>
      <c r="O65">
        <v>33682573</v>
      </c>
      <c r="P65">
        <v>0</v>
      </c>
      <c r="Q65">
        <v>33682573</v>
      </c>
      <c r="R65">
        <v>-111882</v>
      </c>
      <c r="S65">
        <v>0</v>
      </c>
      <c r="T65">
        <v>-111882</v>
      </c>
      <c r="U65">
        <v>187523</v>
      </c>
      <c r="V65">
        <v>0</v>
      </c>
      <c r="W65">
        <v>187523</v>
      </c>
      <c r="X65">
        <v>75641</v>
      </c>
      <c r="Y65">
        <v>0</v>
      </c>
      <c r="Z65">
        <v>0</v>
      </c>
      <c r="AA65">
        <v>0</v>
      </c>
      <c r="AB65">
        <v>75641</v>
      </c>
      <c r="AC65">
        <v>0</v>
      </c>
      <c r="AD65">
        <v>75641</v>
      </c>
      <c r="AE65">
        <v>-75641</v>
      </c>
      <c r="AF65">
        <v>0</v>
      </c>
      <c r="AG65">
        <v>-75641</v>
      </c>
      <c r="AH65">
        <v>-3789022</v>
      </c>
      <c r="AI65">
        <v>0</v>
      </c>
      <c r="AJ65">
        <v>-3789022</v>
      </c>
      <c r="AK65">
        <v>0</v>
      </c>
      <c r="AL65">
        <v>0</v>
      </c>
      <c r="AM65">
        <v>0</v>
      </c>
      <c r="AN65">
        <v>566399</v>
      </c>
      <c r="AO65">
        <v>0</v>
      </c>
      <c r="AP65">
        <v>566399</v>
      </c>
      <c r="AQ65">
        <v>-3222623</v>
      </c>
      <c r="AR65">
        <v>0</v>
      </c>
      <c r="AS65">
        <v>-3222623</v>
      </c>
      <c r="AT65">
        <v>-2405960</v>
      </c>
      <c r="AU65">
        <v>0</v>
      </c>
      <c r="AV65">
        <v>-2405960</v>
      </c>
      <c r="AW65">
        <v>-31299</v>
      </c>
      <c r="AX65">
        <v>0</v>
      </c>
      <c r="AY65">
        <v>-31299</v>
      </c>
      <c r="AZ65">
        <v>-4736</v>
      </c>
      <c r="BA65">
        <v>0</v>
      </c>
      <c r="BB65">
        <v>-4736</v>
      </c>
      <c r="BC65">
        <v>0</v>
      </c>
      <c r="BD65">
        <v>0</v>
      </c>
      <c r="BE65">
        <v>0</v>
      </c>
      <c r="BF65">
        <v>-5664618</v>
      </c>
      <c r="BG65">
        <v>0</v>
      </c>
      <c r="BH65">
        <v>0</v>
      </c>
      <c r="BI65">
        <v>0</v>
      </c>
      <c r="BJ65">
        <v>-5664618</v>
      </c>
      <c r="BK65">
        <v>0</v>
      </c>
      <c r="BL65">
        <v>-5664618</v>
      </c>
      <c r="BM65">
        <v>-25000</v>
      </c>
      <c r="BN65">
        <v>0</v>
      </c>
      <c r="BO65">
        <v>-25000</v>
      </c>
      <c r="BP65">
        <v>-740753</v>
      </c>
      <c r="BQ65">
        <v>0</v>
      </c>
      <c r="BR65">
        <v>-740753</v>
      </c>
      <c r="BS65">
        <v>-765753</v>
      </c>
      <c r="BT65">
        <v>0</v>
      </c>
      <c r="BU65">
        <v>0</v>
      </c>
      <c r="BV65">
        <v>0</v>
      </c>
      <c r="BW65">
        <v>-765753</v>
      </c>
      <c r="BX65">
        <v>0</v>
      </c>
      <c r="BY65">
        <v>-765753</v>
      </c>
      <c r="BZ65">
        <v>-13289</v>
      </c>
      <c r="CA65">
        <v>0</v>
      </c>
      <c r="CB65">
        <v>-13289</v>
      </c>
      <c r="CC65">
        <v>0</v>
      </c>
      <c r="CD65">
        <v>0</v>
      </c>
      <c r="CE65">
        <v>0</v>
      </c>
      <c r="CF65">
        <v>0</v>
      </c>
      <c r="CG65">
        <v>0</v>
      </c>
      <c r="CH65">
        <v>0</v>
      </c>
      <c r="CI65">
        <v>0</v>
      </c>
      <c r="CJ65">
        <v>0</v>
      </c>
      <c r="CK65">
        <v>0</v>
      </c>
      <c r="CL65">
        <v>0</v>
      </c>
      <c r="CM65">
        <v>0</v>
      </c>
      <c r="CN65">
        <v>0</v>
      </c>
      <c r="CO65">
        <v>0</v>
      </c>
      <c r="CP65">
        <v>0</v>
      </c>
      <c r="CQ65">
        <v>0</v>
      </c>
      <c r="CR65">
        <v>0</v>
      </c>
      <c r="CS65">
        <v>0</v>
      </c>
      <c r="CT65">
        <v>-13289</v>
      </c>
      <c r="CU65">
        <v>0</v>
      </c>
      <c r="CV65">
        <v>0</v>
      </c>
      <c r="CW65">
        <v>0</v>
      </c>
      <c r="CX65">
        <v>-13289</v>
      </c>
      <c r="CY65">
        <v>0</v>
      </c>
      <c r="CZ65">
        <v>-13289</v>
      </c>
      <c r="DA65">
        <v>-4736</v>
      </c>
      <c r="DB65">
        <v>0</v>
      </c>
      <c r="DC65">
        <v>-4736</v>
      </c>
      <c r="DD65">
        <v>-27515</v>
      </c>
      <c r="DE65">
        <v>0</v>
      </c>
      <c r="DF65">
        <v>-27515</v>
      </c>
      <c r="DG65">
        <v>-3087</v>
      </c>
      <c r="DH65">
        <v>0</v>
      </c>
      <c r="DI65">
        <v>-3087</v>
      </c>
      <c r="DJ65">
        <v>-915396</v>
      </c>
      <c r="DK65">
        <v>0</v>
      </c>
      <c r="DL65">
        <v>-915396</v>
      </c>
      <c r="DM65">
        <v>-950734</v>
      </c>
      <c r="DN65">
        <v>0</v>
      </c>
      <c r="DO65">
        <v>0</v>
      </c>
      <c r="DP65">
        <v>0</v>
      </c>
      <c r="DQ65">
        <v>-950734</v>
      </c>
      <c r="DR65">
        <v>0</v>
      </c>
      <c r="DS65">
        <v>-950734</v>
      </c>
      <c r="DT65">
        <v>26363820</v>
      </c>
      <c r="DU65">
        <v>0</v>
      </c>
      <c r="DV65" s="661">
        <v>26363820</v>
      </c>
      <c r="DW65" t="s">
        <v>1717</v>
      </c>
    </row>
    <row r="66" spans="1:127" ht="12.75" x14ac:dyDescent="0.2">
      <c r="A66" s="605">
        <v>59</v>
      </c>
      <c r="B66" s="606" t="s">
        <v>0</v>
      </c>
      <c r="C66" s="607" t="s">
        <v>1196</v>
      </c>
      <c r="D66" s="608" t="s">
        <v>1191</v>
      </c>
      <c r="E66" s="609" t="s">
        <v>789</v>
      </c>
      <c r="G66">
        <v>2584587834</v>
      </c>
      <c r="H66">
        <v>0</v>
      </c>
      <c r="I66">
        <v>2584587834</v>
      </c>
      <c r="J66">
        <v>49.9</v>
      </c>
      <c r="K66">
        <v>1289709329</v>
      </c>
      <c r="L66">
        <v>0</v>
      </c>
      <c r="M66">
        <v>44044985</v>
      </c>
      <c r="N66">
        <v>0</v>
      </c>
      <c r="O66">
        <v>1333754314</v>
      </c>
      <c r="P66">
        <v>0</v>
      </c>
      <c r="Q66">
        <v>1333754314</v>
      </c>
      <c r="R66">
        <v>-1438333</v>
      </c>
      <c r="S66">
        <v>0</v>
      </c>
      <c r="T66">
        <v>-1438333</v>
      </c>
      <c r="U66">
        <v>126925</v>
      </c>
      <c r="V66">
        <v>0</v>
      </c>
      <c r="W66">
        <v>126925</v>
      </c>
      <c r="X66">
        <v>-1311408</v>
      </c>
      <c r="Y66">
        <v>0</v>
      </c>
      <c r="Z66">
        <v>0</v>
      </c>
      <c r="AA66">
        <v>0</v>
      </c>
      <c r="AB66">
        <v>-1311408</v>
      </c>
      <c r="AC66">
        <v>0</v>
      </c>
      <c r="AD66">
        <v>-1311408</v>
      </c>
      <c r="AE66">
        <v>1311408</v>
      </c>
      <c r="AF66">
        <v>0</v>
      </c>
      <c r="AG66">
        <v>1311408</v>
      </c>
      <c r="AH66">
        <v>-1348581</v>
      </c>
      <c r="AI66">
        <v>0</v>
      </c>
      <c r="AJ66">
        <v>-1348581</v>
      </c>
      <c r="AK66">
        <v>0</v>
      </c>
      <c r="AL66">
        <v>0</v>
      </c>
      <c r="AM66">
        <v>0</v>
      </c>
      <c r="AN66">
        <v>31609268</v>
      </c>
      <c r="AO66">
        <v>0</v>
      </c>
      <c r="AP66">
        <v>31609268</v>
      </c>
      <c r="AQ66">
        <v>30260687</v>
      </c>
      <c r="AR66">
        <v>0</v>
      </c>
      <c r="AS66">
        <v>30260687</v>
      </c>
      <c r="AT66">
        <v>-17964670</v>
      </c>
      <c r="AU66">
        <v>0</v>
      </c>
      <c r="AV66">
        <v>-17964670</v>
      </c>
      <c r="AW66">
        <v>0</v>
      </c>
      <c r="AX66">
        <v>0</v>
      </c>
      <c r="AY66">
        <v>0</v>
      </c>
      <c r="AZ66">
        <v>0</v>
      </c>
      <c r="BA66">
        <v>0</v>
      </c>
      <c r="BB66">
        <v>0</v>
      </c>
      <c r="BC66">
        <v>0</v>
      </c>
      <c r="BD66">
        <v>0</v>
      </c>
      <c r="BE66">
        <v>0</v>
      </c>
      <c r="BF66">
        <v>12296017</v>
      </c>
      <c r="BG66">
        <v>0</v>
      </c>
      <c r="BH66">
        <v>420524</v>
      </c>
      <c r="BI66">
        <v>0</v>
      </c>
      <c r="BJ66">
        <v>12716541</v>
      </c>
      <c r="BK66">
        <v>0</v>
      </c>
      <c r="BL66">
        <v>12716541</v>
      </c>
      <c r="BM66">
        <v>-1882441</v>
      </c>
      <c r="BN66">
        <v>0</v>
      </c>
      <c r="BO66">
        <v>-1882441</v>
      </c>
      <c r="BP66">
        <v>-43299134</v>
      </c>
      <c r="BQ66">
        <v>0</v>
      </c>
      <c r="BR66">
        <v>-43299134</v>
      </c>
      <c r="BS66">
        <v>-45181575</v>
      </c>
      <c r="BT66">
        <v>0</v>
      </c>
      <c r="BU66">
        <v>-1545210</v>
      </c>
      <c r="BV66">
        <v>0</v>
      </c>
      <c r="BW66">
        <v>-46726785</v>
      </c>
      <c r="BX66">
        <v>0</v>
      </c>
      <c r="BY66">
        <v>-46726785</v>
      </c>
      <c r="BZ66">
        <v>-197217</v>
      </c>
      <c r="CA66">
        <v>0</v>
      </c>
      <c r="CB66">
        <v>-197217</v>
      </c>
      <c r="CC66">
        <v>-59830</v>
      </c>
      <c r="CD66">
        <v>0</v>
      </c>
      <c r="CE66">
        <v>-59830</v>
      </c>
      <c r="CF66">
        <v>0</v>
      </c>
      <c r="CG66">
        <v>0</v>
      </c>
      <c r="CH66">
        <v>0</v>
      </c>
      <c r="CI66">
        <v>0</v>
      </c>
      <c r="CJ66">
        <v>0</v>
      </c>
      <c r="CK66">
        <v>0</v>
      </c>
      <c r="CL66">
        <v>0</v>
      </c>
      <c r="CM66">
        <v>0</v>
      </c>
      <c r="CN66">
        <v>0</v>
      </c>
      <c r="CO66">
        <v>0</v>
      </c>
      <c r="CP66">
        <v>0</v>
      </c>
      <c r="CQ66">
        <v>0</v>
      </c>
      <c r="CR66">
        <v>0</v>
      </c>
      <c r="CS66">
        <v>0</v>
      </c>
      <c r="CT66">
        <v>-257047</v>
      </c>
      <c r="CU66">
        <v>0</v>
      </c>
      <c r="CV66">
        <v>-8791</v>
      </c>
      <c r="CW66">
        <v>0</v>
      </c>
      <c r="CX66">
        <v>-265838</v>
      </c>
      <c r="CY66">
        <v>0</v>
      </c>
      <c r="CZ66">
        <v>-265838</v>
      </c>
      <c r="DA66">
        <v>0</v>
      </c>
      <c r="DB66">
        <v>0</v>
      </c>
      <c r="DC66">
        <v>0</v>
      </c>
      <c r="DD66">
        <v>-20084</v>
      </c>
      <c r="DE66">
        <v>0</v>
      </c>
      <c r="DF66">
        <v>-20084</v>
      </c>
      <c r="DG66">
        <v>-158000</v>
      </c>
      <c r="DH66">
        <v>0</v>
      </c>
      <c r="DI66">
        <v>-158000</v>
      </c>
      <c r="DJ66">
        <v>-2349273</v>
      </c>
      <c r="DK66">
        <v>0</v>
      </c>
      <c r="DL66">
        <v>-2349273</v>
      </c>
      <c r="DM66">
        <v>-2527357</v>
      </c>
      <c r="DN66">
        <v>0</v>
      </c>
      <c r="DO66">
        <v>0</v>
      </c>
      <c r="DP66">
        <v>0</v>
      </c>
      <c r="DQ66">
        <v>-2527357</v>
      </c>
      <c r="DR66">
        <v>0</v>
      </c>
      <c r="DS66">
        <v>-2527357</v>
      </c>
      <c r="DT66">
        <v>1295639467</v>
      </c>
      <c r="DU66">
        <v>0</v>
      </c>
      <c r="DV66" s="661">
        <v>1295639467</v>
      </c>
      <c r="DW66" t="s">
        <v>1718</v>
      </c>
    </row>
    <row r="67" spans="1:127" ht="12.75" x14ac:dyDescent="0.2">
      <c r="A67" s="605">
        <v>60</v>
      </c>
      <c r="B67" s="606" t="s">
        <v>2</v>
      </c>
      <c r="C67" s="607" t="s">
        <v>1185</v>
      </c>
      <c r="D67" s="608" t="s">
        <v>1189</v>
      </c>
      <c r="E67" s="609" t="s">
        <v>1</v>
      </c>
      <c r="G67">
        <v>165051233</v>
      </c>
      <c r="H67">
        <v>0</v>
      </c>
      <c r="I67">
        <v>165051233</v>
      </c>
      <c r="J67">
        <v>49.9</v>
      </c>
      <c r="K67">
        <v>82360565</v>
      </c>
      <c r="L67">
        <v>0</v>
      </c>
      <c r="M67">
        <v>-264000</v>
      </c>
      <c r="N67">
        <v>0</v>
      </c>
      <c r="O67">
        <v>82096565</v>
      </c>
      <c r="P67">
        <v>0</v>
      </c>
      <c r="Q67">
        <v>82096565</v>
      </c>
      <c r="R67">
        <v>-171621</v>
      </c>
      <c r="S67">
        <v>0</v>
      </c>
      <c r="T67">
        <v>-171621</v>
      </c>
      <c r="U67">
        <v>304356</v>
      </c>
      <c r="V67">
        <v>0</v>
      </c>
      <c r="W67">
        <v>304356</v>
      </c>
      <c r="X67">
        <v>132735</v>
      </c>
      <c r="Y67">
        <v>0</v>
      </c>
      <c r="Z67">
        <v>0</v>
      </c>
      <c r="AA67">
        <v>0</v>
      </c>
      <c r="AB67">
        <v>132735</v>
      </c>
      <c r="AC67">
        <v>0</v>
      </c>
      <c r="AD67">
        <v>132735</v>
      </c>
      <c r="AE67">
        <v>-132735</v>
      </c>
      <c r="AF67">
        <v>0</v>
      </c>
      <c r="AG67">
        <v>-132735</v>
      </c>
      <c r="AH67">
        <v>-6192378</v>
      </c>
      <c r="AI67">
        <v>0</v>
      </c>
      <c r="AJ67">
        <v>-6192378</v>
      </c>
      <c r="AK67">
        <v>0</v>
      </c>
      <c r="AL67">
        <v>0</v>
      </c>
      <c r="AM67">
        <v>0</v>
      </c>
      <c r="AN67">
        <v>1528637</v>
      </c>
      <c r="AO67">
        <v>0</v>
      </c>
      <c r="AP67">
        <v>1528637</v>
      </c>
      <c r="AQ67">
        <v>-4663741</v>
      </c>
      <c r="AR67">
        <v>0</v>
      </c>
      <c r="AS67">
        <v>-4663741</v>
      </c>
      <c r="AT67">
        <v>-6855616</v>
      </c>
      <c r="AU67">
        <v>0</v>
      </c>
      <c r="AV67">
        <v>-6855616</v>
      </c>
      <c r="AW67">
        <v>-59709</v>
      </c>
      <c r="AX67">
        <v>0</v>
      </c>
      <c r="AY67">
        <v>-59709</v>
      </c>
      <c r="AZ67">
        <v>-6166</v>
      </c>
      <c r="BA67">
        <v>0</v>
      </c>
      <c r="BB67">
        <v>-6166</v>
      </c>
      <c r="BC67">
        <v>0</v>
      </c>
      <c r="BD67">
        <v>0</v>
      </c>
      <c r="BE67">
        <v>0</v>
      </c>
      <c r="BF67">
        <v>-11585232</v>
      </c>
      <c r="BG67">
        <v>0</v>
      </c>
      <c r="BH67">
        <v>-296896</v>
      </c>
      <c r="BI67">
        <v>0</v>
      </c>
      <c r="BJ67">
        <v>-11882128</v>
      </c>
      <c r="BK67">
        <v>0</v>
      </c>
      <c r="BL67">
        <v>-11882128</v>
      </c>
      <c r="BM67">
        <v>-6000</v>
      </c>
      <c r="BN67">
        <v>0</v>
      </c>
      <c r="BO67">
        <v>-6000</v>
      </c>
      <c r="BP67">
        <v>-1543743</v>
      </c>
      <c r="BQ67">
        <v>0</v>
      </c>
      <c r="BR67">
        <v>-1543743</v>
      </c>
      <c r="BS67">
        <v>-1549743</v>
      </c>
      <c r="BT67">
        <v>0</v>
      </c>
      <c r="BU67">
        <v>0</v>
      </c>
      <c r="BV67">
        <v>0</v>
      </c>
      <c r="BW67">
        <v>-1549743</v>
      </c>
      <c r="BX67">
        <v>0</v>
      </c>
      <c r="BY67">
        <v>-1549743</v>
      </c>
      <c r="BZ67">
        <v>-244100</v>
      </c>
      <c r="CA67">
        <v>0</v>
      </c>
      <c r="CB67">
        <v>-244100</v>
      </c>
      <c r="CC67">
        <v>0</v>
      </c>
      <c r="CD67">
        <v>0</v>
      </c>
      <c r="CE67">
        <v>0</v>
      </c>
      <c r="CF67">
        <v>-14405</v>
      </c>
      <c r="CG67">
        <v>0</v>
      </c>
      <c r="CH67">
        <v>-14405</v>
      </c>
      <c r="CI67">
        <v>0</v>
      </c>
      <c r="CJ67">
        <v>0</v>
      </c>
      <c r="CK67">
        <v>0</v>
      </c>
      <c r="CL67">
        <v>0</v>
      </c>
      <c r="CM67">
        <v>0</v>
      </c>
      <c r="CN67">
        <v>0</v>
      </c>
      <c r="CO67">
        <v>0</v>
      </c>
      <c r="CP67">
        <v>0</v>
      </c>
      <c r="CQ67">
        <v>0</v>
      </c>
      <c r="CR67">
        <v>0</v>
      </c>
      <c r="CS67">
        <v>0</v>
      </c>
      <c r="CT67">
        <v>-258505</v>
      </c>
      <c r="CU67">
        <v>0</v>
      </c>
      <c r="CV67">
        <v>0</v>
      </c>
      <c r="CW67">
        <v>0</v>
      </c>
      <c r="CX67">
        <v>-258505</v>
      </c>
      <c r="CY67">
        <v>0</v>
      </c>
      <c r="CZ67">
        <v>-258505</v>
      </c>
      <c r="DA67">
        <v>-6166</v>
      </c>
      <c r="DB67">
        <v>0</v>
      </c>
      <c r="DC67">
        <v>-6166</v>
      </c>
      <c r="DD67">
        <v>-12995</v>
      </c>
      <c r="DE67">
        <v>0</v>
      </c>
      <c r="DF67">
        <v>-12995</v>
      </c>
      <c r="DG67">
        <v>-8500</v>
      </c>
      <c r="DH67">
        <v>0</v>
      </c>
      <c r="DI67">
        <v>-8500</v>
      </c>
      <c r="DJ67">
        <v>-1929926</v>
      </c>
      <c r="DK67">
        <v>0</v>
      </c>
      <c r="DL67">
        <v>-1929926</v>
      </c>
      <c r="DM67">
        <v>-1957587</v>
      </c>
      <c r="DN67">
        <v>0</v>
      </c>
      <c r="DO67">
        <v>0</v>
      </c>
      <c r="DP67">
        <v>0</v>
      </c>
      <c r="DQ67">
        <v>-1957587</v>
      </c>
      <c r="DR67">
        <v>0</v>
      </c>
      <c r="DS67">
        <v>-1957587</v>
      </c>
      <c r="DT67">
        <v>66581337</v>
      </c>
      <c r="DU67">
        <v>0</v>
      </c>
      <c r="DV67" s="661">
        <v>66581337</v>
      </c>
      <c r="DW67" t="s">
        <v>1719</v>
      </c>
    </row>
    <row r="68" spans="1:127" ht="12.75" x14ac:dyDescent="0.2">
      <c r="A68" s="605">
        <v>61</v>
      </c>
      <c r="B68" s="606" t="s">
        <v>4</v>
      </c>
      <c r="C68" s="607" t="s">
        <v>1185</v>
      </c>
      <c r="D68" s="608" t="s">
        <v>1187</v>
      </c>
      <c r="E68" s="609" t="s">
        <v>3</v>
      </c>
      <c r="G68">
        <v>84084952</v>
      </c>
      <c r="H68">
        <v>0</v>
      </c>
      <c r="I68">
        <v>84084952</v>
      </c>
      <c r="J68">
        <v>49.9</v>
      </c>
      <c r="K68">
        <v>41958391</v>
      </c>
      <c r="L68">
        <v>0</v>
      </c>
      <c r="M68">
        <v>28862</v>
      </c>
      <c r="N68">
        <v>0</v>
      </c>
      <c r="O68">
        <v>41987253</v>
      </c>
      <c r="P68">
        <v>0</v>
      </c>
      <c r="Q68">
        <v>41987253</v>
      </c>
      <c r="R68">
        <v>-236203</v>
      </c>
      <c r="S68">
        <v>0</v>
      </c>
      <c r="T68">
        <v>-236203</v>
      </c>
      <c r="U68">
        <v>3230605</v>
      </c>
      <c r="V68">
        <v>0</v>
      </c>
      <c r="W68">
        <v>3230605</v>
      </c>
      <c r="X68">
        <v>2994402</v>
      </c>
      <c r="Y68">
        <v>0</v>
      </c>
      <c r="Z68">
        <v>0</v>
      </c>
      <c r="AA68">
        <v>0</v>
      </c>
      <c r="AB68">
        <v>2994402</v>
      </c>
      <c r="AC68">
        <v>0</v>
      </c>
      <c r="AD68">
        <v>2994402</v>
      </c>
      <c r="AE68">
        <v>-2994402</v>
      </c>
      <c r="AF68">
        <v>0</v>
      </c>
      <c r="AG68">
        <v>-2994402</v>
      </c>
      <c r="AH68">
        <v>-2548523</v>
      </c>
      <c r="AI68">
        <v>0</v>
      </c>
      <c r="AJ68">
        <v>-2548523</v>
      </c>
      <c r="AK68">
        <v>0</v>
      </c>
      <c r="AL68">
        <v>0</v>
      </c>
      <c r="AM68">
        <v>0</v>
      </c>
      <c r="AN68">
        <v>874383</v>
      </c>
      <c r="AO68">
        <v>0</v>
      </c>
      <c r="AP68">
        <v>874383</v>
      </c>
      <c r="AQ68">
        <v>-1674140</v>
      </c>
      <c r="AR68">
        <v>0</v>
      </c>
      <c r="AS68">
        <v>-1674140</v>
      </c>
      <c r="AT68">
        <v>-1265279</v>
      </c>
      <c r="AU68">
        <v>0</v>
      </c>
      <c r="AV68">
        <v>-1265279</v>
      </c>
      <c r="AW68">
        <v>-61798</v>
      </c>
      <c r="AX68">
        <v>0</v>
      </c>
      <c r="AY68">
        <v>-61798</v>
      </c>
      <c r="AZ68">
        <v>-19453</v>
      </c>
      <c r="BA68">
        <v>0</v>
      </c>
      <c r="BB68">
        <v>-19453</v>
      </c>
      <c r="BC68">
        <v>0</v>
      </c>
      <c r="BD68">
        <v>0</v>
      </c>
      <c r="BE68">
        <v>0</v>
      </c>
      <c r="BF68">
        <v>-3020670</v>
      </c>
      <c r="BG68">
        <v>0</v>
      </c>
      <c r="BH68">
        <v>0</v>
      </c>
      <c r="BI68">
        <v>0</v>
      </c>
      <c r="BJ68">
        <v>-3020670</v>
      </c>
      <c r="BK68">
        <v>0</v>
      </c>
      <c r="BL68">
        <v>-3020670</v>
      </c>
      <c r="BM68">
        <v>0</v>
      </c>
      <c r="BN68">
        <v>0</v>
      </c>
      <c r="BO68">
        <v>0</v>
      </c>
      <c r="BP68">
        <v>-262520</v>
      </c>
      <c r="BQ68">
        <v>0</v>
      </c>
      <c r="BR68">
        <v>-262520</v>
      </c>
      <c r="BS68">
        <v>-262520</v>
      </c>
      <c r="BT68">
        <v>0</v>
      </c>
      <c r="BU68">
        <v>-167831</v>
      </c>
      <c r="BV68">
        <v>0</v>
      </c>
      <c r="BW68">
        <v>-430351</v>
      </c>
      <c r="BX68">
        <v>0</v>
      </c>
      <c r="BY68">
        <v>-430351</v>
      </c>
      <c r="BZ68">
        <v>-10483</v>
      </c>
      <c r="CA68">
        <v>0</v>
      </c>
      <c r="CB68">
        <v>-10483</v>
      </c>
      <c r="CC68">
        <v>0</v>
      </c>
      <c r="CD68">
        <v>0</v>
      </c>
      <c r="CE68">
        <v>0</v>
      </c>
      <c r="CF68">
        <v>0</v>
      </c>
      <c r="CG68">
        <v>0</v>
      </c>
      <c r="CH68">
        <v>0</v>
      </c>
      <c r="CI68">
        <v>0</v>
      </c>
      <c r="CJ68">
        <v>0</v>
      </c>
      <c r="CK68">
        <v>0</v>
      </c>
      <c r="CL68">
        <v>0</v>
      </c>
      <c r="CM68">
        <v>0</v>
      </c>
      <c r="CN68">
        <v>0</v>
      </c>
      <c r="CO68">
        <v>0</v>
      </c>
      <c r="CP68">
        <v>0</v>
      </c>
      <c r="CQ68">
        <v>0</v>
      </c>
      <c r="CR68">
        <v>0</v>
      </c>
      <c r="CS68">
        <v>0</v>
      </c>
      <c r="CT68">
        <v>-10483</v>
      </c>
      <c r="CU68">
        <v>0</v>
      </c>
      <c r="CV68">
        <v>0</v>
      </c>
      <c r="CW68">
        <v>0</v>
      </c>
      <c r="CX68">
        <v>-10483</v>
      </c>
      <c r="CY68">
        <v>0</v>
      </c>
      <c r="CZ68">
        <v>-10483</v>
      </c>
      <c r="DA68">
        <v>-19453</v>
      </c>
      <c r="DB68">
        <v>0</v>
      </c>
      <c r="DC68">
        <v>-19453</v>
      </c>
      <c r="DD68">
        <v>-19064</v>
      </c>
      <c r="DE68">
        <v>0</v>
      </c>
      <c r="DF68">
        <v>-19064</v>
      </c>
      <c r="DG68">
        <v>-5715</v>
      </c>
      <c r="DH68">
        <v>0</v>
      </c>
      <c r="DI68">
        <v>-5715</v>
      </c>
      <c r="DJ68">
        <v>-432574</v>
      </c>
      <c r="DK68">
        <v>0</v>
      </c>
      <c r="DL68">
        <v>-432574</v>
      </c>
      <c r="DM68">
        <v>-476806</v>
      </c>
      <c r="DN68">
        <v>0</v>
      </c>
      <c r="DO68">
        <v>0</v>
      </c>
      <c r="DP68">
        <v>0</v>
      </c>
      <c r="DQ68">
        <v>-476806</v>
      </c>
      <c r="DR68">
        <v>0</v>
      </c>
      <c r="DS68">
        <v>-476806</v>
      </c>
      <c r="DT68">
        <v>41043345</v>
      </c>
      <c r="DU68">
        <v>0</v>
      </c>
      <c r="DV68" s="661">
        <v>41043345</v>
      </c>
      <c r="DW68" t="s">
        <v>1720</v>
      </c>
    </row>
    <row r="69" spans="1:127" ht="12.75" x14ac:dyDescent="0.2">
      <c r="A69" s="605">
        <v>62</v>
      </c>
      <c r="B69" s="606" t="s">
        <v>6</v>
      </c>
      <c r="C69" s="607" t="s">
        <v>1185</v>
      </c>
      <c r="D69" s="608" t="s">
        <v>1188</v>
      </c>
      <c r="E69" s="609" t="s">
        <v>5</v>
      </c>
      <c r="G69">
        <v>88080553</v>
      </c>
      <c r="H69">
        <v>0</v>
      </c>
      <c r="I69">
        <v>88080553</v>
      </c>
      <c r="J69">
        <v>49.9</v>
      </c>
      <c r="K69">
        <v>43952196</v>
      </c>
      <c r="L69">
        <v>0</v>
      </c>
      <c r="M69">
        <v>1897730</v>
      </c>
      <c r="N69">
        <v>0</v>
      </c>
      <c r="O69">
        <v>45849926</v>
      </c>
      <c r="P69">
        <v>0</v>
      </c>
      <c r="Q69">
        <v>45849926</v>
      </c>
      <c r="R69">
        <v>-142825</v>
      </c>
      <c r="S69">
        <v>0</v>
      </c>
      <c r="T69">
        <v>-142825</v>
      </c>
      <c r="U69">
        <v>652995</v>
      </c>
      <c r="V69">
        <v>0</v>
      </c>
      <c r="W69">
        <v>652995</v>
      </c>
      <c r="X69">
        <v>510170</v>
      </c>
      <c r="Y69">
        <v>0</v>
      </c>
      <c r="Z69">
        <v>0</v>
      </c>
      <c r="AA69">
        <v>0</v>
      </c>
      <c r="AB69">
        <v>510170</v>
      </c>
      <c r="AC69">
        <v>0</v>
      </c>
      <c r="AD69">
        <v>510170</v>
      </c>
      <c r="AE69">
        <v>-510170</v>
      </c>
      <c r="AF69">
        <v>0</v>
      </c>
      <c r="AG69">
        <v>-510170</v>
      </c>
      <c r="AH69">
        <v>-1964023</v>
      </c>
      <c r="AI69">
        <v>0</v>
      </c>
      <c r="AJ69">
        <v>-1964023</v>
      </c>
      <c r="AK69">
        <v>0</v>
      </c>
      <c r="AL69">
        <v>0</v>
      </c>
      <c r="AM69">
        <v>0</v>
      </c>
      <c r="AN69">
        <v>926485</v>
      </c>
      <c r="AO69">
        <v>0</v>
      </c>
      <c r="AP69">
        <v>926485</v>
      </c>
      <c r="AQ69">
        <v>-1037538</v>
      </c>
      <c r="AR69">
        <v>0</v>
      </c>
      <c r="AS69">
        <v>-1037538</v>
      </c>
      <c r="AT69">
        <v>-2273188</v>
      </c>
      <c r="AU69">
        <v>0</v>
      </c>
      <c r="AV69">
        <v>-2273188</v>
      </c>
      <c r="AW69">
        <v>0</v>
      </c>
      <c r="AX69">
        <v>0</v>
      </c>
      <c r="AY69">
        <v>0</v>
      </c>
      <c r="AZ69">
        <v>0</v>
      </c>
      <c r="BA69">
        <v>0</v>
      </c>
      <c r="BB69">
        <v>0</v>
      </c>
      <c r="BC69">
        <v>0</v>
      </c>
      <c r="BD69">
        <v>0</v>
      </c>
      <c r="BE69">
        <v>0</v>
      </c>
      <c r="BF69">
        <v>-3310726</v>
      </c>
      <c r="BG69">
        <v>0</v>
      </c>
      <c r="BH69">
        <v>0</v>
      </c>
      <c r="BI69">
        <v>0</v>
      </c>
      <c r="BJ69">
        <v>-3310726</v>
      </c>
      <c r="BK69">
        <v>0</v>
      </c>
      <c r="BL69">
        <v>-3310726</v>
      </c>
      <c r="BM69">
        <v>-500000</v>
      </c>
      <c r="BN69">
        <v>0</v>
      </c>
      <c r="BO69">
        <v>-500000</v>
      </c>
      <c r="BP69">
        <v>-202122</v>
      </c>
      <c r="BQ69">
        <v>0</v>
      </c>
      <c r="BR69">
        <v>-202122</v>
      </c>
      <c r="BS69">
        <v>-702122</v>
      </c>
      <c r="BT69">
        <v>0</v>
      </c>
      <c r="BU69">
        <v>0</v>
      </c>
      <c r="BV69">
        <v>0</v>
      </c>
      <c r="BW69">
        <v>-702122</v>
      </c>
      <c r="BX69">
        <v>0</v>
      </c>
      <c r="BY69">
        <v>-702122</v>
      </c>
      <c r="BZ69">
        <v>-4992</v>
      </c>
      <c r="CA69">
        <v>0</v>
      </c>
      <c r="CB69">
        <v>-4992</v>
      </c>
      <c r="CC69">
        <v>-7585</v>
      </c>
      <c r="CD69">
        <v>0</v>
      </c>
      <c r="CE69">
        <v>-7585</v>
      </c>
      <c r="CF69">
        <v>0</v>
      </c>
      <c r="CG69">
        <v>0</v>
      </c>
      <c r="CH69">
        <v>0</v>
      </c>
      <c r="CI69">
        <v>-2080</v>
      </c>
      <c r="CJ69">
        <v>0</v>
      </c>
      <c r="CK69">
        <v>-2080</v>
      </c>
      <c r="CL69">
        <v>0</v>
      </c>
      <c r="CM69">
        <v>0</v>
      </c>
      <c r="CN69">
        <v>0</v>
      </c>
      <c r="CO69">
        <v>0</v>
      </c>
      <c r="CP69">
        <v>0</v>
      </c>
      <c r="CQ69">
        <v>0</v>
      </c>
      <c r="CR69">
        <v>0</v>
      </c>
      <c r="CS69">
        <v>0</v>
      </c>
      <c r="CT69">
        <v>-14657</v>
      </c>
      <c r="CU69">
        <v>0</v>
      </c>
      <c r="CV69">
        <v>-185000</v>
      </c>
      <c r="CW69">
        <v>0</v>
      </c>
      <c r="CX69">
        <v>-199657</v>
      </c>
      <c r="CY69">
        <v>0</v>
      </c>
      <c r="CZ69">
        <v>-199657</v>
      </c>
      <c r="DA69">
        <v>0</v>
      </c>
      <c r="DB69">
        <v>0</v>
      </c>
      <c r="DC69">
        <v>0</v>
      </c>
      <c r="DD69">
        <v>0</v>
      </c>
      <c r="DE69">
        <v>0</v>
      </c>
      <c r="DF69">
        <v>0</v>
      </c>
      <c r="DG69">
        <v>-10000</v>
      </c>
      <c r="DH69">
        <v>0</v>
      </c>
      <c r="DI69">
        <v>-10000</v>
      </c>
      <c r="DJ69">
        <v>-330000</v>
      </c>
      <c r="DK69">
        <v>0</v>
      </c>
      <c r="DL69">
        <v>-330000</v>
      </c>
      <c r="DM69">
        <v>-340000</v>
      </c>
      <c r="DN69">
        <v>0</v>
      </c>
      <c r="DO69">
        <v>0</v>
      </c>
      <c r="DP69">
        <v>0</v>
      </c>
      <c r="DQ69">
        <v>-340000</v>
      </c>
      <c r="DR69">
        <v>0</v>
      </c>
      <c r="DS69">
        <v>-340000</v>
      </c>
      <c r="DT69">
        <v>41807591</v>
      </c>
      <c r="DU69">
        <v>0</v>
      </c>
      <c r="DV69" s="661">
        <v>41807591</v>
      </c>
      <c r="DW69" t="s">
        <v>1721</v>
      </c>
    </row>
    <row r="70" spans="1:127" ht="12.75" x14ac:dyDescent="0.2">
      <c r="A70" s="605">
        <v>63</v>
      </c>
      <c r="B70" s="606" t="s">
        <v>8</v>
      </c>
      <c r="C70" s="607" t="s">
        <v>524</v>
      </c>
      <c r="D70" s="608" t="s">
        <v>1194</v>
      </c>
      <c r="E70" s="609" t="s">
        <v>7</v>
      </c>
      <c r="G70">
        <v>474116707</v>
      </c>
      <c r="H70">
        <v>2179100</v>
      </c>
      <c r="I70">
        <v>476295807</v>
      </c>
      <c r="J70">
        <v>49.9</v>
      </c>
      <c r="K70">
        <v>236584237</v>
      </c>
      <c r="L70">
        <v>1087371</v>
      </c>
      <c r="M70">
        <v>0</v>
      </c>
      <c r="N70">
        <v>0</v>
      </c>
      <c r="O70">
        <v>236584237</v>
      </c>
      <c r="P70">
        <v>1087371</v>
      </c>
      <c r="Q70">
        <v>237671608</v>
      </c>
      <c r="R70">
        <v>-1424882</v>
      </c>
      <c r="S70">
        <v>0</v>
      </c>
      <c r="T70">
        <v>-1424882</v>
      </c>
      <c r="U70">
        <v>1487296</v>
      </c>
      <c r="V70">
        <v>0</v>
      </c>
      <c r="W70">
        <v>1487296</v>
      </c>
      <c r="X70">
        <v>62414</v>
      </c>
      <c r="Y70">
        <v>0</v>
      </c>
      <c r="Z70">
        <v>0</v>
      </c>
      <c r="AA70">
        <v>0</v>
      </c>
      <c r="AB70">
        <v>62414</v>
      </c>
      <c r="AC70">
        <v>0</v>
      </c>
      <c r="AD70">
        <v>62414</v>
      </c>
      <c r="AE70">
        <v>-62414</v>
      </c>
      <c r="AF70">
        <v>0</v>
      </c>
      <c r="AG70">
        <v>-62414</v>
      </c>
      <c r="AH70">
        <v>-43451333</v>
      </c>
      <c r="AI70">
        <v>-11982</v>
      </c>
      <c r="AJ70">
        <v>-43463315</v>
      </c>
      <c r="AK70">
        <v>-44336</v>
      </c>
      <c r="AL70">
        <v>0</v>
      </c>
      <c r="AM70">
        <v>-44336</v>
      </c>
      <c r="AN70">
        <v>3307655</v>
      </c>
      <c r="AO70">
        <v>21422</v>
      </c>
      <c r="AP70">
        <v>3329077</v>
      </c>
      <c r="AQ70">
        <v>-40143678</v>
      </c>
      <c r="AR70">
        <v>9440</v>
      </c>
      <c r="AS70">
        <v>-40134238</v>
      </c>
      <c r="AT70">
        <v>-19250861</v>
      </c>
      <c r="AU70">
        <v>-2007</v>
      </c>
      <c r="AV70">
        <v>-19252868</v>
      </c>
      <c r="AW70">
        <v>-219392</v>
      </c>
      <c r="AX70">
        <v>0</v>
      </c>
      <c r="AY70">
        <v>-219392</v>
      </c>
      <c r="AZ70">
        <v>-172396</v>
      </c>
      <c r="BA70">
        <v>0</v>
      </c>
      <c r="BB70">
        <v>-172396</v>
      </c>
      <c r="BC70">
        <v>0</v>
      </c>
      <c r="BD70">
        <v>0</v>
      </c>
      <c r="BE70">
        <v>0</v>
      </c>
      <c r="BF70">
        <v>-59786327</v>
      </c>
      <c r="BG70">
        <v>7433</v>
      </c>
      <c r="BH70">
        <v>-170000</v>
      </c>
      <c r="BI70">
        <v>0</v>
      </c>
      <c r="BJ70">
        <v>-59956327</v>
      </c>
      <c r="BK70">
        <v>7433</v>
      </c>
      <c r="BL70">
        <v>-59948894</v>
      </c>
      <c r="BM70">
        <v>-34000</v>
      </c>
      <c r="BN70">
        <v>0</v>
      </c>
      <c r="BO70">
        <v>-34000</v>
      </c>
      <c r="BP70">
        <v>-4321371</v>
      </c>
      <c r="BQ70">
        <v>0</v>
      </c>
      <c r="BR70">
        <v>-4321371</v>
      </c>
      <c r="BS70">
        <v>-4355371</v>
      </c>
      <c r="BT70">
        <v>0</v>
      </c>
      <c r="BU70">
        <v>0</v>
      </c>
      <c r="BV70">
        <v>0</v>
      </c>
      <c r="BW70">
        <v>-4355371</v>
      </c>
      <c r="BX70">
        <v>0</v>
      </c>
      <c r="BY70">
        <v>-4355371</v>
      </c>
      <c r="BZ70">
        <v>-723630</v>
      </c>
      <c r="CA70">
        <v>0</v>
      </c>
      <c r="CB70">
        <v>-723630</v>
      </c>
      <c r="CC70">
        <v>-306404</v>
      </c>
      <c r="CD70">
        <v>0</v>
      </c>
      <c r="CE70">
        <v>-306404</v>
      </c>
      <c r="CF70">
        <v>-9140</v>
      </c>
      <c r="CG70">
        <v>0</v>
      </c>
      <c r="CH70">
        <v>-9140</v>
      </c>
      <c r="CI70">
        <v>0</v>
      </c>
      <c r="CJ70">
        <v>0</v>
      </c>
      <c r="CK70">
        <v>0</v>
      </c>
      <c r="CL70">
        <v>-13920</v>
      </c>
      <c r="CM70">
        <v>0</v>
      </c>
      <c r="CN70">
        <v>-13920</v>
      </c>
      <c r="CO70">
        <v>-294</v>
      </c>
      <c r="CP70">
        <v>-242043</v>
      </c>
      <c r="CQ70">
        <v>-242337</v>
      </c>
      <c r="CR70">
        <v>-242043</v>
      </c>
      <c r="CS70">
        <v>0</v>
      </c>
      <c r="CT70">
        <v>-1053388</v>
      </c>
      <c r="CU70">
        <v>-242043</v>
      </c>
      <c r="CV70">
        <v>0</v>
      </c>
      <c r="CW70">
        <v>0</v>
      </c>
      <c r="CX70">
        <v>-1053388</v>
      </c>
      <c r="CY70">
        <v>-242043</v>
      </c>
      <c r="CZ70">
        <v>-1295431</v>
      </c>
      <c r="DA70">
        <v>-171137</v>
      </c>
      <c r="DB70">
        <v>0</v>
      </c>
      <c r="DC70">
        <v>-171137</v>
      </c>
      <c r="DD70">
        <v>-244567</v>
      </c>
      <c r="DE70">
        <v>0</v>
      </c>
      <c r="DF70">
        <v>-244567</v>
      </c>
      <c r="DG70">
        <v>-45340</v>
      </c>
      <c r="DH70">
        <v>0</v>
      </c>
      <c r="DI70">
        <v>-45340</v>
      </c>
      <c r="DJ70">
        <v>-5508644</v>
      </c>
      <c r="DK70">
        <v>0</v>
      </c>
      <c r="DL70">
        <v>-5508644</v>
      </c>
      <c r="DM70">
        <v>-5969688</v>
      </c>
      <c r="DN70">
        <v>0</v>
      </c>
      <c r="DO70">
        <v>0</v>
      </c>
      <c r="DP70">
        <v>0</v>
      </c>
      <c r="DQ70">
        <v>-5969688</v>
      </c>
      <c r="DR70">
        <v>0</v>
      </c>
      <c r="DS70">
        <v>-5969688</v>
      </c>
      <c r="DT70">
        <v>165311877</v>
      </c>
      <c r="DU70">
        <v>852761</v>
      </c>
      <c r="DV70" s="661">
        <v>166164638</v>
      </c>
      <c r="DW70" t="s">
        <v>1722</v>
      </c>
    </row>
    <row r="71" spans="1:127" ht="12.75" x14ac:dyDescent="0.2">
      <c r="A71" s="605">
        <v>64</v>
      </c>
      <c r="B71" s="606" t="s">
        <v>10</v>
      </c>
      <c r="C71" s="607" t="s">
        <v>1185</v>
      </c>
      <c r="D71" s="608" t="s">
        <v>1194</v>
      </c>
      <c r="E71" s="609" t="s">
        <v>9</v>
      </c>
      <c r="G71">
        <v>89436748</v>
      </c>
      <c r="H71">
        <v>0</v>
      </c>
      <c r="I71">
        <v>89436748</v>
      </c>
      <c r="J71">
        <v>49.9</v>
      </c>
      <c r="K71">
        <v>44628937</v>
      </c>
      <c r="L71">
        <v>0</v>
      </c>
      <c r="M71">
        <v>19087</v>
      </c>
      <c r="N71">
        <v>0</v>
      </c>
      <c r="O71">
        <v>44648024</v>
      </c>
      <c r="P71">
        <v>0</v>
      </c>
      <c r="Q71">
        <v>44648024</v>
      </c>
      <c r="R71">
        <v>-299308</v>
      </c>
      <c r="S71">
        <v>0</v>
      </c>
      <c r="T71">
        <v>-299308</v>
      </c>
      <c r="U71">
        <v>5043</v>
      </c>
      <c r="V71">
        <v>0</v>
      </c>
      <c r="W71">
        <v>5043</v>
      </c>
      <c r="X71">
        <v>-294265</v>
      </c>
      <c r="Y71">
        <v>0</v>
      </c>
      <c r="Z71">
        <v>0</v>
      </c>
      <c r="AA71">
        <v>0</v>
      </c>
      <c r="AB71">
        <v>-294265</v>
      </c>
      <c r="AC71">
        <v>0</v>
      </c>
      <c r="AD71">
        <v>-294265</v>
      </c>
      <c r="AE71">
        <v>294265</v>
      </c>
      <c r="AF71">
        <v>0</v>
      </c>
      <c r="AG71">
        <v>294265</v>
      </c>
      <c r="AH71">
        <v>-6125167</v>
      </c>
      <c r="AI71">
        <v>0</v>
      </c>
      <c r="AJ71">
        <v>-6125167</v>
      </c>
      <c r="AK71">
        <v>-2844</v>
      </c>
      <c r="AL71">
        <v>0</v>
      </c>
      <c r="AM71">
        <v>-2844</v>
      </c>
      <c r="AN71">
        <v>634614</v>
      </c>
      <c r="AO71">
        <v>0</v>
      </c>
      <c r="AP71">
        <v>634614</v>
      </c>
      <c r="AQ71">
        <v>-5490553</v>
      </c>
      <c r="AR71">
        <v>0</v>
      </c>
      <c r="AS71">
        <v>-5490553</v>
      </c>
      <c r="AT71">
        <v>-2561625</v>
      </c>
      <c r="AU71">
        <v>0</v>
      </c>
      <c r="AV71">
        <v>-2561625</v>
      </c>
      <c r="AW71">
        <v>-54654</v>
      </c>
      <c r="AX71">
        <v>0</v>
      </c>
      <c r="AY71">
        <v>-54654</v>
      </c>
      <c r="AZ71">
        <v>-28762</v>
      </c>
      <c r="BA71">
        <v>0</v>
      </c>
      <c r="BB71">
        <v>-28762</v>
      </c>
      <c r="BC71">
        <v>0</v>
      </c>
      <c r="BD71">
        <v>0</v>
      </c>
      <c r="BE71">
        <v>0</v>
      </c>
      <c r="BF71">
        <v>-8135594</v>
      </c>
      <c r="BG71">
        <v>0</v>
      </c>
      <c r="BH71">
        <v>0</v>
      </c>
      <c r="BI71">
        <v>0</v>
      </c>
      <c r="BJ71">
        <v>-8135594</v>
      </c>
      <c r="BK71">
        <v>0</v>
      </c>
      <c r="BL71">
        <v>-8135594</v>
      </c>
      <c r="BM71">
        <v>0</v>
      </c>
      <c r="BN71">
        <v>0</v>
      </c>
      <c r="BO71">
        <v>0</v>
      </c>
      <c r="BP71">
        <v>-756695</v>
      </c>
      <c r="BQ71">
        <v>0</v>
      </c>
      <c r="BR71">
        <v>-756695</v>
      </c>
      <c r="BS71">
        <v>-756695</v>
      </c>
      <c r="BT71">
        <v>0</v>
      </c>
      <c r="BU71">
        <v>0</v>
      </c>
      <c r="BV71">
        <v>0</v>
      </c>
      <c r="BW71">
        <v>-756695</v>
      </c>
      <c r="BX71">
        <v>0</v>
      </c>
      <c r="BY71">
        <v>-756695</v>
      </c>
      <c r="BZ71">
        <v>-114068</v>
      </c>
      <c r="CA71">
        <v>0</v>
      </c>
      <c r="CB71">
        <v>-114068</v>
      </c>
      <c r="CC71">
        <v>-4527</v>
      </c>
      <c r="CD71">
        <v>0</v>
      </c>
      <c r="CE71">
        <v>-4527</v>
      </c>
      <c r="CF71">
        <v>-558</v>
      </c>
      <c r="CG71">
        <v>0</v>
      </c>
      <c r="CH71">
        <v>-558</v>
      </c>
      <c r="CI71">
        <v>0</v>
      </c>
      <c r="CJ71">
        <v>0</v>
      </c>
      <c r="CK71">
        <v>0</v>
      </c>
      <c r="CL71">
        <v>0</v>
      </c>
      <c r="CM71">
        <v>0</v>
      </c>
      <c r="CN71">
        <v>0</v>
      </c>
      <c r="CO71">
        <v>0</v>
      </c>
      <c r="CP71">
        <v>0</v>
      </c>
      <c r="CQ71">
        <v>0</v>
      </c>
      <c r="CR71">
        <v>0</v>
      </c>
      <c r="CS71">
        <v>0</v>
      </c>
      <c r="CT71">
        <v>-119153</v>
      </c>
      <c r="CU71">
        <v>0</v>
      </c>
      <c r="CV71">
        <v>0</v>
      </c>
      <c r="CW71">
        <v>0</v>
      </c>
      <c r="CX71">
        <v>-119153</v>
      </c>
      <c r="CY71">
        <v>0</v>
      </c>
      <c r="CZ71">
        <v>-119153</v>
      </c>
      <c r="DA71">
        <v>-28762</v>
      </c>
      <c r="DB71">
        <v>0</v>
      </c>
      <c r="DC71">
        <v>-28762</v>
      </c>
      <c r="DD71">
        <v>-21258</v>
      </c>
      <c r="DE71">
        <v>0</v>
      </c>
      <c r="DF71">
        <v>-21258</v>
      </c>
      <c r="DG71">
        <v>-10555</v>
      </c>
      <c r="DH71">
        <v>0</v>
      </c>
      <c r="DI71">
        <v>-10555</v>
      </c>
      <c r="DJ71">
        <v>-1242073</v>
      </c>
      <c r="DK71">
        <v>0</v>
      </c>
      <c r="DL71">
        <v>-1242073</v>
      </c>
      <c r="DM71">
        <v>-1302648</v>
      </c>
      <c r="DN71">
        <v>0</v>
      </c>
      <c r="DO71">
        <v>0</v>
      </c>
      <c r="DP71">
        <v>0</v>
      </c>
      <c r="DQ71">
        <v>-1302648</v>
      </c>
      <c r="DR71">
        <v>0</v>
      </c>
      <c r="DS71">
        <v>-1302648</v>
      </c>
      <c r="DT71">
        <v>34039669</v>
      </c>
      <c r="DU71">
        <v>0</v>
      </c>
      <c r="DV71" s="661">
        <v>34039669</v>
      </c>
      <c r="DW71" t="s">
        <v>1723</v>
      </c>
    </row>
    <row r="72" spans="1:127" ht="12.75" x14ac:dyDescent="0.2">
      <c r="A72" s="605">
        <v>65</v>
      </c>
      <c r="B72" s="606" t="s">
        <v>12</v>
      </c>
      <c r="C72" s="607" t="s">
        <v>1192</v>
      </c>
      <c r="D72" s="608" t="s">
        <v>1195</v>
      </c>
      <c r="E72" s="609" t="s">
        <v>11</v>
      </c>
      <c r="G72">
        <v>319592688</v>
      </c>
      <c r="H72">
        <v>0</v>
      </c>
      <c r="I72">
        <v>319592688</v>
      </c>
      <c r="J72">
        <v>49.9</v>
      </c>
      <c r="K72">
        <v>159476751</v>
      </c>
      <c r="L72">
        <v>0</v>
      </c>
      <c r="M72">
        <v>0</v>
      </c>
      <c r="N72">
        <v>0</v>
      </c>
      <c r="O72">
        <v>159476751</v>
      </c>
      <c r="P72">
        <v>0</v>
      </c>
      <c r="Q72">
        <v>159476751</v>
      </c>
      <c r="R72">
        <v>-241144</v>
      </c>
      <c r="S72">
        <v>0</v>
      </c>
      <c r="T72">
        <v>-241144</v>
      </c>
      <c r="U72">
        <v>1444602</v>
      </c>
      <c r="V72">
        <v>0</v>
      </c>
      <c r="W72">
        <v>1444602</v>
      </c>
      <c r="X72">
        <v>1203458</v>
      </c>
      <c r="Y72">
        <v>0</v>
      </c>
      <c r="Z72">
        <v>0</v>
      </c>
      <c r="AA72">
        <v>0</v>
      </c>
      <c r="AB72">
        <v>1203458</v>
      </c>
      <c r="AC72">
        <v>0</v>
      </c>
      <c r="AD72">
        <v>1203458</v>
      </c>
      <c r="AE72">
        <v>-1203458</v>
      </c>
      <c r="AF72">
        <v>0</v>
      </c>
      <c r="AG72">
        <v>-1203458</v>
      </c>
      <c r="AH72">
        <v>-9670787</v>
      </c>
      <c r="AI72">
        <v>0</v>
      </c>
      <c r="AJ72">
        <v>-9670787</v>
      </c>
      <c r="AK72">
        <v>-18937</v>
      </c>
      <c r="AL72">
        <v>0</v>
      </c>
      <c r="AM72">
        <v>-18937</v>
      </c>
      <c r="AN72">
        <v>3283574</v>
      </c>
      <c r="AO72">
        <v>0</v>
      </c>
      <c r="AP72">
        <v>3283574</v>
      </c>
      <c r="AQ72">
        <v>-6387213</v>
      </c>
      <c r="AR72">
        <v>0</v>
      </c>
      <c r="AS72">
        <v>-6387213</v>
      </c>
      <c r="AT72">
        <v>-17093607</v>
      </c>
      <c r="AU72">
        <v>0</v>
      </c>
      <c r="AV72">
        <v>-17093607</v>
      </c>
      <c r="AW72">
        <v>-65032</v>
      </c>
      <c r="AX72">
        <v>0</v>
      </c>
      <c r="AY72">
        <v>-65032</v>
      </c>
      <c r="AZ72">
        <v>0</v>
      </c>
      <c r="BA72">
        <v>0</v>
      </c>
      <c r="BB72">
        <v>0</v>
      </c>
      <c r="BC72">
        <v>0</v>
      </c>
      <c r="BD72">
        <v>0</v>
      </c>
      <c r="BE72">
        <v>0</v>
      </c>
      <c r="BF72">
        <v>-23545852</v>
      </c>
      <c r="BG72">
        <v>0</v>
      </c>
      <c r="BH72">
        <v>0</v>
      </c>
      <c r="BI72">
        <v>0</v>
      </c>
      <c r="BJ72">
        <v>-23545852</v>
      </c>
      <c r="BK72">
        <v>0</v>
      </c>
      <c r="BL72">
        <v>-23545852</v>
      </c>
      <c r="BM72">
        <v>0</v>
      </c>
      <c r="BN72">
        <v>0</v>
      </c>
      <c r="BO72">
        <v>0</v>
      </c>
      <c r="BP72">
        <v>-6876611</v>
      </c>
      <c r="BQ72">
        <v>0</v>
      </c>
      <c r="BR72">
        <v>-6876611</v>
      </c>
      <c r="BS72">
        <v>-6876611</v>
      </c>
      <c r="BT72">
        <v>0</v>
      </c>
      <c r="BU72">
        <v>0</v>
      </c>
      <c r="BV72">
        <v>0</v>
      </c>
      <c r="BW72">
        <v>-6876611</v>
      </c>
      <c r="BX72">
        <v>0</v>
      </c>
      <c r="BY72">
        <v>-6876611</v>
      </c>
      <c r="BZ72">
        <v>-403746</v>
      </c>
      <c r="CA72">
        <v>0</v>
      </c>
      <c r="CB72">
        <v>-403746</v>
      </c>
      <c r="CC72">
        <v>0</v>
      </c>
      <c r="CD72">
        <v>0</v>
      </c>
      <c r="CE72">
        <v>0</v>
      </c>
      <c r="CF72">
        <v>0</v>
      </c>
      <c r="CG72">
        <v>0</v>
      </c>
      <c r="CH72">
        <v>0</v>
      </c>
      <c r="CI72">
        <v>0</v>
      </c>
      <c r="CJ72">
        <v>0</v>
      </c>
      <c r="CK72">
        <v>0</v>
      </c>
      <c r="CL72">
        <v>0</v>
      </c>
      <c r="CM72">
        <v>0</v>
      </c>
      <c r="CN72">
        <v>0</v>
      </c>
      <c r="CO72">
        <v>-58968</v>
      </c>
      <c r="CP72">
        <v>0</v>
      </c>
      <c r="CQ72">
        <v>-58968</v>
      </c>
      <c r="CR72">
        <v>0</v>
      </c>
      <c r="CS72">
        <v>0</v>
      </c>
      <c r="CT72">
        <v>-462714</v>
      </c>
      <c r="CU72">
        <v>0</v>
      </c>
      <c r="CV72">
        <v>0</v>
      </c>
      <c r="CW72">
        <v>0</v>
      </c>
      <c r="CX72">
        <v>-462714</v>
      </c>
      <c r="CY72">
        <v>0</v>
      </c>
      <c r="CZ72">
        <v>-462714</v>
      </c>
      <c r="DA72">
        <v>0</v>
      </c>
      <c r="DB72">
        <v>0</v>
      </c>
      <c r="DC72">
        <v>0</v>
      </c>
      <c r="DD72">
        <v>-67387</v>
      </c>
      <c r="DE72">
        <v>0</v>
      </c>
      <c r="DF72">
        <v>-67387</v>
      </c>
      <c r="DG72">
        <v>-12000</v>
      </c>
      <c r="DH72">
        <v>0</v>
      </c>
      <c r="DI72">
        <v>-12000</v>
      </c>
      <c r="DJ72">
        <v>-2639928</v>
      </c>
      <c r="DK72">
        <v>0</v>
      </c>
      <c r="DL72">
        <v>-2639928</v>
      </c>
      <c r="DM72">
        <v>-2719315</v>
      </c>
      <c r="DN72">
        <v>0</v>
      </c>
      <c r="DO72">
        <v>0</v>
      </c>
      <c r="DP72">
        <v>0</v>
      </c>
      <c r="DQ72">
        <v>-2719315</v>
      </c>
      <c r="DR72">
        <v>0</v>
      </c>
      <c r="DS72">
        <v>-2719315</v>
      </c>
      <c r="DT72">
        <v>127075717</v>
      </c>
      <c r="DU72">
        <v>0</v>
      </c>
      <c r="DV72" s="661">
        <v>127075717</v>
      </c>
      <c r="DW72" t="s">
        <v>1724</v>
      </c>
    </row>
    <row r="73" spans="1:127" ht="12.75" x14ac:dyDescent="0.2">
      <c r="A73" s="605">
        <v>66</v>
      </c>
      <c r="B73" s="606" t="s">
        <v>14</v>
      </c>
      <c r="C73" s="607" t="s">
        <v>1185</v>
      </c>
      <c r="D73" s="608" t="s">
        <v>1193</v>
      </c>
      <c r="E73" s="609" t="s">
        <v>13</v>
      </c>
      <c r="G73">
        <v>50678521</v>
      </c>
      <c r="H73">
        <v>0</v>
      </c>
      <c r="I73">
        <v>50678521</v>
      </c>
      <c r="J73">
        <v>49.9</v>
      </c>
      <c r="K73">
        <v>25288582</v>
      </c>
      <c r="L73">
        <v>0</v>
      </c>
      <c r="M73">
        <v>0</v>
      </c>
      <c r="N73">
        <v>0</v>
      </c>
      <c r="O73">
        <v>25288582</v>
      </c>
      <c r="P73">
        <v>0</v>
      </c>
      <c r="Q73">
        <v>25288582</v>
      </c>
      <c r="R73">
        <v>-213029</v>
      </c>
      <c r="S73">
        <v>0</v>
      </c>
      <c r="T73">
        <v>-213029</v>
      </c>
      <c r="U73">
        <v>28062</v>
      </c>
      <c r="V73">
        <v>0</v>
      </c>
      <c r="W73">
        <v>28062</v>
      </c>
      <c r="X73">
        <v>-184967</v>
      </c>
      <c r="Y73">
        <v>0</v>
      </c>
      <c r="Z73">
        <v>0</v>
      </c>
      <c r="AA73">
        <v>0</v>
      </c>
      <c r="AB73">
        <v>-184967</v>
      </c>
      <c r="AC73">
        <v>0</v>
      </c>
      <c r="AD73">
        <v>-184967</v>
      </c>
      <c r="AE73">
        <v>184967</v>
      </c>
      <c r="AF73">
        <v>0</v>
      </c>
      <c r="AG73">
        <v>184967</v>
      </c>
      <c r="AH73">
        <v>-3987507</v>
      </c>
      <c r="AI73">
        <v>0</v>
      </c>
      <c r="AJ73">
        <v>-3987507</v>
      </c>
      <c r="AK73">
        <v>-19992</v>
      </c>
      <c r="AL73">
        <v>0</v>
      </c>
      <c r="AM73">
        <v>-19992</v>
      </c>
      <c r="AN73">
        <v>337150</v>
      </c>
      <c r="AO73">
        <v>0</v>
      </c>
      <c r="AP73">
        <v>337150</v>
      </c>
      <c r="AQ73">
        <v>-3650357</v>
      </c>
      <c r="AR73">
        <v>0</v>
      </c>
      <c r="AS73">
        <v>-3650357</v>
      </c>
      <c r="AT73">
        <v>-1260125</v>
      </c>
      <c r="AU73">
        <v>0</v>
      </c>
      <c r="AV73">
        <v>-1260125</v>
      </c>
      <c r="AW73">
        <v>-24168</v>
      </c>
      <c r="AX73">
        <v>0</v>
      </c>
      <c r="AY73">
        <v>-24168</v>
      </c>
      <c r="AZ73">
        <v>-15618</v>
      </c>
      <c r="BA73">
        <v>0</v>
      </c>
      <c r="BB73">
        <v>-15618</v>
      </c>
      <c r="BC73">
        <v>0</v>
      </c>
      <c r="BD73">
        <v>0</v>
      </c>
      <c r="BE73">
        <v>0</v>
      </c>
      <c r="BF73">
        <v>-4950268</v>
      </c>
      <c r="BG73">
        <v>0</v>
      </c>
      <c r="BH73">
        <v>0</v>
      </c>
      <c r="BI73">
        <v>0</v>
      </c>
      <c r="BJ73">
        <v>-4950268</v>
      </c>
      <c r="BK73">
        <v>0</v>
      </c>
      <c r="BL73">
        <v>-4950268</v>
      </c>
      <c r="BM73">
        <v>0</v>
      </c>
      <c r="BN73">
        <v>0</v>
      </c>
      <c r="BO73">
        <v>0</v>
      </c>
      <c r="BP73">
        <v>-619972</v>
      </c>
      <c r="BQ73">
        <v>0</v>
      </c>
      <c r="BR73">
        <v>-619972</v>
      </c>
      <c r="BS73">
        <v>-619972</v>
      </c>
      <c r="BT73">
        <v>0</v>
      </c>
      <c r="BU73">
        <v>0</v>
      </c>
      <c r="BV73">
        <v>0</v>
      </c>
      <c r="BW73">
        <v>-619972</v>
      </c>
      <c r="BX73">
        <v>0</v>
      </c>
      <c r="BY73">
        <v>-619972</v>
      </c>
      <c r="BZ73">
        <v>-28696</v>
      </c>
      <c r="CA73">
        <v>0</v>
      </c>
      <c r="CB73">
        <v>-28696</v>
      </c>
      <c r="CC73">
        <v>-2630</v>
      </c>
      <c r="CD73">
        <v>0</v>
      </c>
      <c r="CE73">
        <v>-2630</v>
      </c>
      <c r="CF73">
        <v>0</v>
      </c>
      <c r="CG73">
        <v>0</v>
      </c>
      <c r="CH73">
        <v>0</v>
      </c>
      <c r="CI73">
        <v>0</v>
      </c>
      <c r="CJ73">
        <v>0</v>
      </c>
      <c r="CK73">
        <v>0</v>
      </c>
      <c r="CL73">
        <v>0</v>
      </c>
      <c r="CM73">
        <v>0</v>
      </c>
      <c r="CN73">
        <v>0</v>
      </c>
      <c r="CO73">
        <v>0</v>
      </c>
      <c r="CP73">
        <v>0</v>
      </c>
      <c r="CQ73">
        <v>0</v>
      </c>
      <c r="CR73">
        <v>0</v>
      </c>
      <c r="CS73">
        <v>0</v>
      </c>
      <c r="CT73">
        <v>-31326</v>
      </c>
      <c r="CU73">
        <v>0</v>
      </c>
      <c r="CV73">
        <v>0</v>
      </c>
      <c r="CW73">
        <v>0</v>
      </c>
      <c r="CX73">
        <v>-31326</v>
      </c>
      <c r="CY73">
        <v>0</v>
      </c>
      <c r="CZ73">
        <v>-31326</v>
      </c>
      <c r="DA73">
        <v>-10487</v>
      </c>
      <c r="DB73">
        <v>0</v>
      </c>
      <c r="DC73">
        <v>-10487</v>
      </c>
      <c r="DD73">
        <v>0</v>
      </c>
      <c r="DE73">
        <v>0</v>
      </c>
      <c r="DF73">
        <v>0</v>
      </c>
      <c r="DG73">
        <v>-4000</v>
      </c>
      <c r="DH73">
        <v>0</v>
      </c>
      <c r="DI73">
        <v>-4000</v>
      </c>
      <c r="DJ73">
        <v>-750000</v>
      </c>
      <c r="DK73">
        <v>0</v>
      </c>
      <c r="DL73">
        <v>-750000</v>
      </c>
      <c r="DM73">
        <v>-764487</v>
      </c>
      <c r="DN73">
        <v>0</v>
      </c>
      <c r="DO73">
        <v>0</v>
      </c>
      <c r="DP73">
        <v>0</v>
      </c>
      <c r="DQ73">
        <v>-764487</v>
      </c>
      <c r="DR73">
        <v>0</v>
      </c>
      <c r="DS73">
        <v>-764487</v>
      </c>
      <c r="DT73">
        <v>18737562</v>
      </c>
      <c r="DU73">
        <v>0</v>
      </c>
      <c r="DV73" s="661">
        <v>18737562</v>
      </c>
      <c r="DW73" t="s">
        <v>1725</v>
      </c>
    </row>
    <row r="74" spans="1:127" ht="12.75" x14ac:dyDescent="0.2">
      <c r="A74" s="605">
        <v>67</v>
      </c>
      <c r="B74" s="606" t="s">
        <v>16</v>
      </c>
      <c r="C74" s="607" t="s">
        <v>1185</v>
      </c>
      <c r="D74" s="608" t="s">
        <v>1186</v>
      </c>
      <c r="E74" s="609" t="s">
        <v>15</v>
      </c>
      <c r="G74">
        <v>273348400</v>
      </c>
      <c r="H74">
        <v>0</v>
      </c>
      <c r="I74">
        <v>273348400</v>
      </c>
      <c r="J74">
        <v>49.9</v>
      </c>
      <c r="K74">
        <v>136400852</v>
      </c>
      <c r="L74">
        <v>0</v>
      </c>
      <c r="M74">
        <v>784999</v>
      </c>
      <c r="N74">
        <v>0</v>
      </c>
      <c r="O74">
        <v>137185851</v>
      </c>
      <c r="P74">
        <v>0</v>
      </c>
      <c r="Q74">
        <v>137185851</v>
      </c>
      <c r="R74">
        <v>-239234</v>
      </c>
      <c r="S74">
        <v>0</v>
      </c>
      <c r="T74">
        <v>-239234</v>
      </c>
      <c r="U74">
        <v>1010413</v>
      </c>
      <c r="V74">
        <v>0</v>
      </c>
      <c r="W74">
        <v>1010413</v>
      </c>
      <c r="X74">
        <v>771179</v>
      </c>
      <c r="Y74">
        <v>0</v>
      </c>
      <c r="Z74">
        <v>0</v>
      </c>
      <c r="AA74">
        <v>0</v>
      </c>
      <c r="AB74">
        <v>771179</v>
      </c>
      <c r="AC74">
        <v>0</v>
      </c>
      <c r="AD74">
        <v>771179</v>
      </c>
      <c r="AE74">
        <v>-771179</v>
      </c>
      <c r="AF74">
        <v>0</v>
      </c>
      <c r="AG74">
        <v>-771179</v>
      </c>
      <c r="AH74">
        <v>-1777941</v>
      </c>
      <c r="AI74">
        <v>0</v>
      </c>
      <c r="AJ74">
        <v>-1777941</v>
      </c>
      <c r="AK74">
        <v>-24500</v>
      </c>
      <c r="AL74">
        <v>0</v>
      </c>
      <c r="AM74">
        <v>-24500</v>
      </c>
      <c r="AN74">
        <v>3169584</v>
      </c>
      <c r="AO74">
        <v>0</v>
      </c>
      <c r="AP74">
        <v>3169584</v>
      </c>
      <c r="AQ74">
        <v>1391643</v>
      </c>
      <c r="AR74">
        <v>0</v>
      </c>
      <c r="AS74">
        <v>1391643</v>
      </c>
      <c r="AT74">
        <v>-3239924</v>
      </c>
      <c r="AU74">
        <v>0</v>
      </c>
      <c r="AV74">
        <v>-3239924</v>
      </c>
      <c r="AW74">
        <v>-33136</v>
      </c>
      <c r="AX74">
        <v>0</v>
      </c>
      <c r="AY74">
        <v>-33136</v>
      </c>
      <c r="AZ74">
        <v>0</v>
      </c>
      <c r="BA74">
        <v>0</v>
      </c>
      <c r="BB74">
        <v>0</v>
      </c>
      <c r="BC74">
        <v>0</v>
      </c>
      <c r="BD74">
        <v>0</v>
      </c>
      <c r="BE74">
        <v>0</v>
      </c>
      <c r="BF74">
        <v>-1881417</v>
      </c>
      <c r="BG74">
        <v>0</v>
      </c>
      <c r="BH74">
        <v>0</v>
      </c>
      <c r="BI74">
        <v>0</v>
      </c>
      <c r="BJ74">
        <v>-1881417</v>
      </c>
      <c r="BK74">
        <v>0</v>
      </c>
      <c r="BL74">
        <v>-1881417</v>
      </c>
      <c r="BM74">
        <v>-50000</v>
      </c>
      <c r="BN74">
        <v>0</v>
      </c>
      <c r="BO74">
        <v>-50000</v>
      </c>
      <c r="BP74">
        <v>-4580508</v>
      </c>
      <c r="BQ74">
        <v>0</v>
      </c>
      <c r="BR74">
        <v>-4580508</v>
      </c>
      <c r="BS74">
        <v>-4630508</v>
      </c>
      <c r="BT74">
        <v>0</v>
      </c>
      <c r="BU74">
        <v>0</v>
      </c>
      <c r="BV74">
        <v>0</v>
      </c>
      <c r="BW74">
        <v>-4630508</v>
      </c>
      <c r="BX74">
        <v>0</v>
      </c>
      <c r="BY74">
        <v>-4630508</v>
      </c>
      <c r="BZ74">
        <v>-258745</v>
      </c>
      <c r="CA74">
        <v>0</v>
      </c>
      <c r="CB74">
        <v>-258745</v>
      </c>
      <c r="CC74">
        <v>-150126</v>
      </c>
      <c r="CD74">
        <v>0</v>
      </c>
      <c r="CE74">
        <v>-150126</v>
      </c>
      <c r="CF74">
        <v>-2195</v>
      </c>
      <c r="CG74">
        <v>0</v>
      </c>
      <c r="CH74">
        <v>-2195</v>
      </c>
      <c r="CI74">
        <v>0</v>
      </c>
      <c r="CJ74">
        <v>0</v>
      </c>
      <c r="CK74">
        <v>0</v>
      </c>
      <c r="CL74">
        <v>0</v>
      </c>
      <c r="CM74">
        <v>0</v>
      </c>
      <c r="CN74">
        <v>0</v>
      </c>
      <c r="CO74">
        <v>0</v>
      </c>
      <c r="CP74">
        <v>0</v>
      </c>
      <c r="CQ74">
        <v>0</v>
      </c>
      <c r="CR74">
        <v>0</v>
      </c>
      <c r="CS74">
        <v>0</v>
      </c>
      <c r="CT74">
        <v>-411066</v>
      </c>
      <c r="CU74">
        <v>0</v>
      </c>
      <c r="CV74">
        <v>0</v>
      </c>
      <c r="CW74">
        <v>0</v>
      </c>
      <c r="CX74">
        <v>-411066</v>
      </c>
      <c r="CY74">
        <v>0</v>
      </c>
      <c r="CZ74">
        <v>-411066</v>
      </c>
      <c r="DA74">
        <v>0</v>
      </c>
      <c r="DB74">
        <v>0</v>
      </c>
      <c r="DC74">
        <v>0</v>
      </c>
      <c r="DD74">
        <v>-20559</v>
      </c>
      <c r="DE74">
        <v>0</v>
      </c>
      <c r="DF74">
        <v>-20559</v>
      </c>
      <c r="DG74">
        <v>-4338</v>
      </c>
      <c r="DH74">
        <v>0</v>
      </c>
      <c r="DI74">
        <v>-4338</v>
      </c>
      <c r="DJ74">
        <v>-749680</v>
      </c>
      <c r="DK74">
        <v>0</v>
      </c>
      <c r="DL74">
        <v>-749680</v>
      </c>
      <c r="DM74">
        <v>-774577</v>
      </c>
      <c r="DN74">
        <v>0</v>
      </c>
      <c r="DO74">
        <v>-374840</v>
      </c>
      <c r="DP74">
        <v>0</v>
      </c>
      <c r="DQ74">
        <v>-1149417</v>
      </c>
      <c r="DR74">
        <v>0</v>
      </c>
      <c r="DS74">
        <v>-1149417</v>
      </c>
      <c r="DT74">
        <v>129884622</v>
      </c>
      <c r="DU74">
        <v>0</v>
      </c>
      <c r="DV74" s="661">
        <v>129884622</v>
      </c>
      <c r="DW74" t="s">
        <v>1726</v>
      </c>
    </row>
    <row r="75" spans="1:127" ht="12.75" x14ac:dyDescent="0.2">
      <c r="A75" s="605">
        <v>68</v>
      </c>
      <c r="B75" s="606" t="s">
        <v>18</v>
      </c>
      <c r="C75" s="607" t="s">
        <v>1190</v>
      </c>
      <c r="D75" s="608" t="s">
        <v>1191</v>
      </c>
      <c r="E75" s="609" t="s">
        <v>17</v>
      </c>
      <c r="G75">
        <v>261995129</v>
      </c>
      <c r="H75">
        <v>57069150</v>
      </c>
      <c r="I75">
        <v>319064279</v>
      </c>
      <c r="J75">
        <v>49.9</v>
      </c>
      <c r="K75">
        <v>130735569</v>
      </c>
      <c r="L75">
        <v>28477506</v>
      </c>
      <c r="M75">
        <v>0</v>
      </c>
      <c r="N75">
        <v>0</v>
      </c>
      <c r="O75">
        <v>130735569</v>
      </c>
      <c r="P75">
        <v>28477506</v>
      </c>
      <c r="Q75">
        <v>159213075</v>
      </c>
      <c r="R75">
        <v>-1640157</v>
      </c>
      <c r="S75">
        <v>-479783</v>
      </c>
      <c r="T75">
        <v>-2119940</v>
      </c>
      <c r="U75">
        <v>665348</v>
      </c>
      <c r="V75">
        <v>634496</v>
      </c>
      <c r="W75">
        <v>1299844</v>
      </c>
      <c r="X75">
        <v>-974809</v>
      </c>
      <c r="Y75">
        <v>154713</v>
      </c>
      <c r="Z75">
        <v>0</v>
      </c>
      <c r="AA75">
        <v>0</v>
      </c>
      <c r="AB75">
        <v>-974809</v>
      </c>
      <c r="AC75">
        <v>154713</v>
      </c>
      <c r="AD75">
        <v>-820096</v>
      </c>
      <c r="AE75">
        <v>974809</v>
      </c>
      <c r="AF75">
        <v>-154713</v>
      </c>
      <c r="AG75">
        <v>820096</v>
      </c>
      <c r="AH75">
        <v>-9582001</v>
      </c>
      <c r="AI75">
        <v>-332968</v>
      </c>
      <c r="AJ75">
        <v>-9914969</v>
      </c>
      <c r="AK75">
        <v>0</v>
      </c>
      <c r="AL75">
        <v>0</v>
      </c>
      <c r="AM75">
        <v>0</v>
      </c>
      <c r="AN75">
        <v>2490629</v>
      </c>
      <c r="AO75">
        <v>652946</v>
      </c>
      <c r="AP75">
        <v>3143575</v>
      </c>
      <c r="AQ75">
        <v>-7091372</v>
      </c>
      <c r="AR75">
        <v>319978</v>
      </c>
      <c r="AS75">
        <v>-6771394</v>
      </c>
      <c r="AT75">
        <v>-11400725</v>
      </c>
      <c r="AU75">
        <v>-696934</v>
      </c>
      <c r="AV75">
        <v>-12097659</v>
      </c>
      <c r="AW75">
        <v>-182713</v>
      </c>
      <c r="AX75">
        <v>0</v>
      </c>
      <c r="AY75">
        <v>-182713</v>
      </c>
      <c r="AZ75">
        <v>0</v>
      </c>
      <c r="BA75">
        <v>0</v>
      </c>
      <c r="BB75">
        <v>0</v>
      </c>
      <c r="BC75">
        <v>0</v>
      </c>
      <c r="BD75">
        <v>0</v>
      </c>
      <c r="BE75">
        <v>0</v>
      </c>
      <c r="BF75">
        <v>-18674810</v>
      </c>
      <c r="BG75">
        <v>-376956</v>
      </c>
      <c r="BH75">
        <v>0</v>
      </c>
      <c r="BI75">
        <v>0</v>
      </c>
      <c r="BJ75">
        <v>-18674810</v>
      </c>
      <c r="BK75">
        <v>-376956</v>
      </c>
      <c r="BL75">
        <v>-19051766</v>
      </c>
      <c r="BM75">
        <v>0</v>
      </c>
      <c r="BN75">
        <v>0</v>
      </c>
      <c r="BO75">
        <v>0</v>
      </c>
      <c r="BP75">
        <v>-2314738</v>
      </c>
      <c r="BQ75">
        <v>-4419497</v>
      </c>
      <c r="BR75">
        <v>-6734235</v>
      </c>
      <c r="BS75">
        <v>-2314738</v>
      </c>
      <c r="BT75">
        <v>-4419497</v>
      </c>
      <c r="BU75">
        <v>0</v>
      </c>
      <c r="BV75">
        <v>0</v>
      </c>
      <c r="BW75">
        <v>-2314738</v>
      </c>
      <c r="BX75">
        <v>-4419497</v>
      </c>
      <c r="BY75">
        <v>-6734235</v>
      </c>
      <c r="BZ75">
        <v>0</v>
      </c>
      <c r="CA75">
        <v>0</v>
      </c>
      <c r="CB75">
        <v>0</v>
      </c>
      <c r="CC75">
        <v>-200000</v>
      </c>
      <c r="CD75">
        <v>-200000</v>
      </c>
      <c r="CE75">
        <v>-400000</v>
      </c>
      <c r="CF75">
        <v>0</v>
      </c>
      <c r="CG75">
        <v>0</v>
      </c>
      <c r="CH75">
        <v>0</v>
      </c>
      <c r="CI75">
        <v>0</v>
      </c>
      <c r="CJ75">
        <v>0</v>
      </c>
      <c r="CK75">
        <v>0</v>
      </c>
      <c r="CL75">
        <v>0</v>
      </c>
      <c r="CM75">
        <v>0</v>
      </c>
      <c r="CN75">
        <v>0</v>
      </c>
      <c r="CO75">
        <v>0</v>
      </c>
      <c r="CP75">
        <v>0</v>
      </c>
      <c r="CQ75">
        <v>0</v>
      </c>
      <c r="CR75">
        <v>0</v>
      </c>
      <c r="CS75">
        <v>0</v>
      </c>
      <c r="CT75">
        <v>-200000</v>
      </c>
      <c r="CU75">
        <v>-200000</v>
      </c>
      <c r="CV75">
        <v>0</v>
      </c>
      <c r="CW75">
        <v>0</v>
      </c>
      <c r="CX75">
        <v>-200000</v>
      </c>
      <c r="CY75">
        <v>-200000</v>
      </c>
      <c r="CZ75">
        <v>-400000</v>
      </c>
      <c r="DA75">
        <v>0</v>
      </c>
      <c r="DB75">
        <v>0</v>
      </c>
      <c r="DC75">
        <v>0</v>
      </c>
      <c r="DD75">
        <v>-340555</v>
      </c>
      <c r="DE75">
        <v>-1593</v>
      </c>
      <c r="DF75">
        <v>-342148</v>
      </c>
      <c r="DG75">
        <v>-41000</v>
      </c>
      <c r="DH75">
        <v>-10000</v>
      </c>
      <c r="DI75">
        <v>-51000</v>
      </c>
      <c r="DJ75">
        <v>-3007275</v>
      </c>
      <c r="DK75">
        <v>-390062</v>
      </c>
      <c r="DL75">
        <v>-3397337</v>
      </c>
      <c r="DM75">
        <v>-3388830</v>
      </c>
      <c r="DN75">
        <v>-401655</v>
      </c>
      <c r="DO75">
        <v>0</v>
      </c>
      <c r="DP75">
        <v>0</v>
      </c>
      <c r="DQ75">
        <v>-3388830</v>
      </c>
      <c r="DR75">
        <v>-401655</v>
      </c>
      <c r="DS75">
        <v>-3790485</v>
      </c>
      <c r="DT75">
        <v>105182382</v>
      </c>
      <c r="DU75">
        <v>23234111</v>
      </c>
      <c r="DV75" s="661">
        <v>128416493</v>
      </c>
      <c r="DW75" t="s">
        <v>1727</v>
      </c>
    </row>
    <row r="76" spans="1:127" ht="12.75" x14ac:dyDescent="0.2">
      <c r="A76" s="605">
        <v>69</v>
      </c>
      <c r="B76" s="606" t="s">
        <v>20</v>
      </c>
      <c r="C76" s="607" t="s">
        <v>1185</v>
      </c>
      <c r="D76" s="608" t="s">
        <v>1189</v>
      </c>
      <c r="E76" s="609" t="s">
        <v>19</v>
      </c>
      <c r="G76">
        <v>160397691</v>
      </c>
      <c r="H76">
        <v>2231400</v>
      </c>
      <c r="I76">
        <v>162629091</v>
      </c>
      <c r="J76">
        <v>49.9</v>
      </c>
      <c r="K76">
        <v>80038448</v>
      </c>
      <c r="L76">
        <v>1113469</v>
      </c>
      <c r="M76">
        <v>0</v>
      </c>
      <c r="N76">
        <v>144548</v>
      </c>
      <c r="O76">
        <v>80038448</v>
      </c>
      <c r="P76">
        <v>1258017</v>
      </c>
      <c r="Q76">
        <v>81296465</v>
      </c>
      <c r="R76">
        <v>-226127</v>
      </c>
      <c r="S76">
        <v>0</v>
      </c>
      <c r="T76">
        <v>-226127</v>
      </c>
      <c r="U76">
        <v>262005</v>
      </c>
      <c r="V76">
        <v>0</v>
      </c>
      <c r="W76">
        <v>262005</v>
      </c>
      <c r="X76">
        <v>35878</v>
      </c>
      <c r="Y76">
        <v>0</v>
      </c>
      <c r="Z76">
        <v>0</v>
      </c>
      <c r="AA76">
        <v>0</v>
      </c>
      <c r="AB76">
        <v>35878</v>
      </c>
      <c r="AC76">
        <v>0</v>
      </c>
      <c r="AD76">
        <v>35878</v>
      </c>
      <c r="AE76">
        <v>-35878</v>
      </c>
      <c r="AF76">
        <v>0</v>
      </c>
      <c r="AG76">
        <v>-35878</v>
      </c>
      <c r="AH76">
        <v>-4203593</v>
      </c>
      <c r="AI76">
        <v>0</v>
      </c>
      <c r="AJ76">
        <v>-4203593</v>
      </c>
      <c r="AK76">
        <v>0</v>
      </c>
      <c r="AL76">
        <v>0</v>
      </c>
      <c r="AM76">
        <v>0</v>
      </c>
      <c r="AN76">
        <v>1552810</v>
      </c>
      <c r="AO76">
        <v>32207</v>
      </c>
      <c r="AP76">
        <v>1585017</v>
      </c>
      <c r="AQ76">
        <v>-2650783</v>
      </c>
      <c r="AR76">
        <v>32207</v>
      </c>
      <c r="AS76">
        <v>-2618576</v>
      </c>
      <c r="AT76">
        <v>-4776881</v>
      </c>
      <c r="AU76">
        <v>0</v>
      </c>
      <c r="AV76">
        <v>-4776881</v>
      </c>
      <c r="AW76">
        <v>-93092</v>
      </c>
      <c r="AX76">
        <v>0</v>
      </c>
      <c r="AY76">
        <v>-93092</v>
      </c>
      <c r="AZ76">
        <v>-4429</v>
      </c>
      <c r="BA76">
        <v>0</v>
      </c>
      <c r="BB76">
        <v>-4429</v>
      </c>
      <c r="BC76">
        <v>0</v>
      </c>
      <c r="BD76">
        <v>0</v>
      </c>
      <c r="BE76">
        <v>0</v>
      </c>
      <c r="BF76">
        <v>-7525185</v>
      </c>
      <c r="BG76">
        <v>32207</v>
      </c>
      <c r="BH76">
        <v>0</v>
      </c>
      <c r="BI76">
        <v>0</v>
      </c>
      <c r="BJ76">
        <v>-7525185</v>
      </c>
      <c r="BK76">
        <v>32207</v>
      </c>
      <c r="BL76">
        <v>-7492978</v>
      </c>
      <c r="BM76">
        <v>-141000</v>
      </c>
      <c r="BN76">
        <v>0</v>
      </c>
      <c r="BO76">
        <v>-141000</v>
      </c>
      <c r="BP76">
        <v>-936425</v>
      </c>
      <c r="BQ76">
        <v>-3443</v>
      </c>
      <c r="BR76">
        <v>-939868</v>
      </c>
      <c r="BS76">
        <v>-1077425</v>
      </c>
      <c r="BT76">
        <v>-3443</v>
      </c>
      <c r="BU76">
        <v>0</v>
      </c>
      <c r="BV76">
        <v>0</v>
      </c>
      <c r="BW76">
        <v>-1077425</v>
      </c>
      <c r="BX76">
        <v>-3443</v>
      </c>
      <c r="BY76">
        <v>-1080868</v>
      </c>
      <c r="BZ76">
        <v>-262256</v>
      </c>
      <c r="CA76">
        <v>0</v>
      </c>
      <c r="CB76">
        <v>-262256</v>
      </c>
      <c r="CC76">
        <v>-2314</v>
      </c>
      <c r="CD76">
        <v>0</v>
      </c>
      <c r="CE76">
        <v>-2314</v>
      </c>
      <c r="CF76">
        <v>0</v>
      </c>
      <c r="CG76">
        <v>0</v>
      </c>
      <c r="CH76">
        <v>0</v>
      </c>
      <c r="CI76">
        <v>0</v>
      </c>
      <c r="CJ76">
        <v>0</v>
      </c>
      <c r="CK76">
        <v>0</v>
      </c>
      <c r="CL76">
        <v>0</v>
      </c>
      <c r="CM76">
        <v>0</v>
      </c>
      <c r="CN76">
        <v>0</v>
      </c>
      <c r="CO76">
        <v>0</v>
      </c>
      <c r="CP76">
        <v>-40000</v>
      </c>
      <c r="CQ76">
        <v>-40000</v>
      </c>
      <c r="CR76">
        <v>-40000</v>
      </c>
      <c r="CS76">
        <v>0</v>
      </c>
      <c r="CT76">
        <v>-264570</v>
      </c>
      <c r="CU76">
        <v>-40000</v>
      </c>
      <c r="CV76">
        <v>0</v>
      </c>
      <c r="CW76">
        <v>0</v>
      </c>
      <c r="CX76">
        <v>-264570</v>
      </c>
      <c r="CY76">
        <v>-40000</v>
      </c>
      <c r="CZ76">
        <v>-304570</v>
      </c>
      <c r="DA76">
        <v>-4429</v>
      </c>
      <c r="DB76">
        <v>0</v>
      </c>
      <c r="DC76">
        <v>-4429</v>
      </c>
      <c r="DD76">
        <v>-17984</v>
      </c>
      <c r="DE76">
        <v>0</v>
      </c>
      <c r="DF76">
        <v>-17984</v>
      </c>
      <c r="DG76">
        <v>-10914</v>
      </c>
      <c r="DH76">
        <v>0</v>
      </c>
      <c r="DI76">
        <v>-10914</v>
      </c>
      <c r="DJ76">
        <v>-1209499</v>
      </c>
      <c r="DK76">
        <v>0</v>
      </c>
      <c r="DL76">
        <v>-1209499</v>
      </c>
      <c r="DM76">
        <v>-1242826</v>
      </c>
      <c r="DN76">
        <v>0</v>
      </c>
      <c r="DO76">
        <v>0</v>
      </c>
      <c r="DP76">
        <v>0</v>
      </c>
      <c r="DQ76">
        <v>-1242826</v>
      </c>
      <c r="DR76">
        <v>0</v>
      </c>
      <c r="DS76">
        <v>-1242826</v>
      </c>
      <c r="DT76">
        <v>69964320</v>
      </c>
      <c r="DU76">
        <v>1246781</v>
      </c>
      <c r="DV76" s="661">
        <v>71211101</v>
      </c>
      <c r="DW76" t="s">
        <v>1728</v>
      </c>
    </row>
    <row r="77" spans="1:127" ht="12.75" x14ac:dyDescent="0.2">
      <c r="A77" s="605">
        <v>70</v>
      </c>
      <c r="B77" s="606" t="s">
        <v>22</v>
      </c>
      <c r="C77" s="607" t="s">
        <v>524</v>
      </c>
      <c r="D77" s="608" t="s">
        <v>1197</v>
      </c>
      <c r="E77" s="609" t="s">
        <v>563</v>
      </c>
      <c r="G77">
        <v>85138544</v>
      </c>
      <c r="H77">
        <v>686725</v>
      </c>
      <c r="I77">
        <v>85825269</v>
      </c>
      <c r="J77">
        <v>49.9</v>
      </c>
      <c r="K77">
        <v>42484133</v>
      </c>
      <c r="L77">
        <v>342676</v>
      </c>
      <c r="M77">
        <v>2550000</v>
      </c>
      <c r="N77">
        <v>0</v>
      </c>
      <c r="O77">
        <v>45034133</v>
      </c>
      <c r="P77">
        <v>342676</v>
      </c>
      <c r="Q77">
        <v>45376809</v>
      </c>
      <c r="R77">
        <v>-319514</v>
      </c>
      <c r="S77">
        <v>0</v>
      </c>
      <c r="T77">
        <v>-319514</v>
      </c>
      <c r="U77">
        <v>903135</v>
      </c>
      <c r="V77">
        <v>0</v>
      </c>
      <c r="W77">
        <v>903135</v>
      </c>
      <c r="X77">
        <v>583621</v>
      </c>
      <c r="Y77">
        <v>0</v>
      </c>
      <c r="Z77">
        <v>0</v>
      </c>
      <c r="AA77">
        <v>0</v>
      </c>
      <c r="AB77">
        <v>583621</v>
      </c>
      <c r="AC77">
        <v>0</v>
      </c>
      <c r="AD77">
        <v>583621</v>
      </c>
      <c r="AE77">
        <v>-583621</v>
      </c>
      <c r="AF77">
        <v>0</v>
      </c>
      <c r="AG77">
        <v>-583621</v>
      </c>
      <c r="AH77">
        <v>-4471478</v>
      </c>
      <c r="AI77">
        <v>-75000</v>
      </c>
      <c r="AJ77">
        <v>-4546478</v>
      </c>
      <c r="AK77">
        <v>-37425</v>
      </c>
      <c r="AL77">
        <v>0</v>
      </c>
      <c r="AM77">
        <v>-37425</v>
      </c>
      <c r="AN77">
        <v>766777</v>
      </c>
      <c r="AO77">
        <v>4789</v>
      </c>
      <c r="AP77">
        <v>771566</v>
      </c>
      <c r="AQ77">
        <v>-3704701</v>
      </c>
      <c r="AR77">
        <v>-70211</v>
      </c>
      <c r="AS77">
        <v>-3774912</v>
      </c>
      <c r="AT77">
        <v>-2940151</v>
      </c>
      <c r="AU77">
        <v>0</v>
      </c>
      <c r="AV77">
        <v>-2940151</v>
      </c>
      <c r="AW77">
        <v>-54917</v>
      </c>
      <c r="AX77">
        <v>0</v>
      </c>
      <c r="AY77">
        <v>-54917</v>
      </c>
      <c r="AZ77">
        <v>0</v>
      </c>
      <c r="BA77">
        <v>0</v>
      </c>
      <c r="BB77">
        <v>0</v>
      </c>
      <c r="BC77">
        <v>0</v>
      </c>
      <c r="BD77">
        <v>0</v>
      </c>
      <c r="BE77">
        <v>0</v>
      </c>
      <c r="BF77">
        <v>-6699769</v>
      </c>
      <c r="BG77">
        <v>-70211</v>
      </c>
      <c r="BH77">
        <v>0</v>
      </c>
      <c r="BI77">
        <v>0</v>
      </c>
      <c r="BJ77">
        <v>-6699769</v>
      </c>
      <c r="BK77">
        <v>-70211</v>
      </c>
      <c r="BL77">
        <v>-6769980</v>
      </c>
      <c r="BM77">
        <v>0</v>
      </c>
      <c r="BN77">
        <v>0</v>
      </c>
      <c r="BO77">
        <v>0</v>
      </c>
      <c r="BP77">
        <v>-899039</v>
      </c>
      <c r="BQ77">
        <v>0</v>
      </c>
      <c r="BR77">
        <v>-899039</v>
      </c>
      <c r="BS77">
        <v>-899039</v>
      </c>
      <c r="BT77">
        <v>0</v>
      </c>
      <c r="BU77">
        <v>0</v>
      </c>
      <c r="BV77">
        <v>0</v>
      </c>
      <c r="BW77">
        <v>-899039</v>
      </c>
      <c r="BX77">
        <v>0</v>
      </c>
      <c r="BY77">
        <v>-899039</v>
      </c>
      <c r="BZ77">
        <v>0</v>
      </c>
      <c r="CA77">
        <v>0</v>
      </c>
      <c r="CB77">
        <v>0</v>
      </c>
      <c r="CC77">
        <v>0</v>
      </c>
      <c r="CD77">
        <v>0</v>
      </c>
      <c r="CE77">
        <v>0</v>
      </c>
      <c r="CF77">
        <v>0</v>
      </c>
      <c r="CG77">
        <v>0</v>
      </c>
      <c r="CH77">
        <v>0</v>
      </c>
      <c r="CI77">
        <v>0</v>
      </c>
      <c r="CJ77">
        <v>0</v>
      </c>
      <c r="CK77">
        <v>0</v>
      </c>
      <c r="CL77">
        <v>0</v>
      </c>
      <c r="CM77">
        <v>0</v>
      </c>
      <c r="CN77">
        <v>0</v>
      </c>
      <c r="CO77">
        <v>0</v>
      </c>
      <c r="CP77">
        <v>-22056</v>
      </c>
      <c r="CQ77">
        <v>-22056</v>
      </c>
      <c r="CR77">
        <v>-22056</v>
      </c>
      <c r="CS77">
        <v>0</v>
      </c>
      <c r="CT77">
        <v>0</v>
      </c>
      <c r="CU77">
        <v>-22056</v>
      </c>
      <c r="CV77">
        <v>0</v>
      </c>
      <c r="CW77">
        <v>0</v>
      </c>
      <c r="CX77">
        <v>0</v>
      </c>
      <c r="CY77">
        <v>-22056</v>
      </c>
      <c r="CZ77">
        <v>-22056</v>
      </c>
      <c r="DA77">
        <v>0</v>
      </c>
      <c r="DB77">
        <v>0</v>
      </c>
      <c r="DC77">
        <v>0</v>
      </c>
      <c r="DD77">
        <v>-19453</v>
      </c>
      <c r="DE77">
        <v>0</v>
      </c>
      <c r="DF77">
        <v>-19453</v>
      </c>
      <c r="DG77">
        <v>-3814</v>
      </c>
      <c r="DH77">
        <v>0</v>
      </c>
      <c r="DI77">
        <v>-3814</v>
      </c>
      <c r="DJ77">
        <v>-670989</v>
      </c>
      <c r="DK77">
        <v>0</v>
      </c>
      <c r="DL77">
        <v>-670989</v>
      </c>
      <c r="DM77">
        <v>-694256</v>
      </c>
      <c r="DN77">
        <v>0</v>
      </c>
      <c r="DO77">
        <v>0</v>
      </c>
      <c r="DP77">
        <v>0</v>
      </c>
      <c r="DQ77">
        <v>-694256</v>
      </c>
      <c r="DR77">
        <v>0</v>
      </c>
      <c r="DS77">
        <v>-694256</v>
      </c>
      <c r="DT77">
        <v>37324690</v>
      </c>
      <c r="DU77">
        <v>250409</v>
      </c>
      <c r="DV77" s="661">
        <v>37575099</v>
      </c>
      <c r="DW77" t="s">
        <v>1729</v>
      </c>
    </row>
    <row r="78" spans="1:127" ht="12.75" x14ac:dyDescent="0.2">
      <c r="A78" s="605">
        <v>71</v>
      </c>
      <c r="B78" s="606" t="s">
        <v>24</v>
      </c>
      <c r="C78" s="607" t="s">
        <v>1185</v>
      </c>
      <c r="D78" s="608" t="s">
        <v>1186</v>
      </c>
      <c r="E78" s="609" t="s">
        <v>23</v>
      </c>
      <c r="G78">
        <v>204306182</v>
      </c>
      <c r="H78">
        <v>0</v>
      </c>
      <c r="I78">
        <v>204306182</v>
      </c>
      <c r="J78">
        <v>49.9</v>
      </c>
      <c r="K78">
        <v>101948785</v>
      </c>
      <c r="L78">
        <v>0</v>
      </c>
      <c r="M78">
        <v>0</v>
      </c>
      <c r="N78">
        <v>0</v>
      </c>
      <c r="O78">
        <v>101948785</v>
      </c>
      <c r="P78">
        <v>0</v>
      </c>
      <c r="Q78">
        <v>101948785</v>
      </c>
      <c r="R78">
        <v>-128383</v>
      </c>
      <c r="S78">
        <v>0</v>
      </c>
      <c r="T78">
        <v>-128383</v>
      </c>
      <c r="U78">
        <v>1873372</v>
      </c>
      <c r="V78">
        <v>0</v>
      </c>
      <c r="W78">
        <v>1873372</v>
      </c>
      <c r="X78">
        <v>1744989</v>
      </c>
      <c r="Y78">
        <v>0</v>
      </c>
      <c r="Z78">
        <v>0</v>
      </c>
      <c r="AA78">
        <v>0</v>
      </c>
      <c r="AB78">
        <v>1744989</v>
      </c>
      <c r="AC78">
        <v>0</v>
      </c>
      <c r="AD78">
        <v>1744989</v>
      </c>
      <c r="AE78">
        <v>-1744989</v>
      </c>
      <c r="AF78">
        <v>0</v>
      </c>
      <c r="AG78">
        <v>-1744989</v>
      </c>
      <c r="AH78">
        <v>-2659967</v>
      </c>
      <c r="AI78">
        <v>0</v>
      </c>
      <c r="AJ78">
        <v>-2659967</v>
      </c>
      <c r="AK78">
        <v>0</v>
      </c>
      <c r="AL78">
        <v>0</v>
      </c>
      <c r="AM78">
        <v>0</v>
      </c>
      <c r="AN78">
        <v>2315370</v>
      </c>
      <c r="AO78">
        <v>0</v>
      </c>
      <c r="AP78">
        <v>2315370</v>
      </c>
      <c r="AQ78">
        <v>-344597</v>
      </c>
      <c r="AR78">
        <v>0</v>
      </c>
      <c r="AS78">
        <v>-344597</v>
      </c>
      <c r="AT78">
        <v>-3442351</v>
      </c>
      <c r="AU78">
        <v>0</v>
      </c>
      <c r="AV78">
        <v>-3442351</v>
      </c>
      <c r="AW78">
        <v>-71779</v>
      </c>
      <c r="AX78">
        <v>0</v>
      </c>
      <c r="AY78">
        <v>-71779</v>
      </c>
      <c r="AZ78">
        <v>0</v>
      </c>
      <c r="BA78">
        <v>0</v>
      </c>
      <c r="BB78">
        <v>0</v>
      </c>
      <c r="BC78">
        <v>0</v>
      </c>
      <c r="BD78">
        <v>0</v>
      </c>
      <c r="BE78">
        <v>0</v>
      </c>
      <c r="BF78">
        <v>-3858727</v>
      </c>
      <c r="BG78">
        <v>0</v>
      </c>
      <c r="BH78">
        <v>0</v>
      </c>
      <c r="BI78">
        <v>0</v>
      </c>
      <c r="BJ78">
        <v>-3858727</v>
      </c>
      <c r="BK78">
        <v>0</v>
      </c>
      <c r="BL78">
        <v>-3858727</v>
      </c>
      <c r="BM78">
        <v>0</v>
      </c>
      <c r="BN78">
        <v>0</v>
      </c>
      <c r="BO78">
        <v>0</v>
      </c>
      <c r="BP78">
        <v>-2583613</v>
      </c>
      <c r="BQ78">
        <v>0</v>
      </c>
      <c r="BR78">
        <v>-2583613</v>
      </c>
      <c r="BS78">
        <v>-2583613</v>
      </c>
      <c r="BT78">
        <v>0</v>
      </c>
      <c r="BU78">
        <v>0</v>
      </c>
      <c r="BV78">
        <v>0</v>
      </c>
      <c r="BW78">
        <v>-2583613</v>
      </c>
      <c r="BX78">
        <v>0</v>
      </c>
      <c r="BY78">
        <v>-2583613</v>
      </c>
      <c r="BZ78">
        <v>-26483</v>
      </c>
      <c r="CA78">
        <v>0</v>
      </c>
      <c r="CB78">
        <v>-26483</v>
      </c>
      <c r="CC78">
        <v>-11224</v>
      </c>
      <c r="CD78">
        <v>0</v>
      </c>
      <c r="CE78">
        <v>-11224</v>
      </c>
      <c r="CF78">
        <v>-8294</v>
      </c>
      <c r="CG78">
        <v>0</v>
      </c>
      <c r="CH78">
        <v>-8294</v>
      </c>
      <c r="CI78">
        <v>0</v>
      </c>
      <c r="CJ78">
        <v>0</v>
      </c>
      <c r="CK78">
        <v>0</v>
      </c>
      <c r="CL78">
        <v>-2162</v>
      </c>
      <c r="CM78">
        <v>0</v>
      </c>
      <c r="CN78">
        <v>-2162</v>
      </c>
      <c r="CO78">
        <v>0</v>
      </c>
      <c r="CP78">
        <v>0</v>
      </c>
      <c r="CQ78">
        <v>0</v>
      </c>
      <c r="CR78">
        <v>0</v>
      </c>
      <c r="CS78">
        <v>0</v>
      </c>
      <c r="CT78">
        <v>-48163</v>
      </c>
      <c r="CU78">
        <v>0</v>
      </c>
      <c r="CV78">
        <v>0</v>
      </c>
      <c r="CW78">
        <v>0</v>
      </c>
      <c r="CX78">
        <v>-48163</v>
      </c>
      <c r="CY78">
        <v>0</v>
      </c>
      <c r="CZ78">
        <v>-48163</v>
      </c>
      <c r="DA78">
        <v>0</v>
      </c>
      <c r="DB78">
        <v>0</v>
      </c>
      <c r="DC78">
        <v>0</v>
      </c>
      <c r="DD78">
        <v>-4419</v>
      </c>
      <c r="DE78">
        <v>0</v>
      </c>
      <c r="DF78">
        <v>-4419</v>
      </c>
      <c r="DG78">
        <v>-5290</v>
      </c>
      <c r="DH78">
        <v>0</v>
      </c>
      <c r="DI78">
        <v>-5290</v>
      </c>
      <c r="DJ78">
        <v>-630343</v>
      </c>
      <c r="DK78">
        <v>0</v>
      </c>
      <c r="DL78">
        <v>-630343</v>
      </c>
      <c r="DM78">
        <v>-640052</v>
      </c>
      <c r="DN78">
        <v>0</v>
      </c>
      <c r="DO78">
        <v>0</v>
      </c>
      <c r="DP78">
        <v>0</v>
      </c>
      <c r="DQ78">
        <v>-640052</v>
      </c>
      <c r="DR78">
        <v>0</v>
      </c>
      <c r="DS78">
        <v>-640052</v>
      </c>
      <c r="DT78">
        <v>96563219</v>
      </c>
      <c r="DU78">
        <v>0</v>
      </c>
      <c r="DV78" s="661">
        <v>96563219</v>
      </c>
      <c r="DW78" t="s">
        <v>1730</v>
      </c>
    </row>
    <row r="79" spans="1:127" ht="12.75" x14ac:dyDescent="0.2">
      <c r="A79" s="605">
        <v>72</v>
      </c>
      <c r="B79" s="606" t="s">
        <v>26</v>
      </c>
      <c r="C79" s="607" t="s">
        <v>1185</v>
      </c>
      <c r="D79" s="608" t="s">
        <v>1188</v>
      </c>
      <c r="E79" s="609" t="s">
        <v>25</v>
      </c>
      <c r="G79">
        <v>113859566</v>
      </c>
      <c r="H79">
        <v>0</v>
      </c>
      <c r="I79">
        <v>113859566</v>
      </c>
      <c r="J79">
        <v>49.9</v>
      </c>
      <c r="K79">
        <v>56815923</v>
      </c>
      <c r="L79">
        <v>0</v>
      </c>
      <c r="M79">
        <v>0</v>
      </c>
      <c r="N79">
        <v>0</v>
      </c>
      <c r="O79">
        <v>56815923</v>
      </c>
      <c r="P79">
        <v>0</v>
      </c>
      <c r="Q79">
        <v>56815923</v>
      </c>
      <c r="R79">
        <v>-102664</v>
      </c>
      <c r="S79">
        <v>0</v>
      </c>
      <c r="T79">
        <v>-102664</v>
      </c>
      <c r="U79">
        <v>268370</v>
      </c>
      <c r="V79">
        <v>0</v>
      </c>
      <c r="W79">
        <v>268370</v>
      </c>
      <c r="X79">
        <v>165706</v>
      </c>
      <c r="Y79">
        <v>0</v>
      </c>
      <c r="Z79">
        <v>0</v>
      </c>
      <c r="AA79">
        <v>0</v>
      </c>
      <c r="AB79">
        <v>165706</v>
      </c>
      <c r="AC79">
        <v>0</v>
      </c>
      <c r="AD79">
        <v>165706</v>
      </c>
      <c r="AE79">
        <v>-165706</v>
      </c>
      <c r="AF79">
        <v>0</v>
      </c>
      <c r="AG79">
        <v>-165706</v>
      </c>
      <c r="AH79">
        <v>-2778810</v>
      </c>
      <c r="AI79">
        <v>0</v>
      </c>
      <c r="AJ79">
        <v>-2778810</v>
      </c>
      <c r="AK79">
        <v>0</v>
      </c>
      <c r="AL79">
        <v>0</v>
      </c>
      <c r="AM79">
        <v>0</v>
      </c>
      <c r="AN79">
        <v>1194288</v>
      </c>
      <c r="AO79">
        <v>0</v>
      </c>
      <c r="AP79">
        <v>1194288</v>
      </c>
      <c r="AQ79">
        <v>-1584522</v>
      </c>
      <c r="AR79">
        <v>0</v>
      </c>
      <c r="AS79">
        <v>-1584522</v>
      </c>
      <c r="AT79">
        <v>-2786091</v>
      </c>
      <c r="AU79">
        <v>0</v>
      </c>
      <c r="AV79">
        <v>-2786091</v>
      </c>
      <c r="AW79">
        <v>-28047</v>
      </c>
      <c r="AX79">
        <v>0</v>
      </c>
      <c r="AY79">
        <v>-28047</v>
      </c>
      <c r="AZ79">
        <v>-43961</v>
      </c>
      <c r="BA79">
        <v>0</v>
      </c>
      <c r="BB79">
        <v>-43961</v>
      </c>
      <c r="BC79">
        <v>0</v>
      </c>
      <c r="BD79">
        <v>0</v>
      </c>
      <c r="BE79">
        <v>0</v>
      </c>
      <c r="BF79">
        <v>-4442621</v>
      </c>
      <c r="BG79">
        <v>0</v>
      </c>
      <c r="BH79">
        <v>0</v>
      </c>
      <c r="BI79">
        <v>0</v>
      </c>
      <c r="BJ79">
        <v>-4442621</v>
      </c>
      <c r="BK79">
        <v>0</v>
      </c>
      <c r="BL79">
        <v>-4442621</v>
      </c>
      <c r="BM79">
        <v>0</v>
      </c>
      <c r="BN79">
        <v>0</v>
      </c>
      <c r="BO79">
        <v>0</v>
      </c>
      <c r="BP79">
        <v>-1315226</v>
      </c>
      <c r="BQ79">
        <v>0</v>
      </c>
      <c r="BR79">
        <v>-1315226</v>
      </c>
      <c r="BS79">
        <v>-1315226</v>
      </c>
      <c r="BT79">
        <v>0</v>
      </c>
      <c r="BU79">
        <v>0</v>
      </c>
      <c r="BV79">
        <v>0</v>
      </c>
      <c r="BW79">
        <v>-1315226</v>
      </c>
      <c r="BX79">
        <v>0</v>
      </c>
      <c r="BY79">
        <v>-1315226</v>
      </c>
      <c r="BZ79">
        <v>-48428</v>
      </c>
      <c r="CA79">
        <v>0</v>
      </c>
      <c r="CB79">
        <v>-48428</v>
      </c>
      <c r="CC79">
        <v>-13412</v>
      </c>
      <c r="CD79">
        <v>0</v>
      </c>
      <c r="CE79">
        <v>-13412</v>
      </c>
      <c r="CF79">
        <v>0</v>
      </c>
      <c r="CG79">
        <v>0</v>
      </c>
      <c r="CH79">
        <v>0</v>
      </c>
      <c r="CI79">
        <v>0</v>
      </c>
      <c r="CJ79">
        <v>0</v>
      </c>
      <c r="CK79">
        <v>0</v>
      </c>
      <c r="CL79">
        <v>0</v>
      </c>
      <c r="CM79">
        <v>0</v>
      </c>
      <c r="CN79">
        <v>0</v>
      </c>
      <c r="CO79">
        <v>0</v>
      </c>
      <c r="CP79">
        <v>0</v>
      </c>
      <c r="CQ79">
        <v>0</v>
      </c>
      <c r="CR79">
        <v>0</v>
      </c>
      <c r="CS79">
        <v>0</v>
      </c>
      <c r="CT79">
        <v>-61840</v>
      </c>
      <c r="CU79">
        <v>0</v>
      </c>
      <c r="CV79">
        <v>0</v>
      </c>
      <c r="CW79">
        <v>0</v>
      </c>
      <c r="CX79">
        <v>-61840</v>
      </c>
      <c r="CY79">
        <v>0</v>
      </c>
      <c r="CZ79">
        <v>-61840</v>
      </c>
      <c r="DA79">
        <v>-43961</v>
      </c>
      <c r="DB79">
        <v>0</v>
      </c>
      <c r="DC79">
        <v>-43961</v>
      </c>
      <c r="DD79">
        <v>-26476</v>
      </c>
      <c r="DE79">
        <v>0</v>
      </c>
      <c r="DF79">
        <v>-26476</v>
      </c>
      <c r="DG79">
        <v>-3000</v>
      </c>
      <c r="DH79">
        <v>0</v>
      </c>
      <c r="DI79">
        <v>-3000</v>
      </c>
      <c r="DJ79">
        <v>-335308</v>
      </c>
      <c r="DK79">
        <v>0</v>
      </c>
      <c r="DL79">
        <v>-335308</v>
      </c>
      <c r="DM79">
        <v>-408745</v>
      </c>
      <c r="DN79">
        <v>0</v>
      </c>
      <c r="DO79">
        <v>0</v>
      </c>
      <c r="DP79">
        <v>0</v>
      </c>
      <c r="DQ79">
        <v>-408745</v>
      </c>
      <c r="DR79">
        <v>0</v>
      </c>
      <c r="DS79">
        <v>-408745</v>
      </c>
      <c r="DT79">
        <v>50753197</v>
      </c>
      <c r="DU79">
        <v>0</v>
      </c>
      <c r="DV79" s="661">
        <v>50753197</v>
      </c>
      <c r="DW79" t="s">
        <v>1731</v>
      </c>
    </row>
    <row r="80" spans="1:127" ht="12.75" x14ac:dyDescent="0.2">
      <c r="A80" s="605">
        <v>73</v>
      </c>
      <c r="B80" s="606" t="s">
        <v>28</v>
      </c>
      <c r="C80" s="607" t="s">
        <v>524</v>
      </c>
      <c r="D80" s="608" t="s">
        <v>1188</v>
      </c>
      <c r="E80" s="609" t="s">
        <v>553</v>
      </c>
      <c r="G80">
        <v>229626847</v>
      </c>
      <c r="H80">
        <v>348675</v>
      </c>
      <c r="I80">
        <v>229975522</v>
      </c>
      <c r="J80">
        <v>49.9</v>
      </c>
      <c r="K80">
        <v>114583797</v>
      </c>
      <c r="L80">
        <v>173989</v>
      </c>
      <c r="M80">
        <v>0</v>
      </c>
      <c r="N80">
        <v>0</v>
      </c>
      <c r="O80">
        <v>114583797</v>
      </c>
      <c r="P80">
        <v>173989</v>
      </c>
      <c r="Q80">
        <v>114757786</v>
      </c>
      <c r="R80">
        <v>-925033</v>
      </c>
      <c r="S80">
        <v>0</v>
      </c>
      <c r="T80">
        <v>-925033</v>
      </c>
      <c r="U80">
        <v>96100</v>
      </c>
      <c r="V80">
        <v>0</v>
      </c>
      <c r="W80">
        <v>96100</v>
      </c>
      <c r="X80">
        <v>-828933</v>
      </c>
      <c r="Y80">
        <v>0</v>
      </c>
      <c r="Z80">
        <v>0</v>
      </c>
      <c r="AA80">
        <v>0</v>
      </c>
      <c r="AB80">
        <v>-828933</v>
      </c>
      <c r="AC80">
        <v>0</v>
      </c>
      <c r="AD80">
        <v>-828933</v>
      </c>
      <c r="AE80">
        <v>828933</v>
      </c>
      <c r="AF80">
        <v>0</v>
      </c>
      <c r="AG80">
        <v>828933</v>
      </c>
      <c r="AH80">
        <v>-7253746</v>
      </c>
      <c r="AI80">
        <v>-9780</v>
      </c>
      <c r="AJ80">
        <v>-7263526</v>
      </c>
      <c r="AK80">
        <v>0</v>
      </c>
      <c r="AL80">
        <v>0</v>
      </c>
      <c r="AM80">
        <v>0</v>
      </c>
      <c r="AN80">
        <v>2178801</v>
      </c>
      <c r="AO80">
        <v>1270</v>
      </c>
      <c r="AP80">
        <v>2180071</v>
      </c>
      <c r="AQ80">
        <v>-5074945</v>
      </c>
      <c r="AR80">
        <v>-8510</v>
      </c>
      <c r="AS80">
        <v>-5083455</v>
      </c>
      <c r="AT80">
        <v>-7560135</v>
      </c>
      <c r="AU80">
        <v>0</v>
      </c>
      <c r="AV80">
        <v>-7560135</v>
      </c>
      <c r="AW80">
        <v>-7086</v>
      </c>
      <c r="AX80">
        <v>0</v>
      </c>
      <c r="AY80">
        <v>-7086</v>
      </c>
      <c r="AZ80">
        <v>0</v>
      </c>
      <c r="BA80">
        <v>0</v>
      </c>
      <c r="BB80">
        <v>0</v>
      </c>
      <c r="BC80">
        <v>0</v>
      </c>
      <c r="BD80">
        <v>0</v>
      </c>
      <c r="BE80">
        <v>0</v>
      </c>
      <c r="BF80">
        <v>-12642166</v>
      </c>
      <c r="BG80">
        <v>-8510</v>
      </c>
      <c r="BH80">
        <v>0</v>
      </c>
      <c r="BI80">
        <v>0</v>
      </c>
      <c r="BJ80">
        <v>-12642166</v>
      </c>
      <c r="BK80">
        <v>-8510</v>
      </c>
      <c r="BL80">
        <v>-12650676</v>
      </c>
      <c r="BM80">
        <v>0</v>
      </c>
      <c r="BN80">
        <v>0</v>
      </c>
      <c r="BO80">
        <v>0</v>
      </c>
      <c r="BP80">
        <v>-3219915</v>
      </c>
      <c r="BQ80">
        <v>0</v>
      </c>
      <c r="BR80">
        <v>-3219915</v>
      </c>
      <c r="BS80">
        <v>-3219915</v>
      </c>
      <c r="BT80">
        <v>0</v>
      </c>
      <c r="BU80">
        <v>0</v>
      </c>
      <c r="BV80">
        <v>0</v>
      </c>
      <c r="BW80">
        <v>-3219915</v>
      </c>
      <c r="BX80">
        <v>0</v>
      </c>
      <c r="BY80">
        <v>-3219915</v>
      </c>
      <c r="BZ80">
        <v>-142017</v>
      </c>
      <c r="CA80">
        <v>0</v>
      </c>
      <c r="CB80">
        <v>-142017</v>
      </c>
      <c r="CC80">
        <v>-145089</v>
      </c>
      <c r="CD80">
        <v>0</v>
      </c>
      <c r="CE80">
        <v>-145089</v>
      </c>
      <c r="CF80">
        <v>-1178</v>
      </c>
      <c r="CG80">
        <v>0</v>
      </c>
      <c r="CH80">
        <v>-1178</v>
      </c>
      <c r="CI80">
        <v>0</v>
      </c>
      <c r="CJ80">
        <v>0</v>
      </c>
      <c r="CK80">
        <v>0</v>
      </c>
      <c r="CL80">
        <v>0</v>
      </c>
      <c r="CM80">
        <v>0</v>
      </c>
      <c r="CN80">
        <v>0</v>
      </c>
      <c r="CO80">
        <v>0</v>
      </c>
      <c r="CP80">
        <v>-38623</v>
      </c>
      <c r="CQ80">
        <v>-38623</v>
      </c>
      <c r="CR80">
        <v>-38623</v>
      </c>
      <c r="CS80">
        <v>0</v>
      </c>
      <c r="CT80">
        <v>-288284</v>
      </c>
      <c r="CU80">
        <v>-38623</v>
      </c>
      <c r="CV80">
        <v>0</v>
      </c>
      <c r="CW80">
        <v>0</v>
      </c>
      <c r="CX80">
        <v>-288284</v>
      </c>
      <c r="CY80">
        <v>-38623</v>
      </c>
      <c r="CZ80">
        <v>-326907</v>
      </c>
      <c r="DA80">
        <v>0</v>
      </c>
      <c r="DB80">
        <v>0</v>
      </c>
      <c r="DC80">
        <v>0</v>
      </c>
      <c r="DD80">
        <v>-8572</v>
      </c>
      <c r="DE80">
        <v>0</v>
      </c>
      <c r="DF80">
        <v>-8572</v>
      </c>
      <c r="DG80">
        <v>-4245</v>
      </c>
      <c r="DH80">
        <v>0</v>
      </c>
      <c r="DI80">
        <v>-4245</v>
      </c>
      <c r="DJ80">
        <v>-1624530</v>
      </c>
      <c r="DK80">
        <v>0</v>
      </c>
      <c r="DL80">
        <v>-1624530</v>
      </c>
      <c r="DM80">
        <v>-1637347</v>
      </c>
      <c r="DN80">
        <v>0</v>
      </c>
      <c r="DO80">
        <v>0</v>
      </c>
      <c r="DP80">
        <v>0</v>
      </c>
      <c r="DQ80">
        <v>-1637347</v>
      </c>
      <c r="DR80">
        <v>0</v>
      </c>
      <c r="DS80">
        <v>-1637347</v>
      </c>
      <c r="DT80">
        <v>95967152</v>
      </c>
      <c r="DU80">
        <v>126856</v>
      </c>
      <c r="DV80" s="661">
        <v>96094008</v>
      </c>
      <c r="DW80" t="s">
        <v>1732</v>
      </c>
    </row>
    <row r="81" spans="1:127" ht="12.75" x14ac:dyDescent="0.2">
      <c r="A81" s="605">
        <v>74</v>
      </c>
      <c r="B81" s="606" t="s">
        <v>30</v>
      </c>
      <c r="C81" s="607" t="s">
        <v>1185</v>
      </c>
      <c r="D81" s="608" t="s">
        <v>1188</v>
      </c>
      <c r="E81" s="609" t="s">
        <v>29</v>
      </c>
      <c r="G81">
        <v>56968440</v>
      </c>
      <c r="H81">
        <v>0</v>
      </c>
      <c r="I81">
        <v>56968440</v>
      </c>
      <c r="J81">
        <v>49.9</v>
      </c>
      <c r="K81">
        <v>28427252</v>
      </c>
      <c r="L81">
        <v>0</v>
      </c>
      <c r="M81">
        <v>143589</v>
      </c>
      <c r="N81">
        <v>0</v>
      </c>
      <c r="O81">
        <v>28570841</v>
      </c>
      <c r="P81">
        <v>0</v>
      </c>
      <c r="Q81">
        <v>28570841</v>
      </c>
      <c r="R81">
        <v>-729601</v>
      </c>
      <c r="S81">
        <v>0</v>
      </c>
      <c r="T81">
        <v>-729601</v>
      </c>
      <c r="U81">
        <v>16006</v>
      </c>
      <c r="V81">
        <v>0</v>
      </c>
      <c r="W81">
        <v>16006</v>
      </c>
      <c r="X81">
        <v>-713595</v>
      </c>
      <c r="Y81">
        <v>0</v>
      </c>
      <c r="Z81">
        <v>0</v>
      </c>
      <c r="AA81">
        <v>0</v>
      </c>
      <c r="AB81">
        <v>-713595</v>
      </c>
      <c r="AC81">
        <v>0</v>
      </c>
      <c r="AD81">
        <v>-713595</v>
      </c>
      <c r="AE81">
        <v>713595</v>
      </c>
      <c r="AF81">
        <v>0</v>
      </c>
      <c r="AG81">
        <v>713595</v>
      </c>
      <c r="AH81">
        <v>-5145231</v>
      </c>
      <c r="AI81">
        <v>0</v>
      </c>
      <c r="AJ81">
        <v>-5145231</v>
      </c>
      <c r="AK81">
        <v>0</v>
      </c>
      <c r="AL81">
        <v>0</v>
      </c>
      <c r="AM81">
        <v>0</v>
      </c>
      <c r="AN81">
        <v>355312</v>
      </c>
      <c r="AO81">
        <v>0</v>
      </c>
      <c r="AP81">
        <v>355312</v>
      </c>
      <c r="AQ81">
        <v>-4789919</v>
      </c>
      <c r="AR81">
        <v>0</v>
      </c>
      <c r="AS81">
        <v>-4789919</v>
      </c>
      <c r="AT81">
        <v>-1584771</v>
      </c>
      <c r="AU81">
        <v>0</v>
      </c>
      <c r="AV81">
        <v>-1584771</v>
      </c>
      <c r="AW81">
        <v>-22016</v>
      </c>
      <c r="AX81">
        <v>0</v>
      </c>
      <c r="AY81">
        <v>-22016</v>
      </c>
      <c r="AZ81">
        <v>-51219</v>
      </c>
      <c r="BA81">
        <v>0</v>
      </c>
      <c r="BB81">
        <v>-51219</v>
      </c>
      <c r="BC81">
        <v>0</v>
      </c>
      <c r="BD81">
        <v>0</v>
      </c>
      <c r="BE81">
        <v>0</v>
      </c>
      <c r="BF81">
        <v>-6447925</v>
      </c>
      <c r="BG81">
        <v>0</v>
      </c>
      <c r="BH81">
        <v>-25375</v>
      </c>
      <c r="BI81">
        <v>0</v>
      </c>
      <c r="BJ81">
        <v>-6473300</v>
      </c>
      <c r="BK81">
        <v>0</v>
      </c>
      <c r="BL81">
        <v>-6473300</v>
      </c>
      <c r="BM81">
        <v>0</v>
      </c>
      <c r="BN81">
        <v>0</v>
      </c>
      <c r="BO81">
        <v>0</v>
      </c>
      <c r="BP81">
        <v>-790714</v>
      </c>
      <c r="BQ81">
        <v>0</v>
      </c>
      <c r="BR81">
        <v>-790714</v>
      </c>
      <c r="BS81">
        <v>-790714</v>
      </c>
      <c r="BT81">
        <v>0</v>
      </c>
      <c r="BU81">
        <v>-499</v>
      </c>
      <c r="BV81">
        <v>0</v>
      </c>
      <c r="BW81">
        <v>-791213</v>
      </c>
      <c r="BX81">
        <v>0</v>
      </c>
      <c r="BY81">
        <v>-791213</v>
      </c>
      <c r="BZ81">
        <v>-155943</v>
      </c>
      <c r="CA81">
        <v>0</v>
      </c>
      <c r="CB81">
        <v>-155943</v>
      </c>
      <c r="CC81">
        <v>-96946</v>
      </c>
      <c r="CD81">
        <v>0</v>
      </c>
      <c r="CE81">
        <v>-96946</v>
      </c>
      <c r="CF81">
        <v>-3917</v>
      </c>
      <c r="CG81">
        <v>0</v>
      </c>
      <c r="CH81">
        <v>-3917</v>
      </c>
      <c r="CI81">
        <v>0</v>
      </c>
      <c r="CJ81">
        <v>0</v>
      </c>
      <c r="CK81">
        <v>0</v>
      </c>
      <c r="CL81">
        <v>-4622</v>
      </c>
      <c r="CM81">
        <v>0</v>
      </c>
      <c r="CN81">
        <v>-4622</v>
      </c>
      <c r="CO81">
        <v>0</v>
      </c>
      <c r="CP81">
        <v>0</v>
      </c>
      <c r="CQ81">
        <v>0</v>
      </c>
      <c r="CR81">
        <v>0</v>
      </c>
      <c r="CS81">
        <v>0</v>
      </c>
      <c r="CT81">
        <v>-261428</v>
      </c>
      <c r="CU81">
        <v>0</v>
      </c>
      <c r="CV81">
        <v>0</v>
      </c>
      <c r="CW81">
        <v>0</v>
      </c>
      <c r="CX81">
        <v>-261428</v>
      </c>
      <c r="CY81">
        <v>0</v>
      </c>
      <c r="CZ81">
        <v>-261428</v>
      </c>
      <c r="DA81">
        <v>-51219</v>
      </c>
      <c r="DB81">
        <v>0</v>
      </c>
      <c r="DC81">
        <v>-51219</v>
      </c>
      <c r="DD81">
        <v>-81042</v>
      </c>
      <c r="DE81">
        <v>0</v>
      </c>
      <c r="DF81">
        <v>-81042</v>
      </c>
      <c r="DG81">
        <v>-10713</v>
      </c>
      <c r="DH81">
        <v>0</v>
      </c>
      <c r="DI81">
        <v>-10713</v>
      </c>
      <c r="DJ81">
        <v>-934486</v>
      </c>
      <c r="DK81">
        <v>0</v>
      </c>
      <c r="DL81">
        <v>-934486</v>
      </c>
      <c r="DM81">
        <v>-1077460</v>
      </c>
      <c r="DN81">
        <v>0</v>
      </c>
      <c r="DO81">
        <v>0</v>
      </c>
      <c r="DP81">
        <v>0</v>
      </c>
      <c r="DQ81">
        <v>-1077460</v>
      </c>
      <c r="DR81">
        <v>0</v>
      </c>
      <c r="DS81">
        <v>-1077460</v>
      </c>
      <c r="DT81">
        <v>19253845</v>
      </c>
      <c r="DU81">
        <v>0</v>
      </c>
      <c r="DV81" s="661">
        <v>19253845</v>
      </c>
      <c r="DW81" t="s">
        <v>1733</v>
      </c>
    </row>
    <row r="82" spans="1:127" ht="12.75" x14ac:dyDescent="0.2">
      <c r="A82" s="605">
        <v>75</v>
      </c>
      <c r="B82" s="606" t="s">
        <v>32</v>
      </c>
      <c r="C82" s="607" t="s">
        <v>1192</v>
      </c>
      <c r="D82" s="608" t="s">
        <v>1193</v>
      </c>
      <c r="E82" s="609" t="s">
        <v>31</v>
      </c>
      <c r="G82">
        <v>250518055</v>
      </c>
      <c r="H82">
        <v>0</v>
      </c>
      <c r="I82">
        <v>250518055</v>
      </c>
      <c r="J82">
        <v>49.9</v>
      </c>
      <c r="K82">
        <v>125008509</v>
      </c>
      <c r="L82">
        <v>0</v>
      </c>
      <c r="M82">
        <v>725753</v>
      </c>
      <c r="N82">
        <v>0</v>
      </c>
      <c r="O82">
        <v>125734262</v>
      </c>
      <c r="P82">
        <v>0</v>
      </c>
      <c r="Q82">
        <v>125734262</v>
      </c>
      <c r="R82">
        <v>-501222</v>
      </c>
      <c r="S82">
        <v>0</v>
      </c>
      <c r="T82">
        <v>-501222</v>
      </c>
      <c r="U82">
        <v>1513290</v>
      </c>
      <c r="V82">
        <v>0</v>
      </c>
      <c r="W82">
        <v>1513290</v>
      </c>
      <c r="X82">
        <v>1012068</v>
      </c>
      <c r="Y82">
        <v>0</v>
      </c>
      <c r="Z82">
        <v>0</v>
      </c>
      <c r="AA82">
        <v>0</v>
      </c>
      <c r="AB82">
        <v>1012068</v>
      </c>
      <c r="AC82">
        <v>0</v>
      </c>
      <c r="AD82">
        <v>1012068</v>
      </c>
      <c r="AE82">
        <v>-1012068</v>
      </c>
      <c r="AF82">
        <v>0</v>
      </c>
      <c r="AG82">
        <v>-1012068</v>
      </c>
      <c r="AH82">
        <v>-10545082</v>
      </c>
      <c r="AI82">
        <v>0</v>
      </c>
      <c r="AJ82">
        <v>-10545082</v>
      </c>
      <c r="AK82">
        <v>-36638</v>
      </c>
      <c r="AL82">
        <v>0</v>
      </c>
      <c r="AM82">
        <v>-36638</v>
      </c>
      <c r="AN82">
        <v>2398997</v>
      </c>
      <c r="AO82">
        <v>0</v>
      </c>
      <c r="AP82">
        <v>2398997</v>
      </c>
      <c r="AQ82">
        <v>-8146085</v>
      </c>
      <c r="AR82">
        <v>0</v>
      </c>
      <c r="AS82">
        <v>-8146085</v>
      </c>
      <c r="AT82">
        <v>-7499960</v>
      </c>
      <c r="AU82">
        <v>0</v>
      </c>
      <c r="AV82">
        <v>-7499960</v>
      </c>
      <c r="AW82">
        <v>-58368</v>
      </c>
      <c r="AX82">
        <v>0</v>
      </c>
      <c r="AY82">
        <v>-58368</v>
      </c>
      <c r="AZ82">
        <v>-3533</v>
      </c>
      <c r="BA82">
        <v>0</v>
      </c>
      <c r="BB82">
        <v>-3533</v>
      </c>
      <c r="BC82">
        <v>0</v>
      </c>
      <c r="BD82">
        <v>0</v>
      </c>
      <c r="BE82">
        <v>0</v>
      </c>
      <c r="BF82">
        <v>-15707946</v>
      </c>
      <c r="BG82">
        <v>0</v>
      </c>
      <c r="BH82">
        <v>0</v>
      </c>
      <c r="BI82">
        <v>0</v>
      </c>
      <c r="BJ82">
        <v>-15707946</v>
      </c>
      <c r="BK82">
        <v>0</v>
      </c>
      <c r="BL82">
        <v>-15707946</v>
      </c>
      <c r="BM82">
        <v>-100000</v>
      </c>
      <c r="BN82">
        <v>0</v>
      </c>
      <c r="BO82">
        <v>-100000</v>
      </c>
      <c r="BP82">
        <v>-3267347</v>
      </c>
      <c r="BQ82">
        <v>0</v>
      </c>
      <c r="BR82">
        <v>-3267347</v>
      </c>
      <c r="BS82">
        <v>-3367347</v>
      </c>
      <c r="BT82">
        <v>0</v>
      </c>
      <c r="BU82">
        <v>0</v>
      </c>
      <c r="BV82">
        <v>0</v>
      </c>
      <c r="BW82">
        <v>-3367347</v>
      </c>
      <c r="BX82">
        <v>0</v>
      </c>
      <c r="BY82">
        <v>-3367347</v>
      </c>
      <c r="BZ82">
        <v>-303194</v>
      </c>
      <c r="CA82">
        <v>0</v>
      </c>
      <c r="CB82">
        <v>-303194</v>
      </c>
      <c r="CC82">
        <v>-162162</v>
      </c>
      <c r="CD82">
        <v>0</v>
      </c>
      <c r="CE82">
        <v>-162162</v>
      </c>
      <c r="CF82">
        <v>0</v>
      </c>
      <c r="CG82">
        <v>0</v>
      </c>
      <c r="CH82">
        <v>0</v>
      </c>
      <c r="CI82">
        <v>0</v>
      </c>
      <c r="CJ82">
        <v>0</v>
      </c>
      <c r="CK82">
        <v>0</v>
      </c>
      <c r="CL82">
        <v>0</v>
      </c>
      <c r="CM82">
        <v>0</v>
      </c>
      <c r="CN82">
        <v>0</v>
      </c>
      <c r="CO82">
        <v>0</v>
      </c>
      <c r="CP82">
        <v>0</v>
      </c>
      <c r="CQ82">
        <v>0</v>
      </c>
      <c r="CR82">
        <v>0</v>
      </c>
      <c r="CS82">
        <v>0</v>
      </c>
      <c r="CT82">
        <v>-465356</v>
      </c>
      <c r="CU82">
        <v>0</v>
      </c>
      <c r="CV82">
        <v>0</v>
      </c>
      <c r="CW82">
        <v>0</v>
      </c>
      <c r="CX82">
        <v>-465356</v>
      </c>
      <c r="CY82">
        <v>0</v>
      </c>
      <c r="CZ82">
        <v>-465356</v>
      </c>
      <c r="DA82">
        <v>-3533</v>
      </c>
      <c r="DB82">
        <v>0</v>
      </c>
      <c r="DC82">
        <v>-3533</v>
      </c>
      <c r="DD82">
        <v>-45543</v>
      </c>
      <c r="DE82">
        <v>0</v>
      </c>
      <c r="DF82">
        <v>-45543</v>
      </c>
      <c r="DG82">
        <v>-13000</v>
      </c>
      <c r="DH82">
        <v>0</v>
      </c>
      <c r="DI82">
        <v>-13000</v>
      </c>
      <c r="DJ82">
        <v>-2060989</v>
      </c>
      <c r="DK82">
        <v>0</v>
      </c>
      <c r="DL82">
        <v>-2060989</v>
      </c>
      <c r="DM82">
        <v>-2123065</v>
      </c>
      <c r="DN82">
        <v>0</v>
      </c>
      <c r="DO82">
        <v>0</v>
      </c>
      <c r="DP82">
        <v>0</v>
      </c>
      <c r="DQ82">
        <v>-2123065</v>
      </c>
      <c r="DR82">
        <v>0</v>
      </c>
      <c r="DS82">
        <v>-2123065</v>
      </c>
      <c r="DT82">
        <v>105082616</v>
      </c>
      <c r="DU82">
        <v>0</v>
      </c>
      <c r="DV82" s="661">
        <v>105082616</v>
      </c>
      <c r="DW82" t="s">
        <v>1734</v>
      </c>
    </row>
    <row r="83" spans="1:127" ht="12.75" x14ac:dyDescent="0.2">
      <c r="A83" s="605">
        <v>76</v>
      </c>
      <c r="B83" s="606" t="s">
        <v>1126</v>
      </c>
      <c r="C83" s="607" t="s">
        <v>524</v>
      </c>
      <c r="D83" s="608" t="s">
        <v>1194</v>
      </c>
      <c r="E83" s="609" t="s">
        <v>1125</v>
      </c>
      <c r="G83">
        <v>287007736</v>
      </c>
      <c r="H83">
        <v>749243</v>
      </c>
      <c r="I83">
        <v>287756979</v>
      </c>
      <c r="J83">
        <v>49.9</v>
      </c>
      <c r="K83">
        <v>143216860</v>
      </c>
      <c r="L83">
        <v>373872</v>
      </c>
      <c r="M83">
        <v>0</v>
      </c>
      <c r="N83">
        <v>0</v>
      </c>
      <c r="O83">
        <v>143216860</v>
      </c>
      <c r="P83">
        <v>373872</v>
      </c>
      <c r="Q83">
        <v>143590732</v>
      </c>
      <c r="R83">
        <v>-1317415</v>
      </c>
      <c r="S83">
        <v>0</v>
      </c>
      <c r="T83">
        <v>-1317415</v>
      </c>
      <c r="U83">
        <v>759926</v>
      </c>
      <c r="V83">
        <v>0</v>
      </c>
      <c r="W83">
        <v>759926</v>
      </c>
      <c r="X83">
        <v>-557489</v>
      </c>
      <c r="Y83">
        <v>0</v>
      </c>
      <c r="Z83">
        <v>0</v>
      </c>
      <c r="AA83">
        <v>0</v>
      </c>
      <c r="AB83">
        <v>-557489</v>
      </c>
      <c r="AC83">
        <v>0</v>
      </c>
      <c r="AD83">
        <v>-557489</v>
      </c>
      <c r="AE83">
        <v>557489</v>
      </c>
      <c r="AF83">
        <v>0</v>
      </c>
      <c r="AG83">
        <v>557489</v>
      </c>
      <c r="AH83">
        <v>-20515296</v>
      </c>
      <c r="AI83">
        <v>-11602</v>
      </c>
      <c r="AJ83">
        <v>-20526898</v>
      </c>
      <c r="AK83">
        <v>-20347</v>
      </c>
      <c r="AL83">
        <v>0</v>
      </c>
      <c r="AM83">
        <v>-20347</v>
      </c>
      <c r="AN83">
        <v>2120567</v>
      </c>
      <c r="AO83">
        <v>0</v>
      </c>
      <c r="AP83">
        <v>2120567</v>
      </c>
      <c r="AQ83">
        <v>-18394729</v>
      </c>
      <c r="AR83">
        <v>-11602</v>
      </c>
      <c r="AS83">
        <v>-18406331</v>
      </c>
      <c r="AT83">
        <v>-11145881</v>
      </c>
      <c r="AU83">
        <v>0</v>
      </c>
      <c r="AV83">
        <v>-11145881</v>
      </c>
      <c r="AW83">
        <v>-378784</v>
      </c>
      <c r="AX83">
        <v>0</v>
      </c>
      <c r="AY83">
        <v>-378784</v>
      </c>
      <c r="AZ83">
        <v>-107479</v>
      </c>
      <c r="BA83">
        <v>0</v>
      </c>
      <c r="BB83">
        <v>-107479</v>
      </c>
      <c r="BC83">
        <v>0</v>
      </c>
      <c r="BD83">
        <v>0</v>
      </c>
      <c r="BE83">
        <v>0</v>
      </c>
      <c r="BF83">
        <v>-30026873</v>
      </c>
      <c r="BG83">
        <v>-11602</v>
      </c>
      <c r="BH83">
        <v>0</v>
      </c>
      <c r="BI83">
        <v>0</v>
      </c>
      <c r="BJ83">
        <v>-30026873</v>
      </c>
      <c r="BK83">
        <v>-11602</v>
      </c>
      <c r="BL83">
        <v>-30038475</v>
      </c>
      <c r="BM83">
        <v>0</v>
      </c>
      <c r="BN83">
        <v>0</v>
      </c>
      <c r="BO83">
        <v>0</v>
      </c>
      <c r="BP83">
        <v>-2823699</v>
      </c>
      <c r="BQ83">
        <v>0</v>
      </c>
      <c r="BR83">
        <v>-2823699</v>
      </c>
      <c r="BS83">
        <v>-2823699</v>
      </c>
      <c r="BT83">
        <v>0</v>
      </c>
      <c r="BU83">
        <v>0</v>
      </c>
      <c r="BV83">
        <v>0</v>
      </c>
      <c r="BW83">
        <v>-2823699</v>
      </c>
      <c r="BX83">
        <v>0</v>
      </c>
      <c r="BY83">
        <v>-2823699</v>
      </c>
      <c r="BZ83">
        <v>-326536</v>
      </c>
      <c r="CA83">
        <v>0</v>
      </c>
      <c r="CB83">
        <v>-326536</v>
      </c>
      <c r="CC83">
        <v>-108251</v>
      </c>
      <c r="CD83">
        <v>0</v>
      </c>
      <c r="CE83">
        <v>-108251</v>
      </c>
      <c r="CF83">
        <v>-31977</v>
      </c>
      <c r="CG83">
        <v>0</v>
      </c>
      <c r="CH83">
        <v>-31977</v>
      </c>
      <c r="CI83">
        <v>0</v>
      </c>
      <c r="CJ83">
        <v>0</v>
      </c>
      <c r="CK83">
        <v>0</v>
      </c>
      <c r="CL83">
        <v>0</v>
      </c>
      <c r="CM83">
        <v>0</v>
      </c>
      <c r="CN83">
        <v>0</v>
      </c>
      <c r="CO83">
        <v>0</v>
      </c>
      <c r="CP83">
        <v>-47862</v>
      </c>
      <c r="CQ83">
        <v>-47862</v>
      </c>
      <c r="CR83">
        <v>-47862</v>
      </c>
      <c r="CS83">
        <v>0</v>
      </c>
      <c r="CT83">
        <v>-466764</v>
      </c>
      <c r="CU83">
        <v>-47862</v>
      </c>
      <c r="CV83">
        <v>0</v>
      </c>
      <c r="CW83">
        <v>0</v>
      </c>
      <c r="CX83">
        <v>-466764</v>
      </c>
      <c r="CY83">
        <v>-47862</v>
      </c>
      <c r="CZ83">
        <v>-514626</v>
      </c>
      <c r="DA83">
        <v>-109050</v>
      </c>
      <c r="DB83">
        <v>0</v>
      </c>
      <c r="DC83">
        <v>-109050</v>
      </c>
      <c r="DD83">
        <v>-129880</v>
      </c>
      <c r="DE83">
        <v>0</v>
      </c>
      <c r="DF83">
        <v>-129880</v>
      </c>
      <c r="DG83">
        <v>0</v>
      </c>
      <c r="DH83">
        <v>0</v>
      </c>
      <c r="DI83">
        <v>0</v>
      </c>
      <c r="DJ83">
        <v>-4038573</v>
      </c>
      <c r="DK83">
        <v>0</v>
      </c>
      <c r="DL83">
        <v>-4038573</v>
      </c>
      <c r="DM83">
        <v>-4277503</v>
      </c>
      <c r="DN83">
        <v>0</v>
      </c>
      <c r="DO83">
        <v>0</v>
      </c>
      <c r="DP83">
        <v>0</v>
      </c>
      <c r="DQ83">
        <v>-4277503</v>
      </c>
      <c r="DR83">
        <v>0</v>
      </c>
      <c r="DS83">
        <v>-4277503</v>
      </c>
      <c r="DT83">
        <v>105064532</v>
      </c>
      <c r="DU83">
        <v>314408</v>
      </c>
      <c r="DV83" s="661">
        <v>105378940</v>
      </c>
      <c r="DW83" t="s">
        <v>1657</v>
      </c>
    </row>
    <row r="84" spans="1:127" ht="12.75" x14ac:dyDescent="0.2">
      <c r="A84" s="605">
        <v>77</v>
      </c>
      <c r="B84" s="606" t="s">
        <v>42</v>
      </c>
      <c r="C84" s="607" t="s">
        <v>1185</v>
      </c>
      <c r="D84" s="608" t="s">
        <v>1186</v>
      </c>
      <c r="E84" s="609" t="s">
        <v>41</v>
      </c>
      <c r="G84">
        <v>110746719</v>
      </c>
      <c r="H84">
        <v>0</v>
      </c>
      <c r="I84">
        <v>110746719</v>
      </c>
      <c r="J84">
        <v>49.9</v>
      </c>
      <c r="K84">
        <v>55262613</v>
      </c>
      <c r="L84">
        <v>0</v>
      </c>
      <c r="M84">
        <v>270000</v>
      </c>
      <c r="N84">
        <v>0</v>
      </c>
      <c r="O84">
        <v>55532613</v>
      </c>
      <c r="P84">
        <v>0</v>
      </c>
      <c r="Q84">
        <v>55532613</v>
      </c>
      <c r="R84">
        <v>-266146.05</v>
      </c>
      <c r="S84">
        <v>0</v>
      </c>
      <c r="T84">
        <v>-266146.05</v>
      </c>
      <c r="U84">
        <v>917165.84</v>
      </c>
      <c r="V84">
        <v>0</v>
      </c>
      <c r="W84">
        <v>917165.84</v>
      </c>
      <c r="X84">
        <v>651019.79</v>
      </c>
      <c r="Y84">
        <v>0</v>
      </c>
      <c r="Z84">
        <v>0</v>
      </c>
      <c r="AA84">
        <v>0</v>
      </c>
      <c r="AB84">
        <v>651019.79</v>
      </c>
      <c r="AC84">
        <v>0</v>
      </c>
      <c r="AD84">
        <v>651019.79</v>
      </c>
      <c r="AE84">
        <v>-651019.79</v>
      </c>
      <c r="AF84">
        <v>0</v>
      </c>
      <c r="AG84">
        <v>-651019.79</v>
      </c>
      <c r="AH84">
        <v>-4460353</v>
      </c>
      <c r="AI84">
        <v>0</v>
      </c>
      <c r="AJ84">
        <v>-4460353</v>
      </c>
      <c r="AK84">
        <v>0</v>
      </c>
      <c r="AL84">
        <v>0</v>
      </c>
      <c r="AM84">
        <v>0</v>
      </c>
      <c r="AN84">
        <v>1080391</v>
      </c>
      <c r="AO84">
        <v>0</v>
      </c>
      <c r="AP84">
        <v>1080391</v>
      </c>
      <c r="AQ84">
        <v>-3379962</v>
      </c>
      <c r="AR84">
        <v>0</v>
      </c>
      <c r="AS84">
        <v>-3379962</v>
      </c>
      <c r="AT84">
        <v>-3117101</v>
      </c>
      <c r="AU84">
        <v>0</v>
      </c>
      <c r="AV84">
        <v>-3117101</v>
      </c>
      <c r="AW84">
        <v>-38871.040000000001</v>
      </c>
      <c r="AX84">
        <v>0</v>
      </c>
      <c r="AY84">
        <v>-38871.040000000001</v>
      </c>
      <c r="AZ84">
        <v>-13849.91</v>
      </c>
      <c r="BA84">
        <v>0</v>
      </c>
      <c r="BB84">
        <v>-13849.91</v>
      </c>
      <c r="BC84">
        <v>0</v>
      </c>
      <c r="BD84">
        <v>0</v>
      </c>
      <c r="BE84">
        <v>0</v>
      </c>
      <c r="BF84">
        <v>-6549783.9500000002</v>
      </c>
      <c r="BG84">
        <v>0</v>
      </c>
      <c r="BH84">
        <v>-50178</v>
      </c>
      <c r="BI84">
        <v>0</v>
      </c>
      <c r="BJ84">
        <v>-6599961.9500000002</v>
      </c>
      <c r="BK84">
        <v>0</v>
      </c>
      <c r="BL84">
        <v>-6599961.9500000002</v>
      </c>
      <c r="BM84">
        <v>0</v>
      </c>
      <c r="BN84">
        <v>0</v>
      </c>
      <c r="BO84">
        <v>0</v>
      </c>
      <c r="BP84">
        <v>-1075559</v>
      </c>
      <c r="BQ84">
        <v>0</v>
      </c>
      <c r="BR84">
        <v>-1075559</v>
      </c>
      <c r="BS84">
        <v>-1075559</v>
      </c>
      <c r="BT84">
        <v>0</v>
      </c>
      <c r="BU84">
        <v>-224441</v>
      </c>
      <c r="BV84">
        <v>0</v>
      </c>
      <c r="BW84">
        <v>-1300000</v>
      </c>
      <c r="BX84">
        <v>0</v>
      </c>
      <c r="BY84">
        <v>-1300000</v>
      </c>
      <c r="BZ84">
        <v>-217465</v>
      </c>
      <c r="CA84">
        <v>0</v>
      </c>
      <c r="CB84">
        <v>-217465</v>
      </c>
      <c r="CC84">
        <v>-11163</v>
      </c>
      <c r="CD84">
        <v>0</v>
      </c>
      <c r="CE84">
        <v>-11163</v>
      </c>
      <c r="CF84">
        <v>0</v>
      </c>
      <c r="CG84">
        <v>0</v>
      </c>
      <c r="CH84">
        <v>0</v>
      </c>
      <c r="CI84">
        <v>0</v>
      </c>
      <c r="CJ84">
        <v>0</v>
      </c>
      <c r="CK84">
        <v>0</v>
      </c>
      <c r="CL84">
        <v>0</v>
      </c>
      <c r="CM84">
        <v>0</v>
      </c>
      <c r="CN84">
        <v>0</v>
      </c>
      <c r="CO84">
        <v>-1625000</v>
      </c>
      <c r="CP84">
        <v>0</v>
      </c>
      <c r="CQ84">
        <v>-1625000</v>
      </c>
      <c r="CR84">
        <v>0</v>
      </c>
      <c r="CS84">
        <v>-1625000</v>
      </c>
      <c r="CT84">
        <v>-1853628</v>
      </c>
      <c r="CU84">
        <v>0</v>
      </c>
      <c r="CV84">
        <v>-7093</v>
      </c>
      <c r="CW84">
        <v>0</v>
      </c>
      <c r="CX84">
        <v>-1860721</v>
      </c>
      <c r="CY84">
        <v>0</v>
      </c>
      <c r="CZ84">
        <v>-1860721</v>
      </c>
      <c r="DA84">
        <v>-13850</v>
      </c>
      <c r="DB84">
        <v>0</v>
      </c>
      <c r="DC84">
        <v>-13850</v>
      </c>
      <c r="DD84">
        <v>-41517.1</v>
      </c>
      <c r="DE84">
        <v>0</v>
      </c>
      <c r="DF84">
        <v>-41517.1</v>
      </c>
      <c r="DG84">
        <v>-6639</v>
      </c>
      <c r="DH84">
        <v>0</v>
      </c>
      <c r="DI84">
        <v>-6639</v>
      </c>
      <c r="DJ84">
        <v>-746123</v>
      </c>
      <c r="DK84">
        <v>0</v>
      </c>
      <c r="DL84">
        <v>-746123</v>
      </c>
      <c r="DM84">
        <v>-808129.1</v>
      </c>
      <c r="DN84">
        <v>0</v>
      </c>
      <c r="DO84">
        <v>0</v>
      </c>
      <c r="DP84">
        <v>0</v>
      </c>
      <c r="DQ84">
        <v>-808129.1</v>
      </c>
      <c r="DR84">
        <v>0</v>
      </c>
      <c r="DS84">
        <v>-808129.1</v>
      </c>
      <c r="DT84">
        <v>45614820.739999995</v>
      </c>
      <c r="DU84">
        <v>0</v>
      </c>
      <c r="DV84" s="661">
        <v>45614820.739999995</v>
      </c>
      <c r="DW84" t="s">
        <v>1735</v>
      </c>
    </row>
    <row r="85" spans="1:127" ht="12.75" x14ac:dyDescent="0.2">
      <c r="A85" s="605">
        <v>78</v>
      </c>
      <c r="B85" s="606" t="s">
        <v>44</v>
      </c>
      <c r="C85" s="607" t="s">
        <v>1192</v>
      </c>
      <c r="D85" s="608" t="s">
        <v>1195</v>
      </c>
      <c r="E85" s="609" t="s">
        <v>43</v>
      </c>
      <c r="G85">
        <v>232034075</v>
      </c>
      <c r="H85">
        <v>992250</v>
      </c>
      <c r="I85">
        <v>233026325</v>
      </c>
      <c r="J85">
        <v>49.9</v>
      </c>
      <c r="K85">
        <v>115785003</v>
      </c>
      <c r="L85">
        <v>495133</v>
      </c>
      <c r="M85">
        <v>22673</v>
      </c>
      <c r="N85">
        <v>21017</v>
      </c>
      <c r="O85">
        <v>115807676</v>
      </c>
      <c r="P85">
        <v>516150</v>
      </c>
      <c r="Q85">
        <v>116323826</v>
      </c>
      <c r="R85">
        <v>-415641</v>
      </c>
      <c r="S85">
        <v>-608</v>
      </c>
      <c r="T85">
        <v>-416249</v>
      </c>
      <c r="U85">
        <v>995197</v>
      </c>
      <c r="V85">
        <v>0</v>
      </c>
      <c r="W85">
        <v>995197</v>
      </c>
      <c r="X85">
        <v>579556</v>
      </c>
      <c r="Y85">
        <v>-608</v>
      </c>
      <c r="Z85">
        <v>0</v>
      </c>
      <c r="AA85">
        <v>0</v>
      </c>
      <c r="AB85">
        <v>579556</v>
      </c>
      <c r="AC85">
        <v>-608</v>
      </c>
      <c r="AD85">
        <v>578948</v>
      </c>
      <c r="AE85">
        <v>-579556</v>
      </c>
      <c r="AF85">
        <v>608</v>
      </c>
      <c r="AG85">
        <v>-578948</v>
      </c>
      <c r="AH85">
        <v>-12318980</v>
      </c>
      <c r="AI85">
        <v>-7735</v>
      </c>
      <c r="AJ85">
        <v>-12326715</v>
      </c>
      <c r="AK85">
        <v>-41222</v>
      </c>
      <c r="AL85">
        <v>0</v>
      </c>
      <c r="AM85">
        <v>-41222</v>
      </c>
      <c r="AN85">
        <v>2012445</v>
      </c>
      <c r="AO85">
        <v>11726</v>
      </c>
      <c r="AP85">
        <v>2024171</v>
      </c>
      <c r="AQ85">
        <v>-10306535</v>
      </c>
      <c r="AR85">
        <v>3991</v>
      </c>
      <c r="AS85">
        <v>-10302544</v>
      </c>
      <c r="AT85">
        <v>-6071641</v>
      </c>
      <c r="AU85">
        <v>0</v>
      </c>
      <c r="AV85">
        <v>-6071641</v>
      </c>
      <c r="AW85">
        <v>-37396</v>
      </c>
      <c r="AX85">
        <v>0</v>
      </c>
      <c r="AY85">
        <v>-37396</v>
      </c>
      <c r="AZ85">
        <v>0</v>
      </c>
      <c r="BA85">
        <v>0</v>
      </c>
      <c r="BB85">
        <v>0</v>
      </c>
      <c r="BC85">
        <v>0</v>
      </c>
      <c r="BD85">
        <v>0</v>
      </c>
      <c r="BE85">
        <v>0</v>
      </c>
      <c r="BF85">
        <v>-16415572</v>
      </c>
      <c r="BG85">
        <v>3991</v>
      </c>
      <c r="BH85">
        <v>-38000</v>
      </c>
      <c r="BI85">
        <v>0</v>
      </c>
      <c r="BJ85">
        <v>-16453572</v>
      </c>
      <c r="BK85">
        <v>3991</v>
      </c>
      <c r="BL85">
        <v>-16449581</v>
      </c>
      <c r="BM85">
        <v>-6000</v>
      </c>
      <c r="BN85">
        <v>0</v>
      </c>
      <c r="BO85">
        <v>-6000</v>
      </c>
      <c r="BP85">
        <v>-3992294</v>
      </c>
      <c r="BQ85">
        <v>-1706</v>
      </c>
      <c r="BR85">
        <v>-3994000</v>
      </c>
      <c r="BS85">
        <v>-3998294</v>
      </c>
      <c r="BT85">
        <v>-1706</v>
      </c>
      <c r="BU85">
        <v>0</v>
      </c>
      <c r="BV85">
        <v>0</v>
      </c>
      <c r="BW85">
        <v>-3998294</v>
      </c>
      <c r="BX85">
        <v>-1706</v>
      </c>
      <c r="BY85">
        <v>-4000000</v>
      </c>
      <c r="BZ85">
        <v>-536800</v>
      </c>
      <c r="CA85">
        <v>0</v>
      </c>
      <c r="CB85">
        <v>-536800</v>
      </c>
      <c r="CC85">
        <v>-66330</v>
      </c>
      <c r="CD85">
        <v>0</v>
      </c>
      <c r="CE85">
        <v>-66330</v>
      </c>
      <c r="CF85">
        <v>-9349</v>
      </c>
      <c r="CG85">
        <v>0</v>
      </c>
      <c r="CH85">
        <v>-9349</v>
      </c>
      <c r="CI85">
        <v>0</v>
      </c>
      <c r="CJ85">
        <v>0</v>
      </c>
      <c r="CK85">
        <v>0</v>
      </c>
      <c r="CL85">
        <v>0</v>
      </c>
      <c r="CM85">
        <v>0</v>
      </c>
      <c r="CN85">
        <v>0</v>
      </c>
      <c r="CO85">
        <v>-175139</v>
      </c>
      <c r="CP85">
        <v>-286243</v>
      </c>
      <c r="CQ85">
        <v>-461382</v>
      </c>
      <c r="CR85">
        <v>-286243</v>
      </c>
      <c r="CS85">
        <v>-173786</v>
      </c>
      <c r="CT85">
        <v>-787618</v>
      </c>
      <c r="CU85">
        <v>-286243</v>
      </c>
      <c r="CV85">
        <v>0</v>
      </c>
      <c r="CW85">
        <v>-21017</v>
      </c>
      <c r="CX85">
        <v>-787618</v>
      </c>
      <c r="CY85">
        <v>-307260</v>
      </c>
      <c r="CZ85">
        <v>-1094878</v>
      </c>
      <c r="DA85">
        <v>0</v>
      </c>
      <c r="DB85">
        <v>0</v>
      </c>
      <c r="DC85">
        <v>0</v>
      </c>
      <c r="DD85">
        <v>-15585</v>
      </c>
      <c r="DE85">
        <v>0</v>
      </c>
      <c r="DF85">
        <v>-15585</v>
      </c>
      <c r="DG85">
        <v>-10000</v>
      </c>
      <c r="DH85">
        <v>0</v>
      </c>
      <c r="DI85">
        <v>-10000</v>
      </c>
      <c r="DJ85">
        <v>-2101623</v>
      </c>
      <c r="DK85">
        <v>0</v>
      </c>
      <c r="DL85">
        <v>-2101623</v>
      </c>
      <c r="DM85">
        <v>-2127208</v>
      </c>
      <c r="DN85">
        <v>0</v>
      </c>
      <c r="DO85">
        <v>0</v>
      </c>
      <c r="DP85">
        <v>0</v>
      </c>
      <c r="DQ85">
        <v>-2127208</v>
      </c>
      <c r="DR85">
        <v>0</v>
      </c>
      <c r="DS85">
        <v>-2127208</v>
      </c>
      <c r="DT85">
        <v>93020540</v>
      </c>
      <c r="DU85">
        <v>210567</v>
      </c>
      <c r="DV85" s="661">
        <v>93231107</v>
      </c>
      <c r="DW85" t="s">
        <v>1736</v>
      </c>
    </row>
    <row r="86" spans="1:127" ht="12.75" x14ac:dyDescent="0.2">
      <c r="A86" s="605">
        <v>79</v>
      </c>
      <c r="B86" s="606" t="s">
        <v>46</v>
      </c>
      <c r="C86" s="607" t="s">
        <v>524</v>
      </c>
      <c r="D86" s="608" t="s">
        <v>1197</v>
      </c>
      <c r="E86" s="609" t="s">
        <v>45</v>
      </c>
      <c r="G86">
        <v>315203754</v>
      </c>
      <c r="H86">
        <v>0</v>
      </c>
      <c r="I86">
        <v>315203754</v>
      </c>
      <c r="J86">
        <v>49.9</v>
      </c>
      <c r="K86">
        <v>157286673</v>
      </c>
      <c r="L86">
        <v>0</v>
      </c>
      <c r="M86">
        <v>191378</v>
      </c>
      <c r="N86">
        <v>207152</v>
      </c>
      <c r="O86">
        <v>157478051</v>
      </c>
      <c r="P86">
        <v>207152</v>
      </c>
      <c r="Q86">
        <v>157685203</v>
      </c>
      <c r="R86">
        <v>-988092</v>
      </c>
      <c r="S86">
        <v>0</v>
      </c>
      <c r="T86">
        <v>-988092</v>
      </c>
      <c r="U86">
        <v>1438934</v>
      </c>
      <c r="V86">
        <v>0</v>
      </c>
      <c r="W86">
        <v>1438934</v>
      </c>
      <c r="X86">
        <v>450842</v>
      </c>
      <c r="Y86">
        <v>0</v>
      </c>
      <c r="Z86">
        <v>0</v>
      </c>
      <c r="AA86">
        <v>0</v>
      </c>
      <c r="AB86">
        <v>450842</v>
      </c>
      <c r="AC86">
        <v>0</v>
      </c>
      <c r="AD86">
        <v>450842</v>
      </c>
      <c r="AE86">
        <v>-450842</v>
      </c>
      <c r="AF86">
        <v>0</v>
      </c>
      <c r="AG86">
        <v>-450842</v>
      </c>
      <c r="AH86">
        <v>-16394827</v>
      </c>
      <c r="AI86">
        <v>0</v>
      </c>
      <c r="AJ86">
        <v>-16394827</v>
      </c>
      <c r="AK86">
        <v>-8105</v>
      </c>
      <c r="AL86">
        <v>0</v>
      </c>
      <c r="AM86">
        <v>-8105</v>
      </c>
      <c r="AN86">
        <v>2747131</v>
      </c>
      <c r="AO86">
        <v>0</v>
      </c>
      <c r="AP86">
        <v>2747131</v>
      </c>
      <c r="AQ86">
        <v>-13647696</v>
      </c>
      <c r="AR86">
        <v>0</v>
      </c>
      <c r="AS86">
        <v>-13647696</v>
      </c>
      <c r="AT86">
        <v>-12402056</v>
      </c>
      <c r="AU86">
        <v>0</v>
      </c>
      <c r="AV86">
        <v>-12402056</v>
      </c>
      <c r="AW86">
        <v>-298299</v>
      </c>
      <c r="AX86">
        <v>0</v>
      </c>
      <c r="AY86">
        <v>-298299</v>
      </c>
      <c r="AZ86">
        <v>-88965</v>
      </c>
      <c r="BA86">
        <v>0</v>
      </c>
      <c r="BB86">
        <v>-88965</v>
      </c>
      <c r="BC86">
        <v>0</v>
      </c>
      <c r="BD86">
        <v>0</v>
      </c>
      <c r="BE86">
        <v>0</v>
      </c>
      <c r="BF86">
        <v>-26437016</v>
      </c>
      <c r="BG86">
        <v>0</v>
      </c>
      <c r="BH86">
        <v>-668810</v>
      </c>
      <c r="BI86">
        <v>0</v>
      </c>
      <c r="BJ86">
        <v>-27105826</v>
      </c>
      <c r="BK86">
        <v>0</v>
      </c>
      <c r="BL86">
        <v>-27105826</v>
      </c>
      <c r="BM86">
        <v>0</v>
      </c>
      <c r="BN86">
        <v>0</v>
      </c>
      <c r="BO86">
        <v>0</v>
      </c>
      <c r="BP86">
        <v>-2790947</v>
      </c>
      <c r="BQ86">
        <v>0</v>
      </c>
      <c r="BR86">
        <v>-2790947</v>
      </c>
      <c r="BS86">
        <v>-2790947</v>
      </c>
      <c r="BT86">
        <v>0</v>
      </c>
      <c r="BU86">
        <v>-3488748</v>
      </c>
      <c r="BV86">
        <v>-104751</v>
      </c>
      <c r="BW86">
        <v>-6279695</v>
      </c>
      <c r="BX86">
        <v>-104751</v>
      </c>
      <c r="BY86">
        <v>-6384446</v>
      </c>
      <c r="BZ86">
        <v>-792053</v>
      </c>
      <c r="CA86">
        <v>0</v>
      </c>
      <c r="CB86">
        <v>-792053</v>
      </c>
      <c r="CC86">
        <v>-240795</v>
      </c>
      <c r="CD86">
        <v>0</v>
      </c>
      <c r="CE86">
        <v>-240795</v>
      </c>
      <c r="CF86">
        <v>0</v>
      </c>
      <c r="CG86">
        <v>0</v>
      </c>
      <c r="CH86">
        <v>0</v>
      </c>
      <c r="CI86">
        <v>0</v>
      </c>
      <c r="CJ86">
        <v>0</v>
      </c>
      <c r="CK86">
        <v>0</v>
      </c>
      <c r="CL86">
        <v>-2893</v>
      </c>
      <c r="CM86">
        <v>0</v>
      </c>
      <c r="CN86">
        <v>-2893</v>
      </c>
      <c r="CO86">
        <v>0</v>
      </c>
      <c r="CP86">
        <v>0</v>
      </c>
      <c r="CQ86">
        <v>0</v>
      </c>
      <c r="CR86">
        <v>0</v>
      </c>
      <c r="CS86">
        <v>0</v>
      </c>
      <c r="CT86">
        <v>-1035741</v>
      </c>
      <c r="CU86">
        <v>0</v>
      </c>
      <c r="CV86">
        <v>-29122</v>
      </c>
      <c r="CW86">
        <v>-66716</v>
      </c>
      <c r="CX86">
        <v>-1064863</v>
      </c>
      <c r="CY86">
        <v>-66716</v>
      </c>
      <c r="CZ86">
        <v>-1131579</v>
      </c>
      <c r="DA86">
        <v>-86072</v>
      </c>
      <c r="DB86">
        <v>0</v>
      </c>
      <c r="DC86">
        <v>-86072</v>
      </c>
      <c r="DD86">
        <v>-82685</v>
      </c>
      <c r="DE86">
        <v>0</v>
      </c>
      <c r="DF86">
        <v>-82685</v>
      </c>
      <c r="DG86">
        <v>-18930</v>
      </c>
      <c r="DH86">
        <v>0</v>
      </c>
      <c r="DI86">
        <v>-18930</v>
      </c>
      <c r="DJ86">
        <v>-2505653</v>
      </c>
      <c r="DK86">
        <v>0</v>
      </c>
      <c r="DL86">
        <v>-2505653</v>
      </c>
      <c r="DM86">
        <v>-2693340</v>
      </c>
      <c r="DN86">
        <v>0</v>
      </c>
      <c r="DO86">
        <v>0</v>
      </c>
      <c r="DP86">
        <v>0</v>
      </c>
      <c r="DQ86">
        <v>-2693340</v>
      </c>
      <c r="DR86">
        <v>0</v>
      </c>
      <c r="DS86">
        <v>-2693340</v>
      </c>
      <c r="DT86">
        <v>120785169</v>
      </c>
      <c r="DU86">
        <v>35685</v>
      </c>
      <c r="DV86" s="661">
        <v>120820854</v>
      </c>
      <c r="DW86" t="s">
        <v>1737</v>
      </c>
    </row>
    <row r="87" spans="1:127" ht="12.75" x14ac:dyDescent="0.2">
      <c r="A87" s="605">
        <v>80</v>
      </c>
      <c r="B87" s="606" t="s">
        <v>48</v>
      </c>
      <c r="C87" s="607" t="s">
        <v>1190</v>
      </c>
      <c r="D87" s="608" t="s">
        <v>1191</v>
      </c>
      <c r="E87" s="609" t="s">
        <v>47</v>
      </c>
      <c r="G87">
        <v>385560619</v>
      </c>
      <c r="H87">
        <v>0</v>
      </c>
      <c r="I87">
        <v>385560619</v>
      </c>
      <c r="J87">
        <v>49.9</v>
      </c>
      <c r="K87">
        <v>192394749</v>
      </c>
      <c r="L87">
        <v>0</v>
      </c>
      <c r="M87">
        <v>-1000000</v>
      </c>
      <c r="N87">
        <v>0</v>
      </c>
      <c r="O87">
        <v>191394749</v>
      </c>
      <c r="P87">
        <v>0</v>
      </c>
      <c r="Q87">
        <v>191394749</v>
      </c>
      <c r="R87">
        <v>-1264392</v>
      </c>
      <c r="S87">
        <v>0</v>
      </c>
      <c r="T87">
        <v>-1264392</v>
      </c>
      <c r="U87">
        <v>571757</v>
      </c>
      <c r="V87">
        <v>0</v>
      </c>
      <c r="W87">
        <v>571757</v>
      </c>
      <c r="X87">
        <v>-692635</v>
      </c>
      <c r="Y87">
        <v>0</v>
      </c>
      <c r="Z87">
        <v>0</v>
      </c>
      <c r="AA87">
        <v>0</v>
      </c>
      <c r="AB87">
        <v>-692635</v>
      </c>
      <c r="AC87">
        <v>0</v>
      </c>
      <c r="AD87">
        <v>-692635</v>
      </c>
      <c r="AE87">
        <v>692635</v>
      </c>
      <c r="AF87">
        <v>0</v>
      </c>
      <c r="AG87">
        <v>692635</v>
      </c>
      <c r="AH87">
        <v>-10464073</v>
      </c>
      <c r="AI87">
        <v>0</v>
      </c>
      <c r="AJ87">
        <v>-10464073</v>
      </c>
      <c r="AK87">
        <v>-7035</v>
      </c>
      <c r="AL87">
        <v>0</v>
      </c>
      <c r="AM87">
        <v>-7035</v>
      </c>
      <c r="AN87">
        <v>5610028</v>
      </c>
      <c r="AO87">
        <v>0</v>
      </c>
      <c r="AP87">
        <v>5610028</v>
      </c>
      <c r="AQ87">
        <v>-4854045</v>
      </c>
      <c r="AR87">
        <v>0</v>
      </c>
      <c r="AS87">
        <v>-4854045</v>
      </c>
      <c r="AT87">
        <v>-9644056</v>
      </c>
      <c r="AU87">
        <v>0</v>
      </c>
      <c r="AV87">
        <v>-9644056</v>
      </c>
      <c r="AW87">
        <v>-73845</v>
      </c>
      <c r="AX87">
        <v>0</v>
      </c>
      <c r="AY87">
        <v>-73845</v>
      </c>
      <c r="AZ87">
        <v>0</v>
      </c>
      <c r="BA87">
        <v>0</v>
      </c>
      <c r="BB87">
        <v>0</v>
      </c>
      <c r="BC87">
        <v>0</v>
      </c>
      <c r="BD87">
        <v>0</v>
      </c>
      <c r="BE87">
        <v>0</v>
      </c>
      <c r="BF87">
        <v>-14571946</v>
      </c>
      <c r="BG87">
        <v>0</v>
      </c>
      <c r="BH87">
        <v>0</v>
      </c>
      <c r="BI87">
        <v>0</v>
      </c>
      <c r="BJ87">
        <v>-14571946</v>
      </c>
      <c r="BK87">
        <v>0</v>
      </c>
      <c r="BL87">
        <v>-14571946</v>
      </c>
      <c r="BM87">
        <v>-100000</v>
      </c>
      <c r="BN87">
        <v>0</v>
      </c>
      <c r="BO87">
        <v>-100000</v>
      </c>
      <c r="BP87">
        <v>-6882757</v>
      </c>
      <c r="BQ87">
        <v>0</v>
      </c>
      <c r="BR87">
        <v>-6882757</v>
      </c>
      <c r="BS87">
        <v>-6982757</v>
      </c>
      <c r="BT87">
        <v>0</v>
      </c>
      <c r="BU87">
        <v>0</v>
      </c>
      <c r="BV87">
        <v>0</v>
      </c>
      <c r="BW87">
        <v>-6982757</v>
      </c>
      <c r="BX87">
        <v>0</v>
      </c>
      <c r="BY87">
        <v>-6982757</v>
      </c>
      <c r="BZ87">
        <v>-181747</v>
      </c>
      <c r="CA87">
        <v>0</v>
      </c>
      <c r="CB87">
        <v>-181747</v>
      </c>
      <c r="CC87">
        <v>-9363</v>
      </c>
      <c r="CD87">
        <v>0</v>
      </c>
      <c r="CE87">
        <v>-9363</v>
      </c>
      <c r="CF87">
        <v>0</v>
      </c>
      <c r="CG87">
        <v>0</v>
      </c>
      <c r="CH87">
        <v>0</v>
      </c>
      <c r="CI87">
        <v>0</v>
      </c>
      <c r="CJ87">
        <v>0</v>
      </c>
      <c r="CK87">
        <v>0</v>
      </c>
      <c r="CL87">
        <v>0</v>
      </c>
      <c r="CM87">
        <v>0</v>
      </c>
      <c r="CN87">
        <v>0</v>
      </c>
      <c r="CO87">
        <v>-10000</v>
      </c>
      <c r="CP87">
        <v>0</v>
      </c>
      <c r="CQ87">
        <v>-10000</v>
      </c>
      <c r="CR87">
        <v>0</v>
      </c>
      <c r="CS87">
        <v>0</v>
      </c>
      <c r="CT87">
        <v>-201110</v>
      </c>
      <c r="CU87">
        <v>0</v>
      </c>
      <c r="CV87">
        <v>0</v>
      </c>
      <c r="CW87">
        <v>0</v>
      </c>
      <c r="CX87">
        <v>-201110</v>
      </c>
      <c r="CY87">
        <v>0</v>
      </c>
      <c r="CZ87">
        <v>-201110</v>
      </c>
      <c r="DA87">
        <v>0</v>
      </c>
      <c r="DB87">
        <v>0</v>
      </c>
      <c r="DC87">
        <v>0</v>
      </c>
      <c r="DD87">
        <v>-176350</v>
      </c>
      <c r="DE87">
        <v>0</v>
      </c>
      <c r="DF87">
        <v>-176350</v>
      </c>
      <c r="DG87">
        <v>-42000</v>
      </c>
      <c r="DH87">
        <v>0</v>
      </c>
      <c r="DI87">
        <v>-42000</v>
      </c>
      <c r="DJ87">
        <v>-5145590</v>
      </c>
      <c r="DK87">
        <v>0</v>
      </c>
      <c r="DL87">
        <v>-5145590</v>
      </c>
      <c r="DM87">
        <v>-5363940</v>
      </c>
      <c r="DN87">
        <v>0</v>
      </c>
      <c r="DO87">
        <v>0</v>
      </c>
      <c r="DP87">
        <v>0</v>
      </c>
      <c r="DQ87">
        <v>-5363940</v>
      </c>
      <c r="DR87">
        <v>0</v>
      </c>
      <c r="DS87">
        <v>-5363940</v>
      </c>
      <c r="DT87">
        <v>163582361</v>
      </c>
      <c r="DU87">
        <v>0</v>
      </c>
      <c r="DV87" s="661">
        <v>163582361</v>
      </c>
      <c r="DW87" t="s">
        <v>1738</v>
      </c>
    </row>
    <row r="88" spans="1:127" ht="12.75" x14ac:dyDescent="0.2">
      <c r="A88" s="605">
        <v>81</v>
      </c>
      <c r="B88" s="606" t="s">
        <v>50</v>
      </c>
      <c r="C88" s="607" t="s">
        <v>1185</v>
      </c>
      <c r="D88" s="608" t="s">
        <v>1189</v>
      </c>
      <c r="E88" s="609" t="s">
        <v>49</v>
      </c>
      <c r="G88">
        <v>56870980</v>
      </c>
      <c r="H88">
        <v>911000</v>
      </c>
      <c r="I88">
        <v>57781980</v>
      </c>
      <c r="J88">
        <v>49.9</v>
      </c>
      <c r="K88">
        <v>28378619</v>
      </c>
      <c r="L88">
        <v>454589</v>
      </c>
      <c r="M88">
        <v>50000</v>
      </c>
      <c r="N88">
        <v>0</v>
      </c>
      <c r="O88">
        <v>28428619</v>
      </c>
      <c r="P88">
        <v>454589</v>
      </c>
      <c r="Q88">
        <v>28883208</v>
      </c>
      <c r="R88">
        <v>-323492</v>
      </c>
      <c r="S88">
        <v>0</v>
      </c>
      <c r="T88">
        <v>-323492</v>
      </c>
      <c r="U88">
        <v>2076</v>
      </c>
      <c r="V88">
        <v>0</v>
      </c>
      <c r="W88">
        <v>2076</v>
      </c>
      <c r="X88">
        <v>-321416</v>
      </c>
      <c r="Y88">
        <v>0</v>
      </c>
      <c r="Z88">
        <v>0</v>
      </c>
      <c r="AA88">
        <v>0</v>
      </c>
      <c r="AB88">
        <v>-321416</v>
      </c>
      <c r="AC88">
        <v>0</v>
      </c>
      <c r="AD88">
        <v>-321416</v>
      </c>
      <c r="AE88">
        <v>321416</v>
      </c>
      <c r="AF88">
        <v>0</v>
      </c>
      <c r="AG88">
        <v>321416</v>
      </c>
      <c r="AH88">
        <v>-2780437</v>
      </c>
      <c r="AI88">
        <v>0</v>
      </c>
      <c r="AJ88">
        <v>-2780437</v>
      </c>
      <c r="AK88">
        <v>0</v>
      </c>
      <c r="AL88">
        <v>0</v>
      </c>
      <c r="AM88">
        <v>0</v>
      </c>
      <c r="AN88">
        <v>451645</v>
      </c>
      <c r="AO88">
        <v>11843</v>
      </c>
      <c r="AP88">
        <v>463488</v>
      </c>
      <c r="AQ88">
        <v>-2328792</v>
      </c>
      <c r="AR88">
        <v>11843</v>
      </c>
      <c r="AS88">
        <v>-2316949</v>
      </c>
      <c r="AT88">
        <v>-2223495</v>
      </c>
      <c r="AU88">
        <v>-102400</v>
      </c>
      <c r="AV88">
        <v>-2325895</v>
      </c>
      <c r="AW88">
        <v>-27668</v>
      </c>
      <c r="AX88">
        <v>0</v>
      </c>
      <c r="AY88">
        <v>-27668</v>
      </c>
      <c r="AZ88">
        <v>-29350</v>
      </c>
      <c r="BA88">
        <v>0</v>
      </c>
      <c r="BB88">
        <v>-29350</v>
      </c>
      <c r="BC88">
        <v>0</v>
      </c>
      <c r="BD88">
        <v>0</v>
      </c>
      <c r="BE88">
        <v>0</v>
      </c>
      <c r="BF88">
        <v>-4609305</v>
      </c>
      <c r="BG88">
        <v>-90557</v>
      </c>
      <c r="BH88">
        <v>0</v>
      </c>
      <c r="BI88">
        <v>0</v>
      </c>
      <c r="BJ88">
        <v>-4609305</v>
      </c>
      <c r="BK88">
        <v>-90557</v>
      </c>
      <c r="BL88">
        <v>-4699862</v>
      </c>
      <c r="BM88">
        <v>0</v>
      </c>
      <c r="BN88">
        <v>0</v>
      </c>
      <c r="BO88">
        <v>0</v>
      </c>
      <c r="BP88">
        <v>-486695</v>
      </c>
      <c r="BQ88">
        <v>0</v>
      </c>
      <c r="BR88">
        <v>-486695</v>
      </c>
      <c r="BS88">
        <v>-486695</v>
      </c>
      <c r="BT88">
        <v>0</v>
      </c>
      <c r="BU88">
        <v>0</v>
      </c>
      <c r="BV88">
        <v>0</v>
      </c>
      <c r="BW88">
        <v>-486695</v>
      </c>
      <c r="BX88">
        <v>0</v>
      </c>
      <c r="BY88">
        <v>-486695</v>
      </c>
      <c r="BZ88">
        <v>-37370</v>
      </c>
      <c r="CA88">
        <v>0</v>
      </c>
      <c r="CB88">
        <v>-37370</v>
      </c>
      <c r="CC88">
        <v>-2000</v>
      </c>
      <c r="CD88">
        <v>0</v>
      </c>
      <c r="CE88">
        <v>-2000</v>
      </c>
      <c r="CF88">
        <v>-5768</v>
      </c>
      <c r="CG88">
        <v>0</v>
      </c>
      <c r="CH88">
        <v>-5768</v>
      </c>
      <c r="CI88">
        <v>0</v>
      </c>
      <c r="CJ88">
        <v>0</v>
      </c>
      <c r="CK88">
        <v>0</v>
      </c>
      <c r="CL88">
        <v>0</v>
      </c>
      <c r="CM88">
        <v>0</v>
      </c>
      <c r="CN88">
        <v>0</v>
      </c>
      <c r="CO88">
        <v>0</v>
      </c>
      <c r="CP88">
        <v>-87812</v>
      </c>
      <c r="CQ88">
        <v>-87812</v>
      </c>
      <c r="CR88">
        <v>-87812</v>
      </c>
      <c r="CS88">
        <v>0</v>
      </c>
      <c r="CT88">
        <v>-45138</v>
      </c>
      <c r="CU88">
        <v>-87812</v>
      </c>
      <c r="CV88">
        <v>0</v>
      </c>
      <c r="CW88">
        <v>0</v>
      </c>
      <c r="CX88">
        <v>-45138</v>
      </c>
      <c r="CY88">
        <v>-87812</v>
      </c>
      <c r="CZ88">
        <v>-132950</v>
      </c>
      <c r="DA88">
        <v>-29350</v>
      </c>
      <c r="DB88">
        <v>0</v>
      </c>
      <c r="DC88">
        <v>-29350</v>
      </c>
      <c r="DD88">
        <v>-36724</v>
      </c>
      <c r="DE88">
        <v>0</v>
      </c>
      <c r="DF88">
        <v>-36724</v>
      </c>
      <c r="DG88">
        <v>-5952</v>
      </c>
      <c r="DH88">
        <v>0</v>
      </c>
      <c r="DI88">
        <v>-5952</v>
      </c>
      <c r="DJ88">
        <v>-553233</v>
      </c>
      <c r="DK88">
        <v>0</v>
      </c>
      <c r="DL88">
        <v>-553233</v>
      </c>
      <c r="DM88">
        <v>-625259</v>
      </c>
      <c r="DN88">
        <v>0</v>
      </c>
      <c r="DO88">
        <v>0</v>
      </c>
      <c r="DP88">
        <v>0</v>
      </c>
      <c r="DQ88">
        <v>-625259</v>
      </c>
      <c r="DR88">
        <v>0</v>
      </c>
      <c r="DS88">
        <v>-625259</v>
      </c>
      <c r="DT88">
        <v>22340806</v>
      </c>
      <c r="DU88">
        <v>276220</v>
      </c>
      <c r="DV88" s="661">
        <v>22617026</v>
      </c>
      <c r="DW88" t="s">
        <v>1739</v>
      </c>
    </row>
    <row r="89" spans="1:127" ht="12.75" x14ac:dyDescent="0.2">
      <c r="A89" s="605">
        <v>82</v>
      </c>
      <c r="B89" s="606" t="s">
        <v>52</v>
      </c>
      <c r="C89" s="607" t="s">
        <v>1185</v>
      </c>
      <c r="D89" s="608" t="s">
        <v>1194</v>
      </c>
      <c r="E89" s="609" t="s">
        <v>51</v>
      </c>
      <c r="G89">
        <v>98890782</v>
      </c>
      <c r="H89">
        <v>2835055</v>
      </c>
      <c r="I89">
        <v>101725837</v>
      </c>
      <c r="J89">
        <v>49.9</v>
      </c>
      <c r="K89">
        <v>49346500</v>
      </c>
      <c r="L89">
        <v>1414692</v>
      </c>
      <c r="M89">
        <v>698433</v>
      </c>
      <c r="N89">
        <v>230400</v>
      </c>
      <c r="O89">
        <v>50044933</v>
      </c>
      <c r="P89">
        <v>1645092</v>
      </c>
      <c r="Q89">
        <v>51690025</v>
      </c>
      <c r="R89">
        <v>-385401</v>
      </c>
      <c r="S89">
        <v>-1905</v>
      </c>
      <c r="T89">
        <v>-387306</v>
      </c>
      <c r="U89">
        <v>131761</v>
      </c>
      <c r="V89">
        <v>0</v>
      </c>
      <c r="W89">
        <v>131761</v>
      </c>
      <c r="X89">
        <v>-253640</v>
      </c>
      <c r="Y89">
        <v>-1905</v>
      </c>
      <c r="Z89">
        <v>0</v>
      </c>
      <c r="AA89">
        <v>0</v>
      </c>
      <c r="AB89">
        <v>-253640</v>
      </c>
      <c r="AC89">
        <v>-1905</v>
      </c>
      <c r="AD89">
        <v>-255545</v>
      </c>
      <c r="AE89">
        <v>253640</v>
      </c>
      <c r="AF89">
        <v>1905</v>
      </c>
      <c r="AG89">
        <v>255545</v>
      </c>
      <c r="AH89">
        <v>-7861053</v>
      </c>
      <c r="AI89">
        <v>-35088</v>
      </c>
      <c r="AJ89">
        <v>-7896141</v>
      </c>
      <c r="AK89">
        <v>-22630</v>
      </c>
      <c r="AL89">
        <v>-6587</v>
      </c>
      <c r="AM89">
        <v>-29217</v>
      </c>
      <c r="AN89">
        <v>709080</v>
      </c>
      <c r="AO89">
        <v>31740</v>
      </c>
      <c r="AP89">
        <v>740820</v>
      </c>
      <c r="AQ89">
        <v>-7151973</v>
      </c>
      <c r="AR89">
        <v>-3348</v>
      </c>
      <c r="AS89">
        <v>-7155321</v>
      </c>
      <c r="AT89">
        <v>-2973996</v>
      </c>
      <c r="AU89">
        <v>-231424</v>
      </c>
      <c r="AV89">
        <v>-3205420</v>
      </c>
      <c r="AW89">
        <v>-510815</v>
      </c>
      <c r="AX89">
        <v>0</v>
      </c>
      <c r="AY89">
        <v>-510815</v>
      </c>
      <c r="AZ89">
        <v>-52066</v>
      </c>
      <c r="BA89">
        <v>0</v>
      </c>
      <c r="BB89">
        <v>-52066</v>
      </c>
      <c r="BC89">
        <v>0</v>
      </c>
      <c r="BD89">
        <v>0</v>
      </c>
      <c r="BE89">
        <v>0</v>
      </c>
      <c r="BF89">
        <v>-10688850</v>
      </c>
      <c r="BG89">
        <v>-234772</v>
      </c>
      <c r="BH89">
        <v>-77430</v>
      </c>
      <c r="BI89">
        <v>-61440</v>
      </c>
      <c r="BJ89">
        <v>-10766280</v>
      </c>
      <c r="BK89">
        <v>-296212</v>
      </c>
      <c r="BL89">
        <v>-11062492</v>
      </c>
      <c r="BM89">
        <v>0</v>
      </c>
      <c r="BN89">
        <v>0</v>
      </c>
      <c r="BO89">
        <v>0</v>
      </c>
      <c r="BP89">
        <v>-868184</v>
      </c>
      <c r="BQ89">
        <v>-4110</v>
      </c>
      <c r="BR89">
        <v>-872294</v>
      </c>
      <c r="BS89">
        <v>-868184</v>
      </c>
      <c r="BT89">
        <v>-4110</v>
      </c>
      <c r="BU89">
        <v>-100000</v>
      </c>
      <c r="BV89">
        <v>0</v>
      </c>
      <c r="BW89">
        <v>-968184</v>
      </c>
      <c r="BX89">
        <v>-4110</v>
      </c>
      <c r="BY89">
        <v>-972294</v>
      </c>
      <c r="BZ89">
        <v>-145363</v>
      </c>
      <c r="CA89">
        <v>0</v>
      </c>
      <c r="CB89">
        <v>-145363</v>
      </c>
      <c r="CC89">
        <v>-424</v>
      </c>
      <c r="CD89">
        <v>0</v>
      </c>
      <c r="CE89">
        <v>-424</v>
      </c>
      <c r="CF89">
        <v>-95841</v>
      </c>
      <c r="CG89">
        <v>0</v>
      </c>
      <c r="CH89">
        <v>-95841</v>
      </c>
      <c r="CI89">
        <v>0</v>
      </c>
      <c r="CJ89">
        <v>0</v>
      </c>
      <c r="CK89">
        <v>0</v>
      </c>
      <c r="CL89">
        <v>0</v>
      </c>
      <c r="CM89">
        <v>0</v>
      </c>
      <c r="CN89">
        <v>0</v>
      </c>
      <c r="CO89">
        <v>0</v>
      </c>
      <c r="CP89">
        <v>-350239</v>
      </c>
      <c r="CQ89">
        <v>-350239</v>
      </c>
      <c r="CR89">
        <v>-350239</v>
      </c>
      <c r="CS89">
        <v>0</v>
      </c>
      <c r="CT89">
        <v>-241628</v>
      </c>
      <c r="CU89">
        <v>-350239</v>
      </c>
      <c r="CV89">
        <v>582</v>
      </c>
      <c r="CW89">
        <v>0</v>
      </c>
      <c r="CX89">
        <v>-241046</v>
      </c>
      <c r="CY89">
        <v>-350239</v>
      </c>
      <c r="CZ89">
        <v>-591285</v>
      </c>
      <c r="DA89">
        <v>-52066</v>
      </c>
      <c r="DB89">
        <v>0</v>
      </c>
      <c r="DC89">
        <v>-52066</v>
      </c>
      <c r="DD89">
        <v>-17248</v>
      </c>
      <c r="DE89">
        <v>0</v>
      </c>
      <c r="DF89">
        <v>-17248</v>
      </c>
      <c r="DG89">
        <v>-7000</v>
      </c>
      <c r="DH89">
        <v>0</v>
      </c>
      <c r="DI89">
        <v>-7000</v>
      </c>
      <c r="DJ89">
        <v>-1156923</v>
      </c>
      <c r="DK89">
        <v>0</v>
      </c>
      <c r="DL89">
        <v>-1156923</v>
      </c>
      <c r="DM89">
        <v>-1233237</v>
      </c>
      <c r="DN89">
        <v>0</v>
      </c>
      <c r="DO89">
        <v>435</v>
      </c>
      <c r="DP89">
        <v>0</v>
      </c>
      <c r="DQ89">
        <v>-1232802</v>
      </c>
      <c r="DR89">
        <v>0</v>
      </c>
      <c r="DS89">
        <v>-1232802</v>
      </c>
      <c r="DT89">
        <v>36582981</v>
      </c>
      <c r="DU89">
        <v>992626</v>
      </c>
      <c r="DV89" s="661">
        <v>37575607</v>
      </c>
      <c r="DW89" t="s">
        <v>1740</v>
      </c>
    </row>
    <row r="90" spans="1:127" ht="12.75" x14ac:dyDescent="0.2">
      <c r="A90" s="605">
        <v>83</v>
      </c>
      <c r="B90" s="606" t="s">
        <v>54</v>
      </c>
      <c r="C90" s="607" t="s">
        <v>1185</v>
      </c>
      <c r="D90" s="608" t="s">
        <v>1186</v>
      </c>
      <c r="E90" s="609" t="s">
        <v>53</v>
      </c>
      <c r="G90">
        <v>86860920</v>
      </c>
      <c r="H90">
        <v>170850</v>
      </c>
      <c r="I90">
        <v>87031770</v>
      </c>
      <c r="J90">
        <v>49.9</v>
      </c>
      <c r="K90">
        <v>43343599</v>
      </c>
      <c r="L90">
        <v>85254</v>
      </c>
      <c r="M90">
        <v>74240</v>
      </c>
      <c r="N90">
        <v>0</v>
      </c>
      <c r="O90">
        <v>43417839</v>
      </c>
      <c r="P90">
        <v>85254</v>
      </c>
      <c r="Q90">
        <v>43503093</v>
      </c>
      <c r="R90">
        <v>-323195</v>
      </c>
      <c r="S90">
        <v>0</v>
      </c>
      <c r="T90">
        <v>-323195</v>
      </c>
      <c r="U90">
        <v>33958</v>
      </c>
      <c r="V90">
        <v>0</v>
      </c>
      <c r="W90">
        <v>33958</v>
      </c>
      <c r="X90">
        <v>-289237</v>
      </c>
      <c r="Y90">
        <v>0</v>
      </c>
      <c r="Z90">
        <v>0</v>
      </c>
      <c r="AA90">
        <v>0</v>
      </c>
      <c r="AB90">
        <v>-289237</v>
      </c>
      <c r="AC90">
        <v>0</v>
      </c>
      <c r="AD90">
        <v>-289237</v>
      </c>
      <c r="AE90">
        <v>289237</v>
      </c>
      <c r="AF90">
        <v>0</v>
      </c>
      <c r="AG90">
        <v>289237</v>
      </c>
      <c r="AH90">
        <v>-4671254</v>
      </c>
      <c r="AI90">
        <v>-4915</v>
      </c>
      <c r="AJ90">
        <v>-4676169</v>
      </c>
      <c r="AK90">
        <v>-3009</v>
      </c>
      <c r="AL90">
        <v>0</v>
      </c>
      <c r="AM90">
        <v>-3009</v>
      </c>
      <c r="AN90">
        <v>652414</v>
      </c>
      <c r="AO90">
        <v>1102</v>
      </c>
      <c r="AP90">
        <v>653516</v>
      </c>
      <c r="AQ90">
        <v>-4018840</v>
      </c>
      <c r="AR90">
        <v>-3813</v>
      </c>
      <c r="AS90">
        <v>-4022653</v>
      </c>
      <c r="AT90">
        <v>-2960794</v>
      </c>
      <c r="AU90">
        <v>-31171</v>
      </c>
      <c r="AV90">
        <v>-2991965</v>
      </c>
      <c r="AW90">
        <v>-34396</v>
      </c>
      <c r="AX90">
        <v>0</v>
      </c>
      <c r="AY90">
        <v>-34396</v>
      </c>
      <c r="AZ90">
        <v>0</v>
      </c>
      <c r="BA90">
        <v>0</v>
      </c>
      <c r="BB90">
        <v>0</v>
      </c>
      <c r="BC90">
        <v>0</v>
      </c>
      <c r="BD90">
        <v>0</v>
      </c>
      <c r="BE90">
        <v>0</v>
      </c>
      <c r="BF90">
        <v>-7014030</v>
      </c>
      <c r="BG90">
        <v>-34984</v>
      </c>
      <c r="BH90">
        <v>-59392</v>
      </c>
      <c r="BI90">
        <v>0</v>
      </c>
      <c r="BJ90">
        <v>-7073422</v>
      </c>
      <c r="BK90">
        <v>-34984</v>
      </c>
      <c r="BL90">
        <v>-7108406</v>
      </c>
      <c r="BM90">
        <v>0</v>
      </c>
      <c r="BN90">
        <v>0</v>
      </c>
      <c r="BO90">
        <v>0</v>
      </c>
      <c r="BP90">
        <v>-1084225</v>
      </c>
      <c r="BQ90">
        <v>-1382</v>
      </c>
      <c r="BR90">
        <v>-1085607</v>
      </c>
      <c r="BS90">
        <v>-1084225</v>
      </c>
      <c r="BT90">
        <v>-1382</v>
      </c>
      <c r="BU90">
        <v>0</v>
      </c>
      <c r="BV90">
        <v>0</v>
      </c>
      <c r="BW90">
        <v>-1084225</v>
      </c>
      <c r="BX90">
        <v>-1382</v>
      </c>
      <c r="BY90">
        <v>-1085607</v>
      </c>
      <c r="BZ90">
        <v>-131768</v>
      </c>
      <c r="CA90">
        <v>0</v>
      </c>
      <c r="CB90">
        <v>-131768</v>
      </c>
      <c r="CC90">
        <v>-4950</v>
      </c>
      <c r="CD90">
        <v>0</v>
      </c>
      <c r="CE90">
        <v>-4950</v>
      </c>
      <c r="CF90">
        <v>-4399</v>
      </c>
      <c r="CG90">
        <v>0</v>
      </c>
      <c r="CH90">
        <v>-4399</v>
      </c>
      <c r="CI90">
        <v>0</v>
      </c>
      <c r="CJ90">
        <v>0</v>
      </c>
      <c r="CK90">
        <v>0</v>
      </c>
      <c r="CL90">
        <v>0</v>
      </c>
      <c r="CM90">
        <v>0</v>
      </c>
      <c r="CN90">
        <v>0</v>
      </c>
      <c r="CO90">
        <v>0</v>
      </c>
      <c r="CP90">
        <v>-21014</v>
      </c>
      <c r="CQ90">
        <v>-21014</v>
      </c>
      <c r="CR90">
        <v>-21014</v>
      </c>
      <c r="CS90">
        <v>0</v>
      </c>
      <c r="CT90">
        <v>-141117</v>
      </c>
      <c r="CU90">
        <v>-21014</v>
      </c>
      <c r="CV90">
        <v>0</v>
      </c>
      <c r="CW90">
        <v>0</v>
      </c>
      <c r="CX90">
        <v>-141117</v>
      </c>
      <c r="CY90">
        <v>-21014</v>
      </c>
      <c r="CZ90">
        <v>-162131</v>
      </c>
      <c r="DA90">
        <v>-27858</v>
      </c>
      <c r="DB90">
        <v>0</v>
      </c>
      <c r="DC90">
        <v>-27858</v>
      </c>
      <c r="DD90">
        <v>-45711</v>
      </c>
      <c r="DE90">
        <v>0</v>
      </c>
      <c r="DF90">
        <v>-45711</v>
      </c>
      <c r="DG90">
        <v>-12000</v>
      </c>
      <c r="DH90">
        <v>0</v>
      </c>
      <c r="DI90">
        <v>-12000</v>
      </c>
      <c r="DJ90">
        <v>-1364683</v>
      </c>
      <c r="DK90">
        <v>0</v>
      </c>
      <c r="DL90">
        <v>-1364683</v>
      </c>
      <c r="DM90">
        <v>-1450252</v>
      </c>
      <c r="DN90">
        <v>0</v>
      </c>
      <c r="DO90">
        <v>0</v>
      </c>
      <c r="DP90">
        <v>0</v>
      </c>
      <c r="DQ90">
        <v>-1450252</v>
      </c>
      <c r="DR90">
        <v>0</v>
      </c>
      <c r="DS90">
        <v>-1450252</v>
      </c>
      <c r="DT90">
        <v>33379586</v>
      </c>
      <c r="DU90">
        <v>27874</v>
      </c>
      <c r="DV90" s="661">
        <v>33407460</v>
      </c>
      <c r="DW90" t="s">
        <v>1741</v>
      </c>
    </row>
    <row r="91" spans="1:127" ht="12.75" x14ac:dyDescent="0.2">
      <c r="A91" s="605">
        <v>84</v>
      </c>
      <c r="B91" s="606" t="s">
        <v>56</v>
      </c>
      <c r="C91" s="607" t="s">
        <v>1185</v>
      </c>
      <c r="D91" s="608" t="s">
        <v>1189</v>
      </c>
      <c r="E91" s="609" t="s">
        <v>55</v>
      </c>
      <c r="G91">
        <v>117846979</v>
      </c>
      <c r="H91">
        <v>0</v>
      </c>
      <c r="I91">
        <v>117846979</v>
      </c>
      <c r="J91">
        <v>49.9</v>
      </c>
      <c r="K91">
        <v>58805643</v>
      </c>
      <c r="L91">
        <v>0</v>
      </c>
      <c r="M91">
        <v>379140</v>
      </c>
      <c r="N91">
        <v>0</v>
      </c>
      <c r="O91">
        <v>59184783</v>
      </c>
      <c r="P91">
        <v>0</v>
      </c>
      <c r="Q91">
        <v>59184783</v>
      </c>
      <c r="R91">
        <v>-388326</v>
      </c>
      <c r="S91">
        <v>0</v>
      </c>
      <c r="T91">
        <v>-388326</v>
      </c>
      <c r="U91">
        <v>209796</v>
      </c>
      <c r="V91">
        <v>0</v>
      </c>
      <c r="W91">
        <v>209796</v>
      </c>
      <c r="X91">
        <v>-178530</v>
      </c>
      <c r="Y91">
        <v>0</v>
      </c>
      <c r="Z91">
        <v>0</v>
      </c>
      <c r="AA91">
        <v>0</v>
      </c>
      <c r="AB91">
        <v>-178530</v>
      </c>
      <c r="AC91">
        <v>0</v>
      </c>
      <c r="AD91">
        <v>-178530</v>
      </c>
      <c r="AE91">
        <v>178530</v>
      </c>
      <c r="AF91">
        <v>0</v>
      </c>
      <c r="AG91">
        <v>178530</v>
      </c>
      <c r="AH91">
        <v>-5699417</v>
      </c>
      <c r="AI91">
        <v>0</v>
      </c>
      <c r="AJ91">
        <v>-5699417</v>
      </c>
      <c r="AK91">
        <v>0</v>
      </c>
      <c r="AL91">
        <v>0</v>
      </c>
      <c r="AM91">
        <v>0</v>
      </c>
      <c r="AN91">
        <v>943299</v>
      </c>
      <c r="AO91">
        <v>0</v>
      </c>
      <c r="AP91">
        <v>943299</v>
      </c>
      <c r="AQ91">
        <v>-4756118</v>
      </c>
      <c r="AR91">
        <v>0</v>
      </c>
      <c r="AS91">
        <v>-4756118</v>
      </c>
      <c r="AT91">
        <v>-4784917</v>
      </c>
      <c r="AU91">
        <v>0</v>
      </c>
      <c r="AV91">
        <v>-4784917</v>
      </c>
      <c r="AW91">
        <v>-86420</v>
      </c>
      <c r="AX91">
        <v>0</v>
      </c>
      <c r="AY91">
        <v>-86420</v>
      </c>
      <c r="AZ91">
        <v>-38867</v>
      </c>
      <c r="BA91">
        <v>0</v>
      </c>
      <c r="BB91">
        <v>-38867</v>
      </c>
      <c r="BC91">
        <v>0</v>
      </c>
      <c r="BD91">
        <v>0</v>
      </c>
      <c r="BE91">
        <v>0</v>
      </c>
      <c r="BF91">
        <v>-9666322</v>
      </c>
      <c r="BG91">
        <v>0</v>
      </c>
      <c r="BH91">
        <v>0</v>
      </c>
      <c r="BI91">
        <v>0</v>
      </c>
      <c r="BJ91">
        <v>-9666322</v>
      </c>
      <c r="BK91">
        <v>0</v>
      </c>
      <c r="BL91">
        <v>-9666322</v>
      </c>
      <c r="BM91">
        <v>0</v>
      </c>
      <c r="BN91">
        <v>0</v>
      </c>
      <c r="BO91">
        <v>0</v>
      </c>
      <c r="BP91">
        <v>-1233738</v>
      </c>
      <c r="BQ91">
        <v>0</v>
      </c>
      <c r="BR91">
        <v>-1233738</v>
      </c>
      <c r="BS91">
        <v>-1233738</v>
      </c>
      <c r="BT91">
        <v>0</v>
      </c>
      <c r="BU91">
        <v>-137937</v>
      </c>
      <c r="BV91">
        <v>0</v>
      </c>
      <c r="BW91">
        <v>-1371675</v>
      </c>
      <c r="BX91">
        <v>0</v>
      </c>
      <c r="BY91">
        <v>-1371675</v>
      </c>
      <c r="BZ91">
        <v>-204226</v>
      </c>
      <c r="CA91">
        <v>0</v>
      </c>
      <c r="CB91">
        <v>-204226</v>
      </c>
      <c r="CC91">
        <v>-49195</v>
      </c>
      <c r="CD91">
        <v>0</v>
      </c>
      <c r="CE91">
        <v>-49195</v>
      </c>
      <c r="CF91">
        <v>0</v>
      </c>
      <c r="CG91">
        <v>0</v>
      </c>
      <c r="CH91">
        <v>0</v>
      </c>
      <c r="CI91">
        <v>-1421</v>
      </c>
      <c r="CJ91">
        <v>0</v>
      </c>
      <c r="CK91">
        <v>-1421</v>
      </c>
      <c r="CL91">
        <v>0</v>
      </c>
      <c r="CM91">
        <v>0</v>
      </c>
      <c r="CN91">
        <v>0</v>
      </c>
      <c r="CO91">
        <v>0</v>
      </c>
      <c r="CP91">
        <v>0</v>
      </c>
      <c r="CQ91">
        <v>0</v>
      </c>
      <c r="CR91">
        <v>0</v>
      </c>
      <c r="CS91">
        <v>0</v>
      </c>
      <c r="CT91">
        <v>-254842</v>
      </c>
      <c r="CU91">
        <v>0</v>
      </c>
      <c r="CV91">
        <v>0</v>
      </c>
      <c r="CW91">
        <v>0</v>
      </c>
      <c r="CX91">
        <v>-254842</v>
      </c>
      <c r="CY91">
        <v>0</v>
      </c>
      <c r="CZ91">
        <v>-254842</v>
      </c>
      <c r="DA91">
        <v>-37432</v>
      </c>
      <c r="DB91">
        <v>0</v>
      </c>
      <c r="DC91">
        <v>-37432</v>
      </c>
      <c r="DD91">
        <v>-31129</v>
      </c>
      <c r="DE91">
        <v>0</v>
      </c>
      <c r="DF91">
        <v>-31129</v>
      </c>
      <c r="DG91">
        <v>-9000</v>
      </c>
      <c r="DH91">
        <v>0</v>
      </c>
      <c r="DI91">
        <v>-9000</v>
      </c>
      <c r="DJ91">
        <v>-1886331</v>
      </c>
      <c r="DK91">
        <v>0</v>
      </c>
      <c r="DL91">
        <v>-1886331</v>
      </c>
      <c r="DM91">
        <v>-1963892</v>
      </c>
      <c r="DN91">
        <v>0</v>
      </c>
      <c r="DO91">
        <v>-70500</v>
      </c>
      <c r="DP91">
        <v>0</v>
      </c>
      <c r="DQ91">
        <v>-2034392</v>
      </c>
      <c r="DR91">
        <v>0</v>
      </c>
      <c r="DS91">
        <v>-2034392</v>
      </c>
      <c r="DT91">
        <v>45679022</v>
      </c>
      <c r="DU91">
        <v>0</v>
      </c>
      <c r="DV91" s="661">
        <v>45679022</v>
      </c>
      <c r="DW91" t="s">
        <v>1742</v>
      </c>
    </row>
    <row r="92" spans="1:127" ht="12.75" x14ac:dyDescent="0.2">
      <c r="A92" s="605">
        <v>85</v>
      </c>
      <c r="B92" s="606" t="s">
        <v>58</v>
      </c>
      <c r="C92" s="607" t="s">
        <v>1185</v>
      </c>
      <c r="D92" s="608" t="s">
        <v>1188</v>
      </c>
      <c r="E92" s="609" t="s">
        <v>57</v>
      </c>
      <c r="G92">
        <v>101699961</v>
      </c>
      <c r="H92">
        <v>0</v>
      </c>
      <c r="I92">
        <v>101699961</v>
      </c>
      <c r="J92">
        <v>49.9</v>
      </c>
      <c r="K92">
        <v>50748281</v>
      </c>
      <c r="L92">
        <v>0</v>
      </c>
      <c r="M92">
        <v>0</v>
      </c>
      <c r="N92">
        <v>0</v>
      </c>
      <c r="O92">
        <v>50748281</v>
      </c>
      <c r="P92">
        <v>0</v>
      </c>
      <c r="Q92">
        <v>50748281</v>
      </c>
      <c r="R92">
        <v>-579146</v>
      </c>
      <c r="S92">
        <v>0</v>
      </c>
      <c r="T92">
        <v>-579146</v>
      </c>
      <c r="U92">
        <v>41267</v>
      </c>
      <c r="V92">
        <v>0</v>
      </c>
      <c r="W92">
        <v>41267</v>
      </c>
      <c r="X92">
        <v>-537879</v>
      </c>
      <c r="Y92">
        <v>0</v>
      </c>
      <c r="Z92">
        <v>0</v>
      </c>
      <c r="AA92">
        <v>0</v>
      </c>
      <c r="AB92">
        <v>-537879</v>
      </c>
      <c r="AC92">
        <v>0</v>
      </c>
      <c r="AD92">
        <v>-537879</v>
      </c>
      <c r="AE92">
        <v>537879</v>
      </c>
      <c r="AF92">
        <v>0</v>
      </c>
      <c r="AG92">
        <v>537879</v>
      </c>
      <c r="AH92">
        <v>-7436998</v>
      </c>
      <c r="AI92">
        <v>0</v>
      </c>
      <c r="AJ92">
        <v>-7436998</v>
      </c>
      <c r="AK92">
        <v>0</v>
      </c>
      <c r="AL92">
        <v>0</v>
      </c>
      <c r="AM92">
        <v>0</v>
      </c>
      <c r="AN92">
        <v>722350</v>
      </c>
      <c r="AO92">
        <v>0</v>
      </c>
      <c r="AP92">
        <v>722350</v>
      </c>
      <c r="AQ92">
        <v>-6714648</v>
      </c>
      <c r="AR92">
        <v>0</v>
      </c>
      <c r="AS92">
        <v>-6714648</v>
      </c>
      <c r="AT92">
        <v>-2993358</v>
      </c>
      <c r="AU92">
        <v>0</v>
      </c>
      <c r="AV92">
        <v>-2993358</v>
      </c>
      <c r="AW92">
        <v>-78076</v>
      </c>
      <c r="AX92">
        <v>0</v>
      </c>
      <c r="AY92">
        <v>-78076</v>
      </c>
      <c r="AZ92">
        <v>-87407</v>
      </c>
      <c r="BA92">
        <v>0</v>
      </c>
      <c r="BB92">
        <v>-87407</v>
      </c>
      <c r="BC92">
        <v>0</v>
      </c>
      <c r="BD92">
        <v>0</v>
      </c>
      <c r="BE92">
        <v>0</v>
      </c>
      <c r="BF92">
        <v>-9873489</v>
      </c>
      <c r="BG92">
        <v>0</v>
      </c>
      <c r="BH92">
        <v>0</v>
      </c>
      <c r="BI92">
        <v>0</v>
      </c>
      <c r="BJ92">
        <v>-9873489</v>
      </c>
      <c r="BK92">
        <v>0</v>
      </c>
      <c r="BL92">
        <v>-9873489</v>
      </c>
      <c r="BM92">
        <v>0</v>
      </c>
      <c r="BN92">
        <v>0</v>
      </c>
      <c r="BO92">
        <v>0</v>
      </c>
      <c r="BP92">
        <v>-472432</v>
      </c>
      <c r="BQ92">
        <v>0</v>
      </c>
      <c r="BR92">
        <v>-472432</v>
      </c>
      <c r="BS92">
        <v>-472432</v>
      </c>
      <c r="BT92">
        <v>0</v>
      </c>
      <c r="BU92">
        <v>-22452</v>
      </c>
      <c r="BV92">
        <v>0</v>
      </c>
      <c r="BW92">
        <v>-494884</v>
      </c>
      <c r="BX92">
        <v>0</v>
      </c>
      <c r="BY92">
        <v>-494884</v>
      </c>
      <c r="BZ92">
        <v>-80955</v>
      </c>
      <c r="CA92">
        <v>0</v>
      </c>
      <c r="CB92">
        <v>-80955</v>
      </c>
      <c r="CC92">
        <v>-347</v>
      </c>
      <c r="CD92">
        <v>0</v>
      </c>
      <c r="CE92">
        <v>-347</v>
      </c>
      <c r="CF92">
        <v>-6292</v>
      </c>
      <c r="CG92">
        <v>0</v>
      </c>
      <c r="CH92">
        <v>-6292</v>
      </c>
      <c r="CI92">
        <v>0</v>
      </c>
      <c r="CJ92">
        <v>0</v>
      </c>
      <c r="CK92">
        <v>0</v>
      </c>
      <c r="CL92">
        <v>0</v>
      </c>
      <c r="CM92">
        <v>0</v>
      </c>
      <c r="CN92">
        <v>0</v>
      </c>
      <c r="CO92">
        <v>0</v>
      </c>
      <c r="CP92">
        <v>0</v>
      </c>
      <c r="CQ92">
        <v>0</v>
      </c>
      <c r="CR92">
        <v>0</v>
      </c>
      <c r="CS92">
        <v>0</v>
      </c>
      <c r="CT92">
        <v>-87594</v>
      </c>
      <c r="CU92">
        <v>0</v>
      </c>
      <c r="CV92">
        <v>-10000</v>
      </c>
      <c r="CW92">
        <v>0</v>
      </c>
      <c r="CX92">
        <v>-97594</v>
      </c>
      <c r="CY92">
        <v>0</v>
      </c>
      <c r="CZ92">
        <v>-97594</v>
      </c>
      <c r="DA92">
        <v>-87407</v>
      </c>
      <c r="DB92">
        <v>0</v>
      </c>
      <c r="DC92">
        <v>-87407</v>
      </c>
      <c r="DD92">
        <v>-75909</v>
      </c>
      <c r="DE92">
        <v>0</v>
      </c>
      <c r="DF92">
        <v>-75909</v>
      </c>
      <c r="DG92">
        <v>-12013</v>
      </c>
      <c r="DH92">
        <v>0</v>
      </c>
      <c r="DI92">
        <v>-12013</v>
      </c>
      <c r="DJ92">
        <v>-1153965</v>
      </c>
      <c r="DK92">
        <v>0</v>
      </c>
      <c r="DL92">
        <v>-1153965</v>
      </c>
      <c r="DM92">
        <v>-1329294</v>
      </c>
      <c r="DN92">
        <v>0</v>
      </c>
      <c r="DO92">
        <v>0</v>
      </c>
      <c r="DP92">
        <v>0</v>
      </c>
      <c r="DQ92">
        <v>-1329294</v>
      </c>
      <c r="DR92">
        <v>0</v>
      </c>
      <c r="DS92">
        <v>-1329294</v>
      </c>
      <c r="DT92">
        <v>38415141</v>
      </c>
      <c r="DU92">
        <v>0</v>
      </c>
      <c r="DV92" s="661">
        <v>38415141</v>
      </c>
      <c r="DW92" t="s">
        <v>1743</v>
      </c>
    </row>
    <row r="93" spans="1:127" ht="12.75" x14ac:dyDescent="0.2">
      <c r="A93" s="605">
        <v>86</v>
      </c>
      <c r="B93" s="606" t="s">
        <v>60</v>
      </c>
      <c r="C93" s="607" t="s">
        <v>1185</v>
      </c>
      <c r="D93" s="608" t="s">
        <v>1188</v>
      </c>
      <c r="E93" s="609" t="s">
        <v>59</v>
      </c>
      <c r="G93">
        <v>82927941</v>
      </c>
      <c r="H93">
        <v>0</v>
      </c>
      <c r="I93">
        <v>82927941</v>
      </c>
      <c r="J93">
        <v>49.9</v>
      </c>
      <c r="K93">
        <v>41381043</v>
      </c>
      <c r="L93">
        <v>0</v>
      </c>
      <c r="M93">
        <v>1779894</v>
      </c>
      <c r="N93">
        <v>0</v>
      </c>
      <c r="O93">
        <v>43160937</v>
      </c>
      <c r="P93">
        <v>0</v>
      </c>
      <c r="Q93">
        <v>43160937</v>
      </c>
      <c r="R93">
        <v>-104010</v>
      </c>
      <c r="S93">
        <v>0</v>
      </c>
      <c r="T93">
        <v>-104010</v>
      </c>
      <c r="U93">
        <v>167405</v>
      </c>
      <c r="V93">
        <v>0</v>
      </c>
      <c r="W93">
        <v>167405</v>
      </c>
      <c r="X93">
        <v>63395</v>
      </c>
      <c r="Y93">
        <v>0</v>
      </c>
      <c r="Z93">
        <v>0</v>
      </c>
      <c r="AA93">
        <v>0</v>
      </c>
      <c r="AB93">
        <v>63395</v>
      </c>
      <c r="AC93">
        <v>0</v>
      </c>
      <c r="AD93">
        <v>63395</v>
      </c>
      <c r="AE93">
        <v>-63395</v>
      </c>
      <c r="AF93">
        <v>0</v>
      </c>
      <c r="AG93">
        <v>-63395</v>
      </c>
      <c r="AH93">
        <v>-3234812</v>
      </c>
      <c r="AI93">
        <v>0</v>
      </c>
      <c r="AJ93">
        <v>-3234812</v>
      </c>
      <c r="AK93">
        <v>-5240</v>
      </c>
      <c r="AL93">
        <v>0</v>
      </c>
      <c r="AM93">
        <v>-5240</v>
      </c>
      <c r="AN93">
        <v>819459</v>
      </c>
      <c r="AO93">
        <v>0</v>
      </c>
      <c r="AP93">
        <v>819459</v>
      </c>
      <c r="AQ93">
        <v>-2415353</v>
      </c>
      <c r="AR93">
        <v>0</v>
      </c>
      <c r="AS93">
        <v>-2415353</v>
      </c>
      <c r="AT93">
        <v>-2124819</v>
      </c>
      <c r="AU93">
        <v>0</v>
      </c>
      <c r="AV93">
        <v>-2124819</v>
      </c>
      <c r="AW93">
        <v>-44308</v>
      </c>
      <c r="AX93">
        <v>0</v>
      </c>
      <c r="AY93">
        <v>-44308</v>
      </c>
      <c r="AZ93">
        <v>-19866</v>
      </c>
      <c r="BA93">
        <v>0</v>
      </c>
      <c r="BB93">
        <v>-19866</v>
      </c>
      <c r="BC93">
        <v>0</v>
      </c>
      <c r="BD93">
        <v>0</v>
      </c>
      <c r="BE93">
        <v>0</v>
      </c>
      <c r="BF93">
        <v>-4604346</v>
      </c>
      <c r="BG93">
        <v>0</v>
      </c>
      <c r="BH93">
        <v>0</v>
      </c>
      <c r="BI93">
        <v>0</v>
      </c>
      <c r="BJ93">
        <v>-4604346</v>
      </c>
      <c r="BK93">
        <v>0</v>
      </c>
      <c r="BL93">
        <v>-4604346</v>
      </c>
      <c r="BM93">
        <v>-500000</v>
      </c>
      <c r="BN93">
        <v>0</v>
      </c>
      <c r="BO93">
        <v>-500000</v>
      </c>
      <c r="BP93">
        <v>-347736</v>
      </c>
      <c r="BQ93">
        <v>0</v>
      </c>
      <c r="BR93">
        <v>-347736</v>
      </c>
      <c r="BS93">
        <v>-847736</v>
      </c>
      <c r="BT93">
        <v>0</v>
      </c>
      <c r="BU93">
        <v>0</v>
      </c>
      <c r="BV93">
        <v>0</v>
      </c>
      <c r="BW93">
        <v>-847736</v>
      </c>
      <c r="BX93">
        <v>0</v>
      </c>
      <c r="BY93">
        <v>-847736</v>
      </c>
      <c r="BZ93">
        <v>-88663</v>
      </c>
      <c r="CA93">
        <v>0</v>
      </c>
      <c r="CB93">
        <v>-88663</v>
      </c>
      <c r="CC93">
        <v>-64764</v>
      </c>
      <c r="CD93">
        <v>0</v>
      </c>
      <c r="CE93">
        <v>-64764</v>
      </c>
      <c r="CF93">
        <v>-7647</v>
      </c>
      <c r="CG93">
        <v>0</v>
      </c>
      <c r="CH93">
        <v>-7647</v>
      </c>
      <c r="CI93">
        <v>0</v>
      </c>
      <c r="CJ93">
        <v>0</v>
      </c>
      <c r="CK93">
        <v>0</v>
      </c>
      <c r="CL93">
        <v>-35828</v>
      </c>
      <c r="CM93">
        <v>0</v>
      </c>
      <c r="CN93">
        <v>-35828</v>
      </c>
      <c r="CO93">
        <v>0</v>
      </c>
      <c r="CP93">
        <v>0</v>
      </c>
      <c r="CQ93">
        <v>0</v>
      </c>
      <c r="CR93">
        <v>0</v>
      </c>
      <c r="CS93">
        <v>0</v>
      </c>
      <c r="CT93">
        <v>-196902</v>
      </c>
      <c r="CU93">
        <v>0</v>
      </c>
      <c r="CV93">
        <v>0</v>
      </c>
      <c r="CW93">
        <v>0</v>
      </c>
      <c r="CX93">
        <v>-196902</v>
      </c>
      <c r="CY93">
        <v>0</v>
      </c>
      <c r="CZ93">
        <v>-196902</v>
      </c>
      <c r="DA93">
        <v>-19866</v>
      </c>
      <c r="DB93">
        <v>0</v>
      </c>
      <c r="DC93">
        <v>-19866</v>
      </c>
      <c r="DD93">
        <v>-3913</v>
      </c>
      <c r="DE93">
        <v>0</v>
      </c>
      <c r="DF93">
        <v>-3913</v>
      </c>
      <c r="DG93">
        <v>-2000</v>
      </c>
      <c r="DH93">
        <v>0</v>
      </c>
      <c r="DI93">
        <v>-2000</v>
      </c>
      <c r="DJ93">
        <v>-510297</v>
      </c>
      <c r="DK93">
        <v>0</v>
      </c>
      <c r="DL93">
        <v>-510297</v>
      </c>
      <c r="DM93">
        <v>-536076</v>
      </c>
      <c r="DN93">
        <v>0</v>
      </c>
      <c r="DO93">
        <v>0</v>
      </c>
      <c r="DP93">
        <v>0</v>
      </c>
      <c r="DQ93">
        <v>-536076</v>
      </c>
      <c r="DR93">
        <v>0</v>
      </c>
      <c r="DS93">
        <v>-536076</v>
      </c>
      <c r="DT93">
        <v>37039272</v>
      </c>
      <c r="DU93">
        <v>0</v>
      </c>
      <c r="DV93" s="661">
        <v>37039272</v>
      </c>
      <c r="DW93" t="s">
        <v>1744</v>
      </c>
    </row>
    <row r="94" spans="1:127" ht="12.75" x14ac:dyDescent="0.2">
      <c r="A94" s="605">
        <v>87</v>
      </c>
      <c r="B94" s="606" t="s">
        <v>62</v>
      </c>
      <c r="C94" s="607" t="s">
        <v>524</v>
      </c>
      <c r="D94" s="608" t="s">
        <v>1193</v>
      </c>
      <c r="E94" s="609" t="s">
        <v>580</v>
      </c>
      <c r="G94">
        <v>253853502</v>
      </c>
      <c r="H94">
        <v>221000</v>
      </c>
      <c r="I94">
        <v>254074502</v>
      </c>
      <c r="J94">
        <v>49.9</v>
      </c>
      <c r="K94">
        <v>126672897</v>
      </c>
      <c r="L94">
        <v>110279</v>
      </c>
      <c r="M94">
        <v>1511889</v>
      </c>
      <c r="N94">
        <v>0</v>
      </c>
      <c r="O94">
        <v>128184786</v>
      </c>
      <c r="P94">
        <v>110279</v>
      </c>
      <c r="Q94">
        <v>128295065</v>
      </c>
      <c r="R94">
        <v>-968991</v>
      </c>
      <c r="S94">
        <v>0</v>
      </c>
      <c r="T94">
        <v>-968991</v>
      </c>
      <c r="U94">
        <v>8811999</v>
      </c>
      <c r="V94">
        <v>0</v>
      </c>
      <c r="W94">
        <v>8811999</v>
      </c>
      <c r="X94">
        <v>7843008</v>
      </c>
      <c r="Y94">
        <v>0</v>
      </c>
      <c r="Z94">
        <v>0</v>
      </c>
      <c r="AA94">
        <v>0</v>
      </c>
      <c r="AB94">
        <v>7843008</v>
      </c>
      <c r="AC94">
        <v>0</v>
      </c>
      <c r="AD94">
        <v>7843008</v>
      </c>
      <c r="AE94">
        <v>-7843008</v>
      </c>
      <c r="AF94">
        <v>0</v>
      </c>
      <c r="AG94">
        <v>-7843008</v>
      </c>
      <c r="AH94">
        <v>-13926313</v>
      </c>
      <c r="AI94">
        <v>0</v>
      </c>
      <c r="AJ94">
        <v>-13926313</v>
      </c>
      <c r="AK94">
        <v>-23263</v>
      </c>
      <c r="AL94">
        <v>0</v>
      </c>
      <c r="AM94">
        <v>-23263</v>
      </c>
      <c r="AN94">
        <v>2195192</v>
      </c>
      <c r="AO94">
        <v>2873</v>
      </c>
      <c r="AP94">
        <v>2198065</v>
      </c>
      <c r="AQ94">
        <v>-11731121</v>
      </c>
      <c r="AR94">
        <v>2873</v>
      </c>
      <c r="AS94">
        <v>-11728248</v>
      </c>
      <c r="AT94">
        <v>-4586385</v>
      </c>
      <c r="AU94">
        <v>0</v>
      </c>
      <c r="AV94">
        <v>-4586385</v>
      </c>
      <c r="AW94">
        <v>-92006</v>
      </c>
      <c r="AX94">
        <v>0</v>
      </c>
      <c r="AY94">
        <v>-92006</v>
      </c>
      <c r="AZ94">
        <v>-56370</v>
      </c>
      <c r="BA94">
        <v>0</v>
      </c>
      <c r="BB94">
        <v>-56370</v>
      </c>
      <c r="BC94">
        <v>0</v>
      </c>
      <c r="BD94">
        <v>0</v>
      </c>
      <c r="BE94">
        <v>0</v>
      </c>
      <c r="BF94">
        <v>-16465882</v>
      </c>
      <c r="BG94">
        <v>2873</v>
      </c>
      <c r="BH94">
        <v>-261808</v>
      </c>
      <c r="BI94">
        <v>0</v>
      </c>
      <c r="BJ94">
        <v>-16727690</v>
      </c>
      <c r="BK94">
        <v>2873</v>
      </c>
      <c r="BL94">
        <v>-16724817</v>
      </c>
      <c r="BM94">
        <v>0</v>
      </c>
      <c r="BN94">
        <v>0</v>
      </c>
      <c r="BO94">
        <v>0</v>
      </c>
      <c r="BP94">
        <v>-2204340</v>
      </c>
      <c r="BQ94">
        <v>0</v>
      </c>
      <c r="BR94">
        <v>-2204340</v>
      </c>
      <c r="BS94">
        <v>-2204340</v>
      </c>
      <c r="BT94">
        <v>0</v>
      </c>
      <c r="BU94">
        <v>-35049</v>
      </c>
      <c r="BV94">
        <v>0</v>
      </c>
      <c r="BW94">
        <v>-2239389</v>
      </c>
      <c r="BX94">
        <v>0</v>
      </c>
      <c r="BY94">
        <v>-2239389</v>
      </c>
      <c r="BZ94">
        <v>-127373</v>
      </c>
      <c r="CA94">
        <v>0</v>
      </c>
      <c r="CB94">
        <v>-127373</v>
      </c>
      <c r="CC94">
        <v>-458305</v>
      </c>
      <c r="CD94">
        <v>0</v>
      </c>
      <c r="CE94">
        <v>-458305</v>
      </c>
      <c r="CF94">
        <v>-21710</v>
      </c>
      <c r="CG94">
        <v>0</v>
      </c>
      <c r="CH94">
        <v>-21710</v>
      </c>
      <c r="CI94">
        <v>0</v>
      </c>
      <c r="CJ94">
        <v>0</v>
      </c>
      <c r="CK94">
        <v>0</v>
      </c>
      <c r="CL94">
        <v>-33400</v>
      </c>
      <c r="CM94">
        <v>0</v>
      </c>
      <c r="CN94">
        <v>-33400</v>
      </c>
      <c r="CO94">
        <v>-60000</v>
      </c>
      <c r="CP94">
        <v>0</v>
      </c>
      <c r="CQ94">
        <v>-60000</v>
      </c>
      <c r="CR94">
        <v>0</v>
      </c>
      <c r="CS94">
        <v>-60000</v>
      </c>
      <c r="CT94">
        <v>-700788</v>
      </c>
      <c r="CU94">
        <v>0</v>
      </c>
      <c r="CV94">
        <v>-11142</v>
      </c>
      <c r="CW94">
        <v>0</v>
      </c>
      <c r="CX94">
        <v>-711930</v>
      </c>
      <c r="CY94">
        <v>0</v>
      </c>
      <c r="CZ94">
        <v>-711930</v>
      </c>
      <c r="DA94">
        <v>-56370</v>
      </c>
      <c r="DB94">
        <v>0</v>
      </c>
      <c r="DC94">
        <v>-56370</v>
      </c>
      <c r="DD94">
        <v>-171274</v>
      </c>
      <c r="DE94">
        <v>0</v>
      </c>
      <c r="DF94">
        <v>-171274</v>
      </c>
      <c r="DG94">
        <v>-16000</v>
      </c>
      <c r="DH94">
        <v>0</v>
      </c>
      <c r="DI94">
        <v>-16000</v>
      </c>
      <c r="DJ94">
        <v>-2079080</v>
      </c>
      <c r="DK94">
        <v>0</v>
      </c>
      <c r="DL94">
        <v>-2079080</v>
      </c>
      <c r="DM94">
        <v>-2322724</v>
      </c>
      <c r="DN94">
        <v>0</v>
      </c>
      <c r="DO94">
        <v>-36677</v>
      </c>
      <c r="DP94">
        <v>0</v>
      </c>
      <c r="DQ94">
        <v>-2359401</v>
      </c>
      <c r="DR94">
        <v>0</v>
      </c>
      <c r="DS94">
        <v>-2359401</v>
      </c>
      <c r="DT94">
        <v>113989384</v>
      </c>
      <c r="DU94">
        <v>113152</v>
      </c>
      <c r="DV94" s="661">
        <v>114102536</v>
      </c>
      <c r="DW94" t="s">
        <v>1745</v>
      </c>
    </row>
    <row r="95" spans="1:127" ht="12.75" x14ac:dyDescent="0.2">
      <c r="A95" s="605">
        <v>88</v>
      </c>
      <c r="B95" s="606" t="s">
        <v>64</v>
      </c>
      <c r="C95" s="607" t="s">
        <v>1185</v>
      </c>
      <c r="D95" s="608" t="s">
        <v>1195</v>
      </c>
      <c r="E95" s="609" t="s">
        <v>63</v>
      </c>
      <c r="G95">
        <v>138501895</v>
      </c>
      <c r="H95">
        <v>0</v>
      </c>
      <c r="I95">
        <v>138501895</v>
      </c>
      <c r="J95">
        <v>49.9</v>
      </c>
      <c r="K95">
        <v>69112446</v>
      </c>
      <c r="L95">
        <v>0</v>
      </c>
      <c r="M95">
        <v>-1181687</v>
      </c>
      <c r="N95">
        <v>0</v>
      </c>
      <c r="O95">
        <v>67930759</v>
      </c>
      <c r="P95">
        <v>0</v>
      </c>
      <c r="Q95">
        <v>67930759</v>
      </c>
      <c r="R95">
        <v>-340757</v>
      </c>
      <c r="S95">
        <v>0</v>
      </c>
      <c r="T95">
        <v>-340757</v>
      </c>
      <c r="U95">
        <v>402154</v>
      </c>
      <c r="V95">
        <v>0</v>
      </c>
      <c r="W95">
        <v>402154</v>
      </c>
      <c r="X95">
        <v>61397</v>
      </c>
      <c r="Y95">
        <v>0</v>
      </c>
      <c r="Z95">
        <v>0</v>
      </c>
      <c r="AA95">
        <v>0</v>
      </c>
      <c r="AB95">
        <v>61397</v>
      </c>
      <c r="AC95">
        <v>0</v>
      </c>
      <c r="AD95">
        <v>61397</v>
      </c>
      <c r="AE95">
        <v>-61397</v>
      </c>
      <c r="AF95">
        <v>0</v>
      </c>
      <c r="AG95">
        <v>-61397</v>
      </c>
      <c r="AH95">
        <v>-4428811</v>
      </c>
      <c r="AI95">
        <v>0</v>
      </c>
      <c r="AJ95">
        <v>-4428811</v>
      </c>
      <c r="AK95">
        <v>0</v>
      </c>
      <c r="AL95">
        <v>0</v>
      </c>
      <c r="AM95">
        <v>0</v>
      </c>
      <c r="AN95">
        <v>1356927</v>
      </c>
      <c r="AO95">
        <v>0</v>
      </c>
      <c r="AP95">
        <v>1356927</v>
      </c>
      <c r="AQ95">
        <v>-3071884</v>
      </c>
      <c r="AR95">
        <v>0</v>
      </c>
      <c r="AS95">
        <v>-3071884</v>
      </c>
      <c r="AT95">
        <v>-3027462</v>
      </c>
      <c r="AU95">
        <v>0</v>
      </c>
      <c r="AV95">
        <v>-3027462</v>
      </c>
      <c r="AW95">
        <v>-50030</v>
      </c>
      <c r="AX95">
        <v>0</v>
      </c>
      <c r="AY95">
        <v>-50030</v>
      </c>
      <c r="AZ95">
        <v>-237</v>
      </c>
      <c r="BA95">
        <v>0</v>
      </c>
      <c r="BB95">
        <v>-237</v>
      </c>
      <c r="BC95">
        <v>0</v>
      </c>
      <c r="BD95">
        <v>0</v>
      </c>
      <c r="BE95">
        <v>0</v>
      </c>
      <c r="BF95">
        <v>-6149613</v>
      </c>
      <c r="BG95">
        <v>0</v>
      </c>
      <c r="BH95">
        <v>-302746</v>
      </c>
      <c r="BI95">
        <v>0</v>
      </c>
      <c r="BJ95">
        <v>-6452359</v>
      </c>
      <c r="BK95">
        <v>0</v>
      </c>
      <c r="BL95">
        <v>-6452359</v>
      </c>
      <c r="BM95">
        <v>-141897</v>
      </c>
      <c r="BN95">
        <v>0</v>
      </c>
      <c r="BO95">
        <v>-141897</v>
      </c>
      <c r="BP95">
        <v>-1956929</v>
      </c>
      <c r="BQ95">
        <v>0</v>
      </c>
      <c r="BR95">
        <v>-1956929</v>
      </c>
      <c r="BS95">
        <v>-2098826</v>
      </c>
      <c r="BT95">
        <v>0</v>
      </c>
      <c r="BU95">
        <v>-629648</v>
      </c>
      <c r="BV95">
        <v>0</v>
      </c>
      <c r="BW95">
        <v>-2728474</v>
      </c>
      <c r="BX95">
        <v>0</v>
      </c>
      <c r="BY95">
        <v>-2728474</v>
      </c>
      <c r="BZ95">
        <v>-50543</v>
      </c>
      <c r="CA95">
        <v>0</v>
      </c>
      <c r="CB95">
        <v>-50543</v>
      </c>
      <c r="CC95">
        <v>-20868</v>
      </c>
      <c r="CD95">
        <v>0</v>
      </c>
      <c r="CE95">
        <v>-20868</v>
      </c>
      <c r="CF95">
        <v>-3980</v>
      </c>
      <c r="CG95">
        <v>0</v>
      </c>
      <c r="CH95">
        <v>-3980</v>
      </c>
      <c r="CI95">
        <v>0</v>
      </c>
      <c r="CJ95">
        <v>0</v>
      </c>
      <c r="CK95">
        <v>0</v>
      </c>
      <c r="CL95">
        <v>0</v>
      </c>
      <c r="CM95">
        <v>0</v>
      </c>
      <c r="CN95">
        <v>0</v>
      </c>
      <c r="CO95">
        <v>0</v>
      </c>
      <c r="CP95">
        <v>0</v>
      </c>
      <c r="CQ95">
        <v>0</v>
      </c>
      <c r="CR95">
        <v>0</v>
      </c>
      <c r="CS95">
        <v>0</v>
      </c>
      <c r="CT95">
        <v>-75391</v>
      </c>
      <c r="CU95">
        <v>0</v>
      </c>
      <c r="CV95">
        <v>0</v>
      </c>
      <c r="CW95">
        <v>0</v>
      </c>
      <c r="CX95">
        <v>-75391</v>
      </c>
      <c r="CY95">
        <v>0</v>
      </c>
      <c r="CZ95">
        <v>-75391</v>
      </c>
      <c r="DA95">
        <v>-237</v>
      </c>
      <c r="DB95">
        <v>0</v>
      </c>
      <c r="DC95">
        <v>-237</v>
      </c>
      <c r="DD95">
        <v>-36896</v>
      </c>
      <c r="DE95">
        <v>0</v>
      </c>
      <c r="DF95">
        <v>-36896</v>
      </c>
      <c r="DG95">
        <v>-10570</v>
      </c>
      <c r="DH95">
        <v>0</v>
      </c>
      <c r="DI95">
        <v>-10570</v>
      </c>
      <c r="DJ95">
        <v>-1060245</v>
      </c>
      <c r="DK95">
        <v>0</v>
      </c>
      <c r="DL95">
        <v>-1060245</v>
      </c>
      <c r="DM95">
        <v>-1107948</v>
      </c>
      <c r="DN95">
        <v>0</v>
      </c>
      <c r="DO95">
        <v>-1500</v>
      </c>
      <c r="DP95">
        <v>0</v>
      </c>
      <c r="DQ95">
        <v>-1109448</v>
      </c>
      <c r="DR95">
        <v>0</v>
      </c>
      <c r="DS95">
        <v>-1109448</v>
      </c>
      <c r="DT95">
        <v>57626484</v>
      </c>
      <c r="DU95">
        <v>0</v>
      </c>
      <c r="DV95" s="661">
        <v>57626484</v>
      </c>
      <c r="DW95" t="s">
        <v>1746</v>
      </c>
    </row>
    <row r="96" spans="1:127" ht="12.75" x14ac:dyDescent="0.2">
      <c r="A96" s="605">
        <v>89</v>
      </c>
      <c r="B96" s="606" t="s">
        <v>1128</v>
      </c>
      <c r="C96" s="607" t="s">
        <v>1185</v>
      </c>
      <c r="D96" s="608" t="s">
        <v>1189</v>
      </c>
      <c r="E96" s="609" t="s">
        <v>1127</v>
      </c>
      <c r="G96">
        <v>230495812</v>
      </c>
      <c r="H96">
        <v>1180000</v>
      </c>
      <c r="I96">
        <v>231675812</v>
      </c>
      <c r="J96">
        <v>49.9</v>
      </c>
      <c r="K96">
        <v>115017410</v>
      </c>
      <c r="L96">
        <v>588820</v>
      </c>
      <c r="M96">
        <v>0</v>
      </c>
      <c r="N96">
        <v>0</v>
      </c>
      <c r="O96">
        <v>115017410</v>
      </c>
      <c r="P96">
        <v>588820</v>
      </c>
      <c r="Q96">
        <v>115606230</v>
      </c>
      <c r="R96">
        <v>-1073781</v>
      </c>
      <c r="S96">
        <v>0</v>
      </c>
      <c r="T96">
        <v>-1073781</v>
      </c>
      <c r="U96">
        <v>4816072</v>
      </c>
      <c r="V96">
        <v>0</v>
      </c>
      <c r="W96">
        <v>4816072</v>
      </c>
      <c r="X96">
        <v>3742291</v>
      </c>
      <c r="Y96">
        <v>0</v>
      </c>
      <c r="Z96">
        <v>0</v>
      </c>
      <c r="AA96">
        <v>0</v>
      </c>
      <c r="AB96">
        <v>3742291</v>
      </c>
      <c r="AC96">
        <v>0</v>
      </c>
      <c r="AD96">
        <v>3742291</v>
      </c>
      <c r="AE96">
        <v>-3742291</v>
      </c>
      <c r="AF96">
        <v>0</v>
      </c>
      <c r="AG96">
        <v>-3742291</v>
      </c>
      <c r="AH96">
        <v>-11668080</v>
      </c>
      <c r="AI96">
        <v>-33633</v>
      </c>
      <c r="AJ96">
        <v>-11701713</v>
      </c>
      <c r="AK96">
        <v>-2495</v>
      </c>
      <c r="AL96">
        <v>0</v>
      </c>
      <c r="AM96">
        <v>-2495</v>
      </c>
      <c r="AN96">
        <v>2124542</v>
      </c>
      <c r="AO96">
        <v>9897</v>
      </c>
      <c r="AP96">
        <v>2134439</v>
      </c>
      <c r="AQ96">
        <v>-9543538</v>
      </c>
      <c r="AR96">
        <v>-23736</v>
      </c>
      <c r="AS96">
        <v>-9567274</v>
      </c>
      <c r="AT96">
        <v>-6622153</v>
      </c>
      <c r="AU96">
        <v>0</v>
      </c>
      <c r="AV96">
        <v>-6622153</v>
      </c>
      <c r="AW96">
        <v>-76392</v>
      </c>
      <c r="AX96">
        <v>0</v>
      </c>
      <c r="AY96">
        <v>-76392</v>
      </c>
      <c r="AZ96">
        <v>-68225</v>
      </c>
      <c r="BA96">
        <v>0</v>
      </c>
      <c r="BB96">
        <v>-68225</v>
      </c>
      <c r="BC96">
        <v>0</v>
      </c>
      <c r="BD96">
        <v>0</v>
      </c>
      <c r="BE96">
        <v>0</v>
      </c>
      <c r="BF96">
        <v>-16310308</v>
      </c>
      <c r="BG96">
        <v>-23736</v>
      </c>
      <c r="BH96">
        <v>0</v>
      </c>
      <c r="BI96">
        <v>0</v>
      </c>
      <c r="BJ96">
        <v>-16310308</v>
      </c>
      <c r="BK96">
        <v>-23736</v>
      </c>
      <c r="BL96">
        <v>-16334044</v>
      </c>
      <c r="BM96">
        <v>0</v>
      </c>
      <c r="BN96">
        <v>0</v>
      </c>
      <c r="BO96">
        <v>0</v>
      </c>
      <c r="BP96">
        <v>-1824730</v>
      </c>
      <c r="BQ96">
        <v>0</v>
      </c>
      <c r="BR96">
        <v>-1824730</v>
      </c>
      <c r="BS96">
        <v>-1824730</v>
      </c>
      <c r="BT96">
        <v>0</v>
      </c>
      <c r="BU96">
        <v>0</v>
      </c>
      <c r="BV96">
        <v>0</v>
      </c>
      <c r="BW96">
        <v>-1824730</v>
      </c>
      <c r="BX96">
        <v>0</v>
      </c>
      <c r="BY96">
        <v>-1824730</v>
      </c>
      <c r="BZ96">
        <v>-164976</v>
      </c>
      <c r="CA96">
        <v>0</v>
      </c>
      <c r="CB96">
        <v>-164976</v>
      </c>
      <c r="CC96">
        <v>-325943</v>
      </c>
      <c r="CD96">
        <v>0</v>
      </c>
      <c r="CE96">
        <v>-325943</v>
      </c>
      <c r="CF96">
        <v>-1784</v>
      </c>
      <c r="CG96">
        <v>0</v>
      </c>
      <c r="CH96">
        <v>-1784</v>
      </c>
      <c r="CI96">
        <v>-2534</v>
      </c>
      <c r="CJ96">
        <v>0</v>
      </c>
      <c r="CK96">
        <v>-2534</v>
      </c>
      <c r="CL96">
        <v>-2275</v>
      </c>
      <c r="CM96">
        <v>0</v>
      </c>
      <c r="CN96">
        <v>-2275</v>
      </c>
      <c r="CO96">
        <v>-32277</v>
      </c>
      <c r="CP96">
        <v>-129655</v>
      </c>
      <c r="CQ96">
        <v>-161932</v>
      </c>
      <c r="CR96">
        <v>-94133</v>
      </c>
      <c r="CS96">
        <v>0</v>
      </c>
      <c r="CT96">
        <v>-529789</v>
      </c>
      <c r="CU96">
        <v>-129655</v>
      </c>
      <c r="CV96">
        <v>0</v>
      </c>
      <c r="CW96">
        <v>0</v>
      </c>
      <c r="CX96">
        <v>-529789</v>
      </c>
      <c r="CY96">
        <v>-129655</v>
      </c>
      <c r="CZ96">
        <v>-659444</v>
      </c>
      <c r="DA96">
        <v>-76180</v>
      </c>
      <c r="DB96">
        <v>0</v>
      </c>
      <c r="DC96">
        <v>-76180</v>
      </c>
      <c r="DD96">
        <v>-169266</v>
      </c>
      <c r="DE96">
        <v>0</v>
      </c>
      <c r="DF96">
        <v>-169266</v>
      </c>
      <c r="DG96">
        <v>-23501</v>
      </c>
      <c r="DH96">
        <v>0</v>
      </c>
      <c r="DI96">
        <v>-23501</v>
      </c>
      <c r="DJ96">
        <v>-2039838</v>
      </c>
      <c r="DK96">
        <v>0</v>
      </c>
      <c r="DL96">
        <v>-2039838</v>
      </c>
      <c r="DM96">
        <v>-2308785</v>
      </c>
      <c r="DN96">
        <v>0</v>
      </c>
      <c r="DO96">
        <v>0</v>
      </c>
      <c r="DP96">
        <v>0</v>
      </c>
      <c r="DQ96">
        <v>-2308785</v>
      </c>
      <c r="DR96">
        <v>0</v>
      </c>
      <c r="DS96">
        <v>-2308785</v>
      </c>
      <c r="DT96">
        <v>97786089</v>
      </c>
      <c r="DU96">
        <v>435429</v>
      </c>
      <c r="DV96" s="661">
        <v>98221518</v>
      </c>
      <c r="DW96" t="s">
        <v>1747</v>
      </c>
    </row>
    <row r="97" spans="1:127" ht="12.75" x14ac:dyDescent="0.2">
      <c r="A97" s="605">
        <v>90</v>
      </c>
      <c r="B97" s="606" t="s">
        <v>66</v>
      </c>
      <c r="C97" s="607" t="s">
        <v>1185</v>
      </c>
      <c r="D97" s="608" t="s">
        <v>1186</v>
      </c>
      <c r="E97" s="609" t="s">
        <v>65</v>
      </c>
      <c r="G97">
        <v>93087677</v>
      </c>
      <c r="H97">
        <v>0</v>
      </c>
      <c r="I97">
        <v>93087677</v>
      </c>
      <c r="J97">
        <v>49.9</v>
      </c>
      <c r="K97">
        <v>46450751</v>
      </c>
      <c r="L97">
        <v>0</v>
      </c>
      <c r="M97">
        <v>538750</v>
      </c>
      <c r="N97">
        <v>0</v>
      </c>
      <c r="O97">
        <v>46989501</v>
      </c>
      <c r="P97">
        <v>0</v>
      </c>
      <c r="Q97">
        <v>46989501</v>
      </c>
      <c r="R97">
        <v>-257189</v>
      </c>
      <c r="S97">
        <v>0</v>
      </c>
      <c r="T97">
        <v>-257189</v>
      </c>
      <c r="U97">
        <v>37217</v>
      </c>
      <c r="V97">
        <v>0</v>
      </c>
      <c r="W97">
        <v>37217</v>
      </c>
      <c r="X97">
        <v>-219972</v>
      </c>
      <c r="Y97">
        <v>0</v>
      </c>
      <c r="Z97">
        <v>0</v>
      </c>
      <c r="AA97">
        <v>0</v>
      </c>
      <c r="AB97">
        <v>-219972</v>
      </c>
      <c r="AC97">
        <v>0</v>
      </c>
      <c r="AD97">
        <v>-219972</v>
      </c>
      <c r="AE97">
        <v>219972</v>
      </c>
      <c r="AF97">
        <v>0</v>
      </c>
      <c r="AG97">
        <v>219972</v>
      </c>
      <c r="AH97">
        <v>-3700943</v>
      </c>
      <c r="AI97">
        <v>0</v>
      </c>
      <c r="AJ97">
        <v>-3700943</v>
      </c>
      <c r="AK97">
        <v>0</v>
      </c>
      <c r="AL97">
        <v>0</v>
      </c>
      <c r="AM97">
        <v>0</v>
      </c>
      <c r="AN97">
        <v>884101</v>
      </c>
      <c r="AO97">
        <v>0</v>
      </c>
      <c r="AP97">
        <v>884101</v>
      </c>
      <c r="AQ97">
        <v>-2816842</v>
      </c>
      <c r="AR97">
        <v>0</v>
      </c>
      <c r="AS97">
        <v>-2816842</v>
      </c>
      <c r="AT97">
        <v>-4175277</v>
      </c>
      <c r="AU97">
        <v>0</v>
      </c>
      <c r="AV97">
        <v>-4175277</v>
      </c>
      <c r="AW97">
        <v>-174551</v>
      </c>
      <c r="AX97">
        <v>0</v>
      </c>
      <c r="AY97">
        <v>-174551</v>
      </c>
      <c r="AZ97">
        <v>0</v>
      </c>
      <c r="BA97">
        <v>0</v>
      </c>
      <c r="BB97">
        <v>0</v>
      </c>
      <c r="BC97">
        <v>0</v>
      </c>
      <c r="BD97">
        <v>0</v>
      </c>
      <c r="BE97">
        <v>0</v>
      </c>
      <c r="BF97">
        <v>-7166670</v>
      </c>
      <c r="BG97">
        <v>0</v>
      </c>
      <c r="BH97">
        <v>2395</v>
      </c>
      <c r="BI97">
        <v>0</v>
      </c>
      <c r="BJ97">
        <v>-7164275</v>
      </c>
      <c r="BK97">
        <v>0</v>
      </c>
      <c r="BL97">
        <v>-7164275</v>
      </c>
      <c r="BM97">
        <v>-70480</v>
      </c>
      <c r="BN97">
        <v>0</v>
      </c>
      <c r="BO97">
        <v>-70480</v>
      </c>
      <c r="BP97">
        <v>-442686</v>
      </c>
      <c r="BQ97">
        <v>0</v>
      </c>
      <c r="BR97">
        <v>-442686</v>
      </c>
      <c r="BS97">
        <v>-513166</v>
      </c>
      <c r="BT97">
        <v>0</v>
      </c>
      <c r="BU97">
        <v>0</v>
      </c>
      <c r="BV97">
        <v>0</v>
      </c>
      <c r="BW97">
        <v>-513166</v>
      </c>
      <c r="BX97">
        <v>0</v>
      </c>
      <c r="BY97">
        <v>-513166</v>
      </c>
      <c r="BZ97">
        <v>-105512</v>
      </c>
      <c r="CA97">
        <v>0</v>
      </c>
      <c r="CB97">
        <v>-105512</v>
      </c>
      <c r="CC97">
        <v>-68917</v>
      </c>
      <c r="CD97">
        <v>0</v>
      </c>
      <c r="CE97">
        <v>-68917</v>
      </c>
      <c r="CF97">
        <v>0</v>
      </c>
      <c r="CG97">
        <v>0</v>
      </c>
      <c r="CH97">
        <v>0</v>
      </c>
      <c r="CI97">
        <v>0</v>
      </c>
      <c r="CJ97">
        <v>0</v>
      </c>
      <c r="CK97">
        <v>0</v>
      </c>
      <c r="CL97">
        <v>0</v>
      </c>
      <c r="CM97">
        <v>0</v>
      </c>
      <c r="CN97">
        <v>0</v>
      </c>
      <c r="CO97">
        <v>0</v>
      </c>
      <c r="CP97">
        <v>0</v>
      </c>
      <c r="CQ97">
        <v>0</v>
      </c>
      <c r="CR97">
        <v>0</v>
      </c>
      <c r="CS97">
        <v>0</v>
      </c>
      <c r="CT97">
        <v>-174429</v>
      </c>
      <c r="CU97">
        <v>0</v>
      </c>
      <c r="CV97">
        <v>0</v>
      </c>
      <c r="CW97">
        <v>0</v>
      </c>
      <c r="CX97">
        <v>-174429</v>
      </c>
      <c r="CY97">
        <v>0</v>
      </c>
      <c r="CZ97">
        <v>-174429</v>
      </c>
      <c r="DA97">
        <v>0</v>
      </c>
      <c r="DB97">
        <v>0</v>
      </c>
      <c r="DC97">
        <v>0</v>
      </c>
      <c r="DD97">
        <v>-44190</v>
      </c>
      <c r="DE97">
        <v>0</v>
      </c>
      <c r="DF97">
        <v>-44190</v>
      </c>
      <c r="DG97">
        <v>-8000</v>
      </c>
      <c r="DH97">
        <v>0</v>
      </c>
      <c r="DI97">
        <v>-8000</v>
      </c>
      <c r="DJ97">
        <v>-1024269</v>
      </c>
      <c r="DK97">
        <v>0</v>
      </c>
      <c r="DL97">
        <v>-1024269</v>
      </c>
      <c r="DM97">
        <v>-1076459</v>
      </c>
      <c r="DN97">
        <v>0</v>
      </c>
      <c r="DO97">
        <v>-13598</v>
      </c>
      <c r="DP97">
        <v>0</v>
      </c>
      <c r="DQ97">
        <v>-1090057</v>
      </c>
      <c r="DR97">
        <v>0</v>
      </c>
      <c r="DS97">
        <v>-1090057</v>
      </c>
      <c r="DT97">
        <v>37827602</v>
      </c>
      <c r="DU97">
        <v>0</v>
      </c>
      <c r="DV97" s="661">
        <v>37827602</v>
      </c>
      <c r="DW97" t="s">
        <v>1748</v>
      </c>
    </row>
    <row r="98" spans="1:127" ht="12.75" x14ac:dyDescent="0.2">
      <c r="A98" s="605">
        <v>91</v>
      </c>
      <c r="B98" s="606" t="s">
        <v>68</v>
      </c>
      <c r="C98" s="607" t="s">
        <v>1185</v>
      </c>
      <c r="D98" s="608" t="s">
        <v>1186</v>
      </c>
      <c r="E98" s="609" t="s">
        <v>67</v>
      </c>
      <c r="G98">
        <v>137644507</v>
      </c>
      <c r="H98">
        <v>0</v>
      </c>
      <c r="I98">
        <v>137644507</v>
      </c>
      <c r="J98">
        <v>49.9</v>
      </c>
      <c r="K98">
        <v>68684609</v>
      </c>
      <c r="L98">
        <v>0</v>
      </c>
      <c r="M98">
        <v>0</v>
      </c>
      <c r="N98">
        <v>0</v>
      </c>
      <c r="O98">
        <v>68684609</v>
      </c>
      <c r="P98">
        <v>0</v>
      </c>
      <c r="Q98">
        <v>68684609</v>
      </c>
      <c r="R98">
        <v>-149911</v>
      </c>
      <c r="S98">
        <v>0</v>
      </c>
      <c r="T98">
        <v>-149911</v>
      </c>
      <c r="U98">
        <v>343370</v>
      </c>
      <c r="V98">
        <v>0</v>
      </c>
      <c r="W98">
        <v>343370</v>
      </c>
      <c r="X98">
        <v>193459</v>
      </c>
      <c r="Y98">
        <v>0</v>
      </c>
      <c r="Z98">
        <v>0</v>
      </c>
      <c r="AA98">
        <v>0</v>
      </c>
      <c r="AB98">
        <v>193459</v>
      </c>
      <c r="AC98">
        <v>0</v>
      </c>
      <c r="AD98">
        <v>193459</v>
      </c>
      <c r="AE98">
        <v>-193459</v>
      </c>
      <c r="AF98">
        <v>0</v>
      </c>
      <c r="AG98">
        <v>-193459</v>
      </c>
      <c r="AH98">
        <v>-3136462</v>
      </c>
      <c r="AI98">
        <v>0</v>
      </c>
      <c r="AJ98">
        <v>-3136462</v>
      </c>
      <c r="AK98">
        <v>-11203</v>
      </c>
      <c r="AL98">
        <v>0</v>
      </c>
      <c r="AM98">
        <v>-11203</v>
      </c>
      <c r="AN98">
        <v>1360195</v>
      </c>
      <c r="AO98">
        <v>0</v>
      </c>
      <c r="AP98">
        <v>1360195</v>
      </c>
      <c r="AQ98">
        <v>-1776267</v>
      </c>
      <c r="AR98">
        <v>0</v>
      </c>
      <c r="AS98">
        <v>-1776267</v>
      </c>
      <c r="AT98">
        <v>-2378667</v>
      </c>
      <c r="AU98">
        <v>0</v>
      </c>
      <c r="AV98">
        <v>-2378667</v>
      </c>
      <c r="AW98">
        <v>0</v>
      </c>
      <c r="AX98">
        <v>0</v>
      </c>
      <c r="AY98">
        <v>0</v>
      </c>
      <c r="AZ98">
        <v>0</v>
      </c>
      <c r="BA98">
        <v>0</v>
      </c>
      <c r="BB98">
        <v>0</v>
      </c>
      <c r="BC98">
        <v>0</v>
      </c>
      <c r="BD98">
        <v>0</v>
      </c>
      <c r="BE98">
        <v>0</v>
      </c>
      <c r="BF98">
        <v>-4154934</v>
      </c>
      <c r="BG98">
        <v>0</v>
      </c>
      <c r="BH98">
        <v>0</v>
      </c>
      <c r="BI98">
        <v>0</v>
      </c>
      <c r="BJ98">
        <v>-4154934</v>
      </c>
      <c r="BK98">
        <v>0</v>
      </c>
      <c r="BL98">
        <v>-4154934</v>
      </c>
      <c r="BM98">
        <v>0</v>
      </c>
      <c r="BN98">
        <v>0</v>
      </c>
      <c r="BO98">
        <v>0</v>
      </c>
      <c r="BP98">
        <v>-680135</v>
      </c>
      <c r="BQ98">
        <v>0</v>
      </c>
      <c r="BR98">
        <v>-680135</v>
      </c>
      <c r="BS98">
        <v>-680135</v>
      </c>
      <c r="BT98">
        <v>0</v>
      </c>
      <c r="BU98">
        <v>0</v>
      </c>
      <c r="BV98">
        <v>0</v>
      </c>
      <c r="BW98">
        <v>-680135</v>
      </c>
      <c r="BX98">
        <v>0</v>
      </c>
      <c r="BY98">
        <v>-680135</v>
      </c>
      <c r="BZ98">
        <v>-63656</v>
      </c>
      <c r="CA98">
        <v>0</v>
      </c>
      <c r="CB98">
        <v>-63656</v>
      </c>
      <c r="CC98">
        <v>-445056</v>
      </c>
      <c r="CD98">
        <v>0</v>
      </c>
      <c r="CE98">
        <v>-445056</v>
      </c>
      <c r="CF98">
        <v>0</v>
      </c>
      <c r="CG98">
        <v>0</v>
      </c>
      <c r="CH98">
        <v>0</v>
      </c>
      <c r="CI98">
        <v>0</v>
      </c>
      <c r="CJ98">
        <v>0</v>
      </c>
      <c r="CK98">
        <v>0</v>
      </c>
      <c r="CL98">
        <v>0</v>
      </c>
      <c r="CM98">
        <v>0</v>
      </c>
      <c r="CN98">
        <v>0</v>
      </c>
      <c r="CO98">
        <v>0</v>
      </c>
      <c r="CP98">
        <v>0</v>
      </c>
      <c r="CQ98">
        <v>0</v>
      </c>
      <c r="CR98">
        <v>0</v>
      </c>
      <c r="CS98">
        <v>0</v>
      </c>
      <c r="CT98">
        <v>-508712</v>
      </c>
      <c r="CU98">
        <v>0</v>
      </c>
      <c r="CV98">
        <v>0</v>
      </c>
      <c r="CW98">
        <v>0</v>
      </c>
      <c r="CX98">
        <v>-508712</v>
      </c>
      <c r="CY98">
        <v>0</v>
      </c>
      <c r="CZ98">
        <v>-508712</v>
      </c>
      <c r="DA98">
        <v>0</v>
      </c>
      <c r="DB98">
        <v>0</v>
      </c>
      <c r="DC98">
        <v>0</v>
      </c>
      <c r="DD98">
        <v>-5986</v>
      </c>
      <c r="DE98">
        <v>0</v>
      </c>
      <c r="DF98">
        <v>-5986</v>
      </c>
      <c r="DG98">
        <v>-4852</v>
      </c>
      <c r="DH98">
        <v>0</v>
      </c>
      <c r="DI98">
        <v>-4852</v>
      </c>
      <c r="DJ98">
        <v>-1418573</v>
      </c>
      <c r="DK98">
        <v>0</v>
      </c>
      <c r="DL98">
        <v>-1418573</v>
      </c>
      <c r="DM98">
        <v>-1429411</v>
      </c>
      <c r="DN98">
        <v>0</v>
      </c>
      <c r="DO98">
        <v>0</v>
      </c>
      <c r="DP98">
        <v>0</v>
      </c>
      <c r="DQ98">
        <v>-1429411</v>
      </c>
      <c r="DR98">
        <v>0</v>
      </c>
      <c r="DS98">
        <v>-1429411</v>
      </c>
      <c r="DT98">
        <v>62104876</v>
      </c>
      <c r="DU98">
        <v>0</v>
      </c>
      <c r="DV98" s="661">
        <v>62104876</v>
      </c>
      <c r="DW98" t="s">
        <v>1749</v>
      </c>
    </row>
    <row r="99" spans="1:127" ht="12.75" x14ac:dyDescent="0.2">
      <c r="A99" s="605">
        <v>92</v>
      </c>
      <c r="B99" s="606" t="s">
        <v>70</v>
      </c>
      <c r="C99" s="607" t="s">
        <v>1185</v>
      </c>
      <c r="D99" s="608" t="s">
        <v>1187</v>
      </c>
      <c r="E99" s="609" t="s">
        <v>69</v>
      </c>
      <c r="G99">
        <v>58093229</v>
      </c>
      <c r="H99">
        <v>0</v>
      </c>
      <c r="I99">
        <v>58093229</v>
      </c>
      <c r="J99">
        <v>49.9</v>
      </c>
      <c r="K99">
        <v>28988521</v>
      </c>
      <c r="L99">
        <v>0</v>
      </c>
      <c r="M99">
        <v>0</v>
      </c>
      <c r="N99">
        <v>0</v>
      </c>
      <c r="O99">
        <v>28988521</v>
      </c>
      <c r="P99">
        <v>0</v>
      </c>
      <c r="Q99">
        <v>28988521</v>
      </c>
      <c r="R99">
        <v>-163444</v>
      </c>
      <c r="S99">
        <v>0</v>
      </c>
      <c r="T99">
        <v>-163444</v>
      </c>
      <c r="U99">
        <v>14390</v>
      </c>
      <c r="V99">
        <v>0</v>
      </c>
      <c r="W99">
        <v>14390</v>
      </c>
      <c r="X99">
        <v>-149054</v>
      </c>
      <c r="Y99">
        <v>0</v>
      </c>
      <c r="Z99">
        <v>0</v>
      </c>
      <c r="AA99">
        <v>0</v>
      </c>
      <c r="AB99">
        <v>-149054</v>
      </c>
      <c r="AC99">
        <v>0</v>
      </c>
      <c r="AD99">
        <v>-149054</v>
      </c>
      <c r="AE99">
        <v>149054</v>
      </c>
      <c r="AF99">
        <v>0</v>
      </c>
      <c r="AG99">
        <v>149054</v>
      </c>
      <c r="AH99">
        <v>-4077400</v>
      </c>
      <c r="AI99">
        <v>0</v>
      </c>
      <c r="AJ99">
        <v>-4077400</v>
      </c>
      <c r="AK99">
        <v>0</v>
      </c>
      <c r="AL99">
        <v>0</v>
      </c>
      <c r="AM99">
        <v>0</v>
      </c>
      <c r="AN99">
        <v>472987</v>
      </c>
      <c r="AO99">
        <v>0</v>
      </c>
      <c r="AP99">
        <v>472987</v>
      </c>
      <c r="AQ99">
        <v>-3604413</v>
      </c>
      <c r="AR99">
        <v>0</v>
      </c>
      <c r="AS99">
        <v>-3604413</v>
      </c>
      <c r="AT99">
        <v>-1467179</v>
      </c>
      <c r="AU99">
        <v>0</v>
      </c>
      <c r="AV99">
        <v>-1467179</v>
      </c>
      <c r="AW99">
        <v>-87695</v>
      </c>
      <c r="AX99">
        <v>0</v>
      </c>
      <c r="AY99">
        <v>-87695</v>
      </c>
      <c r="AZ99">
        <v>-64765</v>
      </c>
      <c r="BA99">
        <v>0</v>
      </c>
      <c r="BB99">
        <v>-64765</v>
      </c>
      <c r="BC99">
        <v>0</v>
      </c>
      <c r="BD99">
        <v>0</v>
      </c>
      <c r="BE99">
        <v>0</v>
      </c>
      <c r="BF99">
        <v>-5224052</v>
      </c>
      <c r="BG99">
        <v>0</v>
      </c>
      <c r="BH99">
        <v>0</v>
      </c>
      <c r="BI99">
        <v>0</v>
      </c>
      <c r="BJ99">
        <v>-5224052</v>
      </c>
      <c r="BK99">
        <v>0</v>
      </c>
      <c r="BL99">
        <v>-5224052</v>
      </c>
      <c r="BM99">
        <v>0</v>
      </c>
      <c r="BN99">
        <v>0</v>
      </c>
      <c r="BO99">
        <v>0</v>
      </c>
      <c r="BP99">
        <v>-378124</v>
      </c>
      <c r="BQ99">
        <v>0</v>
      </c>
      <c r="BR99">
        <v>-378124</v>
      </c>
      <c r="BS99">
        <v>-378124</v>
      </c>
      <c r="BT99">
        <v>0</v>
      </c>
      <c r="BU99">
        <v>-194154</v>
      </c>
      <c r="BV99">
        <v>0</v>
      </c>
      <c r="BW99">
        <v>-572278</v>
      </c>
      <c r="BX99">
        <v>0</v>
      </c>
      <c r="BY99">
        <v>-572278</v>
      </c>
      <c r="BZ99">
        <v>-62207</v>
      </c>
      <c r="CA99">
        <v>0</v>
      </c>
      <c r="CB99">
        <v>-62207</v>
      </c>
      <c r="CC99">
        <v>-29995</v>
      </c>
      <c r="CD99">
        <v>0</v>
      </c>
      <c r="CE99">
        <v>-29995</v>
      </c>
      <c r="CF99">
        <v>-3482</v>
      </c>
      <c r="CG99">
        <v>0</v>
      </c>
      <c r="CH99">
        <v>-3482</v>
      </c>
      <c r="CI99">
        <v>0</v>
      </c>
      <c r="CJ99">
        <v>0</v>
      </c>
      <c r="CK99">
        <v>0</v>
      </c>
      <c r="CL99">
        <v>-1602</v>
      </c>
      <c r="CM99">
        <v>0</v>
      </c>
      <c r="CN99">
        <v>-1602</v>
      </c>
      <c r="CO99">
        <v>0</v>
      </c>
      <c r="CP99">
        <v>0</v>
      </c>
      <c r="CQ99">
        <v>0</v>
      </c>
      <c r="CR99">
        <v>0</v>
      </c>
      <c r="CS99">
        <v>0</v>
      </c>
      <c r="CT99">
        <v>-97286</v>
      </c>
      <c r="CU99">
        <v>0</v>
      </c>
      <c r="CV99">
        <v>0</v>
      </c>
      <c r="CW99">
        <v>0</v>
      </c>
      <c r="CX99">
        <v>-97286</v>
      </c>
      <c r="CY99">
        <v>0</v>
      </c>
      <c r="CZ99">
        <v>-97286</v>
      </c>
      <c r="DA99">
        <v>-64765</v>
      </c>
      <c r="DB99">
        <v>0</v>
      </c>
      <c r="DC99">
        <v>-64765</v>
      </c>
      <c r="DD99">
        <v>-12264</v>
      </c>
      <c r="DE99">
        <v>0</v>
      </c>
      <c r="DF99">
        <v>-12264</v>
      </c>
      <c r="DG99">
        <v>-1657</v>
      </c>
      <c r="DH99">
        <v>0</v>
      </c>
      <c r="DI99">
        <v>-1657</v>
      </c>
      <c r="DJ99">
        <v>-656563</v>
      </c>
      <c r="DK99">
        <v>0</v>
      </c>
      <c r="DL99">
        <v>-656563</v>
      </c>
      <c r="DM99">
        <v>-735249</v>
      </c>
      <c r="DN99">
        <v>0</v>
      </c>
      <c r="DO99">
        <v>0</v>
      </c>
      <c r="DP99">
        <v>0</v>
      </c>
      <c r="DQ99">
        <v>-735249</v>
      </c>
      <c r="DR99">
        <v>0</v>
      </c>
      <c r="DS99">
        <v>-735249</v>
      </c>
      <c r="DT99">
        <v>22210602</v>
      </c>
      <c r="DU99">
        <v>0</v>
      </c>
      <c r="DV99" s="661">
        <v>22210602</v>
      </c>
      <c r="DW99" t="s">
        <v>1750</v>
      </c>
    </row>
    <row r="100" spans="1:127" ht="12.75" x14ac:dyDescent="0.2">
      <c r="A100" s="605">
        <v>93</v>
      </c>
      <c r="B100" s="606" t="s">
        <v>72</v>
      </c>
      <c r="C100" s="607" t="s">
        <v>1185</v>
      </c>
      <c r="D100" s="608" t="s">
        <v>1186</v>
      </c>
      <c r="E100" s="609" t="s">
        <v>71</v>
      </c>
      <c r="G100">
        <v>160765170</v>
      </c>
      <c r="H100">
        <v>0</v>
      </c>
      <c r="I100">
        <v>160765170</v>
      </c>
      <c r="J100">
        <v>49.9</v>
      </c>
      <c r="K100">
        <v>80221820</v>
      </c>
      <c r="L100">
        <v>0</v>
      </c>
      <c r="M100">
        <v>0</v>
      </c>
      <c r="N100">
        <v>0</v>
      </c>
      <c r="O100">
        <v>80221820</v>
      </c>
      <c r="P100">
        <v>0</v>
      </c>
      <c r="Q100">
        <v>80221820</v>
      </c>
      <c r="R100">
        <v>-458704</v>
      </c>
      <c r="S100">
        <v>0</v>
      </c>
      <c r="T100">
        <v>-458704</v>
      </c>
      <c r="U100">
        <v>91566</v>
      </c>
      <c r="V100">
        <v>0</v>
      </c>
      <c r="W100">
        <v>91566</v>
      </c>
      <c r="X100">
        <v>-367138</v>
      </c>
      <c r="Y100">
        <v>0</v>
      </c>
      <c r="Z100">
        <v>0</v>
      </c>
      <c r="AA100">
        <v>0</v>
      </c>
      <c r="AB100">
        <v>-367138</v>
      </c>
      <c r="AC100">
        <v>0</v>
      </c>
      <c r="AD100">
        <v>-367138</v>
      </c>
      <c r="AE100">
        <v>367138</v>
      </c>
      <c r="AF100">
        <v>0</v>
      </c>
      <c r="AG100">
        <v>367138</v>
      </c>
      <c r="AH100">
        <v>-3530675</v>
      </c>
      <c r="AI100">
        <v>0</v>
      </c>
      <c r="AJ100">
        <v>-3530675</v>
      </c>
      <c r="AK100">
        <v>0</v>
      </c>
      <c r="AL100">
        <v>0</v>
      </c>
      <c r="AM100">
        <v>0</v>
      </c>
      <c r="AN100">
        <v>1590432</v>
      </c>
      <c r="AO100">
        <v>0</v>
      </c>
      <c r="AP100">
        <v>1590432</v>
      </c>
      <c r="AQ100">
        <v>-1940243</v>
      </c>
      <c r="AR100">
        <v>0</v>
      </c>
      <c r="AS100">
        <v>-1940243</v>
      </c>
      <c r="AT100">
        <v>-5652995</v>
      </c>
      <c r="AU100">
        <v>0</v>
      </c>
      <c r="AV100">
        <v>-5652995</v>
      </c>
      <c r="AW100">
        <v>-53432</v>
      </c>
      <c r="AX100">
        <v>0</v>
      </c>
      <c r="AY100">
        <v>-53432</v>
      </c>
      <c r="AZ100">
        <v>0</v>
      </c>
      <c r="BA100">
        <v>0</v>
      </c>
      <c r="BB100">
        <v>0</v>
      </c>
      <c r="BC100">
        <v>0</v>
      </c>
      <c r="BD100">
        <v>0</v>
      </c>
      <c r="BE100">
        <v>0</v>
      </c>
      <c r="BF100">
        <v>-7646670</v>
      </c>
      <c r="BG100">
        <v>0</v>
      </c>
      <c r="BH100">
        <v>0</v>
      </c>
      <c r="BI100">
        <v>0</v>
      </c>
      <c r="BJ100">
        <v>-7646670</v>
      </c>
      <c r="BK100">
        <v>0</v>
      </c>
      <c r="BL100">
        <v>-7646670</v>
      </c>
      <c r="BM100">
        <v>0</v>
      </c>
      <c r="BN100">
        <v>0</v>
      </c>
      <c r="BO100">
        <v>0</v>
      </c>
      <c r="BP100">
        <v>-2566438</v>
      </c>
      <c r="BQ100">
        <v>0</v>
      </c>
      <c r="BR100">
        <v>-2566438</v>
      </c>
      <c r="BS100">
        <v>-2566438</v>
      </c>
      <c r="BT100">
        <v>0</v>
      </c>
      <c r="BU100">
        <v>0</v>
      </c>
      <c r="BV100">
        <v>0</v>
      </c>
      <c r="BW100">
        <v>-2566438</v>
      </c>
      <c r="BX100">
        <v>0</v>
      </c>
      <c r="BY100">
        <v>-2566438</v>
      </c>
      <c r="BZ100">
        <v>-145873</v>
      </c>
      <c r="CA100">
        <v>0</v>
      </c>
      <c r="CB100">
        <v>-145873</v>
      </c>
      <c r="CC100">
        <v>-493261</v>
      </c>
      <c r="CD100">
        <v>0</v>
      </c>
      <c r="CE100">
        <v>-493261</v>
      </c>
      <c r="CF100">
        <v>0</v>
      </c>
      <c r="CG100">
        <v>0</v>
      </c>
      <c r="CH100">
        <v>0</v>
      </c>
      <c r="CI100">
        <v>0</v>
      </c>
      <c r="CJ100">
        <v>0</v>
      </c>
      <c r="CK100">
        <v>0</v>
      </c>
      <c r="CL100">
        <v>0</v>
      </c>
      <c r="CM100">
        <v>0</v>
      </c>
      <c r="CN100">
        <v>0</v>
      </c>
      <c r="CO100">
        <v>0</v>
      </c>
      <c r="CP100">
        <v>0</v>
      </c>
      <c r="CQ100">
        <v>0</v>
      </c>
      <c r="CR100">
        <v>0</v>
      </c>
      <c r="CS100">
        <v>0</v>
      </c>
      <c r="CT100">
        <v>-639134</v>
      </c>
      <c r="CU100">
        <v>0</v>
      </c>
      <c r="CV100">
        <v>0</v>
      </c>
      <c r="CW100">
        <v>0</v>
      </c>
      <c r="CX100">
        <v>-639134</v>
      </c>
      <c r="CY100">
        <v>0</v>
      </c>
      <c r="CZ100">
        <v>-639134</v>
      </c>
      <c r="DA100">
        <v>0</v>
      </c>
      <c r="DB100">
        <v>0</v>
      </c>
      <c r="DC100">
        <v>0</v>
      </c>
      <c r="DD100">
        <v>-87077</v>
      </c>
      <c r="DE100">
        <v>0</v>
      </c>
      <c r="DF100">
        <v>-87077</v>
      </c>
      <c r="DG100">
        <v>-23629</v>
      </c>
      <c r="DH100">
        <v>0</v>
      </c>
      <c r="DI100">
        <v>-23629</v>
      </c>
      <c r="DJ100">
        <v>-1520859</v>
      </c>
      <c r="DK100">
        <v>0</v>
      </c>
      <c r="DL100">
        <v>-1520859</v>
      </c>
      <c r="DM100">
        <v>-1631565</v>
      </c>
      <c r="DN100">
        <v>0</v>
      </c>
      <c r="DO100">
        <v>0</v>
      </c>
      <c r="DP100">
        <v>0</v>
      </c>
      <c r="DQ100">
        <v>-1631565</v>
      </c>
      <c r="DR100">
        <v>0</v>
      </c>
      <c r="DS100">
        <v>-1631565</v>
      </c>
      <c r="DT100">
        <v>67370875</v>
      </c>
      <c r="DU100">
        <v>0</v>
      </c>
      <c r="DV100" s="661">
        <v>67370875</v>
      </c>
      <c r="DW100" t="s">
        <v>1751</v>
      </c>
    </row>
    <row r="101" spans="1:127" ht="12.75" x14ac:dyDescent="0.2">
      <c r="A101" s="605">
        <v>94</v>
      </c>
      <c r="B101" s="606" t="s">
        <v>74</v>
      </c>
      <c r="C101" s="607" t="s">
        <v>1190</v>
      </c>
      <c r="D101" s="608" t="s">
        <v>1191</v>
      </c>
      <c r="E101" s="609" t="s">
        <v>73</v>
      </c>
      <c r="G101">
        <v>276081378</v>
      </c>
      <c r="H101">
        <v>0</v>
      </c>
      <c r="I101">
        <v>276081378</v>
      </c>
      <c r="J101">
        <v>49.9</v>
      </c>
      <c r="K101">
        <v>137764608</v>
      </c>
      <c r="L101">
        <v>0</v>
      </c>
      <c r="M101">
        <v>0</v>
      </c>
      <c r="N101">
        <v>0</v>
      </c>
      <c r="O101">
        <v>137764608</v>
      </c>
      <c r="P101">
        <v>0</v>
      </c>
      <c r="Q101">
        <v>137764608</v>
      </c>
      <c r="R101">
        <v>-400981</v>
      </c>
      <c r="S101">
        <v>0</v>
      </c>
      <c r="T101">
        <v>-400981</v>
      </c>
      <c r="U101">
        <v>986529</v>
      </c>
      <c r="V101">
        <v>0</v>
      </c>
      <c r="W101">
        <v>986529</v>
      </c>
      <c r="X101">
        <v>585548</v>
      </c>
      <c r="Y101">
        <v>0</v>
      </c>
      <c r="Z101">
        <v>0</v>
      </c>
      <c r="AA101">
        <v>0</v>
      </c>
      <c r="AB101">
        <v>585548</v>
      </c>
      <c r="AC101">
        <v>0</v>
      </c>
      <c r="AD101">
        <v>585548</v>
      </c>
      <c r="AE101">
        <v>-585548</v>
      </c>
      <c r="AF101">
        <v>0</v>
      </c>
      <c r="AG101">
        <v>-585548</v>
      </c>
      <c r="AH101">
        <v>-7683685</v>
      </c>
      <c r="AI101">
        <v>0</v>
      </c>
      <c r="AJ101">
        <v>-7683685</v>
      </c>
      <c r="AK101">
        <v>0</v>
      </c>
      <c r="AL101">
        <v>0</v>
      </c>
      <c r="AM101">
        <v>0</v>
      </c>
      <c r="AN101">
        <v>2665224</v>
      </c>
      <c r="AO101">
        <v>0</v>
      </c>
      <c r="AP101">
        <v>2665224</v>
      </c>
      <c r="AQ101">
        <v>-5018461</v>
      </c>
      <c r="AR101">
        <v>0</v>
      </c>
      <c r="AS101">
        <v>-5018461</v>
      </c>
      <c r="AT101">
        <v>-7484300</v>
      </c>
      <c r="AU101">
        <v>0</v>
      </c>
      <c r="AV101">
        <v>-7484300</v>
      </c>
      <c r="AW101">
        <v>-137853</v>
      </c>
      <c r="AX101">
        <v>0</v>
      </c>
      <c r="AY101">
        <v>-137853</v>
      </c>
      <c r="AZ101">
        <v>0</v>
      </c>
      <c r="BA101">
        <v>0</v>
      </c>
      <c r="BB101">
        <v>0</v>
      </c>
      <c r="BC101">
        <v>0</v>
      </c>
      <c r="BD101">
        <v>0</v>
      </c>
      <c r="BE101">
        <v>0</v>
      </c>
      <c r="BF101">
        <v>-12640614</v>
      </c>
      <c r="BG101">
        <v>0</v>
      </c>
      <c r="BH101">
        <v>0</v>
      </c>
      <c r="BI101">
        <v>0</v>
      </c>
      <c r="BJ101">
        <v>-12640614</v>
      </c>
      <c r="BK101">
        <v>0</v>
      </c>
      <c r="BL101">
        <v>-12640614</v>
      </c>
      <c r="BM101">
        <v>0</v>
      </c>
      <c r="BN101">
        <v>0</v>
      </c>
      <c r="BO101">
        <v>0</v>
      </c>
      <c r="BP101">
        <v>-1925403</v>
      </c>
      <c r="BQ101">
        <v>0</v>
      </c>
      <c r="BR101">
        <v>-1925403</v>
      </c>
      <c r="BS101">
        <v>-1925403</v>
      </c>
      <c r="BT101">
        <v>0</v>
      </c>
      <c r="BU101">
        <v>0</v>
      </c>
      <c r="BV101">
        <v>0</v>
      </c>
      <c r="BW101">
        <v>-1925403</v>
      </c>
      <c r="BX101">
        <v>0</v>
      </c>
      <c r="BY101">
        <v>-1925403</v>
      </c>
      <c r="BZ101">
        <v>-254057</v>
      </c>
      <c r="CA101">
        <v>0</v>
      </c>
      <c r="CB101">
        <v>-254057</v>
      </c>
      <c r="CC101">
        <v>-209493</v>
      </c>
      <c r="CD101">
        <v>0</v>
      </c>
      <c r="CE101">
        <v>-209493</v>
      </c>
      <c r="CF101">
        <v>0</v>
      </c>
      <c r="CG101">
        <v>0</v>
      </c>
      <c r="CH101">
        <v>0</v>
      </c>
      <c r="CI101">
        <v>0</v>
      </c>
      <c r="CJ101">
        <v>0</v>
      </c>
      <c r="CK101">
        <v>0</v>
      </c>
      <c r="CL101">
        <v>0</v>
      </c>
      <c r="CM101">
        <v>0</v>
      </c>
      <c r="CN101">
        <v>0</v>
      </c>
      <c r="CO101">
        <v>0</v>
      </c>
      <c r="CP101">
        <v>0</v>
      </c>
      <c r="CQ101">
        <v>0</v>
      </c>
      <c r="CR101">
        <v>0</v>
      </c>
      <c r="CS101">
        <v>0</v>
      </c>
      <c r="CT101">
        <v>-463550</v>
      </c>
      <c r="CU101">
        <v>0</v>
      </c>
      <c r="CV101">
        <v>0</v>
      </c>
      <c r="CW101">
        <v>0</v>
      </c>
      <c r="CX101">
        <v>-463550</v>
      </c>
      <c r="CY101">
        <v>0</v>
      </c>
      <c r="CZ101">
        <v>-463550</v>
      </c>
      <c r="DA101">
        <v>0</v>
      </c>
      <c r="DB101">
        <v>0</v>
      </c>
      <c r="DC101">
        <v>0</v>
      </c>
      <c r="DD101">
        <v>-30623</v>
      </c>
      <c r="DE101">
        <v>0</v>
      </c>
      <c r="DF101">
        <v>-30623</v>
      </c>
      <c r="DG101">
        <v>-25995</v>
      </c>
      <c r="DH101">
        <v>0</v>
      </c>
      <c r="DI101">
        <v>-25995</v>
      </c>
      <c r="DJ101">
        <v>-5771308</v>
      </c>
      <c r="DK101">
        <v>0</v>
      </c>
      <c r="DL101">
        <v>-5771308</v>
      </c>
      <c r="DM101">
        <v>-5827926</v>
      </c>
      <c r="DN101">
        <v>0</v>
      </c>
      <c r="DO101">
        <v>0</v>
      </c>
      <c r="DP101">
        <v>0</v>
      </c>
      <c r="DQ101">
        <v>-5827926</v>
      </c>
      <c r="DR101">
        <v>0</v>
      </c>
      <c r="DS101">
        <v>-5827926</v>
      </c>
      <c r="DT101">
        <v>117492663</v>
      </c>
      <c r="DU101">
        <v>0</v>
      </c>
      <c r="DV101" s="661">
        <v>117492663</v>
      </c>
      <c r="DW101" t="s">
        <v>1752</v>
      </c>
    </row>
    <row r="102" spans="1:127" ht="12.75" x14ac:dyDescent="0.2">
      <c r="A102" s="605">
        <v>95</v>
      </c>
      <c r="B102" s="606" t="s">
        <v>76</v>
      </c>
      <c r="C102" s="607" t="s">
        <v>1185</v>
      </c>
      <c r="D102" s="608" t="s">
        <v>1189</v>
      </c>
      <c r="E102" s="609" t="s">
        <v>75</v>
      </c>
      <c r="G102">
        <v>96777789</v>
      </c>
      <c r="H102">
        <v>0</v>
      </c>
      <c r="I102">
        <v>96777789</v>
      </c>
      <c r="J102">
        <v>49.9</v>
      </c>
      <c r="K102">
        <v>48292117</v>
      </c>
      <c r="L102">
        <v>0</v>
      </c>
      <c r="M102">
        <v>0</v>
      </c>
      <c r="N102">
        <v>0</v>
      </c>
      <c r="O102">
        <v>48292117</v>
      </c>
      <c r="P102">
        <v>0</v>
      </c>
      <c r="Q102">
        <v>48292117</v>
      </c>
      <c r="R102">
        <v>-243443</v>
      </c>
      <c r="S102">
        <v>0</v>
      </c>
      <c r="T102">
        <v>-243443</v>
      </c>
      <c r="U102">
        <v>85975</v>
      </c>
      <c r="V102">
        <v>0</v>
      </c>
      <c r="W102">
        <v>85975</v>
      </c>
      <c r="X102">
        <v>-157468</v>
      </c>
      <c r="Y102">
        <v>0</v>
      </c>
      <c r="Z102">
        <v>0</v>
      </c>
      <c r="AA102">
        <v>0</v>
      </c>
      <c r="AB102">
        <v>-157468</v>
      </c>
      <c r="AC102">
        <v>0</v>
      </c>
      <c r="AD102">
        <v>-157468</v>
      </c>
      <c r="AE102">
        <v>157468</v>
      </c>
      <c r="AF102">
        <v>0</v>
      </c>
      <c r="AG102">
        <v>157468</v>
      </c>
      <c r="AH102">
        <v>-5586764</v>
      </c>
      <c r="AI102">
        <v>0</v>
      </c>
      <c r="AJ102">
        <v>-5586764</v>
      </c>
      <c r="AK102">
        <v>0</v>
      </c>
      <c r="AL102">
        <v>0</v>
      </c>
      <c r="AM102">
        <v>0</v>
      </c>
      <c r="AN102">
        <v>707348</v>
      </c>
      <c r="AO102">
        <v>0</v>
      </c>
      <c r="AP102">
        <v>707348</v>
      </c>
      <c r="AQ102">
        <v>-4879416</v>
      </c>
      <c r="AR102">
        <v>0</v>
      </c>
      <c r="AS102">
        <v>-4879416</v>
      </c>
      <c r="AT102">
        <v>-3537336</v>
      </c>
      <c r="AU102">
        <v>0</v>
      </c>
      <c r="AV102">
        <v>-3537336</v>
      </c>
      <c r="AW102">
        <v>-34939</v>
      </c>
      <c r="AX102">
        <v>0</v>
      </c>
      <c r="AY102">
        <v>-34939</v>
      </c>
      <c r="AZ102">
        <v>-6042</v>
      </c>
      <c r="BA102">
        <v>0</v>
      </c>
      <c r="BB102">
        <v>-6042</v>
      </c>
      <c r="BC102">
        <v>0</v>
      </c>
      <c r="BD102">
        <v>0</v>
      </c>
      <c r="BE102">
        <v>0</v>
      </c>
      <c r="BF102">
        <v>-8457733</v>
      </c>
      <c r="BG102">
        <v>0</v>
      </c>
      <c r="BH102">
        <v>0</v>
      </c>
      <c r="BI102">
        <v>0</v>
      </c>
      <c r="BJ102">
        <v>-8457733</v>
      </c>
      <c r="BK102">
        <v>0</v>
      </c>
      <c r="BL102">
        <v>-8457733</v>
      </c>
      <c r="BM102">
        <v>0</v>
      </c>
      <c r="BN102">
        <v>0</v>
      </c>
      <c r="BO102">
        <v>0</v>
      </c>
      <c r="BP102">
        <v>-521213</v>
      </c>
      <c r="BQ102">
        <v>0</v>
      </c>
      <c r="BR102">
        <v>-521213</v>
      </c>
      <c r="BS102">
        <v>-521213</v>
      </c>
      <c r="BT102">
        <v>0</v>
      </c>
      <c r="BU102">
        <v>0</v>
      </c>
      <c r="BV102">
        <v>0</v>
      </c>
      <c r="BW102">
        <v>-521213</v>
      </c>
      <c r="BX102">
        <v>0</v>
      </c>
      <c r="BY102">
        <v>-521213</v>
      </c>
      <c r="BZ102">
        <v>-20751</v>
      </c>
      <c r="CA102">
        <v>0</v>
      </c>
      <c r="CB102">
        <v>-20751</v>
      </c>
      <c r="CC102">
        <v>-48032</v>
      </c>
      <c r="CD102">
        <v>0</v>
      </c>
      <c r="CE102">
        <v>-48032</v>
      </c>
      <c r="CF102">
        <v>0</v>
      </c>
      <c r="CG102">
        <v>0</v>
      </c>
      <c r="CH102">
        <v>0</v>
      </c>
      <c r="CI102">
        <v>0</v>
      </c>
      <c r="CJ102">
        <v>0</v>
      </c>
      <c r="CK102">
        <v>0</v>
      </c>
      <c r="CL102">
        <v>-6148</v>
      </c>
      <c r="CM102">
        <v>0</v>
      </c>
      <c r="CN102">
        <v>-6148</v>
      </c>
      <c r="CO102">
        <v>0</v>
      </c>
      <c r="CP102">
        <v>0</v>
      </c>
      <c r="CQ102">
        <v>0</v>
      </c>
      <c r="CR102">
        <v>0</v>
      </c>
      <c r="CS102">
        <v>0</v>
      </c>
      <c r="CT102">
        <v>-74931</v>
      </c>
      <c r="CU102">
        <v>0</v>
      </c>
      <c r="CV102">
        <v>0</v>
      </c>
      <c r="CW102">
        <v>0</v>
      </c>
      <c r="CX102">
        <v>-74931</v>
      </c>
      <c r="CY102">
        <v>0</v>
      </c>
      <c r="CZ102">
        <v>-74931</v>
      </c>
      <c r="DA102">
        <v>0</v>
      </c>
      <c r="DB102">
        <v>0</v>
      </c>
      <c r="DC102">
        <v>0</v>
      </c>
      <c r="DD102">
        <v>-1042</v>
      </c>
      <c r="DE102">
        <v>0</v>
      </c>
      <c r="DF102">
        <v>-1042</v>
      </c>
      <c r="DG102">
        <v>0</v>
      </c>
      <c r="DH102">
        <v>0</v>
      </c>
      <c r="DI102">
        <v>0</v>
      </c>
      <c r="DJ102">
        <v>-1432409</v>
      </c>
      <c r="DK102">
        <v>0</v>
      </c>
      <c r="DL102">
        <v>-1432409</v>
      </c>
      <c r="DM102">
        <v>-1433451</v>
      </c>
      <c r="DN102">
        <v>0</v>
      </c>
      <c r="DO102">
        <v>0</v>
      </c>
      <c r="DP102">
        <v>0</v>
      </c>
      <c r="DQ102">
        <v>-1433451</v>
      </c>
      <c r="DR102">
        <v>0</v>
      </c>
      <c r="DS102">
        <v>-1433451</v>
      </c>
      <c r="DT102">
        <v>37647321</v>
      </c>
      <c r="DU102">
        <v>0</v>
      </c>
      <c r="DV102" s="661">
        <v>37647321</v>
      </c>
      <c r="DW102" t="s">
        <v>1753</v>
      </c>
    </row>
    <row r="103" spans="1:127" ht="12.75" x14ac:dyDescent="0.2">
      <c r="A103" s="605">
        <v>96</v>
      </c>
      <c r="B103" s="606" t="s">
        <v>78</v>
      </c>
      <c r="C103" s="607" t="s">
        <v>1185</v>
      </c>
      <c r="D103" s="608" t="s">
        <v>1186</v>
      </c>
      <c r="E103" s="609" t="s">
        <v>914</v>
      </c>
      <c r="G103">
        <v>64805169</v>
      </c>
      <c r="H103">
        <v>0</v>
      </c>
      <c r="I103">
        <v>64805169</v>
      </c>
      <c r="J103">
        <v>49.9</v>
      </c>
      <c r="K103">
        <v>32337779</v>
      </c>
      <c r="L103">
        <v>0</v>
      </c>
      <c r="M103">
        <v>0</v>
      </c>
      <c r="N103">
        <v>0</v>
      </c>
      <c r="O103">
        <v>32337779</v>
      </c>
      <c r="P103">
        <v>0</v>
      </c>
      <c r="Q103">
        <v>32337779</v>
      </c>
      <c r="R103">
        <v>-110133</v>
      </c>
      <c r="S103">
        <v>0</v>
      </c>
      <c r="T103">
        <v>-110133</v>
      </c>
      <c r="U103">
        <v>192421</v>
      </c>
      <c r="V103">
        <v>0</v>
      </c>
      <c r="W103">
        <v>192421</v>
      </c>
      <c r="X103">
        <v>82288</v>
      </c>
      <c r="Y103">
        <v>0</v>
      </c>
      <c r="Z103">
        <v>0</v>
      </c>
      <c r="AA103">
        <v>0</v>
      </c>
      <c r="AB103">
        <v>82288</v>
      </c>
      <c r="AC103">
        <v>0</v>
      </c>
      <c r="AD103">
        <v>82288</v>
      </c>
      <c r="AE103">
        <v>-82288</v>
      </c>
      <c r="AF103">
        <v>0</v>
      </c>
      <c r="AG103">
        <v>-82288</v>
      </c>
      <c r="AH103">
        <v>-1927424</v>
      </c>
      <c r="AI103">
        <v>0</v>
      </c>
      <c r="AJ103">
        <v>-1927424</v>
      </c>
      <c r="AK103">
        <v>0</v>
      </c>
      <c r="AL103">
        <v>0</v>
      </c>
      <c r="AM103">
        <v>0</v>
      </c>
      <c r="AN103">
        <v>632849</v>
      </c>
      <c r="AO103">
        <v>0</v>
      </c>
      <c r="AP103">
        <v>632849</v>
      </c>
      <c r="AQ103">
        <v>-1294575</v>
      </c>
      <c r="AR103">
        <v>0</v>
      </c>
      <c r="AS103">
        <v>-1294575</v>
      </c>
      <c r="AT103">
        <v>-3589729</v>
      </c>
      <c r="AU103">
        <v>0</v>
      </c>
      <c r="AV103">
        <v>-3589729</v>
      </c>
      <c r="AW103">
        <v>-48538</v>
      </c>
      <c r="AX103">
        <v>0</v>
      </c>
      <c r="AY103">
        <v>-48538</v>
      </c>
      <c r="AZ103">
        <v>0</v>
      </c>
      <c r="BA103">
        <v>0</v>
      </c>
      <c r="BB103">
        <v>0</v>
      </c>
      <c r="BC103">
        <v>0</v>
      </c>
      <c r="BD103">
        <v>0</v>
      </c>
      <c r="BE103">
        <v>0</v>
      </c>
      <c r="BF103">
        <v>-4932842</v>
      </c>
      <c r="BG103">
        <v>0</v>
      </c>
      <c r="BH103">
        <v>0</v>
      </c>
      <c r="BI103">
        <v>0</v>
      </c>
      <c r="BJ103">
        <v>-4932842</v>
      </c>
      <c r="BK103">
        <v>0</v>
      </c>
      <c r="BL103">
        <v>-4932842</v>
      </c>
      <c r="BM103">
        <v>0</v>
      </c>
      <c r="BN103">
        <v>0</v>
      </c>
      <c r="BO103">
        <v>0</v>
      </c>
      <c r="BP103">
        <v>-428654</v>
      </c>
      <c r="BQ103">
        <v>0</v>
      </c>
      <c r="BR103">
        <v>-428654</v>
      </c>
      <c r="BS103">
        <v>-428654</v>
      </c>
      <c r="BT103">
        <v>0</v>
      </c>
      <c r="BU103">
        <v>-335000</v>
      </c>
      <c r="BV103">
        <v>0</v>
      </c>
      <c r="BW103">
        <v>-763654</v>
      </c>
      <c r="BX103">
        <v>0</v>
      </c>
      <c r="BY103">
        <v>-763654</v>
      </c>
      <c r="BZ103">
        <v>-72483</v>
      </c>
      <c r="CA103">
        <v>0</v>
      </c>
      <c r="CB103">
        <v>-72483</v>
      </c>
      <c r="CC103">
        <v>-608</v>
      </c>
      <c r="CD103">
        <v>0</v>
      </c>
      <c r="CE103">
        <v>-608</v>
      </c>
      <c r="CF103">
        <v>-8550</v>
      </c>
      <c r="CG103">
        <v>0</v>
      </c>
      <c r="CH103">
        <v>-8550</v>
      </c>
      <c r="CI103">
        <v>0</v>
      </c>
      <c r="CJ103">
        <v>0</v>
      </c>
      <c r="CK103">
        <v>0</v>
      </c>
      <c r="CL103">
        <v>0</v>
      </c>
      <c r="CM103">
        <v>0</v>
      </c>
      <c r="CN103">
        <v>0</v>
      </c>
      <c r="CO103">
        <v>0</v>
      </c>
      <c r="CP103">
        <v>0</v>
      </c>
      <c r="CQ103">
        <v>0</v>
      </c>
      <c r="CR103">
        <v>0</v>
      </c>
      <c r="CS103">
        <v>0</v>
      </c>
      <c r="CT103">
        <v>-81641</v>
      </c>
      <c r="CU103">
        <v>0</v>
      </c>
      <c r="CV103">
        <v>0</v>
      </c>
      <c r="CW103">
        <v>0</v>
      </c>
      <c r="CX103">
        <v>-81641</v>
      </c>
      <c r="CY103">
        <v>0</v>
      </c>
      <c r="CZ103">
        <v>-81641</v>
      </c>
      <c r="DA103">
        <v>0</v>
      </c>
      <c r="DB103">
        <v>0</v>
      </c>
      <c r="DC103">
        <v>0</v>
      </c>
      <c r="DD103">
        <v>-10404</v>
      </c>
      <c r="DE103">
        <v>0</v>
      </c>
      <c r="DF103">
        <v>-10404</v>
      </c>
      <c r="DG103">
        <v>-7300</v>
      </c>
      <c r="DH103">
        <v>0</v>
      </c>
      <c r="DI103">
        <v>-7300</v>
      </c>
      <c r="DJ103">
        <v>-734582</v>
      </c>
      <c r="DK103">
        <v>0</v>
      </c>
      <c r="DL103">
        <v>-734582</v>
      </c>
      <c r="DM103">
        <v>-752286</v>
      </c>
      <c r="DN103">
        <v>0</v>
      </c>
      <c r="DO103">
        <v>0</v>
      </c>
      <c r="DP103">
        <v>0</v>
      </c>
      <c r="DQ103">
        <v>-752286</v>
      </c>
      <c r="DR103">
        <v>0</v>
      </c>
      <c r="DS103">
        <v>-752286</v>
      </c>
      <c r="DT103">
        <v>25889644</v>
      </c>
      <c r="DU103">
        <v>0</v>
      </c>
      <c r="DV103" s="661">
        <v>25889644</v>
      </c>
      <c r="DW103" t="s">
        <v>1754</v>
      </c>
    </row>
    <row r="104" spans="1:127" ht="12.75" x14ac:dyDescent="0.2">
      <c r="A104" s="605">
        <v>97</v>
      </c>
      <c r="B104" s="606" t="s">
        <v>80</v>
      </c>
      <c r="C104" s="607" t="s">
        <v>1185</v>
      </c>
      <c r="D104" s="608" t="s">
        <v>1188</v>
      </c>
      <c r="E104" s="609" t="s">
        <v>79</v>
      </c>
      <c r="G104">
        <v>66797299</v>
      </c>
      <c r="H104">
        <v>0</v>
      </c>
      <c r="I104">
        <v>66797299</v>
      </c>
      <c r="J104">
        <v>49.9</v>
      </c>
      <c r="K104">
        <v>33331852</v>
      </c>
      <c r="L104">
        <v>0</v>
      </c>
      <c r="M104">
        <v>0</v>
      </c>
      <c r="N104">
        <v>0</v>
      </c>
      <c r="O104">
        <v>33331852</v>
      </c>
      <c r="P104">
        <v>0</v>
      </c>
      <c r="Q104">
        <v>33331852</v>
      </c>
      <c r="R104">
        <v>-120957</v>
      </c>
      <c r="S104">
        <v>0</v>
      </c>
      <c r="T104">
        <v>-120957</v>
      </c>
      <c r="U104">
        <v>35552</v>
      </c>
      <c r="V104">
        <v>0</v>
      </c>
      <c r="W104">
        <v>35552</v>
      </c>
      <c r="X104">
        <v>-85405</v>
      </c>
      <c r="Y104">
        <v>0</v>
      </c>
      <c r="Z104">
        <v>0</v>
      </c>
      <c r="AA104">
        <v>0</v>
      </c>
      <c r="AB104">
        <v>-85405</v>
      </c>
      <c r="AC104">
        <v>0</v>
      </c>
      <c r="AD104">
        <v>-85405</v>
      </c>
      <c r="AE104">
        <v>85405</v>
      </c>
      <c r="AF104">
        <v>0</v>
      </c>
      <c r="AG104">
        <v>85405</v>
      </c>
      <c r="AH104">
        <v>-4326026</v>
      </c>
      <c r="AI104">
        <v>0</v>
      </c>
      <c r="AJ104">
        <v>-4326026</v>
      </c>
      <c r="AK104">
        <v>0</v>
      </c>
      <c r="AL104">
        <v>0</v>
      </c>
      <c r="AM104">
        <v>0</v>
      </c>
      <c r="AN104">
        <v>507987</v>
      </c>
      <c r="AO104">
        <v>0</v>
      </c>
      <c r="AP104">
        <v>507987</v>
      </c>
      <c r="AQ104">
        <v>-3818039</v>
      </c>
      <c r="AR104">
        <v>0</v>
      </c>
      <c r="AS104">
        <v>-3818039</v>
      </c>
      <c r="AT104">
        <v>-2371437</v>
      </c>
      <c r="AU104">
        <v>0</v>
      </c>
      <c r="AV104">
        <v>-2371437</v>
      </c>
      <c r="AW104">
        <v>-53453</v>
      </c>
      <c r="AX104">
        <v>0</v>
      </c>
      <c r="AY104">
        <v>-53453</v>
      </c>
      <c r="AZ104">
        <v>0</v>
      </c>
      <c r="BA104">
        <v>0</v>
      </c>
      <c r="BB104">
        <v>0</v>
      </c>
      <c r="BC104">
        <v>0</v>
      </c>
      <c r="BD104">
        <v>0</v>
      </c>
      <c r="BE104">
        <v>0</v>
      </c>
      <c r="BF104">
        <v>-6242929</v>
      </c>
      <c r="BG104">
        <v>0</v>
      </c>
      <c r="BH104">
        <v>0</v>
      </c>
      <c r="BI104">
        <v>0</v>
      </c>
      <c r="BJ104">
        <v>-6242929</v>
      </c>
      <c r="BK104">
        <v>0</v>
      </c>
      <c r="BL104">
        <v>-6242929</v>
      </c>
      <c r="BM104">
        <v>0</v>
      </c>
      <c r="BN104">
        <v>0</v>
      </c>
      <c r="BO104">
        <v>0</v>
      </c>
      <c r="BP104">
        <v>-450000</v>
      </c>
      <c r="BQ104">
        <v>0</v>
      </c>
      <c r="BR104">
        <v>-450000</v>
      </c>
      <c r="BS104">
        <v>-450000</v>
      </c>
      <c r="BT104">
        <v>0</v>
      </c>
      <c r="BU104">
        <v>0</v>
      </c>
      <c r="BV104">
        <v>0</v>
      </c>
      <c r="BW104">
        <v>-450000</v>
      </c>
      <c r="BX104">
        <v>0</v>
      </c>
      <c r="BY104">
        <v>-450000</v>
      </c>
      <c r="BZ104">
        <v>-18578</v>
      </c>
      <c r="CA104">
        <v>0</v>
      </c>
      <c r="CB104">
        <v>-18578</v>
      </c>
      <c r="CC104">
        <v>-27543</v>
      </c>
      <c r="CD104">
        <v>0</v>
      </c>
      <c r="CE104">
        <v>-27543</v>
      </c>
      <c r="CF104">
        <v>0</v>
      </c>
      <c r="CG104">
        <v>0</v>
      </c>
      <c r="CH104">
        <v>0</v>
      </c>
      <c r="CI104">
        <v>0</v>
      </c>
      <c r="CJ104">
        <v>0</v>
      </c>
      <c r="CK104">
        <v>0</v>
      </c>
      <c r="CL104">
        <v>0</v>
      </c>
      <c r="CM104">
        <v>0</v>
      </c>
      <c r="CN104">
        <v>0</v>
      </c>
      <c r="CO104">
        <v>0</v>
      </c>
      <c r="CP104">
        <v>0</v>
      </c>
      <c r="CQ104">
        <v>0</v>
      </c>
      <c r="CR104">
        <v>0</v>
      </c>
      <c r="CS104">
        <v>0</v>
      </c>
      <c r="CT104">
        <v>-46121</v>
      </c>
      <c r="CU104">
        <v>0</v>
      </c>
      <c r="CV104">
        <v>0</v>
      </c>
      <c r="CW104">
        <v>0</v>
      </c>
      <c r="CX104">
        <v>-46121</v>
      </c>
      <c r="CY104">
        <v>0</v>
      </c>
      <c r="CZ104">
        <v>-46121</v>
      </c>
      <c r="DA104">
        <v>-7102</v>
      </c>
      <c r="DB104">
        <v>0</v>
      </c>
      <c r="DC104">
        <v>-7102</v>
      </c>
      <c r="DD104">
        <v>-26561</v>
      </c>
      <c r="DE104">
        <v>0</v>
      </c>
      <c r="DF104">
        <v>-26561</v>
      </c>
      <c r="DG104">
        <v>-4000</v>
      </c>
      <c r="DH104">
        <v>0</v>
      </c>
      <c r="DI104">
        <v>-4000</v>
      </c>
      <c r="DJ104">
        <v>-593085</v>
      </c>
      <c r="DK104">
        <v>0</v>
      </c>
      <c r="DL104">
        <v>-593085</v>
      </c>
      <c r="DM104">
        <v>-630748</v>
      </c>
      <c r="DN104">
        <v>0</v>
      </c>
      <c r="DO104">
        <v>0</v>
      </c>
      <c r="DP104">
        <v>0</v>
      </c>
      <c r="DQ104">
        <v>-630748</v>
      </c>
      <c r="DR104">
        <v>0</v>
      </c>
      <c r="DS104">
        <v>-630748</v>
      </c>
      <c r="DT104">
        <v>25876649</v>
      </c>
      <c r="DU104">
        <v>0</v>
      </c>
      <c r="DV104" s="661">
        <v>25876649</v>
      </c>
      <c r="DW104" t="s">
        <v>1755</v>
      </c>
    </row>
    <row r="105" spans="1:127" ht="12.75" x14ac:dyDescent="0.2">
      <c r="A105" s="605">
        <v>98</v>
      </c>
      <c r="B105" s="606" t="s">
        <v>82</v>
      </c>
      <c r="C105" s="607" t="s">
        <v>1185</v>
      </c>
      <c r="D105" s="608" t="s">
        <v>1194</v>
      </c>
      <c r="E105" s="609" t="s">
        <v>81</v>
      </c>
      <c r="G105">
        <v>192419444</v>
      </c>
      <c r="H105">
        <v>0</v>
      </c>
      <c r="I105">
        <v>192419444</v>
      </c>
      <c r="J105">
        <v>49.9</v>
      </c>
      <c r="K105">
        <v>96017303</v>
      </c>
      <c r="L105">
        <v>0</v>
      </c>
      <c r="M105">
        <v>0</v>
      </c>
      <c r="N105">
        <v>0</v>
      </c>
      <c r="O105">
        <v>96017303</v>
      </c>
      <c r="P105">
        <v>0</v>
      </c>
      <c r="Q105">
        <v>96017303</v>
      </c>
      <c r="R105">
        <v>-750141</v>
      </c>
      <c r="S105">
        <v>0</v>
      </c>
      <c r="T105">
        <v>-750141</v>
      </c>
      <c r="U105">
        <v>1802862</v>
      </c>
      <c r="V105">
        <v>0</v>
      </c>
      <c r="W105">
        <v>1802862</v>
      </c>
      <c r="X105">
        <v>1052721</v>
      </c>
      <c r="Y105">
        <v>0</v>
      </c>
      <c r="Z105">
        <v>0</v>
      </c>
      <c r="AA105">
        <v>0</v>
      </c>
      <c r="AB105">
        <v>1052721</v>
      </c>
      <c r="AC105">
        <v>0</v>
      </c>
      <c r="AD105">
        <v>1052721</v>
      </c>
      <c r="AE105">
        <v>-1052721</v>
      </c>
      <c r="AF105">
        <v>0</v>
      </c>
      <c r="AG105">
        <v>-1052721</v>
      </c>
      <c r="AH105">
        <v>-4033343</v>
      </c>
      <c r="AI105">
        <v>0</v>
      </c>
      <c r="AJ105">
        <v>-4033343</v>
      </c>
      <c r="AK105">
        <v>0</v>
      </c>
      <c r="AL105">
        <v>0</v>
      </c>
      <c r="AM105">
        <v>0</v>
      </c>
      <c r="AN105">
        <v>1943071</v>
      </c>
      <c r="AO105">
        <v>0</v>
      </c>
      <c r="AP105">
        <v>1943071</v>
      </c>
      <c r="AQ105">
        <v>-2090272</v>
      </c>
      <c r="AR105">
        <v>0</v>
      </c>
      <c r="AS105">
        <v>-2090272</v>
      </c>
      <c r="AT105">
        <v>-7331180</v>
      </c>
      <c r="AU105">
        <v>0</v>
      </c>
      <c r="AV105">
        <v>-7331180</v>
      </c>
      <c r="AW105">
        <v>-42434</v>
      </c>
      <c r="AX105">
        <v>0</v>
      </c>
      <c r="AY105">
        <v>-42434</v>
      </c>
      <c r="AZ105">
        <v>0</v>
      </c>
      <c r="BA105">
        <v>0</v>
      </c>
      <c r="BB105">
        <v>0</v>
      </c>
      <c r="BC105">
        <v>0</v>
      </c>
      <c r="BD105">
        <v>0</v>
      </c>
      <c r="BE105">
        <v>0</v>
      </c>
      <c r="BF105">
        <v>-9463886</v>
      </c>
      <c r="BG105">
        <v>0</v>
      </c>
      <c r="BH105">
        <v>0</v>
      </c>
      <c r="BI105">
        <v>0</v>
      </c>
      <c r="BJ105">
        <v>-9463886</v>
      </c>
      <c r="BK105">
        <v>0</v>
      </c>
      <c r="BL105">
        <v>-9463886</v>
      </c>
      <c r="BM105">
        <v>0</v>
      </c>
      <c r="BN105">
        <v>0</v>
      </c>
      <c r="BO105">
        <v>0</v>
      </c>
      <c r="BP105">
        <v>-1697088</v>
      </c>
      <c r="BQ105">
        <v>0</v>
      </c>
      <c r="BR105">
        <v>-1697088</v>
      </c>
      <c r="BS105">
        <v>-1697088</v>
      </c>
      <c r="BT105">
        <v>0</v>
      </c>
      <c r="BU105">
        <v>0</v>
      </c>
      <c r="BV105">
        <v>0</v>
      </c>
      <c r="BW105">
        <v>-1697088</v>
      </c>
      <c r="BX105">
        <v>0</v>
      </c>
      <c r="BY105">
        <v>-1697088</v>
      </c>
      <c r="BZ105">
        <v>-236965</v>
      </c>
      <c r="CA105">
        <v>0</v>
      </c>
      <c r="CB105">
        <v>-236965</v>
      </c>
      <c r="CC105">
        <v>-58660</v>
      </c>
      <c r="CD105">
        <v>0</v>
      </c>
      <c r="CE105">
        <v>-58660</v>
      </c>
      <c r="CF105">
        <v>-4854</v>
      </c>
      <c r="CG105">
        <v>0</v>
      </c>
      <c r="CH105">
        <v>-4854</v>
      </c>
      <c r="CI105">
        <v>0</v>
      </c>
      <c r="CJ105">
        <v>0</v>
      </c>
      <c r="CK105">
        <v>0</v>
      </c>
      <c r="CL105">
        <v>0</v>
      </c>
      <c r="CM105">
        <v>0</v>
      </c>
      <c r="CN105">
        <v>0</v>
      </c>
      <c r="CO105">
        <v>0</v>
      </c>
      <c r="CP105">
        <v>0</v>
      </c>
      <c r="CQ105">
        <v>0</v>
      </c>
      <c r="CR105">
        <v>0</v>
      </c>
      <c r="CS105">
        <v>0</v>
      </c>
      <c r="CT105">
        <v>-300479</v>
      </c>
      <c r="CU105">
        <v>0</v>
      </c>
      <c r="CV105">
        <v>0</v>
      </c>
      <c r="CW105">
        <v>0</v>
      </c>
      <c r="CX105">
        <v>-300479</v>
      </c>
      <c r="CY105">
        <v>0</v>
      </c>
      <c r="CZ105">
        <v>-300479</v>
      </c>
      <c r="DA105">
        <v>0</v>
      </c>
      <c r="DB105">
        <v>0</v>
      </c>
      <c r="DC105">
        <v>0</v>
      </c>
      <c r="DD105">
        <v>-20646</v>
      </c>
      <c r="DE105">
        <v>0</v>
      </c>
      <c r="DF105">
        <v>-20646</v>
      </c>
      <c r="DG105">
        <v>-1125</v>
      </c>
      <c r="DH105">
        <v>0</v>
      </c>
      <c r="DI105">
        <v>-1125</v>
      </c>
      <c r="DJ105">
        <v>-1963253</v>
      </c>
      <c r="DK105">
        <v>0</v>
      </c>
      <c r="DL105">
        <v>-1963253</v>
      </c>
      <c r="DM105">
        <v>-1985024</v>
      </c>
      <c r="DN105">
        <v>0</v>
      </c>
      <c r="DO105">
        <v>0</v>
      </c>
      <c r="DP105">
        <v>0</v>
      </c>
      <c r="DQ105">
        <v>-1985024</v>
      </c>
      <c r="DR105">
        <v>0</v>
      </c>
      <c r="DS105">
        <v>-1985024</v>
      </c>
      <c r="DT105">
        <v>83623547</v>
      </c>
      <c r="DU105">
        <v>0</v>
      </c>
      <c r="DV105" s="661">
        <v>83623547</v>
      </c>
      <c r="DW105" t="s">
        <v>1756</v>
      </c>
    </row>
    <row r="106" spans="1:127" ht="12.75" x14ac:dyDescent="0.2">
      <c r="A106" s="605">
        <v>99</v>
      </c>
      <c r="B106" s="606" t="s">
        <v>84</v>
      </c>
      <c r="C106" s="607" t="s">
        <v>1185</v>
      </c>
      <c r="D106" s="608" t="s">
        <v>1186</v>
      </c>
      <c r="E106" s="609" t="s">
        <v>83</v>
      </c>
      <c r="G106">
        <v>100804528</v>
      </c>
      <c r="H106">
        <v>1643590</v>
      </c>
      <c r="I106">
        <v>102448118</v>
      </c>
      <c r="J106">
        <v>49.9</v>
      </c>
      <c r="K106">
        <v>50301459</v>
      </c>
      <c r="L106">
        <v>820151</v>
      </c>
      <c r="M106">
        <v>59580</v>
      </c>
      <c r="N106">
        <v>23812</v>
      </c>
      <c r="O106">
        <v>50361039</v>
      </c>
      <c r="P106">
        <v>843963</v>
      </c>
      <c r="Q106">
        <v>51205002</v>
      </c>
      <c r="R106">
        <v>-95532</v>
      </c>
      <c r="S106">
        <v>0</v>
      </c>
      <c r="T106">
        <v>-95532</v>
      </c>
      <c r="U106">
        <v>297166</v>
      </c>
      <c r="V106">
        <v>0</v>
      </c>
      <c r="W106">
        <v>297166</v>
      </c>
      <c r="X106">
        <v>201634</v>
      </c>
      <c r="Y106">
        <v>0</v>
      </c>
      <c r="Z106">
        <v>0</v>
      </c>
      <c r="AA106">
        <v>0</v>
      </c>
      <c r="AB106">
        <v>201634</v>
      </c>
      <c r="AC106">
        <v>0</v>
      </c>
      <c r="AD106">
        <v>201634</v>
      </c>
      <c r="AE106">
        <v>-201634</v>
      </c>
      <c r="AF106">
        <v>0</v>
      </c>
      <c r="AG106">
        <v>-201634</v>
      </c>
      <c r="AH106">
        <v>-3469717</v>
      </c>
      <c r="AI106">
        <v>-57709</v>
      </c>
      <c r="AJ106">
        <v>-3527426</v>
      </c>
      <c r="AK106">
        <v>-10953</v>
      </c>
      <c r="AL106">
        <v>-11826</v>
      </c>
      <c r="AM106">
        <v>-22779</v>
      </c>
      <c r="AN106">
        <v>901251</v>
      </c>
      <c r="AO106">
        <v>7579</v>
      </c>
      <c r="AP106">
        <v>908830</v>
      </c>
      <c r="AQ106">
        <v>-2568466</v>
      </c>
      <c r="AR106">
        <v>-50130</v>
      </c>
      <c r="AS106">
        <v>-2618596</v>
      </c>
      <c r="AT106">
        <v>-2808707</v>
      </c>
      <c r="AU106">
        <v>-88883</v>
      </c>
      <c r="AV106">
        <v>-2897590</v>
      </c>
      <c r="AW106">
        <v>0</v>
      </c>
      <c r="AX106">
        <v>0</v>
      </c>
      <c r="AY106">
        <v>0</v>
      </c>
      <c r="AZ106">
        <v>0</v>
      </c>
      <c r="BA106">
        <v>0</v>
      </c>
      <c r="BB106">
        <v>0</v>
      </c>
      <c r="BC106">
        <v>0</v>
      </c>
      <c r="BD106">
        <v>0</v>
      </c>
      <c r="BE106">
        <v>0</v>
      </c>
      <c r="BF106">
        <v>-5377173</v>
      </c>
      <c r="BG106">
        <v>-139013</v>
      </c>
      <c r="BH106">
        <v>-998</v>
      </c>
      <c r="BI106">
        <v>0</v>
      </c>
      <c r="BJ106">
        <v>-5378171</v>
      </c>
      <c r="BK106">
        <v>-139013</v>
      </c>
      <c r="BL106">
        <v>-5517184</v>
      </c>
      <c r="BM106">
        <v>-10000</v>
      </c>
      <c r="BN106">
        <v>0</v>
      </c>
      <c r="BO106">
        <v>-10000</v>
      </c>
      <c r="BP106">
        <v>-917863</v>
      </c>
      <c r="BQ106">
        <v>-3011</v>
      </c>
      <c r="BR106">
        <v>-920874</v>
      </c>
      <c r="BS106">
        <v>-927863</v>
      </c>
      <c r="BT106">
        <v>-3011</v>
      </c>
      <c r="BU106">
        <v>0</v>
      </c>
      <c r="BV106">
        <v>0</v>
      </c>
      <c r="BW106">
        <v>-927863</v>
      </c>
      <c r="BX106">
        <v>-3011</v>
      </c>
      <c r="BY106">
        <v>-930874</v>
      </c>
      <c r="BZ106">
        <v>-147307</v>
      </c>
      <c r="CA106">
        <v>0</v>
      </c>
      <c r="CB106">
        <v>-147307</v>
      </c>
      <c r="CC106">
        <v>-540326</v>
      </c>
      <c r="CD106">
        <v>-12974</v>
      </c>
      <c r="CE106">
        <v>-553300</v>
      </c>
      <c r="CF106">
        <v>0</v>
      </c>
      <c r="CG106">
        <v>0</v>
      </c>
      <c r="CH106">
        <v>0</v>
      </c>
      <c r="CI106">
        <v>0</v>
      </c>
      <c r="CJ106">
        <v>0</v>
      </c>
      <c r="CK106">
        <v>0</v>
      </c>
      <c r="CL106">
        <v>0</v>
      </c>
      <c r="CM106">
        <v>0</v>
      </c>
      <c r="CN106">
        <v>0</v>
      </c>
      <c r="CO106">
        <v>0</v>
      </c>
      <c r="CP106">
        <v>-246620</v>
      </c>
      <c r="CQ106">
        <v>-246620</v>
      </c>
      <c r="CR106">
        <v>-246620</v>
      </c>
      <c r="CS106">
        <v>0</v>
      </c>
      <c r="CT106">
        <v>-687633</v>
      </c>
      <c r="CU106">
        <v>-259594</v>
      </c>
      <c r="CV106">
        <v>-250</v>
      </c>
      <c r="CW106">
        <v>0</v>
      </c>
      <c r="CX106">
        <v>-687883</v>
      </c>
      <c r="CY106">
        <v>-259594</v>
      </c>
      <c r="CZ106">
        <v>-947477</v>
      </c>
      <c r="DA106">
        <v>0</v>
      </c>
      <c r="DB106">
        <v>0</v>
      </c>
      <c r="DC106">
        <v>0</v>
      </c>
      <c r="DD106">
        <v>-15161</v>
      </c>
      <c r="DE106">
        <v>0</v>
      </c>
      <c r="DF106">
        <v>-15161</v>
      </c>
      <c r="DG106">
        <v>-5194</v>
      </c>
      <c r="DH106">
        <v>0</v>
      </c>
      <c r="DI106">
        <v>-5194</v>
      </c>
      <c r="DJ106">
        <v>-555709</v>
      </c>
      <c r="DK106">
        <v>0</v>
      </c>
      <c r="DL106">
        <v>-555709</v>
      </c>
      <c r="DM106">
        <v>-576064</v>
      </c>
      <c r="DN106">
        <v>0</v>
      </c>
      <c r="DO106">
        <v>0</v>
      </c>
      <c r="DP106">
        <v>0</v>
      </c>
      <c r="DQ106">
        <v>-576064</v>
      </c>
      <c r="DR106">
        <v>0</v>
      </c>
      <c r="DS106">
        <v>-576064</v>
      </c>
      <c r="DT106">
        <v>42992692</v>
      </c>
      <c r="DU106">
        <v>442345</v>
      </c>
      <c r="DV106" s="661">
        <v>43435037</v>
      </c>
      <c r="DW106" t="s">
        <v>1757</v>
      </c>
    </row>
    <row r="107" spans="1:127" ht="12.75" x14ac:dyDescent="0.2">
      <c r="A107" s="605">
        <v>100</v>
      </c>
      <c r="B107" s="606" t="s">
        <v>86</v>
      </c>
      <c r="C107" s="607" t="s">
        <v>1185</v>
      </c>
      <c r="D107" s="608" t="s">
        <v>1189</v>
      </c>
      <c r="E107" s="609" t="s">
        <v>85</v>
      </c>
      <c r="G107">
        <v>67003595</v>
      </c>
      <c r="H107">
        <v>0</v>
      </c>
      <c r="I107">
        <v>67003595</v>
      </c>
      <c r="J107">
        <v>49.9</v>
      </c>
      <c r="K107">
        <v>33434794</v>
      </c>
      <c r="L107">
        <v>0</v>
      </c>
      <c r="M107">
        <v>0</v>
      </c>
      <c r="N107">
        <v>0</v>
      </c>
      <c r="O107">
        <v>33434794</v>
      </c>
      <c r="P107">
        <v>0</v>
      </c>
      <c r="Q107">
        <v>33434794</v>
      </c>
      <c r="R107">
        <v>-144208</v>
      </c>
      <c r="S107">
        <v>0</v>
      </c>
      <c r="T107">
        <v>-144208</v>
      </c>
      <c r="U107">
        <v>72659</v>
      </c>
      <c r="V107">
        <v>0</v>
      </c>
      <c r="W107">
        <v>72659</v>
      </c>
      <c r="X107">
        <v>-71549</v>
      </c>
      <c r="Y107">
        <v>0</v>
      </c>
      <c r="Z107">
        <v>0</v>
      </c>
      <c r="AA107">
        <v>0</v>
      </c>
      <c r="AB107">
        <v>-71549</v>
      </c>
      <c r="AC107">
        <v>0</v>
      </c>
      <c r="AD107">
        <v>-71549</v>
      </c>
      <c r="AE107">
        <v>71549</v>
      </c>
      <c r="AF107">
        <v>0</v>
      </c>
      <c r="AG107">
        <v>71549</v>
      </c>
      <c r="AH107">
        <v>-3880873</v>
      </c>
      <c r="AI107">
        <v>0</v>
      </c>
      <c r="AJ107">
        <v>-3880873</v>
      </c>
      <c r="AK107">
        <v>0</v>
      </c>
      <c r="AL107">
        <v>0</v>
      </c>
      <c r="AM107">
        <v>0</v>
      </c>
      <c r="AN107">
        <v>567818</v>
      </c>
      <c r="AO107">
        <v>0</v>
      </c>
      <c r="AP107">
        <v>567818</v>
      </c>
      <c r="AQ107">
        <v>-3313055</v>
      </c>
      <c r="AR107">
        <v>0</v>
      </c>
      <c r="AS107">
        <v>-3313055</v>
      </c>
      <c r="AT107">
        <v>-2572244</v>
      </c>
      <c r="AU107">
        <v>0</v>
      </c>
      <c r="AV107">
        <v>-2572244</v>
      </c>
      <c r="AW107">
        <v>-38922</v>
      </c>
      <c r="AX107">
        <v>0</v>
      </c>
      <c r="AY107">
        <v>-38922</v>
      </c>
      <c r="AZ107">
        <v>-22111</v>
      </c>
      <c r="BA107">
        <v>0</v>
      </c>
      <c r="BB107">
        <v>-22111</v>
      </c>
      <c r="BC107">
        <v>0</v>
      </c>
      <c r="BD107">
        <v>0</v>
      </c>
      <c r="BE107">
        <v>0</v>
      </c>
      <c r="BF107">
        <v>-5946332</v>
      </c>
      <c r="BG107">
        <v>0</v>
      </c>
      <c r="BH107">
        <v>-130283</v>
      </c>
      <c r="BI107">
        <v>0</v>
      </c>
      <c r="BJ107">
        <v>-6076615</v>
      </c>
      <c r="BK107">
        <v>0</v>
      </c>
      <c r="BL107">
        <v>-6076615</v>
      </c>
      <c r="BM107">
        <v>0</v>
      </c>
      <c r="BN107">
        <v>0</v>
      </c>
      <c r="BO107">
        <v>0</v>
      </c>
      <c r="BP107">
        <v>-523790</v>
      </c>
      <c r="BQ107">
        <v>0</v>
      </c>
      <c r="BR107">
        <v>-523790</v>
      </c>
      <c r="BS107">
        <v>-523790</v>
      </c>
      <c r="BT107">
        <v>0</v>
      </c>
      <c r="BU107">
        <v>0</v>
      </c>
      <c r="BV107">
        <v>0</v>
      </c>
      <c r="BW107">
        <v>-523790</v>
      </c>
      <c r="BX107">
        <v>0</v>
      </c>
      <c r="BY107">
        <v>-523790</v>
      </c>
      <c r="BZ107">
        <v>-28921</v>
      </c>
      <c r="CA107">
        <v>0</v>
      </c>
      <c r="CB107">
        <v>-28921</v>
      </c>
      <c r="CC107">
        <v>-33853</v>
      </c>
      <c r="CD107">
        <v>0</v>
      </c>
      <c r="CE107">
        <v>-33853</v>
      </c>
      <c r="CF107">
        <v>-1101</v>
      </c>
      <c r="CG107">
        <v>0</v>
      </c>
      <c r="CH107">
        <v>-1101</v>
      </c>
      <c r="CI107">
        <v>0</v>
      </c>
      <c r="CJ107">
        <v>0</v>
      </c>
      <c r="CK107">
        <v>0</v>
      </c>
      <c r="CL107">
        <v>-2420</v>
      </c>
      <c r="CM107">
        <v>0</v>
      </c>
      <c r="CN107">
        <v>-2420</v>
      </c>
      <c r="CO107">
        <v>0</v>
      </c>
      <c r="CP107">
        <v>0</v>
      </c>
      <c r="CQ107">
        <v>0</v>
      </c>
      <c r="CR107">
        <v>0</v>
      </c>
      <c r="CS107">
        <v>0</v>
      </c>
      <c r="CT107">
        <v>-66295</v>
      </c>
      <c r="CU107">
        <v>0</v>
      </c>
      <c r="CV107">
        <v>0</v>
      </c>
      <c r="CW107">
        <v>0</v>
      </c>
      <c r="CX107">
        <v>-66295</v>
      </c>
      <c r="CY107">
        <v>0</v>
      </c>
      <c r="CZ107">
        <v>-66295</v>
      </c>
      <c r="DA107">
        <v>-22111</v>
      </c>
      <c r="DB107">
        <v>0</v>
      </c>
      <c r="DC107">
        <v>-22111</v>
      </c>
      <c r="DD107">
        <v>-25057</v>
      </c>
      <c r="DE107">
        <v>0</v>
      </c>
      <c r="DF107">
        <v>-25057</v>
      </c>
      <c r="DG107">
        <v>-4560</v>
      </c>
      <c r="DH107">
        <v>0</v>
      </c>
      <c r="DI107">
        <v>-4560</v>
      </c>
      <c r="DJ107">
        <v>-509599</v>
      </c>
      <c r="DK107">
        <v>0</v>
      </c>
      <c r="DL107">
        <v>-509599</v>
      </c>
      <c r="DM107">
        <v>-561327</v>
      </c>
      <c r="DN107">
        <v>0</v>
      </c>
      <c r="DO107">
        <v>0</v>
      </c>
      <c r="DP107">
        <v>0</v>
      </c>
      <c r="DQ107">
        <v>-561327</v>
      </c>
      <c r="DR107">
        <v>0</v>
      </c>
      <c r="DS107">
        <v>-561327</v>
      </c>
      <c r="DT107">
        <v>26135218</v>
      </c>
      <c r="DU107">
        <v>0</v>
      </c>
      <c r="DV107" s="661">
        <v>26135218</v>
      </c>
      <c r="DW107" t="s">
        <v>1758</v>
      </c>
    </row>
    <row r="108" spans="1:127" ht="12.75" x14ac:dyDescent="0.2">
      <c r="A108" s="605">
        <v>101</v>
      </c>
      <c r="B108" s="606" t="s">
        <v>341</v>
      </c>
      <c r="C108" s="607" t="s">
        <v>1185</v>
      </c>
      <c r="D108" s="608" t="s">
        <v>1189</v>
      </c>
      <c r="E108" s="609" t="s">
        <v>1120</v>
      </c>
      <c r="G108">
        <v>77019648</v>
      </c>
      <c r="H108">
        <v>0</v>
      </c>
      <c r="I108">
        <v>77019648</v>
      </c>
      <c r="J108">
        <v>49.9</v>
      </c>
      <c r="K108">
        <v>38432804</v>
      </c>
      <c r="L108">
        <v>0</v>
      </c>
      <c r="M108">
        <v>384328</v>
      </c>
      <c r="N108">
        <v>0</v>
      </c>
      <c r="O108">
        <v>38817132</v>
      </c>
      <c r="P108">
        <v>0</v>
      </c>
      <c r="Q108">
        <v>38817132</v>
      </c>
      <c r="R108">
        <v>-251725</v>
      </c>
      <c r="S108">
        <v>0</v>
      </c>
      <c r="T108">
        <v>-251725</v>
      </c>
      <c r="U108">
        <v>459975</v>
      </c>
      <c r="V108">
        <v>0</v>
      </c>
      <c r="W108">
        <v>459975</v>
      </c>
      <c r="X108">
        <v>208250</v>
      </c>
      <c r="Y108">
        <v>0</v>
      </c>
      <c r="Z108">
        <v>5279</v>
      </c>
      <c r="AA108">
        <v>0</v>
      </c>
      <c r="AB108">
        <v>213529</v>
      </c>
      <c r="AC108">
        <v>0</v>
      </c>
      <c r="AD108">
        <v>213529</v>
      </c>
      <c r="AE108">
        <v>-213529</v>
      </c>
      <c r="AF108">
        <v>0</v>
      </c>
      <c r="AG108">
        <v>-213529</v>
      </c>
      <c r="AH108">
        <v>-4548145</v>
      </c>
      <c r="AI108">
        <v>0</v>
      </c>
      <c r="AJ108">
        <v>-4548145</v>
      </c>
      <c r="AK108">
        <v>-19087</v>
      </c>
      <c r="AL108">
        <v>0</v>
      </c>
      <c r="AM108">
        <v>-19087</v>
      </c>
      <c r="AN108">
        <v>652552</v>
      </c>
      <c r="AO108">
        <v>0</v>
      </c>
      <c r="AP108">
        <v>652552</v>
      </c>
      <c r="AQ108">
        <v>-3895593</v>
      </c>
      <c r="AR108">
        <v>0</v>
      </c>
      <c r="AS108">
        <v>-3895593</v>
      </c>
      <c r="AT108">
        <v>-2773112</v>
      </c>
      <c r="AU108">
        <v>0</v>
      </c>
      <c r="AV108">
        <v>-2773112</v>
      </c>
      <c r="AW108">
        <v>-98859</v>
      </c>
      <c r="AX108">
        <v>0</v>
      </c>
      <c r="AY108">
        <v>-98859</v>
      </c>
      <c r="AZ108">
        <v>-20857</v>
      </c>
      <c r="BA108">
        <v>0</v>
      </c>
      <c r="BB108">
        <v>-20857</v>
      </c>
      <c r="BC108">
        <v>0</v>
      </c>
      <c r="BD108">
        <v>0</v>
      </c>
      <c r="BE108">
        <v>0</v>
      </c>
      <c r="BF108">
        <v>-6788421</v>
      </c>
      <c r="BG108">
        <v>0</v>
      </c>
      <c r="BH108">
        <v>-184645</v>
      </c>
      <c r="BI108">
        <v>0</v>
      </c>
      <c r="BJ108">
        <v>-6973066</v>
      </c>
      <c r="BK108">
        <v>0</v>
      </c>
      <c r="BL108">
        <v>-6973066</v>
      </c>
      <c r="BM108">
        <v>-979147</v>
      </c>
      <c r="BN108">
        <v>0</v>
      </c>
      <c r="BO108">
        <v>-979147</v>
      </c>
      <c r="BP108">
        <v>-941973</v>
      </c>
      <c r="BQ108">
        <v>0</v>
      </c>
      <c r="BR108">
        <v>-941973</v>
      </c>
      <c r="BS108">
        <v>-1921120</v>
      </c>
      <c r="BT108">
        <v>0</v>
      </c>
      <c r="BU108">
        <v>-96056</v>
      </c>
      <c r="BV108">
        <v>0</v>
      </c>
      <c r="BW108">
        <v>-2017176</v>
      </c>
      <c r="BX108">
        <v>0</v>
      </c>
      <c r="BY108">
        <v>-2017176</v>
      </c>
      <c r="BZ108">
        <v>-68077</v>
      </c>
      <c r="CA108">
        <v>0</v>
      </c>
      <c r="CB108">
        <v>-68077</v>
      </c>
      <c r="CC108">
        <v>-3992</v>
      </c>
      <c r="CD108">
        <v>0</v>
      </c>
      <c r="CE108">
        <v>-3992</v>
      </c>
      <c r="CF108">
        <v>-5049</v>
      </c>
      <c r="CG108">
        <v>0</v>
      </c>
      <c r="CH108">
        <v>-5049</v>
      </c>
      <c r="CI108">
        <v>0</v>
      </c>
      <c r="CJ108">
        <v>0</v>
      </c>
      <c r="CK108">
        <v>0</v>
      </c>
      <c r="CL108">
        <v>0</v>
      </c>
      <c r="CM108">
        <v>0</v>
      </c>
      <c r="CN108">
        <v>0</v>
      </c>
      <c r="CO108">
        <v>0</v>
      </c>
      <c r="CP108">
        <v>0</v>
      </c>
      <c r="CQ108">
        <v>0</v>
      </c>
      <c r="CR108">
        <v>0</v>
      </c>
      <c r="CS108">
        <v>0</v>
      </c>
      <c r="CT108">
        <v>-77118</v>
      </c>
      <c r="CU108">
        <v>0</v>
      </c>
      <c r="CV108">
        <v>3856</v>
      </c>
      <c r="CW108">
        <v>0</v>
      </c>
      <c r="CX108">
        <v>-73262</v>
      </c>
      <c r="CY108">
        <v>0</v>
      </c>
      <c r="CZ108">
        <v>-73262</v>
      </c>
      <c r="DA108">
        <v>-20858</v>
      </c>
      <c r="DB108">
        <v>0</v>
      </c>
      <c r="DC108">
        <v>-20858</v>
      </c>
      <c r="DD108">
        <v>-36829</v>
      </c>
      <c r="DE108">
        <v>0</v>
      </c>
      <c r="DF108">
        <v>-36829</v>
      </c>
      <c r="DG108">
        <v>-3220</v>
      </c>
      <c r="DH108">
        <v>0</v>
      </c>
      <c r="DI108">
        <v>-3220</v>
      </c>
      <c r="DJ108">
        <v>-829163</v>
      </c>
      <c r="DK108">
        <v>0</v>
      </c>
      <c r="DL108">
        <v>-829163</v>
      </c>
      <c r="DM108">
        <v>-890070</v>
      </c>
      <c r="DN108">
        <v>0</v>
      </c>
      <c r="DO108">
        <v>44503</v>
      </c>
      <c r="DP108">
        <v>0</v>
      </c>
      <c r="DQ108">
        <v>-845567</v>
      </c>
      <c r="DR108">
        <v>0</v>
      </c>
      <c r="DS108">
        <v>-845567</v>
      </c>
      <c r="DT108">
        <v>29121590</v>
      </c>
      <c r="DU108">
        <v>0</v>
      </c>
      <c r="DV108" s="661">
        <v>29121590</v>
      </c>
      <c r="DW108" t="s">
        <v>1759</v>
      </c>
    </row>
    <row r="109" spans="1:127" ht="12.75" x14ac:dyDescent="0.2">
      <c r="A109" s="605">
        <v>102</v>
      </c>
      <c r="B109" s="606" t="s">
        <v>88</v>
      </c>
      <c r="C109" s="607" t="s">
        <v>1185</v>
      </c>
      <c r="D109" s="608" t="s">
        <v>1194</v>
      </c>
      <c r="E109" s="609" t="s">
        <v>87</v>
      </c>
      <c r="G109">
        <v>40318569</v>
      </c>
      <c r="H109">
        <v>0</v>
      </c>
      <c r="I109">
        <v>40318569</v>
      </c>
      <c r="J109">
        <v>49.9</v>
      </c>
      <c r="K109">
        <v>20118966</v>
      </c>
      <c r="L109">
        <v>0</v>
      </c>
      <c r="M109">
        <v>159014</v>
      </c>
      <c r="N109">
        <v>0</v>
      </c>
      <c r="O109">
        <v>20277980</v>
      </c>
      <c r="P109">
        <v>0</v>
      </c>
      <c r="Q109">
        <v>20277980</v>
      </c>
      <c r="R109">
        <v>-305593</v>
      </c>
      <c r="S109">
        <v>0</v>
      </c>
      <c r="T109">
        <v>-305593</v>
      </c>
      <c r="U109">
        <v>36464</v>
      </c>
      <c r="V109">
        <v>0</v>
      </c>
      <c r="W109">
        <v>36464</v>
      </c>
      <c r="X109">
        <v>-269129</v>
      </c>
      <c r="Y109">
        <v>0</v>
      </c>
      <c r="Z109">
        <v>0</v>
      </c>
      <c r="AA109">
        <v>0</v>
      </c>
      <c r="AB109">
        <v>-269129</v>
      </c>
      <c r="AC109">
        <v>0</v>
      </c>
      <c r="AD109">
        <v>-269129</v>
      </c>
      <c r="AE109">
        <v>269129</v>
      </c>
      <c r="AF109">
        <v>0</v>
      </c>
      <c r="AG109">
        <v>269129</v>
      </c>
      <c r="AH109">
        <v>-3854668</v>
      </c>
      <c r="AI109">
        <v>0</v>
      </c>
      <c r="AJ109">
        <v>-3854668</v>
      </c>
      <c r="AK109">
        <v>0</v>
      </c>
      <c r="AL109">
        <v>0</v>
      </c>
      <c r="AM109">
        <v>0</v>
      </c>
      <c r="AN109">
        <v>283266</v>
      </c>
      <c r="AO109">
        <v>0</v>
      </c>
      <c r="AP109">
        <v>283266</v>
      </c>
      <c r="AQ109">
        <v>-3571402</v>
      </c>
      <c r="AR109">
        <v>0</v>
      </c>
      <c r="AS109">
        <v>-3571402</v>
      </c>
      <c r="AT109">
        <v>-2056945</v>
      </c>
      <c r="AU109">
        <v>0</v>
      </c>
      <c r="AV109">
        <v>-2056945</v>
      </c>
      <c r="AW109">
        <v>-7408</v>
      </c>
      <c r="AX109">
        <v>0</v>
      </c>
      <c r="AY109">
        <v>-7408</v>
      </c>
      <c r="AZ109">
        <v>-28867</v>
      </c>
      <c r="BA109">
        <v>0</v>
      </c>
      <c r="BB109">
        <v>-28867</v>
      </c>
      <c r="BC109">
        <v>0</v>
      </c>
      <c r="BD109">
        <v>0</v>
      </c>
      <c r="BE109">
        <v>0</v>
      </c>
      <c r="BF109">
        <v>-5664622</v>
      </c>
      <c r="BG109">
        <v>0</v>
      </c>
      <c r="BH109">
        <v>0</v>
      </c>
      <c r="BI109">
        <v>0</v>
      </c>
      <c r="BJ109">
        <v>-5664622</v>
      </c>
      <c r="BK109">
        <v>0</v>
      </c>
      <c r="BL109">
        <v>-5664622</v>
      </c>
      <c r="BM109">
        <v>0</v>
      </c>
      <c r="BN109">
        <v>0</v>
      </c>
      <c r="BO109">
        <v>0</v>
      </c>
      <c r="BP109">
        <v>-301853</v>
      </c>
      <c r="BQ109">
        <v>0</v>
      </c>
      <c r="BR109">
        <v>-301853</v>
      </c>
      <c r="BS109">
        <v>-301853</v>
      </c>
      <c r="BT109">
        <v>0</v>
      </c>
      <c r="BU109">
        <v>0</v>
      </c>
      <c r="BV109">
        <v>0</v>
      </c>
      <c r="BW109">
        <v>-301853</v>
      </c>
      <c r="BX109">
        <v>0</v>
      </c>
      <c r="BY109">
        <v>-301853</v>
      </c>
      <c r="BZ109">
        <v>-38871</v>
      </c>
      <c r="CA109">
        <v>0</v>
      </c>
      <c r="CB109">
        <v>-38871</v>
      </c>
      <c r="CC109">
        <v>-7276</v>
      </c>
      <c r="CD109">
        <v>0</v>
      </c>
      <c r="CE109">
        <v>-7276</v>
      </c>
      <c r="CF109">
        <v>0</v>
      </c>
      <c r="CG109">
        <v>0</v>
      </c>
      <c r="CH109">
        <v>0</v>
      </c>
      <c r="CI109">
        <v>0</v>
      </c>
      <c r="CJ109">
        <v>0</v>
      </c>
      <c r="CK109">
        <v>0</v>
      </c>
      <c r="CL109">
        <v>0</v>
      </c>
      <c r="CM109">
        <v>0</v>
      </c>
      <c r="CN109">
        <v>0</v>
      </c>
      <c r="CO109">
        <v>0</v>
      </c>
      <c r="CP109">
        <v>0</v>
      </c>
      <c r="CQ109">
        <v>0</v>
      </c>
      <c r="CR109">
        <v>0</v>
      </c>
      <c r="CS109">
        <v>0</v>
      </c>
      <c r="CT109">
        <v>-46147</v>
      </c>
      <c r="CU109">
        <v>0</v>
      </c>
      <c r="CV109">
        <v>0</v>
      </c>
      <c r="CW109">
        <v>0</v>
      </c>
      <c r="CX109">
        <v>-46147</v>
      </c>
      <c r="CY109">
        <v>0</v>
      </c>
      <c r="CZ109">
        <v>-46147</v>
      </c>
      <c r="DA109">
        <v>-28867</v>
      </c>
      <c r="DB109">
        <v>0</v>
      </c>
      <c r="DC109">
        <v>-28867</v>
      </c>
      <c r="DD109">
        <v>-15568</v>
      </c>
      <c r="DE109">
        <v>0</v>
      </c>
      <c r="DF109">
        <v>-15568</v>
      </c>
      <c r="DG109">
        <v>-5000</v>
      </c>
      <c r="DH109">
        <v>0</v>
      </c>
      <c r="DI109">
        <v>-5000</v>
      </c>
      <c r="DJ109">
        <v>-224707</v>
      </c>
      <c r="DK109">
        <v>0</v>
      </c>
      <c r="DL109">
        <v>-224707</v>
      </c>
      <c r="DM109">
        <v>-274142</v>
      </c>
      <c r="DN109">
        <v>0</v>
      </c>
      <c r="DO109">
        <v>0</v>
      </c>
      <c r="DP109">
        <v>0</v>
      </c>
      <c r="DQ109">
        <v>-274142</v>
      </c>
      <c r="DR109">
        <v>0</v>
      </c>
      <c r="DS109">
        <v>-274142</v>
      </c>
      <c r="DT109">
        <v>13722087</v>
      </c>
      <c r="DU109">
        <v>0</v>
      </c>
      <c r="DV109" s="661">
        <v>13722087</v>
      </c>
      <c r="DW109" t="s">
        <v>1760</v>
      </c>
    </row>
    <row r="110" spans="1:127" ht="12.75" x14ac:dyDescent="0.2">
      <c r="A110" s="605">
        <v>103</v>
      </c>
      <c r="B110" s="606" t="s">
        <v>90</v>
      </c>
      <c r="C110" s="607" t="s">
        <v>1185</v>
      </c>
      <c r="D110" s="608" t="s">
        <v>1187</v>
      </c>
      <c r="E110" s="609" t="s">
        <v>89</v>
      </c>
      <c r="G110">
        <v>60717128</v>
      </c>
      <c r="H110">
        <v>6413570</v>
      </c>
      <c r="I110">
        <v>67130698</v>
      </c>
      <c r="J110">
        <v>49.9</v>
      </c>
      <c r="K110">
        <v>30297847</v>
      </c>
      <c r="L110">
        <v>3200371</v>
      </c>
      <c r="M110">
        <v>0</v>
      </c>
      <c r="N110">
        <v>0</v>
      </c>
      <c r="O110">
        <v>30297847</v>
      </c>
      <c r="P110">
        <v>3200371</v>
      </c>
      <c r="Q110">
        <v>33498218</v>
      </c>
      <c r="R110">
        <v>-90897</v>
      </c>
      <c r="S110">
        <v>0</v>
      </c>
      <c r="T110">
        <v>-90897</v>
      </c>
      <c r="U110">
        <v>43683</v>
      </c>
      <c r="V110">
        <v>26037</v>
      </c>
      <c r="W110">
        <v>69720</v>
      </c>
      <c r="X110">
        <v>-47214</v>
      </c>
      <c r="Y110">
        <v>26037</v>
      </c>
      <c r="Z110">
        <v>0</v>
      </c>
      <c r="AA110">
        <v>0</v>
      </c>
      <c r="AB110">
        <v>-47214</v>
      </c>
      <c r="AC110">
        <v>26037</v>
      </c>
      <c r="AD110">
        <v>-21177</v>
      </c>
      <c r="AE110">
        <v>47214</v>
      </c>
      <c r="AF110">
        <v>-26037</v>
      </c>
      <c r="AG110">
        <v>21177</v>
      </c>
      <c r="AH110">
        <v>-3771813</v>
      </c>
      <c r="AI110">
        <v>-42879</v>
      </c>
      <c r="AJ110">
        <v>-3814692</v>
      </c>
      <c r="AK110">
        <v>-3643</v>
      </c>
      <c r="AL110">
        <v>0</v>
      </c>
      <c r="AM110">
        <v>-3643</v>
      </c>
      <c r="AN110">
        <v>515490</v>
      </c>
      <c r="AO110">
        <v>72169</v>
      </c>
      <c r="AP110">
        <v>587659</v>
      </c>
      <c r="AQ110">
        <v>-3256323</v>
      </c>
      <c r="AR110">
        <v>29290</v>
      </c>
      <c r="AS110">
        <v>-3227033</v>
      </c>
      <c r="AT110">
        <v>-1281056</v>
      </c>
      <c r="AU110">
        <v>-48210</v>
      </c>
      <c r="AV110">
        <v>-1329266</v>
      </c>
      <c r="AW110">
        <v>-8059</v>
      </c>
      <c r="AX110">
        <v>0</v>
      </c>
      <c r="AY110">
        <v>-8059</v>
      </c>
      <c r="AZ110">
        <v>-4429</v>
      </c>
      <c r="BA110">
        <v>0</v>
      </c>
      <c r="BB110">
        <v>-4429</v>
      </c>
      <c r="BC110">
        <v>0</v>
      </c>
      <c r="BD110">
        <v>0</v>
      </c>
      <c r="BE110">
        <v>0</v>
      </c>
      <c r="BF110">
        <v>-4549867</v>
      </c>
      <c r="BG110">
        <v>-18920</v>
      </c>
      <c r="BH110">
        <v>0</v>
      </c>
      <c r="BI110">
        <v>0</v>
      </c>
      <c r="BJ110">
        <v>-4549867</v>
      </c>
      <c r="BK110">
        <v>-18920</v>
      </c>
      <c r="BL110">
        <v>-4568787</v>
      </c>
      <c r="BM110">
        <v>-15000</v>
      </c>
      <c r="BN110">
        <v>-5000</v>
      </c>
      <c r="BO110">
        <v>-20000</v>
      </c>
      <c r="BP110">
        <v>-389138</v>
      </c>
      <c r="BQ110">
        <v>-6144</v>
      </c>
      <c r="BR110">
        <v>-395282</v>
      </c>
      <c r="BS110">
        <v>-404138</v>
      </c>
      <c r="BT110">
        <v>-11144</v>
      </c>
      <c r="BU110">
        <v>0</v>
      </c>
      <c r="BV110">
        <v>0</v>
      </c>
      <c r="BW110">
        <v>-404138</v>
      </c>
      <c r="BX110">
        <v>-11144</v>
      </c>
      <c r="BY110">
        <v>-415282</v>
      </c>
      <c r="BZ110">
        <v>-56301</v>
      </c>
      <c r="CA110">
        <v>-277</v>
      </c>
      <c r="CB110">
        <v>-56578</v>
      </c>
      <c r="CC110">
        <v>-19784</v>
      </c>
      <c r="CD110">
        <v>0</v>
      </c>
      <c r="CE110">
        <v>-19784</v>
      </c>
      <c r="CF110">
        <v>-1113</v>
      </c>
      <c r="CG110">
        <v>0</v>
      </c>
      <c r="CH110">
        <v>-1113</v>
      </c>
      <c r="CI110">
        <v>0</v>
      </c>
      <c r="CJ110">
        <v>0</v>
      </c>
      <c r="CK110">
        <v>0</v>
      </c>
      <c r="CL110">
        <v>0</v>
      </c>
      <c r="CM110">
        <v>0</v>
      </c>
      <c r="CN110">
        <v>0</v>
      </c>
      <c r="CO110">
        <v>0</v>
      </c>
      <c r="CP110">
        <v>-292339</v>
      </c>
      <c r="CQ110">
        <v>-292339</v>
      </c>
      <c r="CR110">
        <v>-292339</v>
      </c>
      <c r="CS110">
        <v>0</v>
      </c>
      <c r="CT110">
        <v>-77198</v>
      </c>
      <c r="CU110">
        <v>-292616</v>
      </c>
      <c r="CV110">
        <v>0</v>
      </c>
      <c r="CW110">
        <v>0</v>
      </c>
      <c r="CX110">
        <v>-77198</v>
      </c>
      <c r="CY110">
        <v>-292616</v>
      </c>
      <c r="CZ110">
        <v>-369814</v>
      </c>
      <c r="DA110">
        <v>-4429</v>
      </c>
      <c r="DB110">
        <v>0</v>
      </c>
      <c r="DC110">
        <v>-4429</v>
      </c>
      <c r="DD110">
        <v>-14422</v>
      </c>
      <c r="DE110">
        <v>0</v>
      </c>
      <c r="DF110">
        <v>-14422</v>
      </c>
      <c r="DG110">
        <v>-3598</v>
      </c>
      <c r="DH110">
        <v>0</v>
      </c>
      <c r="DI110">
        <v>-3598</v>
      </c>
      <c r="DJ110">
        <v>-885928</v>
      </c>
      <c r="DK110">
        <v>0</v>
      </c>
      <c r="DL110">
        <v>-885928</v>
      </c>
      <c r="DM110">
        <v>-908377</v>
      </c>
      <c r="DN110">
        <v>0</v>
      </c>
      <c r="DO110">
        <v>0</v>
      </c>
      <c r="DP110">
        <v>0</v>
      </c>
      <c r="DQ110">
        <v>-908377</v>
      </c>
      <c r="DR110">
        <v>0</v>
      </c>
      <c r="DS110">
        <v>-908377</v>
      </c>
      <c r="DT110">
        <v>24311053</v>
      </c>
      <c r="DU110">
        <v>2903728</v>
      </c>
      <c r="DV110" s="661">
        <v>27214781</v>
      </c>
      <c r="DW110" t="s">
        <v>1761</v>
      </c>
    </row>
    <row r="111" spans="1:127" ht="12.75" x14ac:dyDescent="0.2">
      <c r="A111" s="605">
        <v>104</v>
      </c>
      <c r="B111" s="606" t="s">
        <v>92</v>
      </c>
      <c r="C111" s="607" t="s">
        <v>1192</v>
      </c>
      <c r="D111" s="608" t="s">
        <v>1197</v>
      </c>
      <c r="E111" s="609" t="s">
        <v>91</v>
      </c>
      <c r="G111">
        <v>214658056</v>
      </c>
      <c r="H111">
        <v>7198150</v>
      </c>
      <c r="I111">
        <v>221856206</v>
      </c>
      <c r="J111">
        <v>49.9</v>
      </c>
      <c r="K111">
        <v>107114370</v>
      </c>
      <c r="L111">
        <v>3591877</v>
      </c>
      <c r="M111">
        <v>20252</v>
      </c>
      <c r="N111">
        <v>0</v>
      </c>
      <c r="O111">
        <v>107134622</v>
      </c>
      <c r="P111">
        <v>3591877</v>
      </c>
      <c r="Q111">
        <v>110726499</v>
      </c>
      <c r="R111">
        <v>-606593</v>
      </c>
      <c r="S111">
        <v>-9938</v>
      </c>
      <c r="T111">
        <v>-616531</v>
      </c>
      <c r="U111">
        <v>1466695</v>
      </c>
      <c r="V111">
        <v>18956</v>
      </c>
      <c r="W111">
        <v>1485651</v>
      </c>
      <c r="X111">
        <v>860102</v>
      </c>
      <c r="Y111">
        <v>9018</v>
      </c>
      <c r="Z111">
        <v>0</v>
      </c>
      <c r="AA111">
        <v>0</v>
      </c>
      <c r="AB111">
        <v>860102</v>
      </c>
      <c r="AC111">
        <v>9018</v>
      </c>
      <c r="AD111">
        <v>869120</v>
      </c>
      <c r="AE111">
        <v>-860102</v>
      </c>
      <c r="AF111">
        <v>-9018</v>
      </c>
      <c r="AG111">
        <v>-869120</v>
      </c>
      <c r="AH111">
        <v>-7441783</v>
      </c>
      <c r="AI111">
        <v>-119494</v>
      </c>
      <c r="AJ111">
        <v>-7561277</v>
      </c>
      <c r="AK111">
        <v>-5115</v>
      </c>
      <c r="AL111">
        <v>0</v>
      </c>
      <c r="AM111">
        <v>-5115</v>
      </c>
      <c r="AN111">
        <v>2137215</v>
      </c>
      <c r="AO111">
        <v>71710</v>
      </c>
      <c r="AP111">
        <v>2208925</v>
      </c>
      <c r="AQ111">
        <v>-5304568</v>
      </c>
      <c r="AR111">
        <v>-47784</v>
      </c>
      <c r="AS111">
        <v>-5352352</v>
      </c>
      <c r="AT111">
        <v>-3744223</v>
      </c>
      <c r="AU111">
        <v>-932495</v>
      </c>
      <c r="AV111">
        <v>-4676718</v>
      </c>
      <c r="AW111">
        <v>-94390</v>
      </c>
      <c r="AX111">
        <v>0</v>
      </c>
      <c r="AY111">
        <v>-94390</v>
      </c>
      <c r="AZ111">
        <v>0</v>
      </c>
      <c r="BA111">
        <v>0</v>
      </c>
      <c r="BB111">
        <v>0</v>
      </c>
      <c r="BC111">
        <v>0</v>
      </c>
      <c r="BD111">
        <v>0</v>
      </c>
      <c r="BE111">
        <v>0</v>
      </c>
      <c r="BF111">
        <v>-9143181</v>
      </c>
      <c r="BG111">
        <v>-980279</v>
      </c>
      <c r="BH111">
        <v>0</v>
      </c>
      <c r="BI111">
        <v>0</v>
      </c>
      <c r="BJ111">
        <v>-9143181</v>
      </c>
      <c r="BK111">
        <v>-980279</v>
      </c>
      <c r="BL111">
        <v>-10123460</v>
      </c>
      <c r="BM111">
        <v>-50000</v>
      </c>
      <c r="BN111">
        <v>0</v>
      </c>
      <c r="BO111">
        <v>-50000</v>
      </c>
      <c r="BP111">
        <v>-6906079</v>
      </c>
      <c r="BQ111">
        <v>-93921</v>
      </c>
      <c r="BR111">
        <v>-7000000</v>
      </c>
      <c r="BS111">
        <v>-6956079</v>
      </c>
      <c r="BT111">
        <v>-93921</v>
      </c>
      <c r="BU111">
        <v>0</v>
      </c>
      <c r="BV111">
        <v>0</v>
      </c>
      <c r="BW111">
        <v>-6956079</v>
      </c>
      <c r="BX111">
        <v>-93921</v>
      </c>
      <c r="BY111">
        <v>-7050000</v>
      </c>
      <c r="BZ111">
        <v>-93726</v>
      </c>
      <c r="CA111">
        <v>-676</v>
      </c>
      <c r="CB111">
        <v>-94402</v>
      </c>
      <c r="CC111">
        <v>0</v>
      </c>
      <c r="CD111">
        <v>0</v>
      </c>
      <c r="CE111">
        <v>0</v>
      </c>
      <c r="CF111">
        <v>-788</v>
      </c>
      <c r="CG111">
        <v>0</v>
      </c>
      <c r="CH111">
        <v>-788</v>
      </c>
      <c r="CI111">
        <v>0</v>
      </c>
      <c r="CJ111">
        <v>0</v>
      </c>
      <c r="CK111">
        <v>0</v>
      </c>
      <c r="CL111">
        <v>0</v>
      </c>
      <c r="CM111">
        <v>0</v>
      </c>
      <c r="CN111">
        <v>0</v>
      </c>
      <c r="CO111">
        <v>-100000</v>
      </c>
      <c r="CP111">
        <v>0</v>
      </c>
      <c r="CQ111">
        <v>-100000</v>
      </c>
      <c r="CR111">
        <v>0</v>
      </c>
      <c r="CS111">
        <v>0</v>
      </c>
      <c r="CT111">
        <v>-194514</v>
      </c>
      <c r="CU111">
        <v>-676</v>
      </c>
      <c r="CV111">
        <v>0</v>
      </c>
      <c r="CW111">
        <v>0</v>
      </c>
      <c r="CX111">
        <v>-194514</v>
      </c>
      <c r="CY111">
        <v>-676</v>
      </c>
      <c r="CZ111">
        <v>-195190</v>
      </c>
      <c r="DA111">
        <v>-12633</v>
      </c>
      <c r="DB111">
        <v>0</v>
      </c>
      <c r="DC111">
        <v>-12633</v>
      </c>
      <c r="DD111">
        <v>-45506</v>
      </c>
      <c r="DE111">
        <v>0</v>
      </c>
      <c r="DF111">
        <v>-45506</v>
      </c>
      <c r="DG111">
        <v>-10500</v>
      </c>
      <c r="DH111">
        <v>-403</v>
      </c>
      <c r="DI111">
        <v>-10903</v>
      </c>
      <c r="DJ111">
        <v>-1217138</v>
      </c>
      <c r="DK111">
        <v>-21457</v>
      </c>
      <c r="DL111">
        <v>-1238595</v>
      </c>
      <c r="DM111">
        <v>-1285777</v>
      </c>
      <c r="DN111">
        <v>-21860</v>
      </c>
      <c r="DO111">
        <v>0</v>
      </c>
      <c r="DP111">
        <v>0</v>
      </c>
      <c r="DQ111">
        <v>-1285777</v>
      </c>
      <c r="DR111">
        <v>-21860</v>
      </c>
      <c r="DS111">
        <v>-1307637</v>
      </c>
      <c r="DT111">
        <v>90415173</v>
      </c>
      <c r="DU111">
        <v>2504159</v>
      </c>
      <c r="DV111" s="661">
        <v>92919332</v>
      </c>
      <c r="DW111" t="s">
        <v>1762</v>
      </c>
    </row>
    <row r="112" spans="1:127" ht="12.75" x14ac:dyDescent="0.2">
      <c r="A112" s="605">
        <v>105</v>
      </c>
      <c r="B112" s="606" t="s">
        <v>94</v>
      </c>
      <c r="C112" s="607" t="s">
        <v>1185</v>
      </c>
      <c r="D112" s="608" t="s">
        <v>1188</v>
      </c>
      <c r="E112" s="609" t="s">
        <v>93</v>
      </c>
      <c r="G112">
        <v>58995176</v>
      </c>
      <c r="H112">
        <v>0</v>
      </c>
      <c r="I112">
        <v>58995176</v>
      </c>
      <c r="J112">
        <v>49.9</v>
      </c>
      <c r="K112">
        <v>29438593</v>
      </c>
      <c r="L112">
        <v>0</v>
      </c>
      <c r="M112">
        <v>0</v>
      </c>
      <c r="N112">
        <v>0</v>
      </c>
      <c r="O112">
        <v>29438593</v>
      </c>
      <c r="P112">
        <v>0</v>
      </c>
      <c r="Q112">
        <v>29438593</v>
      </c>
      <c r="R112">
        <v>-163978.41</v>
      </c>
      <c r="S112">
        <v>0</v>
      </c>
      <c r="T112">
        <v>-163978.41</v>
      </c>
      <c r="U112">
        <v>38657.120000000003</v>
      </c>
      <c r="V112">
        <v>0</v>
      </c>
      <c r="W112">
        <v>38657.120000000003</v>
      </c>
      <c r="X112">
        <v>-125321.29000000001</v>
      </c>
      <c r="Y112">
        <v>0</v>
      </c>
      <c r="Z112">
        <v>0</v>
      </c>
      <c r="AA112">
        <v>0</v>
      </c>
      <c r="AB112">
        <v>-125321.29000000001</v>
      </c>
      <c r="AC112">
        <v>0</v>
      </c>
      <c r="AD112">
        <v>-125321.29000000001</v>
      </c>
      <c r="AE112">
        <v>125321.29000000001</v>
      </c>
      <c r="AF112">
        <v>0</v>
      </c>
      <c r="AG112">
        <v>125321.29000000001</v>
      </c>
      <c r="AH112">
        <v>-2992155.97</v>
      </c>
      <c r="AI112">
        <v>0</v>
      </c>
      <c r="AJ112">
        <v>-2992155.97</v>
      </c>
      <c r="AK112">
        <v>0</v>
      </c>
      <c r="AL112">
        <v>0</v>
      </c>
      <c r="AM112">
        <v>0</v>
      </c>
      <c r="AN112">
        <v>496110.32</v>
      </c>
      <c r="AO112">
        <v>0</v>
      </c>
      <c r="AP112">
        <v>496110.32</v>
      </c>
      <c r="AQ112">
        <v>-2496045.6500000004</v>
      </c>
      <c r="AR112">
        <v>0</v>
      </c>
      <c r="AS112">
        <v>-2496045.6500000004</v>
      </c>
      <c r="AT112">
        <v>-1838746.94</v>
      </c>
      <c r="AU112">
        <v>0</v>
      </c>
      <c r="AV112">
        <v>-1838746.94</v>
      </c>
      <c r="AW112">
        <v>-48947.199999999997</v>
      </c>
      <c r="AX112">
        <v>0</v>
      </c>
      <c r="AY112">
        <v>-48947.199999999997</v>
      </c>
      <c r="AZ112">
        <v>0</v>
      </c>
      <c r="BA112">
        <v>0</v>
      </c>
      <c r="BB112">
        <v>0</v>
      </c>
      <c r="BC112">
        <v>0</v>
      </c>
      <c r="BD112">
        <v>0</v>
      </c>
      <c r="BE112">
        <v>0</v>
      </c>
      <c r="BF112">
        <v>-4383739.79</v>
      </c>
      <c r="BG112">
        <v>0</v>
      </c>
      <c r="BH112">
        <v>0</v>
      </c>
      <c r="BI112">
        <v>0</v>
      </c>
      <c r="BJ112">
        <v>-4383739.79</v>
      </c>
      <c r="BK112">
        <v>0</v>
      </c>
      <c r="BL112">
        <v>-4383739.79</v>
      </c>
      <c r="BM112">
        <v>0</v>
      </c>
      <c r="BN112">
        <v>0</v>
      </c>
      <c r="BO112">
        <v>0</v>
      </c>
      <c r="BP112">
        <v>-294379.78000000003</v>
      </c>
      <c r="BQ112">
        <v>0</v>
      </c>
      <c r="BR112">
        <v>-294379.78000000003</v>
      </c>
      <c r="BS112">
        <v>-294379.78000000003</v>
      </c>
      <c r="BT112">
        <v>0</v>
      </c>
      <c r="BU112">
        <v>0</v>
      </c>
      <c r="BV112">
        <v>0</v>
      </c>
      <c r="BW112">
        <v>-294379.78000000003</v>
      </c>
      <c r="BX112">
        <v>0</v>
      </c>
      <c r="BY112">
        <v>-294379.78000000003</v>
      </c>
      <c r="BZ112">
        <v>-87632.320000000007</v>
      </c>
      <c r="CA112">
        <v>0</v>
      </c>
      <c r="CB112">
        <v>-87632.320000000007</v>
      </c>
      <c r="CC112">
        <v>-57778.25</v>
      </c>
      <c r="CD112">
        <v>0</v>
      </c>
      <c r="CE112">
        <v>-57778.25</v>
      </c>
      <c r="CF112">
        <v>-6016</v>
      </c>
      <c r="CG112">
        <v>0</v>
      </c>
      <c r="CH112">
        <v>-6016</v>
      </c>
      <c r="CI112">
        <v>0</v>
      </c>
      <c r="CJ112">
        <v>0</v>
      </c>
      <c r="CK112">
        <v>0</v>
      </c>
      <c r="CL112">
        <v>0</v>
      </c>
      <c r="CM112">
        <v>0</v>
      </c>
      <c r="CN112">
        <v>0</v>
      </c>
      <c r="CO112">
        <v>0</v>
      </c>
      <c r="CP112">
        <v>0</v>
      </c>
      <c r="CQ112">
        <v>0</v>
      </c>
      <c r="CR112">
        <v>0</v>
      </c>
      <c r="CS112">
        <v>0</v>
      </c>
      <c r="CT112">
        <v>-151426.57</v>
      </c>
      <c r="CU112">
        <v>0</v>
      </c>
      <c r="CV112">
        <v>0</v>
      </c>
      <c r="CW112">
        <v>0</v>
      </c>
      <c r="CX112">
        <v>-151426.57</v>
      </c>
      <c r="CY112">
        <v>0</v>
      </c>
      <c r="CZ112">
        <v>-151426.57</v>
      </c>
      <c r="DA112">
        <v>0</v>
      </c>
      <c r="DB112">
        <v>0</v>
      </c>
      <c r="DC112">
        <v>0</v>
      </c>
      <c r="DD112">
        <v>-13501.25</v>
      </c>
      <c r="DE112">
        <v>0</v>
      </c>
      <c r="DF112">
        <v>-13501.25</v>
      </c>
      <c r="DG112">
        <v>-6000</v>
      </c>
      <c r="DH112">
        <v>0</v>
      </c>
      <c r="DI112">
        <v>-6000</v>
      </c>
      <c r="DJ112">
        <v>-905459.14</v>
      </c>
      <c r="DK112">
        <v>0</v>
      </c>
      <c r="DL112">
        <v>-905459.14</v>
      </c>
      <c r="DM112">
        <v>-924960.39</v>
      </c>
      <c r="DN112">
        <v>0</v>
      </c>
      <c r="DO112">
        <v>0</v>
      </c>
      <c r="DP112">
        <v>0</v>
      </c>
      <c r="DQ112">
        <v>-924960.39</v>
      </c>
      <c r="DR112">
        <v>0</v>
      </c>
      <c r="DS112">
        <v>-924960.39</v>
      </c>
      <c r="DT112">
        <v>23558765.18</v>
      </c>
      <c r="DU112">
        <v>0</v>
      </c>
      <c r="DV112" s="661">
        <v>23558765.18</v>
      </c>
      <c r="DW112" t="s">
        <v>1763</v>
      </c>
    </row>
    <row r="113" spans="1:127" ht="12.75" x14ac:dyDescent="0.2">
      <c r="A113" s="605">
        <v>106</v>
      </c>
      <c r="B113" s="606" t="s">
        <v>96</v>
      </c>
      <c r="C113" s="607" t="s">
        <v>1185</v>
      </c>
      <c r="D113" s="608" t="s">
        <v>1194</v>
      </c>
      <c r="E113" s="609" t="s">
        <v>95</v>
      </c>
      <c r="G113">
        <v>130403519</v>
      </c>
      <c r="H113">
        <v>0</v>
      </c>
      <c r="I113">
        <v>130403519</v>
      </c>
      <c r="J113">
        <v>49.9</v>
      </c>
      <c r="K113">
        <v>65071356</v>
      </c>
      <c r="L113">
        <v>0</v>
      </c>
      <c r="M113">
        <v>633000</v>
      </c>
      <c r="N113">
        <v>0</v>
      </c>
      <c r="O113">
        <v>65704356</v>
      </c>
      <c r="P113">
        <v>0</v>
      </c>
      <c r="Q113">
        <v>65704356</v>
      </c>
      <c r="R113">
        <v>-113518</v>
      </c>
      <c r="S113">
        <v>0</v>
      </c>
      <c r="T113">
        <v>-113518</v>
      </c>
      <c r="U113">
        <v>692698</v>
      </c>
      <c r="V113">
        <v>0</v>
      </c>
      <c r="W113">
        <v>692698</v>
      </c>
      <c r="X113">
        <v>579180</v>
      </c>
      <c r="Y113">
        <v>0</v>
      </c>
      <c r="Z113">
        <v>0</v>
      </c>
      <c r="AA113">
        <v>0</v>
      </c>
      <c r="AB113">
        <v>579180</v>
      </c>
      <c r="AC113">
        <v>0</v>
      </c>
      <c r="AD113">
        <v>579180</v>
      </c>
      <c r="AE113">
        <v>-579180</v>
      </c>
      <c r="AF113">
        <v>0</v>
      </c>
      <c r="AG113">
        <v>-579180</v>
      </c>
      <c r="AH113">
        <v>-3276026</v>
      </c>
      <c r="AI113">
        <v>0</v>
      </c>
      <c r="AJ113">
        <v>-3276026</v>
      </c>
      <c r="AK113">
        <v>-10000</v>
      </c>
      <c r="AL113">
        <v>0</v>
      </c>
      <c r="AM113">
        <v>-10000</v>
      </c>
      <c r="AN113">
        <v>1290097</v>
      </c>
      <c r="AO113">
        <v>0</v>
      </c>
      <c r="AP113">
        <v>1290097</v>
      </c>
      <c r="AQ113">
        <v>-1985929</v>
      </c>
      <c r="AR113">
        <v>0</v>
      </c>
      <c r="AS113">
        <v>-1985929</v>
      </c>
      <c r="AT113">
        <v>-3863900</v>
      </c>
      <c r="AU113">
        <v>0</v>
      </c>
      <c r="AV113">
        <v>-3863900</v>
      </c>
      <c r="AW113">
        <v>-41709</v>
      </c>
      <c r="AX113">
        <v>0</v>
      </c>
      <c r="AY113">
        <v>-41709</v>
      </c>
      <c r="AZ113">
        <v>0</v>
      </c>
      <c r="BA113">
        <v>0</v>
      </c>
      <c r="BB113">
        <v>0</v>
      </c>
      <c r="BC113">
        <v>0</v>
      </c>
      <c r="BD113">
        <v>0</v>
      </c>
      <c r="BE113">
        <v>0</v>
      </c>
      <c r="BF113">
        <v>-5891538</v>
      </c>
      <c r="BG113">
        <v>0</v>
      </c>
      <c r="BH113">
        <v>0</v>
      </c>
      <c r="BI113">
        <v>0</v>
      </c>
      <c r="BJ113">
        <v>-5891538</v>
      </c>
      <c r="BK113">
        <v>0</v>
      </c>
      <c r="BL113">
        <v>-5891538</v>
      </c>
      <c r="BM113">
        <v>-14346</v>
      </c>
      <c r="BN113">
        <v>0</v>
      </c>
      <c r="BO113">
        <v>-14346</v>
      </c>
      <c r="BP113">
        <v>-1786838</v>
      </c>
      <c r="BQ113">
        <v>0</v>
      </c>
      <c r="BR113">
        <v>-1786838</v>
      </c>
      <c r="BS113">
        <v>-1801184</v>
      </c>
      <c r="BT113">
        <v>0</v>
      </c>
      <c r="BU113">
        <v>-117120</v>
      </c>
      <c r="BV113">
        <v>0</v>
      </c>
      <c r="BW113">
        <v>-1918304</v>
      </c>
      <c r="BX113">
        <v>0</v>
      </c>
      <c r="BY113">
        <v>-1918304</v>
      </c>
      <c r="BZ113">
        <v>0</v>
      </c>
      <c r="CA113">
        <v>0</v>
      </c>
      <c r="CB113">
        <v>0</v>
      </c>
      <c r="CC113">
        <v>-147656</v>
      </c>
      <c r="CD113">
        <v>0</v>
      </c>
      <c r="CE113">
        <v>-147656</v>
      </c>
      <c r="CF113">
        <v>0</v>
      </c>
      <c r="CG113">
        <v>0</v>
      </c>
      <c r="CH113">
        <v>0</v>
      </c>
      <c r="CI113">
        <v>0</v>
      </c>
      <c r="CJ113">
        <v>0</v>
      </c>
      <c r="CK113">
        <v>0</v>
      </c>
      <c r="CL113">
        <v>0</v>
      </c>
      <c r="CM113">
        <v>0</v>
      </c>
      <c r="CN113">
        <v>0</v>
      </c>
      <c r="CO113">
        <v>0</v>
      </c>
      <c r="CP113">
        <v>0</v>
      </c>
      <c r="CQ113">
        <v>0</v>
      </c>
      <c r="CR113">
        <v>0</v>
      </c>
      <c r="CS113">
        <v>0</v>
      </c>
      <c r="CT113">
        <v>-147656</v>
      </c>
      <c r="CU113">
        <v>0</v>
      </c>
      <c r="CV113">
        <v>0</v>
      </c>
      <c r="CW113">
        <v>0</v>
      </c>
      <c r="CX113">
        <v>-147656</v>
      </c>
      <c r="CY113">
        <v>0</v>
      </c>
      <c r="CZ113">
        <v>-147656</v>
      </c>
      <c r="DA113">
        <v>0</v>
      </c>
      <c r="DB113">
        <v>0</v>
      </c>
      <c r="DC113">
        <v>0</v>
      </c>
      <c r="DD113">
        <v>-2746</v>
      </c>
      <c r="DE113">
        <v>0</v>
      </c>
      <c r="DF113">
        <v>-2746</v>
      </c>
      <c r="DG113">
        <v>-5752</v>
      </c>
      <c r="DH113">
        <v>0</v>
      </c>
      <c r="DI113">
        <v>-5752</v>
      </c>
      <c r="DJ113">
        <v>-710735</v>
      </c>
      <c r="DK113">
        <v>0</v>
      </c>
      <c r="DL113">
        <v>-710735</v>
      </c>
      <c r="DM113">
        <v>-719233</v>
      </c>
      <c r="DN113">
        <v>0</v>
      </c>
      <c r="DO113">
        <v>0</v>
      </c>
      <c r="DP113">
        <v>0</v>
      </c>
      <c r="DQ113">
        <v>-719233</v>
      </c>
      <c r="DR113">
        <v>0</v>
      </c>
      <c r="DS113">
        <v>-719233</v>
      </c>
      <c r="DT113">
        <v>57606805</v>
      </c>
      <c r="DU113">
        <v>0</v>
      </c>
      <c r="DV113" s="661">
        <v>57606805</v>
      </c>
      <c r="DW113" t="s">
        <v>1764</v>
      </c>
    </row>
    <row r="114" spans="1:127" ht="12.75" x14ac:dyDescent="0.2">
      <c r="A114" s="605">
        <v>107</v>
      </c>
      <c r="B114" s="606" t="s">
        <v>98</v>
      </c>
      <c r="C114" s="607" t="s">
        <v>1185</v>
      </c>
      <c r="D114" s="608" t="s">
        <v>1186</v>
      </c>
      <c r="E114" s="609" t="s">
        <v>97</v>
      </c>
      <c r="G114">
        <v>42279680</v>
      </c>
      <c r="H114">
        <v>1941085</v>
      </c>
      <c r="I114">
        <v>44220765</v>
      </c>
      <c r="J114">
        <v>49.9</v>
      </c>
      <c r="K114">
        <v>21097560</v>
      </c>
      <c r="L114">
        <v>968601</v>
      </c>
      <c r="M114">
        <v>200000</v>
      </c>
      <c r="N114">
        <v>45000</v>
      </c>
      <c r="O114">
        <v>21297560</v>
      </c>
      <c r="P114">
        <v>1013601</v>
      </c>
      <c r="Q114">
        <v>22311161</v>
      </c>
      <c r="R114">
        <v>-38328</v>
      </c>
      <c r="S114">
        <v>0</v>
      </c>
      <c r="T114">
        <v>-38328</v>
      </c>
      <c r="U114">
        <v>5863</v>
      </c>
      <c r="V114">
        <v>16338</v>
      </c>
      <c r="W114">
        <v>22201</v>
      </c>
      <c r="X114">
        <v>-32465</v>
      </c>
      <c r="Y114">
        <v>16338</v>
      </c>
      <c r="Z114">
        <v>0</v>
      </c>
      <c r="AA114">
        <v>0</v>
      </c>
      <c r="AB114">
        <v>-32465</v>
      </c>
      <c r="AC114">
        <v>16338</v>
      </c>
      <c r="AD114">
        <v>-16127</v>
      </c>
      <c r="AE114">
        <v>32465</v>
      </c>
      <c r="AF114">
        <v>-16338</v>
      </c>
      <c r="AG114">
        <v>16127</v>
      </c>
      <c r="AH114">
        <v>-2272385</v>
      </c>
      <c r="AI114">
        <v>-50033</v>
      </c>
      <c r="AJ114">
        <v>-2322418</v>
      </c>
      <c r="AK114">
        <v>-10000</v>
      </c>
      <c r="AL114">
        <v>0</v>
      </c>
      <c r="AM114">
        <v>-10000</v>
      </c>
      <c r="AN114">
        <v>365453</v>
      </c>
      <c r="AO114">
        <v>12191</v>
      </c>
      <c r="AP114">
        <v>377644</v>
      </c>
      <c r="AQ114">
        <v>-1906932</v>
      </c>
      <c r="AR114">
        <v>-37842</v>
      </c>
      <c r="AS114">
        <v>-1944774</v>
      </c>
      <c r="AT114">
        <v>-1415267</v>
      </c>
      <c r="AU114">
        <v>-21156</v>
      </c>
      <c r="AV114">
        <v>-1436423</v>
      </c>
      <c r="AW114">
        <v>-22956</v>
      </c>
      <c r="AX114">
        <v>0</v>
      </c>
      <c r="AY114">
        <v>-22956</v>
      </c>
      <c r="AZ114">
        <v>0</v>
      </c>
      <c r="BA114">
        <v>0</v>
      </c>
      <c r="BB114">
        <v>0</v>
      </c>
      <c r="BC114">
        <v>0</v>
      </c>
      <c r="BD114">
        <v>0</v>
      </c>
      <c r="BE114">
        <v>0</v>
      </c>
      <c r="BF114">
        <v>-3345155</v>
      </c>
      <c r="BG114">
        <v>-58998</v>
      </c>
      <c r="BH114">
        <v>-50000</v>
      </c>
      <c r="BI114">
        <v>-50000</v>
      </c>
      <c r="BJ114">
        <v>-3395155</v>
      </c>
      <c r="BK114">
        <v>-108998</v>
      </c>
      <c r="BL114">
        <v>-3504153</v>
      </c>
      <c r="BM114">
        <v>-10000</v>
      </c>
      <c r="BN114">
        <v>-5000</v>
      </c>
      <c r="BO114">
        <v>-15000</v>
      </c>
      <c r="BP114">
        <v>-104947</v>
      </c>
      <c r="BQ114">
        <v>-58578</v>
      </c>
      <c r="BR114">
        <v>-163525</v>
      </c>
      <c r="BS114">
        <v>-114947</v>
      </c>
      <c r="BT114">
        <v>-63578</v>
      </c>
      <c r="BU114">
        <v>-50000</v>
      </c>
      <c r="BV114">
        <v>-20000</v>
      </c>
      <c r="BW114">
        <v>-164947</v>
      </c>
      <c r="BX114">
        <v>-83578</v>
      </c>
      <c r="BY114">
        <v>-248525</v>
      </c>
      <c r="BZ114">
        <v>-130097</v>
      </c>
      <c r="CA114">
        <v>-5289</v>
      </c>
      <c r="CB114">
        <v>-135386</v>
      </c>
      <c r="CC114">
        <v>-74289</v>
      </c>
      <c r="CD114">
        <v>0</v>
      </c>
      <c r="CE114">
        <v>-74289</v>
      </c>
      <c r="CF114">
        <v>0</v>
      </c>
      <c r="CG114">
        <v>0</v>
      </c>
      <c r="CH114">
        <v>0</v>
      </c>
      <c r="CI114">
        <v>0</v>
      </c>
      <c r="CJ114">
        <v>0</v>
      </c>
      <c r="CK114">
        <v>0</v>
      </c>
      <c r="CL114">
        <v>0</v>
      </c>
      <c r="CM114">
        <v>0</v>
      </c>
      <c r="CN114">
        <v>0</v>
      </c>
      <c r="CO114">
        <v>0</v>
      </c>
      <c r="CP114">
        <v>-401730</v>
      </c>
      <c r="CQ114">
        <v>-401730</v>
      </c>
      <c r="CR114">
        <v>-401730</v>
      </c>
      <c r="CS114">
        <v>0</v>
      </c>
      <c r="CT114">
        <v>-204386</v>
      </c>
      <c r="CU114">
        <v>-407019</v>
      </c>
      <c r="CV114">
        <v>-25000</v>
      </c>
      <c r="CW114">
        <v>0</v>
      </c>
      <c r="CX114">
        <v>-229386</v>
      </c>
      <c r="CY114">
        <v>-407019</v>
      </c>
      <c r="CZ114">
        <v>-636405</v>
      </c>
      <c r="DA114">
        <v>0</v>
      </c>
      <c r="DB114">
        <v>0</v>
      </c>
      <c r="DC114">
        <v>0</v>
      </c>
      <c r="DD114">
        <v>-5756</v>
      </c>
      <c r="DE114">
        <v>0</v>
      </c>
      <c r="DF114">
        <v>-5756</v>
      </c>
      <c r="DG114">
        <v>-3185</v>
      </c>
      <c r="DH114">
        <v>0</v>
      </c>
      <c r="DI114">
        <v>-3185</v>
      </c>
      <c r="DJ114">
        <v>-400928</v>
      </c>
      <c r="DK114">
        <v>0</v>
      </c>
      <c r="DL114">
        <v>-400928</v>
      </c>
      <c r="DM114">
        <v>-409869</v>
      </c>
      <c r="DN114">
        <v>0</v>
      </c>
      <c r="DO114">
        <v>0</v>
      </c>
      <c r="DP114">
        <v>0</v>
      </c>
      <c r="DQ114">
        <v>-409869</v>
      </c>
      <c r="DR114">
        <v>0</v>
      </c>
      <c r="DS114">
        <v>-409869</v>
      </c>
      <c r="DT114">
        <v>17065738</v>
      </c>
      <c r="DU114">
        <v>430344</v>
      </c>
      <c r="DV114" s="661">
        <v>17496082</v>
      </c>
      <c r="DW114" t="s">
        <v>1765</v>
      </c>
    </row>
    <row r="115" spans="1:127" ht="12.75" x14ac:dyDescent="0.2">
      <c r="A115" s="605">
        <v>108</v>
      </c>
      <c r="B115" s="606" t="s">
        <v>100</v>
      </c>
      <c r="C115" s="607" t="s">
        <v>1185</v>
      </c>
      <c r="D115" s="608" t="s">
        <v>1186</v>
      </c>
      <c r="E115" s="609" t="s">
        <v>99</v>
      </c>
      <c r="G115">
        <v>64420185</v>
      </c>
      <c r="H115">
        <v>0</v>
      </c>
      <c r="I115">
        <v>64420185</v>
      </c>
      <c r="J115">
        <v>49.9</v>
      </c>
      <c r="K115">
        <v>32145672</v>
      </c>
      <c r="L115">
        <v>0</v>
      </c>
      <c r="M115">
        <v>202095</v>
      </c>
      <c r="N115">
        <v>500000</v>
      </c>
      <c r="O115">
        <v>32347767</v>
      </c>
      <c r="P115">
        <v>500000</v>
      </c>
      <c r="Q115">
        <v>32847767</v>
      </c>
      <c r="R115">
        <v>-204710</v>
      </c>
      <c r="S115">
        <v>0</v>
      </c>
      <c r="T115">
        <v>-204710</v>
      </c>
      <c r="U115">
        <v>0</v>
      </c>
      <c r="V115">
        <v>0</v>
      </c>
      <c r="W115">
        <v>0</v>
      </c>
      <c r="X115">
        <v>-204710</v>
      </c>
      <c r="Y115">
        <v>0</v>
      </c>
      <c r="Z115">
        <v>162216</v>
      </c>
      <c r="AA115">
        <v>0</v>
      </c>
      <c r="AB115">
        <v>-42494</v>
      </c>
      <c r="AC115">
        <v>0</v>
      </c>
      <c r="AD115">
        <v>-42494</v>
      </c>
      <c r="AE115">
        <v>42494</v>
      </c>
      <c r="AF115">
        <v>0</v>
      </c>
      <c r="AG115">
        <v>42494</v>
      </c>
      <c r="AH115">
        <v>-2985054</v>
      </c>
      <c r="AI115">
        <v>0</v>
      </c>
      <c r="AJ115">
        <v>-2985054</v>
      </c>
      <c r="AK115">
        <v>-5739</v>
      </c>
      <c r="AL115">
        <v>0</v>
      </c>
      <c r="AM115">
        <v>-5739</v>
      </c>
      <c r="AN115">
        <v>599960</v>
      </c>
      <c r="AO115">
        <v>0</v>
      </c>
      <c r="AP115">
        <v>599960</v>
      </c>
      <c r="AQ115">
        <v>-2385094</v>
      </c>
      <c r="AR115">
        <v>0</v>
      </c>
      <c r="AS115">
        <v>-2385094</v>
      </c>
      <c r="AT115">
        <v>-2919829</v>
      </c>
      <c r="AU115">
        <v>0</v>
      </c>
      <c r="AV115">
        <v>-2919829</v>
      </c>
      <c r="AW115">
        <v>-44288</v>
      </c>
      <c r="AX115">
        <v>0</v>
      </c>
      <c r="AY115">
        <v>-44288</v>
      </c>
      <c r="AZ115">
        <v>-6182</v>
      </c>
      <c r="BA115">
        <v>0</v>
      </c>
      <c r="BB115">
        <v>-6182</v>
      </c>
      <c r="BC115">
        <v>0</v>
      </c>
      <c r="BD115">
        <v>0</v>
      </c>
      <c r="BE115">
        <v>0</v>
      </c>
      <c r="BF115">
        <v>-5355393</v>
      </c>
      <c r="BG115">
        <v>0</v>
      </c>
      <c r="BH115">
        <v>0</v>
      </c>
      <c r="BI115">
        <v>0</v>
      </c>
      <c r="BJ115">
        <v>-5355393</v>
      </c>
      <c r="BK115">
        <v>0</v>
      </c>
      <c r="BL115">
        <v>-5355393</v>
      </c>
      <c r="BM115">
        <v>0</v>
      </c>
      <c r="BN115">
        <v>0</v>
      </c>
      <c r="BO115">
        <v>0</v>
      </c>
      <c r="BP115">
        <v>-806439</v>
      </c>
      <c r="BQ115">
        <v>0</v>
      </c>
      <c r="BR115">
        <v>-806439</v>
      </c>
      <c r="BS115">
        <v>-806439</v>
      </c>
      <c r="BT115">
        <v>0</v>
      </c>
      <c r="BU115">
        <v>0</v>
      </c>
      <c r="BV115">
        <v>0</v>
      </c>
      <c r="BW115">
        <v>-806439</v>
      </c>
      <c r="BX115">
        <v>0</v>
      </c>
      <c r="BY115">
        <v>-806439</v>
      </c>
      <c r="BZ115">
        <v>-129438</v>
      </c>
      <c r="CA115">
        <v>0</v>
      </c>
      <c r="CB115">
        <v>-129438</v>
      </c>
      <c r="CC115">
        <v>-21811</v>
      </c>
      <c r="CD115">
        <v>0</v>
      </c>
      <c r="CE115">
        <v>-21811</v>
      </c>
      <c r="CF115">
        <v>-271</v>
      </c>
      <c r="CG115">
        <v>0</v>
      </c>
      <c r="CH115">
        <v>-271</v>
      </c>
      <c r="CI115">
        <v>-520</v>
      </c>
      <c r="CJ115">
        <v>0</v>
      </c>
      <c r="CK115">
        <v>-520</v>
      </c>
      <c r="CL115">
        <v>0</v>
      </c>
      <c r="CM115">
        <v>0</v>
      </c>
      <c r="CN115">
        <v>0</v>
      </c>
      <c r="CO115">
        <v>-145000</v>
      </c>
      <c r="CP115">
        <v>-55000</v>
      </c>
      <c r="CQ115">
        <v>-200000</v>
      </c>
      <c r="CR115">
        <v>-55000</v>
      </c>
      <c r="CS115">
        <v>0</v>
      </c>
      <c r="CT115">
        <v>-297040</v>
      </c>
      <c r="CU115">
        <v>-55000</v>
      </c>
      <c r="CV115">
        <v>0</v>
      </c>
      <c r="CW115">
        <v>0</v>
      </c>
      <c r="CX115">
        <v>-297040</v>
      </c>
      <c r="CY115">
        <v>-55000</v>
      </c>
      <c r="CZ115">
        <v>-352040</v>
      </c>
      <c r="DA115">
        <v>-6182</v>
      </c>
      <c r="DB115">
        <v>0</v>
      </c>
      <c r="DC115">
        <v>-6182</v>
      </c>
      <c r="DD115">
        <v>-25459</v>
      </c>
      <c r="DE115">
        <v>0</v>
      </c>
      <c r="DF115">
        <v>-25459</v>
      </c>
      <c r="DG115">
        <v>0</v>
      </c>
      <c r="DH115">
        <v>0</v>
      </c>
      <c r="DI115">
        <v>0</v>
      </c>
      <c r="DJ115">
        <v>-565690</v>
      </c>
      <c r="DK115">
        <v>0</v>
      </c>
      <c r="DL115">
        <v>-565690</v>
      </c>
      <c r="DM115">
        <v>-597331</v>
      </c>
      <c r="DN115">
        <v>0</v>
      </c>
      <c r="DO115">
        <v>0</v>
      </c>
      <c r="DP115">
        <v>0</v>
      </c>
      <c r="DQ115">
        <v>-597331</v>
      </c>
      <c r="DR115">
        <v>0</v>
      </c>
      <c r="DS115">
        <v>-597331</v>
      </c>
      <c r="DT115">
        <v>25249070</v>
      </c>
      <c r="DU115">
        <v>445000</v>
      </c>
      <c r="DV115" s="661">
        <v>25694070</v>
      </c>
      <c r="DW115" t="s">
        <v>1766</v>
      </c>
    </row>
    <row r="116" spans="1:127" ht="12.75" x14ac:dyDescent="0.2">
      <c r="A116" s="605">
        <v>109</v>
      </c>
      <c r="B116" s="606" t="s">
        <v>102</v>
      </c>
      <c r="C116" s="607" t="s">
        <v>1185</v>
      </c>
      <c r="D116" s="608" t="s">
        <v>1189</v>
      </c>
      <c r="E116" s="609" t="s">
        <v>101</v>
      </c>
      <c r="G116">
        <v>76974515</v>
      </c>
      <c r="H116">
        <v>3533100</v>
      </c>
      <c r="I116">
        <v>80507615</v>
      </c>
      <c r="J116">
        <v>49.9</v>
      </c>
      <c r="K116">
        <v>38410283</v>
      </c>
      <c r="L116">
        <v>1763017</v>
      </c>
      <c r="M116">
        <v>-42891</v>
      </c>
      <c r="N116">
        <v>0</v>
      </c>
      <c r="O116">
        <v>38367392</v>
      </c>
      <c r="P116">
        <v>1763017</v>
      </c>
      <c r="Q116">
        <v>40130409</v>
      </c>
      <c r="R116">
        <v>-204638</v>
      </c>
      <c r="S116">
        <v>-1033</v>
      </c>
      <c r="T116">
        <v>-205671</v>
      </c>
      <c r="U116">
        <v>763932</v>
      </c>
      <c r="V116">
        <v>0</v>
      </c>
      <c r="W116">
        <v>763932</v>
      </c>
      <c r="X116">
        <v>559294</v>
      </c>
      <c r="Y116">
        <v>-1033</v>
      </c>
      <c r="Z116">
        <v>0</v>
      </c>
      <c r="AA116">
        <v>0</v>
      </c>
      <c r="AB116">
        <v>559294</v>
      </c>
      <c r="AC116">
        <v>-1033</v>
      </c>
      <c r="AD116">
        <v>558261</v>
      </c>
      <c r="AE116">
        <v>-559294</v>
      </c>
      <c r="AF116">
        <v>1033</v>
      </c>
      <c r="AG116">
        <v>-558261</v>
      </c>
      <c r="AH116">
        <v>-4066796</v>
      </c>
      <c r="AI116">
        <v>0</v>
      </c>
      <c r="AJ116">
        <v>-4066796</v>
      </c>
      <c r="AK116">
        <v>-7765</v>
      </c>
      <c r="AL116">
        <v>0</v>
      </c>
      <c r="AM116">
        <v>-7765</v>
      </c>
      <c r="AN116">
        <v>643322</v>
      </c>
      <c r="AO116">
        <v>39881</v>
      </c>
      <c r="AP116">
        <v>683203</v>
      </c>
      <c r="AQ116">
        <v>-3423474</v>
      </c>
      <c r="AR116">
        <v>39881</v>
      </c>
      <c r="AS116">
        <v>-3383593</v>
      </c>
      <c r="AT116">
        <v>-2319621</v>
      </c>
      <c r="AU116">
        <v>-20685</v>
      </c>
      <c r="AV116">
        <v>-2340306</v>
      </c>
      <c r="AW116">
        <v>-19149</v>
      </c>
      <c r="AX116">
        <v>0</v>
      </c>
      <c r="AY116">
        <v>-19149</v>
      </c>
      <c r="AZ116">
        <v>-699</v>
      </c>
      <c r="BA116">
        <v>0</v>
      </c>
      <c r="BB116">
        <v>-699</v>
      </c>
      <c r="BC116">
        <v>0</v>
      </c>
      <c r="BD116">
        <v>0</v>
      </c>
      <c r="BE116">
        <v>0</v>
      </c>
      <c r="BF116">
        <v>-5762943</v>
      </c>
      <c r="BG116">
        <v>19196</v>
      </c>
      <c r="BH116">
        <v>112640</v>
      </c>
      <c r="BI116">
        <v>0</v>
      </c>
      <c r="BJ116">
        <v>-5650303</v>
      </c>
      <c r="BK116">
        <v>19196</v>
      </c>
      <c r="BL116">
        <v>-5631107</v>
      </c>
      <c r="BM116">
        <v>0</v>
      </c>
      <c r="BN116">
        <v>0</v>
      </c>
      <c r="BO116">
        <v>0</v>
      </c>
      <c r="BP116">
        <v>-881755</v>
      </c>
      <c r="BQ116">
        <v>-2086</v>
      </c>
      <c r="BR116">
        <v>-883841</v>
      </c>
      <c r="BS116">
        <v>-881755</v>
      </c>
      <c r="BT116">
        <v>-2086</v>
      </c>
      <c r="BU116">
        <v>0</v>
      </c>
      <c r="BV116">
        <v>0</v>
      </c>
      <c r="BW116">
        <v>-881755</v>
      </c>
      <c r="BX116">
        <v>-2086</v>
      </c>
      <c r="BY116">
        <v>-883841</v>
      </c>
      <c r="BZ116">
        <v>-126328</v>
      </c>
      <c r="CA116">
        <v>-5171</v>
      </c>
      <c r="CB116">
        <v>-131499</v>
      </c>
      <c r="CC116">
        <v>-17578</v>
      </c>
      <c r="CD116">
        <v>0</v>
      </c>
      <c r="CE116">
        <v>-17578</v>
      </c>
      <c r="CF116">
        <v>0</v>
      </c>
      <c r="CG116">
        <v>0</v>
      </c>
      <c r="CH116">
        <v>0</v>
      </c>
      <c r="CI116">
        <v>0</v>
      </c>
      <c r="CJ116">
        <v>0</v>
      </c>
      <c r="CK116">
        <v>0</v>
      </c>
      <c r="CL116">
        <v>0</v>
      </c>
      <c r="CM116">
        <v>0</v>
      </c>
      <c r="CN116">
        <v>0</v>
      </c>
      <c r="CO116">
        <v>0</v>
      </c>
      <c r="CP116">
        <v>-350643</v>
      </c>
      <c r="CQ116">
        <v>-350643</v>
      </c>
      <c r="CR116">
        <v>-350643</v>
      </c>
      <c r="CS116">
        <v>0</v>
      </c>
      <c r="CT116">
        <v>-143906</v>
      </c>
      <c r="CU116">
        <v>-355814</v>
      </c>
      <c r="CV116">
        <v>28160</v>
      </c>
      <c r="CW116">
        <v>0</v>
      </c>
      <c r="CX116">
        <v>-115746</v>
      </c>
      <c r="CY116">
        <v>-355814</v>
      </c>
      <c r="CZ116">
        <v>-471560</v>
      </c>
      <c r="DA116">
        <v>-699</v>
      </c>
      <c r="DB116">
        <v>0</v>
      </c>
      <c r="DC116">
        <v>-699</v>
      </c>
      <c r="DD116">
        <v>-15927</v>
      </c>
      <c r="DE116">
        <v>0</v>
      </c>
      <c r="DF116">
        <v>-15927</v>
      </c>
      <c r="DG116">
        <v>-9000</v>
      </c>
      <c r="DH116">
        <v>0</v>
      </c>
      <c r="DI116">
        <v>-9000</v>
      </c>
      <c r="DJ116">
        <v>-895341</v>
      </c>
      <c r="DK116">
        <v>0</v>
      </c>
      <c r="DL116">
        <v>-895341</v>
      </c>
      <c r="DM116">
        <v>-920967</v>
      </c>
      <c r="DN116">
        <v>0</v>
      </c>
      <c r="DO116">
        <v>0</v>
      </c>
      <c r="DP116">
        <v>0</v>
      </c>
      <c r="DQ116">
        <v>-920967</v>
      </c>
      <c r="DR116">
        <v>0</v>
      </c>
      <c r="DS116">
        <v>-920967</v>
      </c>
      <c r="DT116">
        <v>31357915</v>
      </c>
      <c r="DU116">
        <v>1423280</v>
      </c>
      <c r="DV116" s="661">
        <v>32781195</v>
      </c>
      <c r="DW116" t="s">
        <v>1767</v>
      </c>
    </row>
    <row r="117" spans="1:127" ht="12.75" x14ac:dyDescent="0.2">
      <c r="A117" s="605">
        <v>110</v>
      </c>
      <c r="B117" s="606" t="s">
        <v>104</v>
      </c>
      <c r="C117" s="607" t="s">
        <v>1196</v>
      </c>
      <c r="D117" s="608" t="s">
        <v>1191</v>
      </c>
      <c r="E117" s="609" t="s">
        <v>103</v>
      </c>
      <c r="G117">
        <v>246612728</v>
      </c>
      <c r="H117">
        <v>0</v>
      </c>
      <c r="I117">
        <v>246612728</v>
      </c>
      <c r="J117">
        <v>49.9</v>
      </c>
      <c r="K117">
        <v>123059751</v>
      </c>
      <c r="L117">
        <v>0</v>
      </c>
      <c r="M117">
        <v>0</v>
      </c>
      <c r="N117">
        <v>0</v>
      </c>
      <c r="O117">
        <v>123059751</v>
      </c>
      <c r="P117">
        <v>0</v>
      </c>
      <c r="Q117">
        <v>123059751</v>
      </c>
      <c r="R117">
        <v>-437432</v>
      </c>
      <c r="S117">
        <v>0</v>
      </c>
      <c r="T117">
        <v>-437432</v>
      </c>
      <c r="U117">
        <v>254176</v>
      </c>
      <c r="V117">
        <v>0</v>
      </c>
      <c r="W117">
        <v>254176</v>
      </c>
      <c r="X117">
        <v>-183256</v>
      </c>
      <c r="Y117">
        <v>0</v>
      </c>
      <c r="Z117">
        <v>0</v>
      </c>
      <c r="AA117">
        <v>0</v>
      </c>
      <c r="AB117">
        <v>-183256</v>
      </c>
      <c r="AC117">
        <v>0</v>
      </c>
      <c r="AD117">
        <v>-183256</v>
      </c>
      <c r="AE117">
        <v>183256</v>
      </c>
      <c r="AF117">
        <v>0</v>
      </c>
      <c r="AG117">
        <v>183256</v>
      </c>
      <c r="AH117">
        <v>-5972219</v>
      </c>
      <c r="AI117">
        <v>0</v>
      </c>
      <c r="AJ117">
        <v>-5972219</v>
      </c>
      <c r="AK117">
        <v>0</v>
      </c>
      <c r="AL117">
        <v>0</v>
      </c>
      <c r="AM117">
        <v>0</v>
      </c>
      <c r="AN117">
        <v>2494944</v>
      </c>
      <c r="AO117">
        <v>0</v>
      </c>
      <c r="AP117">
        <v>2494944</v>
      </c>
      <c r="AQ117">
        <v>-3477275</v>
      </c>
      <c r="AR117">
        <v>0</v>
      </c>
      <c r="AS117">
        <v>-3477275</v>
      </c>
      <c r="AT117">
        <v>-11566585</v>
      </c>
      <c r="AU117">
        <v>0</v>
      </c>
      <c r="AV117">
        <v>-11566585</v>
      </c>
      <c r="AW117">
        <v>-125010</v>
      </c>
      <c r="AX117">
        <v>0</v>
      </c>
      <c r="AY117">
        <v>-125010</v>
      </c>
      <c r="AZ117">
        <v>0</v>
      </c>
      <c r="BA117">
        <v>0</v>
      </c>
      <c r="BB117">
        <v>0</v>
      </c>
      <c r="BC117">
        <v>0</v>
      </c>
      <c r="BD117">
        <v>0</v>
      </c>
      <c r="BE117">
        <v>0</v>
      </c>
      <c r="BF117">
        <v>-15168870</v>
      </c>
      <c r="BG117">
        <v>0</v>
      </c>
      <c r="BH117">
        <v>0</v>
      </c>
      <c r="BI117">
        <v>0</v>
      </c>
      <c r="BJ117">
        <v>-15168870</v>
      </c>
      <c r="BK117">
        <v>0</v>
      </c>
      <c r="BL117">
        <v>-15168870</v>
      </c>
      <c r="BM117">
        <v>-2519</v>
      </c>
      <c r="BN117">
        <v>0</v>
      </c>
      <c r="BO117">
        <v>-2519</v>
      </c>
      <c r="BP117">
        <v>-2806155</v>
      </c>
      <c r="BQ117">
        <v>0</v>
      </c>
      <c r="BR117">
        <v>-2806155</v>
      </c>
      <c r="BS117">
        <v>-2808674</v>
      </c>
      <c r="BT117">
        <v>0</v>
      </c>
      <c r="BU117">
        <v>0</v>
      </c>
      <c r="BV117">
        <v>0</v>
      </c>
      <c r="BW117">
        <v>-2808674</v>
      </c>
      <c r="BX117">
        <v>0</v>
      </c>
      <c r="BY117">
        <v>-2808674</v>
      </c>
      <c r="BZ117">
        <v>-694375</v>
      </c>
      <c r="CA117">
        <v>0</v>
      </c>
      <c r="CB117">
        <v>-694375</v>
      </c>
      <c r="CC117">
        <v>-34446</v>
      </c>
      <c r="CD117">
        <v>0</v>
      </c>
      <c r="CE117">
        <v>-34446</v>
      </c>
      <c r="CF117">
        <v>0</v>
      </c>
      <c r="CG117">
        <v>0</v>
      </c>
      <c r="CH117">
        <v>0</v>
      </c>
      <c r="CI117">
        <v>0</v>
      </c>
      <c r="CJ117">
        <v>0</v>
      </c>
      <c r="CK117">
        <v>0</v>
      </c>
      <c r="CL117">
        <v>0</v>
      </c>
      <c r="CM117">
        <v>0</v>
      </c>
      <c r="CN117">
        <v>0</v>
      </c>
      <c r="CO117">
        <v>0</v>
      </c>
      <c r="CP117">
        <v>0</v>
      </c>
      <c r="CQ117">
        <v>0</v>
      </c>
      <c r="CR117">
        <v>0</v>
      </c>
      <c r="CS117">
        <v>0</v>
      </c>
      <c r="CT117">
        <v>-728821</v>
      </c>
      <c r="CU117">
        <v>0</v>
      </c>
      <c r="CV117">
        <v>0</v>
      </c>
      <c r="CW117">
        <v>0</v>
      </c>
      <c r="CX117">
        <v>-728821</v>
      </c>
      <c r="CY117">
        <v>0</v>
      </c>
      <c r="CZ117">
        <v>-728821</v>
      </c>
      <c r="DA117">
        <v>0</v>
      </c>
      <c r="DB117">
        <v>0</v>
      </c>
      <c r="DC117">
        <v>0</v>
      </c>
      <c r="DD117">
        <v>-56004</v>
      </c>
      <c r="DE117">
        <v>0</v>
      </c>
      <c r="DF117">
        <v>-56004</v>
      </c>
      <c r="DG117">
        <v>-26000</v>
      </c>
      <c r="DH117">
        <v>0</v>
      </c>
      <c r="DI117">
        <v>-26000</v>
      </c>
      <c r="DJ117">
        <v>-2753817</v>
      </c>
      <c r="DK117">
        <v>0</v>
      </c>
      <c r="DL117">
        <v>-2753817</v>
      </c>
      <c r="DM117">
        <v>-2835821</v>
      </c>
      <c r="DN117">
        <v>0</v>
      </c>
      <c r="DO117">
        <v>0</v>
      </c>
      <c r="DP117">
        <v>0</v>
      </c>
      <c r="DQ117">
        <v>-2835821</v>
      </c>
      <c r="DR117">
        <v>0</v>
      </c>
      <c r="DS117">
        <v>-2835821</v>
      </c>
      <c r="DT117">
        <v>101334309</v>
      </c>
      <c r="DU117">
        <v>0</v>
      </c>
      <c r="DV117" s="661">
        <v>101334309</v>
      </c>
      <c r="DW117" t="s">
        <v>1768</v>
      </c>
    </row>
    <row r="118" spans="1:127" ht="12.75" x14ac:dyDescent="0.2">
      <c r="A118" s="605">
        <v>111</v>
      </c>
      <c r="B118" s="606" t="s">
        <v>106</v>
      </c>
      <c r="C118" s="607" t="s">
        <v>1185</v>
      </c>
      <c r="D118" s="608" t="s">
        <v>1186</v>
      </c>
      <c r="E118" s="609" t="s">
        <v>105</v>
      </c>
      <c r="G118">
        <v>222804320</v>
      </c>
      <c r="H118">
        <v>0</v>
      </c>
      <c r="I118">
        <v>222804320</v>
      </c>
      <c r="J118">
        <v>49.9</v>
      </c>
      <c r="K118">
        <v>111179356</v>
      </c>
      <c r="L118">
        <v>0</v>
      </c>
      <c r="M118">
        <v>-1500000</v>
      </c>
      <c r="N118">
        <v>0</v>
      </c>
      <c r="O118">
        <v>109679356</v>
      </c>
      <c r="P118">
        <v>0</v>
      </c>
      <c r="Q118">
        <v>109679356</v>
      </c>
      <c r="R118">
        <v>-459564</v>
      </c>
      <c r="S118">
        <v>0</v>
      </c>
      <c r="T118">
        <v>-459564</v>
      </c>
      <c r="U118">
        <v>218843</v>
      </c>
      <c r="V118">
        <v>0</v>
      </c>
      <c r="W118">
        <v>218843</v>
      </c>
      <c r="X118">
        <v>-240721</v>
      </c>
      <c r="Y118">
        <v>0</v>
      </c>
      <c r="Z118">
        <v>0</v>
      </c>
      <c r="AA118">
        <v>0</v>
      </c>
      <c r="AB118">
        <v>-240721</v>
      </c>
      <c r="AC118">
        <v>0</v>
      </c>
      <c r="AD118">
        <v>-240721</v>
      </c>
      <c r="AE118">
        <v>240721</v>
      </c>
      <c r="AF118">
        <v>0</v>
      </c>
      <c r="AG118">
        <v>240721</v>
      </c>
      <c r="AH118">
        <v>-3544959</v>
      </c>
      <c r="AI118">
        <v>0</v>
      </c>
      <c r="AJ118">
        <v>-3544959</v>
      </c>
      <c r="AK118">
        <v>-8308</v>
      </c>
      <c r="AL118">
        <v>0</v>
      </c>
      <c r="AM118">
        <v>-8308</v>
      </c>
      <c r="AN118">
        <v>2398270</v>
      </c>
      <c r="AO118">
        <v>0</v>
      </c>
      <c r="AP118">
        <v>2398270</v>
      </c>
      <c r="AQ118">
        <v>-1146689</v>
      </c>
      <c r="AR118">
        <v>0</v>
      </c>
      <c r="AS118">
        <v>-1146689</v>
      </c>
      <c r="AT118">
        <v>-11727702</v>
      </c>
      <c r="AU118">
        <v>0</v>
      </c>
      <c r="AV118">
        <v>-11727702</v>
      </c>
      <c r="AW118">
        <v>-37509</v>
      </c>
      <c r="AX118">
        <v>0</v>
      </c>
      <c r="AY118">
        <v>-37509</v>
      </c>
      <c r="AZ118">
        <v>-13549</v>
      </c>
      <c r="BA118">
        <v>0</v>
      </c>
      <c r="BB118">
        <v>-13549</v>
      </c>
      <c r="BC118">
        <v>0</v>
      </c>
      <c r="BD118">
        <v>0</v>
      </c>
      <c r="BE118">
        <v>0</v>
      </c>
      <c r="BF118">
        <v>-12925449</v>
      </c>
      <c r="BG118">
        <v>0</v>
      </c>
      <c r="BH118">
        <v>-594323</v>
      </c>
      <c r="BI118">
        <v>0</v>
      </c>
      <c r="BJ118">
        <v>-13519772</v>
      </c>
      <c r="BK118">
        <v>0</v>
      </c>
      <c r="BL118">
        <v>-13519772</v>
      </c>
      <c r="BM118">
        <v>0</v>
      </c>
      <c r="BN118">
        <v>0</v>
      </c>
      <c r="BO118">
        <v>0</v>
      </c>
      <c r="BP118">
        <v>-2069938</v>
      </c>
      <c r="BQ118">
        <v>0</v>
      </c>
      <c r="BR118">
        <v>-2069938</v>
      </c>
      <c r="BS118">
        <v>-2069938</v>
      </c>
      <c r="BT118">
        <v>0</v>
      </c>
      <c r="BU118">
        <v>-1552454</v>
      </c>
      <c r="BV118">
        <v>0</v>
      </c>
      <c r="BW118">
        <v>-3622392</v>
      </c>
      <c r="BX118">
        <v>0</v>
      </c>
      <c r="BY118">
        <v>-3622392</v>
      </c>
      <c r="BZ118">
        <v>-175458</v>
      </c>
      <c r="CA118">
        <v>0</v>
      </c>
      <c r="CB118">
        <v>-175458</v>
      </c>
      <c r="CC118">
        <v>-8383</v>
      </c>
      <c r="CD118">
        <v>0</v>
      </c>
      <c r="CE118">
        <v>-8383</v>
      </c>
      <c r="CF118">
        <v>0</v>
      </c>
      <c r="CG118">
        <v>0</v>
      </c>
      <c r="CH118">
        <v>0</v>
      </c>
      <c r="CI118">
        <v>0</v>
      </c>
      <c r="CJ118">
        <v>0</v>
      </c>
      <c r="CK118">
        <v>0</v>
      </c>
      <c r="CL118">
        <v>-19586</v>
      </c>
      <c r="CM118">
        <v>0</v>
      </c>
      <c r="CN118">
        <v>-19586</v>
      </c>
      <c r="CO118">
        <v>0</v>
      </c>
      <c r="CP118">
        <v>0</v>
      </c>
      <c r="CQ118">
        <v>0</v>
      </c>
      <c r="CR118">
        <v>0</v>
      </c>
      <c r="CS118">
        <v>0</v>
      </c>
      <c r="CT118">
        <v>-203427</v>
      </c>
      <c r="CU118">
        <v>0</v>
      </c>
      <c r="CV118">
        <v>0</v>
      </c>
      <c r="CW118">
        <v>0</v>
      </c>
      <c r="CX118">
        <v>-203427</v>
      </c>
      <c r="CY118">
        <v>0</v>
      </c>
      <c r="CZ118">
        <v>-203427</v>
      </c>
      <c r="DA118">
        <v>-13549</v>
      </c>
      <c r="DB118">
        <v>0</v>
      </c>
      <c r="DC118">
        <v>-13549</v>
      </c>
      <c r="DD118">
        <v>-21911</v>
      </c>
      <c r="DE118">
        <v>0</v>
      </c>
      <c r="DF118">
        <v>-21911</v>
      </c>
      <c r="DG118">
        <v>-18000</v>
      </c>
      <c r="DH118">
        <v>0</v>
      </c>
      <c r="DI118">
        <v>-18000</v>
      </c>
      <c r="DJ118">
        <v>-1535118</v>
      </c>
      <c r="DK118">
        <v>0</v>
      </c>
      <c r="DL118">
        <v>-1535118</v>
      </c>
      <c r="DM118">
        <v>-1588578</v>
      </c>
      <c r="DN118">
        <v>0</v>
      </c>
      <c r="DO118">
        <v>0</v>
      </c>
      <c r="DP118">
        <v>0</v>
      </c>
      <c r="DQ118">
        <v>-1588578</v>
      </c>
      <c r="DR118">
        <v>0</v>
      </c>
      <c r="DS118">
        <v>-1588578</v>
      </c>
      <c r="DT118">
        <v>90504466</v>
      </c>
      <c r="DU118">
        <v>0</v>
      </c>
      <c r="DV118" s="661">
        <v>90504466</v>
      </c>
      <c r="DW118" t="s">
        <v>1769</v>
      </c>
    </row>
    <row r="119" spans="1:127" ht="12.75" x14ac:dyDescent="0.2">
      <c r="A119" s="605">
        <v>112</v>
      </c>
      <c r="B119" s="606" t="s">
        <v>108</v>
      </c>
      <c r="C119" s="607" t="s">
        <v>1196</v>
      </c>
      <c r="D119" s="608" t="s">
        <v>1191</v>
      </c>
      <c r="E119" s="609" t="s">
        <v>107</v>
      </c>
      <c r="G119">
        <v>391259781</v>
      </c>
      <c r="H119">
        <v>0</v>
      </c>
      <c r="I119">
        <v>391259781</v>
      </c>
      <c r="J119">
        <v>49.9</v>
      </c>
      <c r="K119">
        <v>195238631</v>
      </c>
      <c r="L119">
        <v>0</v>
      </c>
      <c r="M119">
        <v>-12478452</v>
      </c>
      <c r="N119">
        <v>0</v>
      </c>
      <c r="O119">
        <v>182760179</v>
      </c>
      <c r="P119">
        <v>0</v>
      </c>
      <c r="Q119">
        <v>182760179</v>
      </c>
      <c r="R119">
        <v>-6757224</v>
      </c>
      <c r="S119">
        <v>0</v>
      </c>
      <c r="T119">
        <v>-6757224</v>
      </c>
      <c r="U119">
        <v>355312</v>
      </c>
      <c r="V119">
        <v>0</v>
      </c>
      <c r="W119">
        <v>355312</v>
      </c>
      <c r="X119">
        <v>-6401912</v>
      </c>
      <c r="Y119">
        <v>0</v>
      </c>
      <c r="Z119">
        <v>0</v>
      </c>
      <c r="AA119">
        <v>0</v>
      </c>
      <c r="AB119">
        <v>-6401912</v>
      </c>
      <c r="AC119">
        <v>0</v>
      </c>
      <c r="AD119">
        <v>-6401912</v>
      </c>
      <c r="AE119">
        <v>6401912</v>
      </c>
      <c r="AF119">
        <v>0</v>
      </c>
      <c r="AG119">
        <v>6401912</v>
      </c>
      <c r="AH119">
        <v>-9972643</v>
      </c>
      <c r="AI119">
        <v>0</v>
      </c>
      <c r="AJ119">
        <v>-9972643</v>
      </c>
      <c r="AK119">
        <v>0</v>
      </c>
      <c r="AL119">
        <v>0</v>
      </c>
      <c r="AM119">
        <v>0</v>
      </c>
      <c r="AN119">
        <v>3474262</v>
      </c>
      <c r="AO119">
        <v>0</v>
      </c>
      <c r="AP119">
        <v>3474262</v>
      </c>
      <c r="AQ119">
        <v>-6498381</v>
      </c>
      <c r="AR119">
        <v>0</v>
      </c>
      <c r="AS119">
        <v>-6498381</v>
      </c>
      <c r="AT119">
        <v>-15249919</v>
      </c>
      <c r="AU119">
        <v>0</v>
      </c>
      <c r="AV119">
        <v>-15249919</v>
      </c>
      <c r="AW119">
        <v>0</v>
      </c>
      <c r="AX119">
        <v>0</v>
      </c>
      <c r="AY119">
        <v>0</v>
      </c>
      <c r="AZ119">
        <v>0</v>
      </c>
      <c r="BA119">
        <v>0</v>
      </c>
      <c r="BB119">
        <v>0</v>
      </c>
      <c r="BC119">
        <v>0</v>
      </c>
      <c r="BD119">
        <v>0</v>
      </c>
      <c r="BE119">
        <v>0</v>
      </c>
      <c r="BF119">
        <v>-21748300</v>
      </c>
      <c r="BG119">
        <v>0</v>
      </c>
      <c r="BH119">
        <v>0</v>
      </c>
      <c r="BI119">
        <v>0</v>
      </c>
      <c r="BJ119">
        <v>-21748300</v>
      </c>
      <c r="BK119">
        <v>0</v>
      </c>
      <c r="BL119">
        <v>-21748300</v>
      </c>
      <c r="BM119">
        <v>0</v>
      </c>
      <c r="BN119">
        <v>0</v>
      </c>
      <c r="BO119">
        <v>0</v>
      </c>
      <c r="BP119">
        <v>-1750000</v>
      </c>
      <c r="BQ119">
        <v>0</v>
      </c>
      <c r="BR119">
        <v>-1750000</v>
      </c>
      <c r="BS119">
        <v>-1750000</v>
      </c>
      <c r="BT119">
        <v>0</v>
      </c>
      <c r="BU119">
        <v>0</v>
      </c>
      <c r="BV119">
        <v>0</v>
      </c>
      <c r="BW119">
        <v>-1750000</v>
      </c>
      <c r="BX119">
        <v>0</v>
      </c>
      <c r="BY119">
        <v>-1750000</v>
      </c>
      <c r="BZ119">
        <v>-485579</v>
      </c>
      <c r="CA119">
        <v>0</v>
      </c>
      <c r="CB119">
        <v>-485579</v>
      </c>
      <c r="CC119">
        <v>0</v>
      </c>
      <c r="CD119">
        <v>0</v>
      </c>
      <c r="CE119">
        <v>0</v>
      </c>
      <c r="CF119">
        <v>0</v>
      </c>
      <c r="CG119">
        <v>0</v>
      </c>
      <c r="CH119">
        <v>0</v>
      </c>
      <c r="CI119">
        <v>0</v>
      </c>
      <c r="CJ119">
        <v>0</v>
      </c>
      <c r="CK119">
        <v>0</v>
      </c>
      <c r="CL119">
        <v>0</v>
      </c>
      <c r="CM119">
        <v>0</v>
      </c>
      <c r="CN119">
        <v>0</v>
      </c>
      <c r="CO119">
        <v>0</v>
      </c>
      <c r="CP119">
        <v>0</v>
      </c>
      <c r="CQ119">
        <v>0</v>
      </c>
      <c r="CR119">
        <v>0</v>
      </c>
      <c r="CS119">
        <v>0</v>
      </c>
      <c r="CT119">
        <v>-485579</v>
      </c>
      <c r="CU119">
        <v>0</v>
      </c>
      <c r="CV119">
        <v>0</v>
      </c>
      <c r="CW119">
        <v>0</v>
      </c>
      <c r="CX119">
        <v>-485579</v>
      </c>
      <c r="CY119">
        <v>0</v>
      </c>
      <c r="CZ119">
        <v>-485579</v>
      </c>
      <c r="DA119">
        <v>0</v>
      </c>
      <c r="DB119">
        <v>0</v>
      </c>
      <c r="DC119">
        <v>0</v>
      </c>
      <c r="DD119">
        <v>-612751</v>
      </c>
      <c r="DE119">
        <v>0</v>
      </c>
      <c r="DF119">
        <v>-612751</v>
      </c>
      <c r="DG119">
        <v>-118000</v>
      </c>
      <c r="DH119">
        <v>0</v>
      </c>
      <c r="DI119">
        <v>-118000</v>
      </c>
      <c r="DJ119">
        <v>-4445370</v>
      </c>
      <c r="DK119">
        <v>0</v>
      </c>
      <c r="DL119">
        <v>-4445370</v>
      </c>
      <c r="DM119">
        <v>-5176121</v>
      </c>
      <c r="DN119">
        <v>0</v>
      </c>
      <c r="DO119">
        <v>0</v>
      </c>
      <c r="DP119">
        <v>0</v>
      </c>
      <c r="DQ119">
        <v>-5176121</v>
      </c>
      <c r="DR119">
        <v>0</v>
      </c>
      <c r="DS119">
        <v>-5176121</v>
      </c>
      <c r="DT119">
        <v>147198267</v>
      </c>
      <c r="DU119">
        <v>0</v>
      </c>
      <c r="DV119" s="661">
        <v>147198267</v>
      </c>
      <c r="DW119" t="s">
        <v>1770</v>
      </c>
    </row>
    <row r="120" spans="1:127" ht="12.75" x14ac:dyDescent="0.2">
      <c r="A120" s="605">
        <v>113</v>
      </c>
      <c r="B120" s="606" t="s">
        <v>110</v>
      </c>
      <c r="C120" s="607" t="s">
        <v>524</v>
      </c>
      <c r="D120" s="608" t="s">
        <v>1187</v>
      </c>
      <c r="E120" s="609" t="s">
        <v>543</v>
      </c>
      <c r="G120">
        <v>127779803</v>
      </c>
      <c r="H120">
        <v>771000</v>
      </c>
      <c r="I120">
        <v>128550803</v>
      </c>
      <c r="J120">
        <v>49.9</v>
      </c>
      <c r="K120">
        <v>63762122</v>
      </c>
      <c r="L120">
        <v>384729</v>
      </c>
      <c r="M120">
        <v>-1000000</v>
      </c>
      <c r="N120">
        <v>0</v>
      </c>
      <c r="O120">
        <v>62762122</v>
      </c>
      <c r="P120">
        <v>384729</v>
      </c>
      <c r="Q120">
        <v>63146851</v>
      </c>
      <c r="R120">
        <v>-125291</v>
      </c>
      <c r="S120">
        <v>0</v>
      </c>
      <c r="T120">
        <v>-125291</v>
      </c>
      <c r="U120">
        <v>1507928</v>
      </c>
      <c r="V120">
        <v>0</v>
      </c>
      <c r="W120">
        <v>1507928</v>
      </c>
      <c r="X120">
        <v>1382637</v>
      </c>
      <c r="Y120">
        <v>0</v>
      </c>
      <c r="Z120">
        <v>0</v>
      </c>
      <c r="AA120">
        <v>0</v>
      </c>
      <c r="AB120">
        <v>1382637</v>
      </c>
      <c r="AC120">
        <v>0</v>
      </c>
      <c r="AD120">
        <v>1382637</v>
      </c>
      <c r="AE120">
        <v>-1382637</v>
      </c>
      <c r="AF120">
        <v>0</v>
      </c>
      <c r="AG120">
        <v>-1382637</v>
      </c>
      <c r="AH120">
        <v>-3380867</v>
      </c>
      <c r="AI120">
        <v>0</v>
      </c>
      <c r="AJ120">
        <v>-3380867</v>
      </c>
      <c r="AK120">
        <v>-18765</v>
      </c>
      <c r="AL120">
        <v>0</v>
      </c>
      <c r="AM120">
        <v>-18765</v>
      </c>
      <c r="AN120">
        <v>1267792</v>
      </c>
      <c r="AO120">
        <v>684</v>
      </c>
      <c r="AP120">
        <v>1268476</v>
      </c>
      <c r="AQ120">
        <v>-2113075</v>
      </c>
      <c r="AR120">
        <v>684</v>
      </c>
      <c r="AS120">
        <v>-2112391</v>
      </c>
      <c r="AT120">
        <v>-2331932</v>
      </c>
      <c r="AU120">
        <v>0</v>
      </c>
      <c r="AV120">
        <v>-2331932</v>
      </c>
      <c r="AW120">
        <v>-99533</v>
      </c>
      <c r="AX120">
        <v>0</v>
      </c>
      <c r="AY120">
        <v>-99533</v>
      </c>
      <c r="AZ120">
        <v>0</v>
      </c>
      <c r="BA120">
        <v>0</v>
      </c>
      <c r="BB120">
        <v>0</v>
      </c>
      <c r="BC120">
        <v>0</v>
      </c>
      <c r="BD120">
        <v>0</v>
      </c>
      <c r="BE120">
        <v>0</v>
      </c>
      <c r="BF120">
        <v>-4544540</v>
      </c>
      <c r="BG120">
        <v>684</v>
      </c>
      <c r="BH120">
        <v>0</v>
      </c>
      <c r="BI120">
        <v>0</v>
      </c>
      <c r="BJ120">
        <v>-4544540</v>
      </c>
      <c r="BK120">
        <v>684</v>
      </c>
      <c r="BL120">
        <v>-4543856</v>
      </c>
      <c r="BM120">
        <v>0</v>
      </c>
      <c r="BN120">
        <v>0</v>
      </c>
      <c r="BO120">
        <v>0</v>
      </c>
      <c r="BP120">
        <v>-1886265</v>
      </c>
      <c r="BQ120">
        <v>0</v>
      </c>
      <c r="BR120">
        <v>-1886265</v>
      </c>
      <c r="BS120">
        <v>-1886265</v>
      </c>
      <c r="BT120">
        <v>0</v>
      </c>
      <c r="BU120">
        <v>0</v>
      </c>
      <c r="BV120">
        <v>0</v>
      </c>
      <c r="BW120">
        <v>-1886265</v>
      </c>
      <c r="BX120">
        <v>0</v>
      </c>
      <c r="BY120">
        <v>-1886265</v>
      </c>
      <c r="BZ120">
        <v>-61020</v>
      </c>
      <c r="CA120">
        <v>0</v>
      </c>
      <c r="CB120">
        <v>-61020</v>
      </c>
      <c r="CC120">
        <v>-86448</v>
      </c>
      <c r="CD120">
        <v>0</v>
      </c>
      <c r="CE120">
        <v>-86448</v>
      </c>
      <c r="CF120">
        <v>-13594</v>
      </c>
      <c r="CG120">
        <v>0</v>
      </c>
      <c r="CH120">
        <v>-13594</v>
      </c>
      <c r="CI120">
        <v>0</v>
      </c>
      <c r="CJ120">
        <v>0</v>
      </c>
      <c r="CK120">
        <v>0</v>
      </c>
      <c r="CL120">
        <v>0</v>
      </c>
      <c r="CM120">
        <v>0</v>
      </c>
      <c r="CN120">
        <v>0</v>
      </c>
      <c r="CO120">
        <v>-36884</v>
      </c>
      <c r="CP120">
        <v>-188869</v>
      </c>
      <c r="CQ120">
        <v>-225753</v>
      </c>
      <c r="CR120">
        <v>-188869</v>
      </c>
      <c r="CS120">
        <v>-36884</v>
      </c>
      <c r="CT120">
        <v>-197946</v>
      </c>
      <c r="CU120">
        <v>-188869</v>
      </c>
      <c r="CV120">
        <v>0</v>
      </c>
      <c r="CW120">
        <v>0</v>
      </c>
      <c r="CX120">
        <v>-197946</v>
      </c>
      <c r="CY120">
        <v>-188869</v>
      </c>
      <c r="CZ120">
        <v>-386815</v>
      </c>
      <c r="DA120">
        <v>0</v>
      </c>
      <c r="DB120">
        <v>0</v>
      </c>
      <c r="DC120">
        <v>0</v>
      </c>
      <c r="DD120">
        <v>-9661</v>
      </c>
      <c r="DE120">
        <v>0</v>
      </c>
      <c r="DF120">
        <v>-9661</v>
      </c>
      <c r="DG120">
        <v>-5000</v>
      </c>
      <c r="DH120">
        <v>0</v>
      </c>
      <c r="DI120">
        <v>-5000</v>
      </c>
      <c r="DJ120">
        <v>-769946</v>
      </c>
      <c r="DK120">
        <v>0</v>
      </c>
      <c r="DL120">
        <v>-769946</v>
      </c>
      <c r="DM120">
        <v>-784607</v>
      </c>
      <c r="DN120">
        <v>0</v>
      </c>
      <c r="DO120">
        <v>0</v>
      </c>
      <c r="DP120">
        <v>0</v>
      </c>
      <c r="DQ120">
        <v>-784607</v>
      </c>
      <c r="DR120">
        <v>0</v>
      </c>
      <c r="DS120">
        <v>-784607</v>
      </c>
      <c r="DT120">
        <v>56731401</v>
      </c>
      <c r="DU120">
        <v>196544</v>
      </c>
      <c r="DV120" s="661">
        <v>56927945</v>
      </c>
      <c r="DW120" t="s">
        <v>1771</v>
      </c>
    </row>
    <row r="121" spans="1:127" ht="12.75" x14ac:dyDescent="0.2">
      <c r="A121" s="605">
        <v>114</v>
      </c>
      <c r="B121" s="606" t="s">
        <v>112</v>
      </c>
      <c r="C121" s="607" t="s">
        <v>1185</v>
      </c>
      <c r="D121" s="608" t="s">
        <v>1193</v>
      </c>
      <c r="E121" s="609" t="s">
        <v>111</v>
      </c>
      <c r="G121">
        <v>74610494</v>
      </c>
      <c r="H121">
        <v>0</v>
      </c>
      <c r="I121">
        <v>74610494</v>
      </c>
      <c r="J121">
        <v>49.9</v>
      </c>
      <c r="K121">
        <v>37230637</v>
      </c>
      <c r="L121">
        <v>0</v>
      </c>
      <c r="M121">
        <v>250000</v>
      </c>
      <c r="N121">
        <v>0</v>
      </c>
      <c r="O121">
        <v>37480637</v>
      </c>
      <c r="P121">
        <v>0</v>
      </c>
      <c r="Q121">
        <v>37480637</v>
      </c>
      <c r="R121">
        <v>-273339</v>
      </c>
      <c r="S121">
        <v>0</v>
      </c>
      <c r="T121">
        <v>-273339</v>
      </c>
      <c r="U121">
        <v>112885</v>
      </c>
      <c r="V121">
        <v>0</v>
      </c>
      <c r="W121">
        <v>112885</v>
      </c>
      <c r="X121">
        <v>-160454</v>
      </c>
      <c r="Y121">
        <v>0</v>
      </c>
      <c r="Z121">
        <v>0</v>
      </c>
      <c r="AA121">
        <v>0</v>
      </c>
      <c r="AB121">
        <v>-160454</v>
      </c>
      <c r="AC121">
        <v>0</v>
      </c>
      <c r="AD121">
        <v>-160454</v>
      </c>
      <c r="AE121">
        <v>160454</v>
      </c>
      <c r="AF121">
        <v>0</v>
      </c>
      <c r="AG121">
        <v>160454</v>
      </c>
      <c r="AH121">
        <v>-5154969</v>
      </c>
      <c r="AI121">
        <v>0</v>
      </c>
      <c r="AJ121">
        <v>-5154969</v>
      </c>
      <c r="AK121">
        <v>-30439</v>
      </c>
      <c r="AL121">
        <v>0</v>
      </c>
      <c r="AM121">
        <v>-30439</v>
      </c>
      <c r="AN121">
        <v>548755</v>
      </c>
      <c r="AO121">
        <v>0</v>
      </c>
      <c r="AP121">
        <v>548755</v>
      </c>
      <c r="AQ121">
        <v>-4606214</v>
      </c>
      <c r="AR121">
        <v>0</v>
      </c>
      <c r="AS121">
        <v>-4606214</v>
      </c>
      <c r="AT121">
        <v>-1351107</v>
      </c>
      <c r="AU121">
        <v>0</v>
      </c>
      <c r="AV121">
        <v>-1351107</v>
      </c>
      <c r="AW121">
        <v>-106401</v>
      </c>
      <c r="AX121">
        <v>0</v>
      </c>
      <c r="AY121">
        <v>-106401</v>
      </c>
      <c r="AZ121">
        <v>-63347</v>
      </c>
      <c r="BA121">
        <v>0</v>
      </c>
      <c r="BB121">
        <v>-63347</v>
      </c>
      <c r="BC121">
        <v>0</v>
      </c>
      <c r="BD121">
        <v>0</v>
      </c>
      <c r="BE121">
        <v>0</v>
      </c>
      <c r="BF121">
        <v>-6127069</v>
      </c>
      <c r="BG121">
        <v>0</v>
      </c>
      <c r="BH121">
        <v>0</v>
      </c>
      <c r="BI121">
        <v>0</v>
      </c>
      <c r="BJ121">
        <v>-6127069</v>
      </c>
      <c r="BK121">
        <v>0</v>
      </c>
      <c r="BL121">
        <v>-6127069</v>
      </c>
      <c r="BM121">
        <v>-11000</v>
      </c>
      <c r="BN121">
        <v>0</v>
      </c>
      <c r="BO121">
        <v>-11000</v>
      </c>
      <c r="BP121">
        <v>-650000</v>
      </c>
      <c r="BQ121">
        <v>0</v>
      </c>
      <c r="BR121">
        <v>-650000</v>
      </c>
      <c r="BS121">
        <v>-661000</v>
      </c>
      <c r="BT121">
        <v>0</v>
      </c>
      <c r="BU121">
        <v>0</v>
      </c>
      <c r="BV121">
        <v>0</v>
      </c>
      <c r="BW121">
        <v>-661000</v>
      </c>
      <c r="BX121">
        <v>0</v>
      </c>
      <c r="BY121">
        <v>-661000</v>
      </c>
      <c r="BZ121">
        <v>-71248</v>
      </c>
      <c r="CA121">
        <v>0</v>
      </c>
      <c r="CB121">
        <v>-71248</v>
      </c>
      <c r="CC121">
        <v>-13765</v>
      </c>
      <c r="CD121">
        <v>0</v>
      </c>
      <c r="CE121">
        <v>-13765</v>
      </c>
      <c r="CF121">
        <v>-1049</v>
      </c>
      <c r="CG121">
        <v>0</v>
      </c>
      <c r="CH121">
        <v>-1049</v>
      </c>
      <c r="CI121">
        <v>-570</v>
      </c>
      <c r="CJ121">
        <v>0</v>
      </c>
      <c r="CK121">
        <v>-570</v>
      </c>
      <c r="CL121">
        <v>0</v>
      </c>
      <c r="CM121">
        <v>0</v>
      </c>
      <c r="CN121">
        <v>0</v>
      </c>
      <c r="CO121">
        <v>0</v>
      </c>
      <c r="CP121">
        <v>0</v>
      </c>
      <c r="CQ121">
        <v>0</v>
      </c>
      <c r="CR121">
        <v>0</v>
      </c>
      <c r="CS121">
        <v>0</v>
      </c>
      <c r="CT121">
        <v>-86632</v>
      </c>
      <c r="CU121">
        <v>0</v>
      </c>
      <c r="CV121">
        <v>0</v>
      </c>
      <c r="CW121">
        <v>0</v>
      </c>
      <c r="CX121">
        <v>-86632</v>
      </c>
      <c r="CY121">
        <v>0</v>
      </c>
      <c r="CZ121">
        <v>-86632</v>
      </c>
      <c r="DA121">
        <v>-62777</v>
      </c>
      <c r="DB121">
        <v>0</v>
      </c>
      <c r="DC121">
        <v>-62777</v>
      </c>
      <c r="DD121">
        <v>-39789</v>
      </c>
      <c r="DE121">
        <v>0</v>
      </c>
      <c r="DF121">
        <v>-39789</v>
      </c>
      <c r="DG121">
        <v>-4500</v>
      </c>
      <c r="DH121">
        <v>0</v>
      </c>
      <c r="DI121">
        <v>-4500</v>
      </c>
      <c r="DJ121">
        <v>-709403</v>
      </c>
      <c r="DK121">
        <v>0</v>
      </c>
      <c r="DL121">
        <v>-709403</v>
      </c>
      <c r="DM121">
        <v>-816469</v>
      </c>
      <c r="DN121">
        <v>0</v>
      </c>
      <c r="DO121">
        <v>0</v>
      </c>
      <c r="DP121">
        <v>0</v>
      </c>
      <c r="DQ121">
        <v>-816469</v>
      </c>
      <c r="DR121">
        <v>0</v>
      </c>
      <c r="DS121">
        <v>-816469</v>
      </c>
      <c r="DT121">
        <v>29629013</v>
      </c>
      <c r="DU121">
        <v>0</v>
      </c>
      <c r="DV121" s="661">
        <v>29629013</v>
      </c>
      <c r="DW121" t="s">
        <v>1772</v>
      </c>
    </row>
    <row r="122" spans="1:127" ht="12.75" x14ac:dyDescent="0.2">
      <c r="A122" s="605">
        <v>115</v>
      </c>
      <c r="B122" s="606" t="s">
        <v>114</v>
      </c>
      <c r="C122" s="607" t="s">
        <v>1196</v>
      </c>
      <c r="D122" s="608" t="s">
        <v>1191</v>
      </c>
      <c r="E122" s="609" t="s">
        <v>113</v>
      </c>
      <c r="G122">
        <v>588603785</v>
      </c>
      <c r="H122">
        <v>0</v>
      </c>
      <c r="I122">
        <v>588603785</v>
      </c>
      <c r="J122">
        <v>49.9</v>
      </c>
      <c r="K122">
        <v>293713289</v>
      </c>
      <c r="L122">
        <v>0</v>
      </c>
      <c r="M122">
        <v>0</v>
      </c>
      <c r="N122">
        <v>0</v>
      </c>
      <c r="O122">
        <v>293713289</v>
      </c>
      <c r="P122">
        <v>0</v>
      </c>
      <c r="Q122">
        <v>293713289</v>
      </c>
      <c r="R122">
        <v>-1288649</v>
      </c>
      <c r="S122">
        <v>0</v>
      </c>
      <c r="T122">
        <v>-1288649</v>
      </c>
      <c r="U122">
        <v>235923</v>
      </c>
      <c r="V122">
        <v>0</v>
      </c>
      <c r="W122">
        <v>235923</v>
      </c>
      <c r="X122">
        <v>-1052726</v>
      </c>
      <c r="Y122">
        <v>0</v>
      </c>
      <c r="Z122">
        <v>0</v>
      </c>
      <c r="AA122">
        <v>0</v>
      </c>
      <c r="AB122">
        <v>-1052726</v>
      </c>
      <c r="AC122">
        <v>0</v>
      </c>
      <c r="AD122">
        <v>-1052726</v>
      </c>
      <c r="AE122">
        <v>1052726</v>
      </c>
      <c r="AF122">
        <v>0</v>
      </c>
      <c r="AG122">
        <v>1052726</v>
      </c>
      <c r="AH122">
        <v>-5425708</v>
      </c>
      <c r="AI122">
        <v>0</v>
      </c>
      <c r="AJ122">
        <v>-5425708</v>
      </c>
      <c r="AK122">
        <v>-13341</v>
      </c>
      <c r="AL122">
        <v>0</v>
      </c>
      <c r="AM122">
        <v>-13341</v>
      </c>
      <c r="AN122">
        <v>6533024</v>
      </c>
      <c r="AO122">
        <v>0</v>
      </c>
      <c r="AP122">
        <v>6533024</v>
      </c>
      <c r="AQ122">
        <v>1107316</v>
      </c>
      <c r="AR122">
        <v>0</v>
      </c>
      <c r="AS122">
        <v>1107316</v>
      </c>
      <c r="AT122">
        <v>-12142427</v>
      </c>
      <c r="AU122">
        <v>0</v>
      </c>
      <c r="AV122">
        <v>-12142427</v>
      </c>
      <c r="AW122">
        <v>0</v>
      </c>
      <c r="AX122">
        <v>0</v>
      </c>
      <c r="AY122">
        <v>0</v>
      </c>
      <c r="AZ122">
        <v>0</v>
      </c>
      <c r="BA122">
        <v>0</v>
      </c>
      <c r="BB122">
        <v>0</v>
      </c>
      <c r="BC122">
        <v>0</v>
      </c>
      <c r="BD122">
        <v>0</v>
      </c>
      <c r="BE122">
        <v>0</v>
      </c>
      <c r="BF122">
        <v>-11035111</v>
      </c>
      <c r="BG122">
        <v>0</v>
      </c>
      <c r="BH122">
        <v>0</v>
      </c>
      <c r="BI122">
        <v>0</v>
      </c>
      <c r="BJ122">
        <v>-11035111</v>
      </c>
      <c r="BK122">
        <v>0</v>
      </c>
      <c r="BL122">
        <v>-11035111</v>
      </c>
      <c r="BM122">
        <v>0</v>
      </c>
      <c r="BN122">
        <v>0</v>
      </c>
      <c r="BO122">
        <v>0</v>
      </c>
      <c r="BP122">
        <v>-8764505</v>
      </c>
      <c r="BQ122">
        <v>0</v>
      </c>
      <c r="BR122">
        <v>-8764505</v>
      </c>
      <c r="BS122">
        <v>-8764505</v>
      </c>
      <c r="BT122">
        <v>0</v>
      </c>
      <c r="BU122">
        <v>0</v>
      </c>
      <c r="BV122">
        <v>0</v>
      </c>
      <c r="BW122">
        <v>-8764505</v>
      </c>
      <c r="BX122">
        <v>0</v>
      </c>
      <c r="BY122">
        <v>-8764505</v>
      </c>
      <c r="BZ122">
        <v>-92883</v>
      </c>
      <c r="CA122">
        <v>0</v>
      </c>
      <c r="CB122">
        <v>-92883</v>
      </c>
      <c r="CC122">
        <v>-88422</v>
      </c>
      <c r="CD122">
        <v>0</v>
      </c>
      <c r="CE122">
        <v>-88422</v>
      </c>
      <c r="CF122">
        <v>0</v>
      </c>
      <c r="CG122">
        <v>0</v>
      </c>
      <c r="CH122">
        <v>0</v>
      </c>
      <c r="CI122">
        <v>0</v>
      </c>
      <c r="CJ122">
        <v>0</v>
      </c>
      <c r="CK122">
        <v>0</v>
      </c>
      <c r="CL122">
        <v>0</v>
      </c>
      <c r="CM122">
        <v>0</v>
      </c>
      <c r="CN122">
        <v>0</v>
      </c>
      <c r="CO122">
        <v>0</v>
      </c>
      <c r="CP122">
        <v>0</v>
      </c>
      <c r="CQ122">
        <v>0</v>
      </c>
      <c r="CR122">
        <v>0</v>
      </c>
      <c r="CS122">
        <v>0</v>
      </c>
      <c r="CT122">
        <v>-181305</v>
      </c>
      <c r="CU122">
        <v>0</v>
      </c>
      <c r="CV122">
        <v>0</v>
      </c>
      <c r="CW122">
        <v>0</v>
      </c>
      <c r="CX122">
        <v>-181305</v>
      </c>
      <c r="CY122">
        <v>0</v>
      </c>
      <c r="CZ122">
        <v>-181305</v>
      </c>
      <c r="DA122">
        <v>0</v>
      </c>
      <c r="DB122">
        <v>0</v>
      </c>
      <c r="DC122">
        <v>0</v>
      </c>
      <c r="DD122">
        <v>-36929</v>
      </c>
      <c r="DE122">
        <v>0</v>
      </c>
      <c r="DF122">
        <v>-36929</v>
      </c>
      <c r="DG122">
        <v>0</v>
      </c>
      <c r="DH122">
        <v>0</v>
      </c>
      <c r="DI122">
        <v>0</v>
      </c>
      <c r="DJ122">
        <v>-8678867</v>
      </c>
      <c r="DK122">
        <v>0</v>
      </c>
      <c r="DL122">
        <v>-8678867</v>
      </c>
      <c r="DM122">
        <v>-8715796</v>
      </c>
      <c r="DN122">
        <v>0</v>
      </c>
      <c r="DO122">
        <v>0</v>
      </c>
      <c r="DP122">
        <v>0</v>
      </c>
      <c r="DQ122">
        <v>-8715796</v>
      </c>
      <c r="DR122">
        <v>0</v>
      </c>
      <c r="DS122">
        <v>-8715796</v>
      </c>
      <c r="DT122">
        <v>263963846</v>
      </c>
      <c r="DU122">
        <v>0</v>
      </c>
      <c r="DV122" s="661">
        <v>263963846</v>
      </c>
      <c r="DW122" t="s">
        <v>1773</v>
      </c>
    </row>
    <row r="123" spans="1:127" ht="12.75" x14ac:dyDescent="0.2">
      <c r="A123" s="605">
        <v>116</v>
      </c>
      <c r="B123" s="606" t="s">
        <v>116</v>
      </c>
      <c r="C123" s="607" t="s">
        <v>1185</v>
      </c>
      <c r="D123" s="608" t="s">
        <v>1188</v>
      </c>
      <c r="E123" s="609" t="s">
        <v>115</v>
      </c>
      <c r="G123">
        <v>104318358</v>
      </c>
      <c r="H123">
        <v>0</v>
      </c>
      <c r="I123">
        <v>104318358</v>
      </c>
      <c r="J123">
        <v>49.9</v>
      </c>
      <c r="K123">
        <v>52054861</v>
      </c>
      <c r="L123">
        <v>0</v>
      </c>
      <c r="M123">
        <v>4148480</v>
      </c>
      <c r="N123">
        <v>0</v>
      </c>
      <c r="O123">
        <v>56203341</v>
      </c>
      <c r="P123">
        <v>0</v>
      </c>
      <c r="Q123">
        <v>56203341</v>
      </c>
      <c r="R123">
        <v>-433427</v>
      </c>
      <c r="S123">
        <v>0</v>
      </c>
      <c r="T123">
        <v>-433427</v>
      </c>
      <c r="U123">
        <v>3788</v>
      </c>
      <c r="V123">
        <v>0</v>
      </c>
      <c r="W123">
        <v>3788</v>
      </c>
      <c r="X123">
        <v>-429639</v>
      </c>
      <c r="Y123">
        <v>0</v>
      </c>
      <c r="Z123">
        <v>0</v>
      </c>
      <c r="AA123">
        <v>0</v>
      </c>
      <c r="AB123">
        <v>-429639</v>
      </c>
      <c r="AC123">
        <v>0</v>
      </c>
      <c r="AD123">
        <v>-429639</v>
      </c>
      <c r="AE123">
        <v>429639</v>
      </c>
      <c r="AF123">
        <v>0</v>
      </c>
      <c r="AG123">
        <v>429639</v>
      </c>
      <c r="AH123">
        <v>-3352859</v>
      </c>
      <c r="AI123">
        <v>0</v>
      </c>
      <c r="AJ123">
        <v>-3352859</v>
      </c>
      <c r="AK123">
        <v>-773</v>
      </c>
      <c r="AL123">
        <v>0</v>
      </c>
      <c r="AM123">
        <v>-773</v>
      </c>
      <c r="AN123">
        <v>991018</v>
      </c>
      <c r="AO123">
        <v>0</v>
      </c>
      <c r="AP123">
        <v>991018</v>
      </c>
      <c r="AQ123">
        <v>-2361841</v>
      </c>
      <c r="AR123">
        <v>0</v>
      </c>
      <c r="AS123">
        <v>-2361841</v>
      </c>
      <c r="AT123">
        <v>-2298172</v>
      </c>
      <c r="AU123">
        <v>0</v>
      </c>
      <c r="AV123">
        <v>-2298172</v>
      </c>
      <c r="AW123">
        <v>-45091</v>
      </c>
      <c r="AX123">
        <v>0</v>
      </c>
      <c r="AY123">
        <v>-45091</v>
      </c>
      <c r="AZ123">
        <v>-23280</v>
      </c>
      <c r="BA123">
        <v>0</v>
      </c>
      <c r="BB123">
        <v>-23280</v>
      </c>
      <c r="BC123">
        <v>0</v>
      </c>
      <c r="BD123">
        <v>0</v>
      </c>
      <c r="BE123">
        <v>0</v>
      </c>
      <c r="BF123">
        <v>-4728384</v>
      </c>
      <c r="BG123">
        <v>0</v>
      </c>
      <c r="BH123">
        <v>0</v>
      </c>
      <c r="BI123">
        <v>0</v>
      </c>
      <c r="BJ123">
        <v>-4728384</v>
      </c>
      <c r="BK123">
        <v>0</v>
      </c>
      <c r="BL123">
        <v>-4728384</v>
      </c>
      <c r="BM123">
        <v>0</v>
      </c>
      <c r="BN123">
        <v>0</v>
      </c>
      <c r="BO123">
        <v>0</v>
      </c>
      <c r="BP123">
        <v>-164492</v>
      </c>
      <c r="BQ123">
        <v>0</v>
      </c>
      <c r="BR123">
        <v>-164492</v>
      </c>
      <c r="BS123">
        <v>-164492</v>
      </c>
      <c r="BT123">
        <v>0</v>
      </c>
      <c r="BU123">
        <v>-2074240</v>
      </c>
      <c r="BV123">
        <v>0</v>
      </c>
      <c r="BW123">
        <v>-2238732</v>
      </c>
      <c r="BX123">
        <v>0</v>
      </c>
      <c r="BY123">
        <v>-2238732</v>
      </c>
      <c r="BZ123">
        <v>-30966</v>
      </c>
      <c r="CA123">
        <v>0</v>
      </c>
      <c r="CB123">
        <v>-30966</v>
      </c>
      <c r="CC123">
        <v>-36414</v>
      </c>
      <c r="CD123">
        <v>0</v>
      </c>
      <c r="CE123">
        <v>-36414</v>
      </c>
      <c r="CF123">
        <v>-11273</v>
      </c>
      <c r="CG123">
        <v>0</v>
      </c>
      <c r="CH123">
        <v>-11273</v>
      </c>
      <c r="CI123">
        <v>0</v>
      </c>
      <c r="CJ123">
        <v>0</v>
      </c>
      <c r="CK123">
        <v>0</v>
      </c>
      <c r="CL123">
        <v>-3368</v>
      </c>
      <c r="CM123">
        <v>0</v>
      </c>
      <c r="CN123">
        <v>-3368</v>
      </c>
      <c r="CO123">
        <v>0</v>
      </c>
      <c r="CP123">
        <v>0</v>
      </c>
      <c r="CQ123">
        <v>0</v>
      </c>
      <c r="CR123">
        <v>0</v>
      </c>
      <c r="CS123">
        <v>0</v>
      </c>
      <c r="CT123">
        <v>-82021</v>
      </c>
      <c r="CU123">
        <v>0</v>
      </c>
      <c r="CV123">
        <v>0</v>
      </c>
      <c r="CW123">
        <v>0</v>
      </c>
      <c r="CX123">
        <v>-82021</v>
      </c>
      <c r="CY123">
        <v>0</v>
      </c>
      <c r="CZ123">
        <v>-82021</v>
      </c>
      <c r="DA123">
        <v>-23280</v>
      </c>
      <c r="DB123">
        <v>0</v>
      </c>
      <c r="DC123">
        <v>-23280</v>
      </c>
      <c r="DD123">
        <v>-46618</v>
      </c>
      <c r="DE123">
        <v>0</v>
      </c>
      <c r="DF123">
        <v>-46618</v>
      </c>
      <c r="DG123">
        <v>-10580</v>
      </c>
      <c r="DH123">
        <v>0</v>
      </c>
      <c r="DI123">
        <v>-10580</v>
      </c>
      <c r="DJ123">
        <v>-611257</v>
      </c>
      <c r="DK123">
        <v>0</v>
      </c>
      <c r="DL123">
        <v>-611257</v>
      </c>
      <c r="DM123">
        <v>-691735</v>
      </c>
      <c r="DN123">
        <v>0</v>
      </c>
      <c r="DO123">
        <v>-335629</v>
      </c>
      <c r="DP123">
        <v>0</v>
      </c>
      <c r="DQ123">
        <v>-1027364</v>
      </c>
      <c r="DR123">
        <v>0</v>
      </c>
      <c r="DS123">
        <v>-1027364</v>
      </c>
      <c r="DT123">
        <v>47697201</v>
      </c>
      <c r="DU123">
        <v>0</v>
      </c>
      <c r="DV123" s="661">
        <v>47697201</v>
      </c>
      <c r="DW123" t="s">
        <v>1774</v>
      </c>
    </row>
    <row r="124" spans="1:127" ht="12.75" x14ac:dyDescent="0.2">
      <c r="A124" s="605">
        <v>117</v>
      </c>
      <c r="B124" s="606" t="s">
        <v>118</v>
      </c>
      <c r="C124" s="607" t="s">
        <v>1190</v>
      </c>
      <c r="D124" s="608" t="s">
        <v>1191</v>
      </c>
      <c r="E124" s="609" t="s">
        <v>117</v>
      </c>
      <c r="G124">
        <v>200606740</v>
      </c>
      <c r="H124">
        <v>0</v>
      </c>
      <c r="I124">
        <v>200606740</v>
      </c>
      <c r="J124">
        <v>49.9</v>
      </c>
      <c r="K124">
        <v>100102763</v>
      </c>
      <c r="L124">
        <v>0</v>
      </c>
      <c r="M124">
        <v>0</v>
      </c>
      <c r="N124">
        <v>0</v>
      </c>
      <c r="O124">
        <v>100102763</v>
      </c>
      <c r="P124">
        <v>0</v>
      </c>
      <c r="Q124">
        <v>100102763</v>
      </c>
      <c r="R124">
        <v>-800178</v>
      </c>
      <c r="S124">
        <v>0</v>
      </c>
      <c r="T124">
        <v>-800178</v>
      </c>
      <c r="U124">
        <v>301547</v>
      </c>
      <c r="V124">
        <v>0</v>
      </c>
      <c r="W124">
        <v>301547</v>
      </c>
      <c r="X124">
        <v>-498631</v>
      </c>
      <c r="Y124">
        <v>0</v>
      </c>
      <c r="Z124">
        <v>0</v>
      </c>
      <c r="AA124">
        <v>0</v>
      </c>
      <c r="AB124">
        <v>-498631</v>
      </c>
      <c r="AC124">
        <v>0</v>
      </c>
      <c r="AD124">
        <v>-498631</v>
      </c>
      <c r="AE124">
        <v>498631</v>
      </c>
      <c r="AF124">
        <v>0</v>
      </c>
      <c r="AG124">
        <v>498631</v>
      </c>
      <c r="AH124">
        <v>-9026578</v>
      </c>
      <c r="AI124">
        <v>0</v>
      </c>
      <c r="AJ124">
        <v>-9026578</v>
      </c>
      <c r="AK124">
        <v>-13660</v>
      </c>
      <c r="AL124">
        <v>0</v>
      </c>
      <c r="AM124">
        <v>-13660</v>
      </c>
      <c r="AN124">
        <v>1647481</v>
      </c>
      <c r="AO124">
        <v>0</v>
      </c>
      <c r="AP124">
        <v>1647481</v>
      </c>
      <c r="AQ124">
        <v>-7379097</v>
      </c>
      <c r="AR124">
        <v>0</v>
      </c>
      <c r="AS124">
        <v>-7379097</v>
      </c>
      <c r="AT124">
        <v>-7067825</v>
      </c>
      <c r="AU124">
        <v>0</v>
      </c>
      <c r="AV124">
        <v>-7067825</v>
      </c>
      <c r="AW124">
        <v>-36084</v>
      </c>
      <c r="AX124">
        <v>0</v>
      </c>
      <c r="AY124">
        <v>-36084</v>
      </c>
      <c r="AZ124">
        <v>0</v>
      </c>
      <c r="BA124">
        <v>0</v>
      </c>
      <c r="BB124">
        <v>0</v>
      </c>
      <c r="BC124">
        <v>0</v>
      </c>
      <c r="BD124">
        <v>0</v>
      </c>
      <c r="BE124">
        <v>0</v>
      </c>
      <c r="BF124">
        <v>-14483006</v>
      </c>
      <c r="BG124">
        <v>0</v>
      </c>
      <c r="BH124">
        <v>0</v>
      </c>
      <c r="BI124">
        <v>0</v>
      </c>
      <c r="BJ124">
        <v>-14483006</v>
      </c>
      <c r="BK124">
        <v>0</v>
      </c>
      <c r="BL124">
        <v>-14483006</v>
      </c>
      <c r="BM124">
        <v>0</v>
      </c>
      <c r="BN124">
        <v>0</v>
      </c>
      <c r="BO124">
        <v>0</v>
      </c>
      <c r="BP124">
        <v>-602298</v>
      </c>
      <c r="BQ124">
        <v>0</v>
      </c>
      <c r="BR124">
        <v>-602298</v>
      </c>
      <c r="BS124">
        <v>-602298</v>
      </c>
      <c r="BT124">
        <v>0</v>
      </c>
      <c r="BU124">
        <v>0</v>
      </c>
      <c r="BV124">
        <v>0</v>
      </c>
      <c r="BW124">
        <v>-602298</v>
      </c>
      <c r="BX124">
        <v>0</v>
      </c>
      <c r="BY124">
        <v>-602298</v>
      </c>
      <c r="BZ124">
        <v>-377286</v>
      </c>
      <c r="CA124">
        <v>0</v>
      </c>
      <c r="CB124">
        <v>-377286</v>
      </c>
      <c r="CC124">
        <v>-355163</v>
      </c>
      <c r="CD124">
        <v>0</v>
      </c>
      <c r="CE124">
        <v>-355163</v>
      </c>
      <c r="CF124">
        <v>0</v>
      </c>
      <c r="CG124">
        <v>0</v>
      </c>
      <c r="CH124">
        <v>0</v>
      </c>
      <c r="CI124">
        <v>0</v>
      </c>
      <c r="CJ124">
        <v>0</v>
      </c>
      <c r="CK124">
        <v>0</v>
      </c>
      <c r="CL124">
        <v>0</v>
      </c>
      <c r="CM124">
        <v>0</v>
      </c>
      <c r="CN124">
        <v>0</v>
      </c>
      <c r="CO124">
        <v>0</v>
      </c>
      <c r="CP124">
        <v>0</v>
      </c>
      <c r="CQ124">
        <v>0</v>
      </c>
      <c r="CR124">
        <v>0</v>
      </c>
      <c r="CS124">
        <v>0</v>
      </c>
      <c r="CT124">
        <v>-732449</v>
      </c>
      <c r="CU124">
        <v>0</v>
      </c>
      <c r="CV124">
        <v>0</v>
      </c>
      <c r="CW124">
        <v>0</v>
      </c>
      <c r="CX124">
        <v>-732449</v>
      </c>
      <c r="CY124">
        <v>0</v>
      </c>
      <c r="CZ124">
        <v>-732449</v>
      </c>
      <c r="DA124">
        <v>0</v>
      </c>
      <c r="DB124">
        <v>0</v>
      </c>
      <c r="DC124">
        <v>0</v>
      </c>
      <c r="DD124">
        <v>-64765</v>
      </c>
      <c r="DE124">
        <v>0</v>
      </c>
      <c r="DF124">
        <v>-64765</v>
      </c>
      <c r="DG124">
        <v>-34662</v>
      </c>
      <c r="DH124">
        <v>0</v>
      </c>
      <c r="DI124">
        <v>-34662</v>
      </c>
      <c r="DJ124">
        <v>-3927856</v>
      </c>
      <c r="DK124">
        <v>0</v>
      </c>
      <c r="DL124">
        <v>-3927856</v>
      </c>
      <c r="DM124">
        <v>-4027283</v>
      </c>
      <c r="DN124">
        <v>0</v>
      </c>
      <c r="DO124">
        <v>0</v>
      </c>
      <c r="DP124">
        <v>0</v>
      </c>
      <c r="DQ124">
        <v>-4027283</v>
      </c>
      <c r="DR124">
        <v>0</v>
      </c>
      <c r="DS124">
        <v>-4027283</v>
      </c>
      <c r="DT124">
        <v>79759096</v>
      </c>
      <c r="DU124">
        <v>0</v>
      </c>
      <c r="DV124" s="661">
        <v>79759096</v>
      </c>
      <c r="DW124" t="s">
        <v>1775</v>
      </c>
    </row>
    <row r="125" spans="1:127" ht="12.75" x14ac:dyDescent="0.2">
      <c r="A125" s="605">
        <v>118</v>
      </c>
      <c r="B125" s="606" t="s">
        <v>120</v>
      </c>
      <c r="C125" s="607" t="s">
        <v>1185</v>
      </c>
      <c r="D125" s="608" t="s">
        <v>1189</v>
      </c>
      <c r="E125" s="609" t="s">
        <v>119</v>
      </c>
      <c r="G125">
        <v>100617356</v>
      </c>
      <c r="H125">
        <v>9196950</v>
      </c>
      <c r="I125">
        <v>109814306</v>
      </c>
      <c r="J125">
        <v>49.9</v>
      </c>
      <c r="K125">
        <v>50208061</v>
      </c>
      <c r="L125">
        <v>4589278</v>
      </c>
      <c r="M125">
        <v>-614739</v>
      </c>
      <c r="N125">
        <v>0</v>
      </c>
      <c r="O125">
        <v>49593322</v>
      </c>
      <c r="P125">
        <v>4589278</v>
      </c>
      <c r="Q125">
        <v>54182600</v>
      </c>
      <c r="R125">
        <v>-57388</v>
      </c>
      <c r="S125">
        <v>-903</v>
      </c>
      <c r="T125">
        <v>-58291</v>
      </c>
      <c r="U125">
        <v>179002</v>
      </c>
      <c r="V125">
        <v>0</v>
      </c>
      <c r="W125">
        <v>179002</v>
      </c>
      <c r="X125">
        <v>121614</v>
      </c>
      <c r="Y125">
        <v>-903</v>
      </c>
      <c r="Z125">
        <v>0</v>
      </c>
      <c r="AA125">
        <v>0</v>
      </c>
      <c r="AB125">
        <v>121614</v>
      </c>
      <c r="AC125">
        <v>-903</v>
      </c>
      <c r="AD125">
        <v>120711</v>
      </c>
      <c r="AE125">
        <v>-121614</v>
      </c>
      <c r="AF125">
        <v>903</v>
      </c>
      <c r="AG125">
        <v>-120711</v>
      </c>
      <c r="AH125">
        <v>-1877762</v>
      </c>
      <c r="AI125">
        <v>-93671</v>
      </c>
      <c r="AJ125">
        <v>-1971433</v>
      </c>
      <c r="AK125">
        <v>0</v>
      </c>
      <c r="AL125">
        <v>0</v>
      </c>
      <c r="AM125">
        <v>0</v>
      </c>
      <c r="AN125">
        <v>1042429</v>
      </c>
      <c r="AO125">
        <v>94843</v>
      </c>
      <c r="AP125">
        <v>1137272</v>
      </c>
      <c r="AQ125">
        <v>-835333</v>
      </c>
      <c r="AR125">
        <v>1172</v>
      </c>
      <c r="AS125">
        <v>-834161</v>
      </c>
      <c r="AT125">
        <v>-2928045</v>
      </c>
      <c r="AU125">
        <v>0</v>
      </c>
      <c r="AV125">
        <v>-2928045</v>
      </c>
      <c r="AW125">
        <v>-71578</v>
      </c>
      <c r="AX125">
        <v>0</v>
      </c>
      <c r="AY125">
        <v>-71578</v>
      </c>
      <c r="AZ125">
        <v>0</v>
      </c>
      <c r="BA125">
        <v>0</v>
      </c>
      <c r="BB125">
        <v>0</v>
      </c>
      <c r="BC125">
        <v>0</v>
      </c>
      <c r="BD125">
        <v>0</v>
      </c>
      <c r="BE125">
        <v>0</v>
      </c>
      <c r="BF125">
        <v>-3834956</v>
      </c>
      <c r="BG125">
        <v>1172</v>
      </c>
      <c r="BH125">
        <v>0</v>
      </c>
      <c r="BI125">
        <v>0</v>
      </c>
      <c r="BJ125">
        <v>-3834956</v>
      </c>
      <c r="BK125">
        <v>1172</v>
      </c>
      <c r="BL125">
        <v>-3833784</v>
      </c>
      <c r="BM125">
        <v>0</v>
      </c>
      <c r="BN125">
        <v>0</v>
      </c>
      <c r="BO125">
        <v>0</v>
      </c>
      <c r="BP125">
        <v>-914145</v>
      </c>
      <c r="BQ125">
        <v>-97472</v>
      </c>
      <c r="BR125">
        <v>-1011617</v>
      </c>
      <c r="BS125">
        <v>-914145</v>
      </c>
      <c r="BT125">
        <v>-97472</v>
      </c>
      <c r="BU125">
        <v>0</v>
      </c>
      <c r="BV125">
        <v>0</v>
      </c>
      <c r="BW125">
        <v>-914145</v>
      </c>
      <c r="BX125">
        <v>-97472</v>
      </c>
      <c r="BY125">
        <v>-1011617</v>
      </c>
      <c r="BZ125">
        <v>-39350</v>
      </c>
      <c r="CA125">
        <v>0</v>
      </c>
      <c r="CB125">
        <v>-39350</v>
      </c>
      <c r="CC125">
        <v>0</v>
      </c>
      <c r="CD125">
        <v>0</v>
      </c>
      <c r="CE125">
        <v>0</v>
      </c>
      <c r="CF125">
        <v>0</v>
      </c>
      <c r="CG125">
        <v>0</v>
      </c>
      <c r="CH125">
        <v>0</v>
      </c>
      <c r="CI125">
        <v>0</v>
      </c>
      <c r="CJ125">
        <v>0</v>
      </c>
      <c r="CK125">
        <v>0</v>
      </c>
      <c r="CL125">
        <v>0</v>
      </c>
      <c r="CM125">
        <v>0</v>
      </c>
      <c r="CN125">
        <v>0</v>
      </c>
      <c r="CO125">
        <v>0</v>
      </c>
      <c r="CP125">
        <v>-170593</v>
      </c>
      <c r="CQ125">
        <v>-170593</v>
      </c>
      <c r="CR125">
        <v>0</v>
      </c>
      <c r="CS125">
        <v>0</v>
      </c>
      <c r="CT125">
        <v>-39350</v>
      </c>
      <c r="CU125">
        <v>-170593</v>
      </c>
      <c r="CV125">
        <v>0</v>
      </c>
      <c r="CW125">
        <v>0</v>
      </c>
      <c r="CX125">
        <v>-39350</v>
      </c>
      <c r="CY125">
        <v>-170593</v>
      </c>
      <c r="CZ125">
        <v>-209943</v>
      </c>
      <c r="DA125">
        <v>0</v>
      </c>
      <c r="DB125">
        <v>0</v>
      </c>
      <c r="DC125">
        <v>0</v>
      </c>
      <c r="DD125">
        <v>-5189</v>
      </c>
      <c r="DE125">
        <v>-320</v>
      </c>
      <c r="DF125">
        <v>-5509</v>
      </c>
      <c r="DG125">
        <v>-4000</v>
      </c>
      <c r="DH125">
        <v>0</v>
      </c>
      <c r="DI125">
        <v>-4000</v>
      </c>
      <c r="DJ125">
        <v>-597073</v>
      </c>
      <c r="DK125">
        <v>-1918</v>
      </c>
      <c r="DL125">
        <v>-598991</v>
      </c>
      <c r="DM125">
        <v>-606262</v>
      </c>
      <c r="DN125">
        <v>-2238</v>
      </c>
      <c r="DO125">
        <v>0</v>
      </c>
      <c r="DP125">
        <v>0</v>
      </c>
      <c r="DQ125">
        <v>-606262</v>
      </c>
      <c r="DR125">
        <v>-2238</v>
      </c>
      <c r="DS125">
        <v>-608500</v>
      </c>
      <c r="DT125">
        <v>44320223</v>
      </c>
      <c r="DU125">
        <v>4319244</v>
      </c>
      <c r="DV125" s="661">
        <v>48639467</v>
      </c>
      <c r="DW125" t="s">
        <v>1776</v>
      </c>
    </row>
    <row r="126" spans="1:127" ht="12.75" x14ac:dyDescent="0.2">
      <c r="A126" s="605">
        <v>119</v>
      </c>
      <c r="B126" s="606" t="s">
        <v>122</v>
      </c>
      <c r="C126" s="607" t="s">
        <v>1185</v>
      </c>
      <c r="D126" s="608" t="s">
        <v>1193</v>
      </c>
      <c r="E126" s="609" t="s">
        <v>121</v>
      </c>
      <c r="G126">
        <v>164569097</v>
      </c>
      <c r="H126">
        <v>0</v>
      </c>
      <c r="I126">
        <v>164569097</v>
      </c>
      <c r="J126">
        <v>49.9</v>
      </c>
      <c r="K126">
        <v>82119979</v>
      </c>
      <c r="L126">
        <v>0</v>
      </c>
      <c r="M126">
        <v>0</v>
      </c>
      <c r="N126">
        <v>0</v>
      </c>
      <c r="O126">
        <v>82119979</v>
      </c>
      <c r="P126">
        <v>0</v>
      </c>
      <c r="Q126">
        <v>82119979</v>
      </c>
      <c r="R126">
        <v>-426907</v>
      </c>
      <c r="S126">
        <v>0</v>
      </c>
      <c r="T126">
        <v>-426907</v>
      </c>
      <c r="U126">
        <v>268544</v>
      </c>
      <c r="V126">
        <v>0</v>
      </c>
      <c r="W126">
        <v>268544</v>
      </c>
      <c r="X126">
        <v>-158363</v>
      </c>
      <c r="Y126">
        <v>0</v>
      </c>
      <c r="Z126">
        <v>0</v>
      </c>
      <c r="AA126">
        <v>0</v>
      </c>
      <c r="AB126">
        <v>-158363</v>
      </c>
      <c r="AC126">
        <v>0</v>
      </c>
      <c r="AD126">
        <v>-158363</v>
      </c>
      <c r="AE126">
        <v>158363</v>
      </c>
      <c r="AF126">
        <v>0</v>
      </c>
      <c r="AG126">
        <v>158363</v>
      </c>
      <c r="AH126">
        <v>-8595000</v>
      </c>
      <c r="AI126">
        <v>0</v>
      </c>
      <c r="AJ126">
        <v>-8595000</v>
      </c>
      <c r="AK126">
        <v>-69390</v>
      </c>
      <c r="AL126">
        <v>0</v>
      </c>
      <c r="AM126">
        <v>-69390</v>
      </c>
      <c r="AN126">
        <v>1406080</v>
      </c>
      <c r="AO126">
        <v>0</v>
      </c>
      <c r="AP126">
        <v>1406080</v>
      </c>
      <c r="AQ126">
        <v>-7188920</v>
      </c>
      <c r="AR126">
        <v>0</v>
      </c>
      <c r="AS126">
        <v>-7188920</v>
      </c>
      <c r="AT126">
        <v>-3701900</v>
      </c>
      <c r="AU126">
        <v>0</v>
      </c>
      <c r="AV126">
        <v>-3701900</v>
      </c>
      <c r="AW126">
        <v>-129590</v>
      </c>
      <c r="AX126">
        <v>0</v>
      </c>
      <c r="AY126">
        <v>-129590</v>
      </c>
      <c r="AZ126">
        <v>-49435</v>
      </c>
      <c r="BA126">
        <v>0</v>
      </c>
      <c r="BB126">
        <v>-49435</v>
      </c>
      <c r="BC126">
        <v>0</v>
      </c>
      <c r="BD126">
        <v>0</v>
      </c>
      <c r="BE126">
        <v>0</v>
      </c>
      <c r="BF126">
        <v>-11069845</v>
      </c>
      <c r="BG126">
        <v>0</v>
      </c>
      <c r="BH126">
        <v>0</v>
      </c>
      <c r="BI126">
        <v>0</v>
      </c>
      <c r="BJ126">
        <v>-11069845</v>
      </c>
      <c r="BK126">
        <v>0</v>
      </c>
      <c r="BL126">
        <v>-11069845</v>
      </c>
      <c r="BM126">
        <v>-1000</v>
      </c>
      <c r="BN126">
        <v>0</v>
      </c>
      <c r="BO126">
        <v>-1000</v>
      </c>
      <c r="BP126">
        <v>-1900000</v>
      </c>
      <c r="BQ126">
        <v>0</v>
      </c>
      <c r="BR126">
        <v>-1900000</v>
      </c>
      <c r="BS126">
        <v>-1901000</v>
      </c>
      <c r="BT126">
        <v>0</v>
      </c>
      <c r="BU126">
        <v>0</v>
      </c>
      <c r="BV126">
        <v>0</v>
      </c>
      <c r="BW126">
        <v>-1901000</v>
      </c>
      <c r="BX126">
        <v>0</v>
      </c>
      <c r="BY126">
        <v>-1901000</v>
      </c>
      <c r="BZ126">
        <v>-40512</v>
      </c>
      <c r="CA126">
        <v>0</v>
      </c>
      <c r="CB126">
        <v>-40512</v>
      </c>
      <c r="CC126">
        <v>-20168</v>
      </c>
      <c r="CD126">
        <v>0</v>
      </c>
      <c r="CE126">
        <v>-20168</v>
      </c>
      <c r="CF126">
        <v>0</v>
      </c>
      <c r="CG126">
        <v>0</v>
      </c>
      <c r="CH126">
        <v>0</v>
      </c>
      <c r="CI126">
        <v>0</v>
      </c>
      <c r="CJ126">
        <v>0</v>
      </c>
      <c r="CK126">
        <v>0</v>
      </c>
      <c r="CL126">
        <v>-3319</v>
      </c>
      <c r="CM126">
        <v>0</v>
      </c>
      <c r="CN126">
        <v>-3319</v>
      </c>
      <c r="CO126">
        <v>-100000</v>
      </c>
      <c r="CP126">
        <v>0</v>
      </c>
      <c r="CQ126">
        <v>-100000</v>
      </c>
      <c r="CR126">
        <v>0</v>
      </c>
      <c r="CS126">
        <v>0</v>
      </c>
      <c r="CT126">
        <v>-163999</v>
      </c>
      <c r="CU126">
        <v>0</v>
      </c>
      <c r="CV126">
        <v>0</v>
      </c>
      <c r="CW126">
        <v>0</v>
      </c>
      <c r="CX126">
        <v>-163999</v>
      </c>
      <c r="CY126">
        <v>0</v>
      </c>
      <c r="CZ126">
        <v>-163999</v>
      </c>
      <c r="DA126">
        <v>-49435</v>
      </c>
      <c r="DB126">
        <v>0</v>
      </c>
      <c r="DC126">
        <v>-49435</v>
      </c>
      <c r="DD126">
        <v>-33157</v>
      </c>
      <c r="DE126">
        <v>0</v>
      </c>
      <c r="DF126">
        <v>-33157</v>
      </c>
      <c r="DG126">
        <v>-11000</v>
      </c>
      <c r="DH126">
        <v>0</v>
      </c>
      <c r="DI126">
        <v>-11000</v>
      </c>
      <c r="DJ126">
        <v>-2061498</v>
      </c>
      <c r="DK126">
        <v>0</v>
      </c>
      <c r="DL126">
        <v>-2061498</v>
      </c>
      <c r="DM126">
        <v>-2155090</v>
      </c>
      <c r="DN126">
        <v>0</v>
      </c>
      <c r="DO126">
        <v>0</v>
      </c>
      <c r="DP126">
        <v>0</v>
      </c>
      <c r="DQ126">
        <v>-2155090</v>
      </c>
      <c r="DR126">
        <v>0</v>
      </c>
      <c r="DS126">
        <v>-2155090</v>
      </c>
      <c r="DT126">
        <v>66671682</v>
      </c>
      <c r="DU126">
        <v>0</v>
      </c>
      <c r="DV126" s="661">
        <v>66671682</v>
      </c>
      <c r="DW126" t="s">
        <v>1777</v>
      </c>
    </row>
    <row r="127" spans="1:127" ht="12.75" x14ac:dyDescent="0.2">
      <c r="A127" s="605">
        <v>120</v>
      </c>
      <c r="B127" s="606" t="s">
        <v>124</v>
      </c>
      <c r="C127" s="607" t="s">
        <v>1190</v>
      </c>
      <c r="D127" s="608" t="s">
        <v>1191</v>
      </c>
      <c r="E127" s="609" t="s">
        <v>123</v>
      </c>
      <c r="G127">
        <v>138676110</v>
      </c>
      <c r="H127">
        <v>0</v>
      </c>
      <c r="I127">
        <v>138676110</v>
      </c>
      <c r="J127">
        <v>49.9</v>
      </c>
      <c r="K127">
        <v>69199379</v>
      </c>
      <c r="L127">
        <v>0</v>
      </c>
      <c r="M127">
        <v>-170000</v>
      </c>
      <c r="N127">
        <v>0</v>
      </c>
      <c r="O127">
        <v>69029379</v>
      </c>
      <c r="P127">
        <v>0</v>
      </c>
      <c r="Q127">
        <v>69029379</v>
      </c>
      <c r="R127">
        <v>-450000</v>
      </c>
      <c r="S127">
        <v>0</v>
      </c>
      <c r="T127">
        <v>-450000</v>
      </c>
      <c r="U127">
        <v>330000</v>
      </c>
      <c r="V127">
        <v>0</v>
      </c>
      <c r="W127">
        <v>330000</v>
      </c>
      <c r="X127">
        <v>-120000</v>
      </c>
      <c r="Y127">
        <v>0</v>
      </c>
      <c r="Z127">
        <v>0</v>
      </c>
      <c r="AA127">
        <v>0</v>
      </c>
      <c r="AB127">
        <v>-120000</v>
      </c>
      <c r="AC127">
        <v>0</v>
      </c>
      <c r="AD127">
        <v>-120000</v>
      </c>
      <c r="AE127">
        <v>120000</v>
      </c>
      <c r="AF127">
        <v>0</v>
      </c>
      <c r="AG127">
        <v>120000</v>
      </c>
      <c r="AH127">
        <v>-6296073</v>
      </c>
      <c r="AI127">
        <v>0</v>
      </c>
      <c r="AJ127">
        <v>-6296073</v>
      </c>
      <c r="AK127">
        <v>0</v>
      </c>
      <c r="AL127">
        <v>0</v>
      </c>
      <c r="AM127">
        <v>0</v>
      </c>
      <c r="AN127">
        <v>500000</v>
      </c>
      <c r="AO127">
        <v>0</v>
      </c>
      <c r="AP127">
        <v>500000</v>
      </c>
      <c r="AQ127">
        <v>-5796073</v>
      </c>
      <c r="AR127">
        <v>0</v>
      </c>
      <c r="AS127">
        <v>-5796073</v>
      </c>
      <c r="AT127">
        <v>-6330000</v>
      </c>
      <c r="AU127">
        <v>0</v>
      </c>
      <c r="AV127">
        <v>-6330000</v>
      </c>
      <c r="AW127">
        <v>-130000</v>
      </c>
      <c r="AX127">
        <v>0</v>
      </c>
      <c r="AY127">
        <v>-130000</v>
      </c>
      <c r="AZ127">
        <v>0</v>
      </c>
      <c r="BA127">
        <v>0</v>
      </c>
      <c r="BB127">
        <v>0</v>
      </c>
      <c r="BC127">
        <v>0</v>
      </c>
      <c r="BD127">
        <v>0</v>
      </c>
      <c r="BE127">
        <v>0</v>
      </c>
      <c r="BF127">
        <v>-12256073</v>
      </c>
      <c r="BG127">
        <v>0</v>
      </c>
      <c r="BH127">
        <v>0</v>
      </c>
      <c r="BI127">
        <v>0</v>
      </c>
      <c r="BJ127">
        <v>-12256073</v>
      </c>
      <c r="BK127">
        <v>0</v>
      </c>
      <c r="BL127">
        <v>-12256073</v>
      </c>
      <c r="BM127">
        <v>-50000</v>
      </c>
      <c r="BN127">
        <v>0</v>
      </c>
      <c r="BO127">
        <v>-50000</v>
      </c>
      <c r="BP127">
        <v>-1000000</v>
      </c>
      <c r="BQ127">
        <v>0</v>
      </c>
      <c r="BR127">
        <v>-1000000</v>
      </c>
      <c r="BS127">
        <v>-1050000</v>
      </c>
      <c r="BT127">
        <v>0</v>
      </c>
      <c r="BU127">
        <v>0</v>
      </c>
      <c r="BV127">
        <v>0</v>
      </c>
      <c r="BW127">
        <v>-1050000</v>
      </c>
      <c r="BX127">
        <v>0</v>
      </c>
      <c r="BY127">
        <v>-1050000</v>
      </c>
      <c r="BZ127">
        <v>-25000</v>
      </c>
      <c r="CA127">
        <v>0</v>
      </c>
      <c r="CB127">
        <v>-25000</v>
      </c>
      <c r="CC127">
        <v>-30000</v>
      </c>
      <c r="CD127">
        <v>0</v>
      </c>
      <c r="CE127">
        <v>-30000</v>
      </c>
      <c r="CF127">
        <v>0</v>
      </c>
      <c r="CG127">
        <v>0</v>
      </c>
      <c r="CH127">
        <v>0</v>
      </c>
      <c r="CI127">
        <v>0</v>
      </c>
      <c r="CJ127">
        <v>0</v>
      </c>
      <c r="CK127">
        <v>0</v>
      </c>
      <c r="CL127">
        <v>0</v>
      </c>
      <c r="CM127">
        <v>0</v>
      </c>
      <c r="CN127">
        <v>0</v>
      </c>
      <c r="CO127">
        <v>0</v>
      </c>
      <c r="CP127">
        <v>0</v>
      </c>
      <c r="CQ127">
        <v>0</v>
      </c>
      <c r="CR127">
        <v>0</v>
      </c>
      <c r="CS127">
        <v>0</v>
      </c>
      <c r="CT127">
        <v>-55000</v>
      </c>
      <c r="CU127">
        <v>0</v>
      </c>
      <c r="CV127">
        <v>0</v>
      </c>
      <c r="CW127">
        <v>0</v>
      </c>
      <c r="CX127">
        <v>-55000</v>
      </c>
      <c r="CY127">
        <v>0</v>
      </c>
      <c r="CZ127">
        <v>-55000</v>
      </c>
      <c r="DA127">
        <v>0</v>
      </c>
      <c r="DB127">
        <v>0</v>
      </c>
      <c r="DC127">
        <v>0</v>
      </c>
      <c r="DD127">
        <v>-90000</v>
      </c>
      <c r="DE127">
        <v>0</v>
      </c>
      <c r="DF127">
        <v>-90000</v>
      </c>
      <c r="DG127">
        <v>-8000</v>
      </c>
      <c r="DH127">
        <v>0</v>
      </c>
      <c r="DI127">
        <v>-8000</v>
      </c>
      <c r="DJ127">
        <v>-3500000</v>
      </c>
      <c r="DK127">
        <v>0</v>
      </c>
      <c r="DL127">
        <v>-3500000</v>
      </c>
      <c r="DM127">
        <v>-3598000</v>
      </c>
      <c r="DN127">
        <v>0</v>
      </c>
      <c r="DO127">
        <v>0</v>
      </c>
      <c r="DP127">
        <v>0</v>
      </c>
      <c r="DQ127">
        <v>-3598000</v>
      </c>
      <c r="DR127">
        <v>0</v>
      </c>
      <c r="DS127">
        <v>-3598000</v>
      </c>
      <c r="DT127">
        <v>51950306</v>
      </c>
      <c r="DU127">
        <v>0</v>
      </c>
      <c r="DV127" s="661">
        <v>51950306</v>
      </c>
      <c r="DW127" t="s">
        <v>1778</v>
      </c>
    </row>
    <row r="128" spans="1:127" ht="12.75" x14ac:dyDescent="0.2">
      <c r="A128" s="605">
        <v>121</v>
      </c>
      <c r="B128" s="606" t="s">
        <v>126</v>
      </c>
      <c r="C128" s="607" t="s">
        <v>1185</v>
      </c>
      <c r="D128" s="608" t="s">
        <v>1186</v>
      </c>
      <c r="E128" s="609" t="s">
        <v>125</v>
      </c>
      <c r="G128">
        <v>74818549</v>
      </c>
      <c r="H128">
        <v>0</v>
      </c>
      <c r="I128">
        <v>74818549</v>
      </c>
      <c r="J128">
        <v>49.9</v>
      </c>
      <c r="K128">
        <v>37334456</v>
      </c>
      <c r="L128">
        <v>0</v>
      </c>
      <c r="M128">
        <v>0</v>
      </c>
      <c r="N128">
        <v>0</v>
      </c>
      <c r="O128">
        <v>37334456</v>
      </c>
      <c r="P128">
        <v>0</v>
      </c>
      <c r="Q128">
        <v>37334456</v>
      </c>
      <c r="R128">
        <v>-150876</v>
      </c>
      <c r="S128">
        <v>0</v>
      </c>
      <c r="T128">
        <v>-150876</v>
      </c>
      <c r="U128">
        <v>117148</v>
      </c>
      <c r="V128">
        <v>0</v>
      </c>
      <c r="W128">
        <v>117148</v>
      </c>
      <c r="X128">
        <v>-33728</v>
      </c>
      <c r="Y128">
        <v>0</v>
      </c>
      <c r="Z128">
        <v>0</v>
      </c>
      <c r="AA128">
        <v>0</v>
      </c>
      <c r="AB128">
        <v>-33728</v>
      </c>
      <c r="AC128">
        <v>0</v>
      </c>
      <c r="AD128">
        <v>-33728</v>
      </c>
      <c r="AE128">
        <v>33728</v>
      </c>
      <c r="AF128">
        <v>0</v>
      </c>
      <c r="AG128">
        <v>33728</v>
      </c>
      <c r="AH128">
        <v>-2426638</v>
      </c>
      <c r="AI128">
        <v>0</v>
      </c>
      <c r="AJ128">
        <v>-2426638</v>
      </c>
      <c r="AK128">
        <v>0</v>
      </c>
      <c r="AL128">
        <v>0</v>
      </c>
      <c r="AM128">
        <v>0</v>
      </c>
      <c r="AN128">
        <v>700266</v>
      </c>
      <c r="AO128">
        <v>0</v>
      </c>
      <c r="AP128">
        <v>700266</v>
      </c>
      <c r="AQ128">
        <v>-1726372</v>
      </c>
      <c r="AR128">
        <v>0</v>
      </c>
      <c r="AS128">
        <v>-1726372</v>
      </c>
      <c r="AT128">
        <v>-1855544</v>
      </c>
      <c r="AU128">
        <v>0</v>
      </c>
      <c r="AV128">
        <v>-1855544</v>
      </c>
      <c r="AW128">
        <v>-5857</v>
      </c>
      <c r="AX128">
        <v>0</v>
      </c>
      <c r="AY128">
        <v>-5857</v>
      </c>
      <c r="AZ128">
        <v>-2483</v>
      </c>
      <c r="BA128">
        <v>0</v>
      </c>
      <c r="BB128">
        <v>-2483</v>
      </c>
      <c r="BC128">
        <v>0</v>
      </c>
      <c r="BD128">
        <v>0</v>
      </c>
      <c r="BE128">
        <v>0</v>
      </c>
      <c r="BF128">
        <v>-3590256</v>
      </c>
      <c r="BG128">
        <v>0</v>
      </c>
      <c r="BH128">
        <v>0</v>
      </c>
      <c r="BI128">
        <v>0</v>
      </c>
      <c r="BJ128">
        <v>-3590256</v>
      </c>
      <c r="BK128">
        <v>0</v>
      </c>
      <c r="BL128">
        <v>-3590256</v>
      </c>
      <c r="BM128">
        <v>0</v>
      </c>
      <c r="BN128">
        <v>0</v>
      </c>
      <c r="BO128">
        <v>0</v>
      </c>
      <c r="BP128">
        <v>-1932742</v>
      </c>
      <c r="BQ128">
        <v>0</v>
      </c>
      <c r="BR128">
        <v>-1932742</v>
      </c>
      <c r="BS128">
        <v>-1932742</v>
      </c>
      <c r="BT128">
        <v>0</v>
      </c>
      <c r="BU128">
        <v>0</v>
      </c>
      <c r="BV128">
        <v>0</v>
      </c>
      <c r="BW128">
        <v>-1932742</v>
      </c>
      <c r="BX128">
        <v>0</v>
      </c>
      <c r="BY128">
        <v>-1932742</v>
      </c>
      <c r="BZ128">
        <v>-130043</v>
      </c>
      <c r="CA128">
        <v>0</v>
      </c>
      <c r="CB128">
        <v>-130043</v>
      </c>
      <c r="CC128">
        <v>-23334</v>
      </c>
      <c r="CD128">
        <v>0</v>
      </c>
      <c r="CE128">
        <v>-23334</v>
      </c>
      <c r="CF128">
        <v>-1464</v>
      </c>
      <c r="CG128">
        <v>0</v>
      </c>
      <c r="CH128">
        <v>-1464</v>
      </c>
      <c r="CI128">
        <v>0</v>
      </c>
      <c r="CJ128">
        <v>0</v>
      </c>
      <c r="CK128">
        <v>0</v>
      </c>
      <c r="CL128">
        <v>0</v>
      </c>
      <c r="CM128">
        <v>0</v>
      </c>
      <c r="CN128">
        <v>0</v>
      </c>
      <c r="CO128">
        <v>0</v>
      </c>
      <c r="CP128">
        <v>0</v>
      </c>
      <c r="CQ128">
        <v>0</v>
      </c>
      <c r="CR128">
        <v>0</v>
      </c>
      <c r="CS128">
        <v>0</v>
      </c>
      <c r="CT128">
        <v>-154841</v>
      </c>
      <c r="CU128">
        <v>0</v>
      </c>
      <c r="CV128">
        <v>0</v>
      </c>
      <c r="CW128">
        <v>0</v>
      </c>
      <c r="CX128">
        <v>-154841</v>
      </c>
      <c r="CY128">
        <v>0</v>
      </c>
      <c r="CZ128">
        <v>-154841</v>
      </c>
      <c r="DA128">
        <v>-2483</v>
      </c>
      <c r="DB128">
        <v>0</v>
      </c>
      <c r="DC128">
        <v>-2483</v>
      </c>
      <c r="DD128">
        <v>-11606</v>
      </c>
      <c r="DE128">
        <v>0</v>
      </c>
      <c r="DF128">
        <v>-11606</v>
      </c>
      <c r="DG128">
        <v>-5765</v>
      </c>
      <c r="DH128">
        <v>0</v>
      </c>
      <c r="DI128">
        <v>-5765</v>
      </c>
      <c r="DJ128">
        <v>-610893</v>
      </c>
      <c r="DK128">
        <v>0</v>
      </c>
      <c r="DL128">
        <v>-610893</v>
      </c>
      <c r="DM128">
        <v>-630747</v>
      </c>
      <c r="DN128">
        <v>0</v>
      </c>
      <c r="DO128">
        <v>0</v>
      </c>
      <c r="DP128">
        <v>0</v>
      </c>
      <c r="DQ128">
        <v>-630747</v>
      </c>
      <c r="DR128">
        <v>0</v>
      </c>
      <c r="DS128">
        <v>-630747</v>
      </c>
      <c r="DT128">
        <v>30992142</v>
      </c>
      <c r="DU128">
        <v>0</v>
      </c>
      <c r="DV128" s="661">
        <v>30992142</v>
      </c>
      <c r="DW128" t="s">
        <v>1779</v>
      </c>
    </row>
    <row r="129" spans="1:127" ht="12.75" x14ac:dyDescent="0.2">
      <c r="A129" s="605">
        <v>122</v>
      </c>
      <c r="B129" s="606" t="s">
        <v>128</v>
      </c>
      <c r="C129" s="607" t="s">
        <v>524</v>
      </c>
      <c r="D129" s="608" t="s">
        <v>1197</v>
      </c>
      <c r="E129" s="609" t="s">
        <v>547</v>
      </c>
      <c r="G129">
        <v>79800292</v>
      </c>
      <c r="H129">
        <v>440225</v>
      </c>
      <c r="I129">
        <v>80240517</v>
      </c>
      <c r="J129">
        <v>49.9</v>
      </c>
      <c r="K129">
        <v>39820346</v>
      </c>
      <c r="L129">
        <v>219672</v>
      </c>
      <c r="M129">
        <v>-133000</v>
      </c>
      <c r="N129">
        <v>0</v>
      </c>
      <c r="O129">
        <v>39687346</v>
      </c>
      <c r="P129">
        <v>219672</v>
      </c>
      <c r="Q129">
        <v>39907018</v>
      </c>
      <c r="R129">
        <v>-152706</v>
      </c>
      <c r="S129">
        <v>-4787</v>
      </c>
      <c r="T129">
        <v>-157493</v>
      </c>
      <c r="U129">
        <v>473151</v>
      </c>
      <c r="V129">
        <v>0</v>
      </c>
      <c r="W129">
        <v>473151</v>
      </c>
      <c r="X129">
        <v>320445</v>
      </c>
      <c r="Y129">
        <v>-4787</v>
      </c>
      <c r="Z129">
        <v>0</v>
      </c>
      <c r="AA129">
        <v>0</v>
      </c>
      <c r="AB129">
        <v>320445</v>
      </c>
      <c r="AC129">
        <v>-4787</v>
      </c>
      <c r="AD129">
        <v>315658</v>
      </c>
      <c r="AE129">
        <v>-320445</v>
      </c>
      <c r="AF129">
        <v>4787</v>
      </c>
      <c r="AG129">
        <v>-315658</v>
      </c>
      <c r="AH129">
        <v>-3310684.21</v>
      </c>
      <c r="AI129">
        <v>-34755</v>
      </c>
      <c r="AJ129">
        <v>-3345439.21</v>
      </c>
      <c r="AK129">
        <v>0</v>
      </c>
      <c r="AL129">
        <v>0</v>
      </c>
      <c r="AM129">
        <v>0</v>
      </c>
      <c r="AN129">
        <v>800748</v>
      </c>
      <c r="AO129">
        <v>2753</v>
      </c>
      <c r="AP129">
        <v>803501</v>
      </c>
      <c r="AQ129">
        <v>-2509936.21</v>
      </c>
      <c r="AR129">
        <v>-32002</v>
      </c>
      <c r="AS129">
        <v>-2541938.21</v>
      </c>
      <c r="AT129">
        <v>-2517258</v>
      </c>
      <c r="AU129">
        <v>0</v>
      </c>
      <c r="AV129">
        <v>-2517258</v>
      </c>
      <c r="AW129">
        <v>-25723</v>
      </c>
      <c r="AX129">
        <v>0</v>
      </c>
      <c r="AY129">
        <v>-25723</v>
      </c>
      <c r="AZ129">
        <v>0</v>
      </c>
      <c r="BA129">
        <v>0</v>
      </c>
      <c r="BB129">
        <v>0</v>
      </c>
      <c r="BC129">
        <v>0</v>
      </c>
      <c r="BD129">
        <v>0</v>
      </c>
      <c r="BE129">
        <v>0</v>
      </c>
      <c r="BF129">
        <v>-5052917.21</v>
      </c>
      <c r="BG129">
        <v>-32002</v>
      </c>
      <c r="BH129">
        <v>0</v>
      </c>
      <c r="BI129">
        <v>0</v>
      </c>
      <c r="BJ129">
        <v>-5052917.21</v>
      </c>
      <c r="BK129">
        <v>-32002</v>
      </c>
      <c r="BL129">
        <v>-5084919.21</v>
      </c>
      <c r="BM129">
        <v>-14360</v>
      </c>
      <c r="BN129">
        <v>0</v>
      </c>
      <c r="BO129">
        <v>-14360</v>
      </c>
      <c r="BP129">
        <v>-867417</v>
      </c>
      <c r="BQ129">
        <v>0</v>
      </c>
      <c r="BR129">
        <v>-867417</v>
      </c>
      <c r="BS129">
        <v>-881777</v>
      </c>
      <c r="BT129">
        <v>0</v>
      </c>
      <c r="BU129">
        <v>0</v>
      </c>
      <c r="BV129">
        <v>0</v>
      </c>
      <c r="BW129">
        <v>-881777</v>
      </c>
      <c r="BX129">
        <v>0</v>
      </c>
      <c r="BY129">
        <v>-881777</v>
      </c>
      <c r="BZ129">
        <v>-111519</v>
      </c>
      <c r="CA129">
        <v>0</v>
      </c>
      <c r="CB129">
        <v>-111519</v>
      </c>
      <c r="CC129">
        <v>-38559</v>
      </c>
      <c r="CD129">
        <v>0</v>
      </c>
      <c r="CE129">
        <v>-38559</v>
      </c>
      <c r="CF129">
        <v>-1695</v>
      </c>
      <c r="CG129">
        <v>0</v>
      </c>
      <c r="CH129">
        <v>-1695</v>
      </c>
      <c r="CI129">
        <v>0</v>
      </c>
      <c r="CJ129">
        <v>0</v>
      </c>
      <c r="CK129">
        <v>0</v>
      </c>
      <c r="CL129">
        <v>0</v>
      </c>
      <c r="CM129">
        <v>0</v>
      </c>
      <c r="CN129">
        <v>0</v>
      </c>
      <c r="CO129">
        <v>-6162</v>
      </c>
      <c r="CP129">
        <v>-8084</v>
      </c>
      <c r="CQ129">
        <v>-14246</v>
      </c>
      <c r="CR129">
        <v>-8084</v>
      </c>
      <c r="CS129">
        <v>-6162</v>
      </c>
      <c r="CT129">
        <v>-157935</v>
      </c>
      <c r="CU129">
        <v>-8084</v>
      </c>
      <c r="CV129">
        <v>0</v>
      </c>
      <c r="CW129">
        <v>0</v>
      </c>
      <c r="CX129">
        <v>-157935</v>
      </c>
      <c r="CY129">
        <v>-8084</v>
      </c>
      <c r="CZ129">
        <v>-166019</v>
      </c>
      <c r="DA129">
        <v>0</v>
      </c>
      <c r="DB129">
        <v>0</v>
      </c>
      <c r="DC129">
        <v>0</v>
      </c>
      <c r="DD129">
        <v>-31210</v>
      </c>
      <c r="DE129">
        <v>0</v>
      </c>
      <c r="DF129">
        <v>-31210</v>
      </c>
      <c r="DG129">
        <v>-3616</v>
      </c>
      <c r="DH129">
        <v>0</v>
      </c>
      <c r="DI129">
        <v>-3616</v>
      </c>
      <c r="DJ129">
        <v>-603228</v>
      </c>
      <c r="DK129">
        <v>0</v>
      </c>
      <c r="DL129">
        <v>-603228</v>
      </c>
      <c r="DM129">
        <v>-638054</v>
      </c>
      <c r="DN129">
        <v>0</v>
      </c>
      <c r="DO129">
        <v>0</v>
      </c>
      <c r="DP129">
        <v>0</v>
      </c>
      <c r="DQ129">
        <v>-638054</v>
      </c>
      <c r="DR129">
        <v>0</v>
      </c>
      <c r="DS129">
        <v>-638054</v>
      </c>
      <c r="DT129">
        <v>33277107.789999999</v>
      </c>
      <c r="DU129">
        <v>174799</v>
      </c>
      <c r="DV129" s="661">
        <v>33451906.789999999</v>
      </c>
      <c r="DW129" t="s">
        <v>1780</v>
      </c>
    </row>
    <row r="130" spans="1:127" ht="12.75" x14ac:dyDescent="0.2">
      <c r="A130" s="605">
        <v>123</v>
      </c>
      <c r="B130" s="606" t="s">
        <v>130</v>
      </c>
      <c r="C130" s="607" t="s">
        <v>1185</v>
      </c>
      <c r="D130" s="608" t="s">
        <v>1186</v>
      </c>
      <c r="E130" s="609" t="s">
        <v>129</v>
      </c>
      <c r="G130">
        <v>62553968</v>
      </c>
      <c r="H130">
        <v>0</v>
      </c>
      <c r="I130">
        <v>62553968</v>
      </c>
      <c r="J130">
        <v>49.9</v>
      </c>
      <c r="K130">
        <v>31214430</v>
      </c>
      <c r="L130">
        <v>0</v>
      </c>
      <c r="M130">
        <v>0</v>
      </c>
      <c r="N130">
        <v>0</v>
      </c>
      <c r="O130">
        <v>31214430</v>
      </c>
      <c r="P130">
        <v>0</v>
      </c>
      <c r="Q130">
        <v>31214430</v>
      </c>
      <c r="R130">
        <v>-509013</v>
      </c>
      <c r="S130">
        <v>0</v>
      </c>
      <c r="T130">
        <v>-509013</v>
      </c>
      <c r="U130">
        <v>271868</v>
      </c>
      <c r="V130">
        <v>0</v>
      </c>
      <c r="W130">
        <v>271868</v>
      </c>
      <c r="X130">
        <v>-237145</v>
      </c>
      <c r="Y130">
        <v>0</v>
      </c>
      <c r="Z130">
        <v>0</v>
      </c>
      <c r="AA130">
        <v>0</v>
      </c>
      <c r="AB130">
        <v>-237145</v>
      </c>
      <c r="AC130">
        <v>0</v>
      </c>
      <c r="AD130">
        <v>-237145</v>
      </c>
      <c r="AE130">
        <v>237145</v>
      </c>
      <c r="AF130">
        <v>0</v>
      </c>
      <c r="AG130">
        <v>237145</v>
      </c>
      <c r="AH130">
        <v>-3708612</v>
      </c>
      <c r="AI130">
        <v>0</v>
      </c>
      <c r="AJ130">
        <v>-3708612</v>
      </c>
      <c r="AK130">
        <v>0</v>
      </c>
      <c r="AL130">
        <v>0</v>
      </c>
      <c r="AM130">
        <v>0</v>
      </c>
      <c r="AN130">
        <v>515972</v>
      </c>
      <c r="AO130">
        <v>0</v>
      </c>
      <c r="AP130">
        <v>515972</v>
      </c>
      <c r="AQ130">
        <v>-3192640</v>
      </c>
      <c r="AR130">
        <v>0</v>
      </c>
      <c r="AS130">
        <v>-3192640</v>
      </c>
      <c r="AT130">
        <v>-3407824</v>
      </c>
      <c r="AU130">
        <v>0</v>
      </c>
      <c r="AV130">
        <v>-3407824</v>
      </c>
      <c r="AW130">
        <v>-41354</v>
      </c>
      <c r="AX130">
        <v>0</v>
      </c>
      <c r="AY130">
        <v>-41354</v>
      </c>
      <c r="AZ130">
        <v>0</v>
      </c>
      <c r="BA130">
        <v>0</v>
      </c>
      <c r="BB130">
        <v>0</v>
      </c>
      <c r="BC130">
        <v>0</v>
      </c>
      <c r="BD130">
        <v>0</v>
      </c>
      <c r="BE130">
        <v>0</v>
      </c>
      <c r="BF130">
        <v>-6641818</v>
      </c>
      <c r="BG130">
        <v>0</v>
      </c>
      <c r="BH130">
        <v>0</v>
      </c>
      <c r="BI130">
        <v>0</v>
      </c>
      <c r="BJ130">
        <v>-6641818</v>
      </c>
      <c r="BK130">
        <v>0</v>
      </c>
      <c r="BL130">
        <v>-6641818</v>
      </c>
      <c r="BM130">
        <v>-26723</v>
      </c>
      <c r="BN130">
        <v>0</v>
      </c>
      <c r="BO130">
        <v>-26723</v>
      </c>
      <c r="BP130">
        <v>-437860</v>
      </c>
      <c r="BQ130">
        <v>0</v>
      </c>
      <c r="BR130">
        <v>-437860</v>
      </c>
      <c r="BS130">
        <v>-464583</v>
      </c>
      <c r="BT130">
        <v>0</v>
      </c>
      <c r="BU130">
        <v>0</v>
      </c>
      <c r="BV130">
        <v>0</v>
      </c>
      <c r="BW130">
        <v>-464583</v>
      </c>
      <c r="BX130">
        <v>0</v>
      </c>
      <c r="BY130">
        <v>-464583</v>
      </c>
      <c r="BZ130">
        <v>-131034</v>
      </c>
      <c r="CA130">
        <v>0</v>
      </c>
      <c r="CB130">
        <v>-131034</v>
      </c>
      <c r="CC130">
        <v>-45592</v>
      </c>
      <c r="CD130">
        <v>0</v>
      </c>
      <c r="CE130">
        <v>-45592</v>
      </c>
      <c r="CF130">
        <v>-2524</v>
      </c>
      <c r="CG130">
        <v>0</v>
      </c>
      <c r="CH130">
        <v>-2524</v>
      </c>
      <c r="CI130">
        <v>0</v>
      </c>
      <c r="CJ130">
        <v>0</v>
      </c>
      <c r="CK130">
        <v>0</v>
      </c>
      <c r="CL130">
        <v>0</v>
      </c>
      <c r="CM130">
        <v>0</v>
      </c>
      <c r="CN130">
        <v>0</v>
      </c>
      <c r="CO130">
        <v>0</v>
      </c>
      <c r="CP130">
        <v>0</v>
      </c>
      <c r="CQ130">
        <v>0</v>
      </c>
      <c r="CR130">
        <v>0</v>
      </c>
      <c r="CS130">
        <v>0</v>
      </c>
      <c r="CT130">
        <v>-179150</v>
      </c>
      <c r="CU130">
        <v>0</v>
      </c>
      <c r="CV130">
        <v>0</v>
      </c>
      <c r="CW130">
        <v>0</v>
      </c>
      <c r="CX130">
        <v>-179150</v>
      </c>
      <c r="CY130">
        <v>0</v>
      </c>
      <c r="CZ130">
        <v>-179150</v>
      </c>
      <c r="DA130">
        <v>0</v>
      </c>
      <c r="DB130">
        <v>0</v>
      </c>
      <c r="DC130">
        <v>0</v>
      </c>
      <c r="DD130">
        <v>-28833</v>
      </c>
      <c r="DE130">
        <v>0</v>
      </c>
      <c r="DF130">
        <v>-28833</v>
      </c>
      <c r="DG130">
        <v>-43056</v>
      </c>
      <c r="DH130">
        <v>0</v>
      </c>
      <c r="DI130">
        <v>-43056</v>
      </c>
      <c r="DJ130">
        <v>-686133</v>
      </c>
      <c r="DK130">
        <v>0</v>
      </c>
      <c r="DL130">
        <v>-686133</v>
      </c>
      <c r="DM130">
        <v>-758022</v>
      </c>
      <c r="DN130">
        <v>0</v>
      </c>
      <c r="DO130">
        <v>0</v>
      </c>
      <c r="DP130">
        <v>0</v>
      </c>
      <c r="DQ130">
        <v>-758022</v>
      </c>
      <c r="DR130">
        <v>0</v>
      </c>
      <c r="DS130">
        <v>-758022</v>
      </c>
      <c r="DT130">
        <v>22933712</v>
      </c>
      <c r="DU130">
        <v>0</v>
      </c>
      <c r="DV130" s="661">
        <v>22933712</v>
      </c>
      <c r="DW130" t="s">
        <v>1781</v>
      </c>
    </row>
    <row r="131" spans="1:127" ht="12.75" x14ac:dyDescent="0.2">
      <c r="A131" s="605">
        <v>124</v>
      </c>
      <c r="B131" s="606" t="s">
        <v>132</v>
      </c>
      <c r="C131" s="607" t="s">
        <v>1185</v>
      </c>
      <c r="D131" s="608" t="s">
        <v>1186</v>
      </c>
      <c r="E131" s="609" t="s">
        <v>131</v>
      </c>
      <c r="G131">
        <v>86577078</v>
      </c>
      <c r="H131">
        <v>0</v>
      </c>
      <c r="I131">
        <v>86577078</v>
      </c>
      <c r="J131">
        <v>49.9</v>
      </c>
      <c r="K131">
        <v>43201962</v>
      </c>
      <c r="L131">
        <v>0</v>
      </c>
      <c r="M131">
        <v>0</v>
      </c>
      <c r="N131">
        <v>0</v>
      </c>
      <c r="O131">
        <v>43201962</v>
      </c>
      <c r="P131">
        <v>0</v>
      </c>
      <c r="Q131">
        <v>43201962</v>
      </c>
      <c r="R131">
        <v>-162715</v>
      </c>
      <c r="S131">
        <v>0</v>
      </c>
      <c r="T131">
        <v>-162715</v>
      </c>
      <c r="U131">
        <v>503295</v>
      </c>
      <c r="V131">
        <v>0</v>
      </c>
      <c r="W131">
        <v>503295</v>
      </c>
      <c r="X131">
        <v>340580</v>
      </c>
      <c r="Y131">
        <v>0</v>
      </c>
      <c r="Z131">
        <v>0</v>
      </c>
      <c r="AA131">
        <v>0</v>
      </c>
      <c r="AB131">
        <v>340580</v>
      </c>
      <c r="AC131">
        <v>0</v>
      </c>
      <c r="AD131">
        <v>340580</v>
      </c>
      <c r="AE131">
        <v>-340580</v>
      </c>
      <c r="AF131">
        <v>0</v>
      </c>
      <c r="AG131">
        <v>-340580</v>
      </c>
      <c r="AH131">
        <v>-3576465</v>
      </c>
      <c r="AI131">
        <v>0</v>
      </c>
      <c r="AJ131">
        <v>-3576465</v>
      </c>
      <c r="AK131">
        <v>0</v>
      </c>
      <c r="AL131">
        <v>0</v>
      </c>
      <c r="AM131">
        <v>0</v>
      </c>
      <c r="AN131">
        <v>784158</v>
      </c>
      <c r="AO131">
        <v>0</v>
      </c>
      <c r="AP131">
        <v>784158</v>
      </c>
      <c r="AQ131">
        <v>-2792307</v>
      </c>
      <c r="AR131">
        <v>0</v>
      </c>
      <c r="AS131">
        <v>-2792307</v>
      </c>
      <c r="AT131">
        <v>-2291383</v>
      </c>
      <c r="AU131">
        <v>0</v>
      </c>
      <c r="AV131">
        <v>-2291383</v>
      </c>
      <c r="AW131">
        <v>-10127</v>
      </c>
      <c r="AX131">
        <v>0</v>
      </c>
      <c r="AY131">
        <v>-10127</v>
      </c>
      <c r="AZ131">
        <v>-2445</v>
      </c>
      <c r="BA131">
        <v>0</v>
      </c>
      <c r="BB131">
        <v>-2445</v>
      </c>
      <c r="BC131">
        <v>0</v>
      </c>
      <c r="BD131">
        <v>0</v>
      </c>
      <c r="BE131">
        <v>0</v>
      </c>
      <c r="BF131">
        <v>-5096262</v>
      </c>
      <c r="BG131">
        <v>0</v>
      </c>
      <c r="BH131">
        <v>0</v>
      </c>
      <c r="BI131">
        <v>0</v>
      </c>
      <c r="BJ131">
        <v>-5096262</v>
      </c>
      <c r="BK131">
        <v>0</v>
      </c>
      <c r="BL131">
        <v>-5096262</v>
      </c>
      <c r="BM131">
        <v>0</v>
      </c>
      <c r="BN131">
        <v>0</v>
      </c>
      <c r="BO131">
        <v>0</v>
      </c>
      <c r="BP131">
        <v>-1398369</v>
      </c>
      <c r="BQ131">
        <v>0</v>
      </c>
      <c r="BR131">
        <v>-1398369</v>
      </c>
      <c r="BS131">
        <v>-1398369</v>
      </c>
      <c r="BT131">
        <v>0</v>
      </c>
      <c r="BU131">
        <v>0</v>
      </c>
      <c r="BV131">
        <v>0</v>
      </c>
      <c r="BW131">
        <v>-1398369</v>
      </c>
      <c r="BX131">
        <v>0</v>
      </c>
      <c r="BY131">
        <v>-1398369</v>
      </c>
      <c r="BZ131">
        <v>-118392</v>
      </c>
      <c r="CA131">
        <v>0</v>
      </c>
      <c r="CB131">
        <v>-118392</v>
      </c>
      <c r="CC131">
        <v>-74156</v>
      </c>
      <c r="CD131">
        <v>0</v>
      </c>
      <c r="CE131">
        <v>-74156</v>
      </c>
      <c r="CF131">
        <v>-404</v>
      </c>
      <c r="CG131">
        <v>0</v>
      </c>
      <c r="CH131">
        <v>-404</v>
      </c>
      <c r="CI131">
        <v>0</v>
      </c>
      <c r="CJ131">
        <v>0</v>
      </c>
      <c r="CK131">
        <v>0</v>
      </c>
      <c r="CL131">
        <v>0</v>
      </c>
      <c r="CM131">
        <v>0</v>
      </c>
      <c r="CN131">
        <v>0</v>
      </c>
      <c r="CO131">
        <v>0</v>
      </c>
      <c r="CP131">
        <v>0</v>
      </c>
      <c r="CQ131">
        <v>0</v>
      </c>
      <c r="CR131">
        <v>0</v>
      </c>
      <c r="CS131">
        <v>0</v>
      </c>
      <c r="CT131">
        <v>-192952</v>
      </c>
      <c r="CU131">
        <v>0</v>
      </c>
      <c r="CV131">
        <v>0</v>
      </c>
      <c r="CW131">
        <v>0</v>
      </c>
      <c r="CX131">
        <v>-192952</v>
      </c>
      <c r="CY131">
        <v>0</v>
      </c>
      <c r="CZ131">
        <v>-192952</v>
      </c>
      <c r="DA131">
        <v>-2445</v>
      </c>
      <c r="DB131">
        <v>0</v>
      </c>
      <c r="DC131">
        <v>-2445</v>
      </c>
      <c r="DD131">
        <v>-4376</v>
      </c>
      <c r="DE131">
        <v>0</v>
      </c>
      <c r="DF131">
        <v>-4376</v>
      </c>
      <c r="DG131">
        <v>-4994</v>
      </c>
      <c r="DH131">
        <v>0</v>
      </c>
      <c r="DI131">
        <v>-4994</v>
      </c>
      <c r="DJ131">
        <v>-582235</v>
      </c>
      <c r="DK131">
        <v>0</v>
      </c>
      <c r="DL131">
        <v>-582235</v>
      </c>
      <c r="DM131">
        <v>-594050</v>
      </c>
      <c r="DN131">
        <v>0</v>
      </c>
      <c r="DO131">
        <v>0</v>
      </c>
      <c r="DP131">
        <v>0</v>
      </c>
      <c r="DQ131">
        <v>-594050</v>
      </c>
      <c r="DR131">
        <v>0</v>
      </c>
      <c r="DS131">
        <v>-594050</v>
      </c>
      <c r="DT131">
        <v>36260909</v>
      </c>
      <c r="DU131">
        <v>0</v>
      </c>
      <c r="DV131" s="661">
        <v>36260909</v>
      </c>
      <c r="DW131" t="s">
        <v>1782</v>
      </c>
    </row>
    <row r="132" spans="1:127" ht="12.75" x14ac:dyDescent="0.2">
      <c r="A132" s="605">
        <v>125</v>
      </c>
      <c r="B132" s="606" t="s">
        <v>134</v>
      </c>
      <c r="C132" s="607" t="s">
        <v>1190</v>
      </c>
      <c r="D132" s="608" t="s">
        <v>1191</v>
      </c>
      <c r="E132" s="609" t="s">
        <v>133</v>
      </c>
      <c r="G132">
        <v>203156847</v>
      </c>
      <c r="H132">
        <v>0</v>
      </c>
      <c r="I132">
        <v>203156847</v>
      </c>
      <c r="J132">
        <v>49.9</v>
      </c>
      <c r="K132">
        <v>101375267</v>
      </c>
      <c r="L132">
        <v>0</v>
      </c>
      <c r="M132">
        <v>0</v>
      </c>
      <c r="N132">
        <v>0</v>
      </c>
      <c r="O132">
        <v>101375267</v>
      </c>
      <c r="P132">
        <v>0</v>
      </c>
      <c r="Q132">
        <v>101375267</v>
      </c>
      <c r="R132">
        <v>-851775</v>
      </c>
      <c r="S132">
        <v>0</v>
      </c>
      <c r="T132">
        <v>-851775</v>
      </c>
      <c r="U132">
        <v>255426</v>
      </c>
      <c r="V132">
        <v>0</v>
      </c>
      <c r="W132">
        <v>255426</v>
      </c>
      <c r="X132">
        <v>-596349</v>
      </c>
      <c r="Y132">
        <v>0</v>
      </c>
      <c r="Z132">
        <v>0</v>
      </c>
      <c r="AA132">
        <v>0</v>
      </c>
      <c r="AB132">
        <v>-596349</v>
      </c>
      <c r="AC132">
        <v>0</v>
      </c>
      <c r="AD132">
        <v>-596349</v>
      </c>
      <c r="AE132">
        <v>596349</v>
      </c>
      <c r="AF132">
        <v>0</v>
      </c>
      <c r="AG132">
        <v>596349</v>
      </c>
      <c r="AH132">
        <v>-7259973</v>
      </c>
      <c r="AI132">
        <v>0</v>
      </c>
      <c r="AJ132">
        <v>-7259973</v>
      </c>
      <c r="AK132">
        <v>0</v>
      </c>
      <c r="AL132">
        <v>0</v>
      </c>
      <c r="AM132">
        <v>0</v>
      </c>
      <c r="AN132">
        <v>1877996</v>
      </c>
      <c r="AO132">
        <v>0</v>
      </c>
      <c r="AP132">
        <v>1877996</v>
      </c>
      <c r="AQ132">
        <v>-5381977</v>
      </c>
      <c r="AR132">
        <v>0</v>
      </c>
      <c r="AS132">
        <v>-5381977</v>
      </c>
      <c r="AT132">
        <v>-6454495</v>
      </c>
      <c r="AU132">
        <v>0</v>
      </c>
      <c r="AV132">
        <v>-6454495</v>
      </c>
      <c r="AW132">
        <v>0</v>
      </c>
      <c r="AX132">
        <v>0</v>
      </c>
      <c r="AY132">
        <v>0</v>
      </c>
      <c r="AZ132">
        <v>0</v>
      </c>
      <c r="BA132">
        <v>0</v>
      </c>
      <c r="BB132">
        <v>0</v>
      </c>
      <c r="BC132">
        <v>0</v>
      </c>
      <c r="BD132">
        <v>0</v>
      </c>
      <c r="BE132">
        <v>0</v>
      </c>
      <c r="BF132">
        <v>-11836472</v>
      </c>
      <c r="BG132">
        <v>0</v>
      </c>
      <c r="BH132">
        <v>0</v>
      </c>
      <c r="BI132">
        <v>0</v>
      </c>
      <c r="BJ132">
        <v>-11836472</v>
      </c>
      <c r="BK132">
        <v>0</v>
      </c>
      <c r="BL132">
        <v>-11836472</v>
      </c>
      <c r="BM132">
        <v>0</v>
      </c>
      <c r="BN132">
        <v>0</v>
      </c>
      <c r="BO132">
        <v>0</v>
      </c>
      <c r="BP132">
        <v>-1982428</v>
      </c>
      <c r="BQ132">
        <v>0</v>
      </c>
      <c r="BR132">
        <v>-1982428</v>
      </c>
      <c r="BS132">
        <v>-1982428</v>
      </c>
      <c r="BT132">
        <v>0</v>
      </c>
      <c r="BU132">
        <v>0</v>
      </c>
      <c r="BV132">
        <v>0</v>
      </c>
      <c r="BW132">
        <v>-1982428</v>
      </c>
      <c r="BX132">
        <v>0</v>
      </c>
      <c r="BY132">
        <v>-1982428</v>
      </c>
      <c r="BZ132">
        <v>-291086</v>
      </c>
      <c r="CA132">
        <v>0</v>
      </c>
      <c r="CB132">
        <v>-291086</v>
      </c>
      <c r="CC132">
        <v>-13177</v>
      </c>
      <c r="CD132">
        <v>0</v>
      </c>
      <c r="CE132">
        <v>-13177</v>
      </c>
      <c r="CF132">
        <v>0</v>
      </c>
      <c r="CG132">
        <v>0</v>
      </c>
      <c r="CH132">
        <v>0</v>
      </c>
      <c r="CI132">
        <v>0</v>
      </c>
      <c r="CJ132">
        <v>0</v>
      </c>
      <c r="CK132">
        <v>0</v>
      </c>
      <c r="CL132">
        <v>0</v>
      </c>
      <c r="CM132">
        <v>0</v>
      </c>
      <c r="CN132">
        <v>0</v>
      </c>
      <c r="CO132">
        <v>0</v>
      </c>
      <c r="CP132">
        <v>0</v>
      </c>
      <c r="CQ132">
        <v>0</v>
      </c>
      <c r="CR132">
        <v>0</v>
      </c>
      <c r="CS132">
        <v>0</v>
      </c>
      <c r="CT132">
        <v>-304263</v>
      </c>
      <c r="CU132">
        <v>0</v>
      </c>
      <c r="CV132">
        <v>0</v>
      </c>
      <c r="CW132">
        <v>0</v>
      </c>
      <c r="CX132">
        <v>-304263</v>
      </c>
      <c r="CY132">
        <v>0</v>
      </c>
      <c r="CZ132">
        <v>-304263</v>
      </c>
      <c r="DA132">
        <v>0</v>
      </c>
      <c r="DB132">
        <v>0</v>
      </c>
      <c r="DC132">
        <v>0</v>
      </c>
      <c r="DD132">
        <v>-90450</v>
      </c>
      <c r="DE132">
        <v>0</v>
      </c>
      <c r="DF132">
        <v>-90450</v>
      </c>
      <c r="DG132">
        <v>-28268</v>
      </c>
      <c r="DH132">
        <v>0</v>
      </c>
      <c r="DI132">
        <v>-28268</v>
      </c>
      <c r="DJ132">
        <v>-2596028</v>
      </c>
      <c r="DK132">
        <v>0</v>
      </c>
      <c r="DL132">
        <v>-2596028</v>
      </c>
      <c r="DM132">
        <v>-2714746</v>
      </c>
      <c r="DN132">
        <v>0</v>
      </c>
      <c r="DO132">
        <v>0</v>
      </c>
      <c r="DP132">
        <v>0</v>
      </c>
      <c r="DQ132">
        <v>-2714746</v>
      </c>
      <c r="DR132">
        <v>0</v>
      </c>
      <c r="DS132">
        <v>-2714746</v>
      </c>
      <c r="DT132">
        <v>83941009</v>
      </c>
      <c r="DU132">
        <v>0</v>
      </c>
      <c r="DV132" s="661">
        <v>83941009</v>
      </c>
      <c r="DW132" t="s">
        <v>1783</v>
      </c>
    </row>
    <row r="133" spans="1:127" ht="12.75" x14ac:dyDescent="0.2">
      <c r="A133" s="605">
        <v>126</v>
      </c>
      <c r="B133" s="606" t="s">
        <v>136</v>
      </c>
      <c r="C133" s="607" t="s">
        <v>524</v>
      </c>
      <c r="D133" s="608" t="s">
        <v>1195</v>
      </c>
      <c r="E133" s="609" t="s">
        <v>576</v>
      </c>
      <c r="G133">
        <v>133880271</v>
      </c>
      <c r="H133">
        <v>1592675</v>
      </c>
      <c r="I133">
        <v>135472946</v>
      </c>
      <c r="J133">
        <v>49.9</v>
      </c>
      <c r="K133">
        <v>66806255</v>
      </c>
      <c r="L133">
        <v>794745</v>
      </c>
      <c r="M133">
        <v>0</v>
      </c>
      <c r="N133">
        <v>100000</v>
      </c>
      <c r="O133">
        <v>66806255</v>
      </c>
      <c r="P133">
        <v>894745</v>
      </c>
      <c r="Q133">
        <v>67701000</v>
      </c>
      <c r="R133">
        <v>-1250000</v>
      </c>
      <c r="S133">
        <v>0</v>
      </c>
      <c r="T133">
        <v>-1250000</v>
      </c>
      <c r="U133">
        <v>600000</v>
      </c>
      <c r="V133">
        <v>0</v>
      </c>
      <c r="W133">
        <v>600000</v>
      </c>
      <c r="X133">
        <v>-650000</v>
      </c>
      <c r="Y133">
        <v>0</v>
      </c>
      <c r="Z133">
        <v>0</v>
      </c>
      <c r="AA133">
        <v>0</v>
      </c>
      <c r="AB133">
        <v>-650000</v>
      </c>
      <c r="AC133">
        <v>0</v>
      </c>
      <c r="AD133">
        <v>-650000</v>
      </c>
      <c r="AE133">
        <v>650000</v>
      </c>
      <c r="AF133">
        <v>0</v>
      </c>
      <c r="AG133">
        <v>650000</v>
      </c>
      <c r="AH133">
        <v>-9200271</v>
      </c>
      <c r="AI133">
        <v>-90391</v>
      </c>
      <c r="AJ133">
        <v>-9290662</v>
      </c>
      <c r="AK133">
        <v>0</v>
      </c>
      <c r="AL133">
        <v>0</v>
      </c>
      <c r="AM133">
        <v>0</v>
      </c>
      <c r="AN133">
        <v>1036713</v>
      </c>
      <c r="AO133">
        <v>10164</v>
      </c>
      <c r="AP133">
        <v>1046877</v>
      </c>
      <c r="AQ133">
        <v>-8163558</v>
      </c>
      <c r="AR133">
        <v>-80227</v>
      </c>
      <c r="AS133">
        <v>-8243785</v>
      </c>
      <c r="AT133">
        <v>-4785391</v>
      </c>
      <c r="AU133">
        <v>0</v>
      </c>
      <c r="AV133">
        <v>-4785391</v>
      </c>
      <c r="AW133">
        <v>-95434</v>
      </c>
      <c r="AX133">
        <v>0</v>
      </c>
      <c r="AY133">
        <v>-95434</v>
      </c>
      <c r="AZ133">
        <v>-85073</v>
      </c>
      <c r="BA133">
        <v>0</v>
      </c>
      <c r="BB133">
        <v>-85073</v>
      </c>
      <c r="BC133">
        <v>0</v>
      </c>
      <c r="BD133">
        <v>0</v>
      </c>
      <c r="BE133">
        <v>0</v>
      </c>
      <c r="BF133">
        <v>-13129456</v>
      </c>
      <c r="BG133">
        <v>-80227</v>
      </c>
      <c r="BH133">
        <v>0</v>
      </c>
      <c r="BI133">
        <v>0</v>
      </c>
      <c r="BJ133">
        <v>-13129456</v>
      </c>
      <c r="BK133">
        <v>-80227</v>
      </c>
      <c r="BL133">
        <v>-13209683</v>
      </c>
      <c r="BM133">
        <v>0</v>
      </c>
      <c r="BN133">
        <v>0</v>
      </c>
      <c r="BO133">
        <v>0</v>
      </c>
      <c r="BP133">
        <v>-1750000</v>
      </c>
      <c r="BQ133">
        <v>-5000</v>
      </c>
      <c r="BR133">
        <v>-1755000</v>
      </c>
      <c r="BS133">
        <v>-1750000</v>
      </c>
      <c r="BT133">
        <v>-5000</v>
      </c>
      <c r="BU133">
        <v>0</v>
      </c>
      <c r="BV133">
        <v>0</v>
      </c>
      <c r="BW133">
        <v>-1750000</v>
      </c>
      <c r="BX133">
        <v>-5000</v>
      </c>
      <c r="BY133">
        <v>-1755000</v>
      </c>
      <c r="BZ133">
        <v>-405333</v>
      </c>
      <c r="CA133">
        <v>0</v>
      </c>
      <c r="CB133">
        <v>-405333</v>
      </c>
      <c r="CC133">
        <v>-102830</v>
      </c>
      <c r="CD133">
        <v>0</v>
      </c>
      <c r="CE133">
        <v>-102830</v>
      </c>
      <c r="CF133">
        <v>-14809</v>
      </c>
      <c r="CG133">
        <v>0</v>
      </c>
      <c r="CH133">
        <v>-14809</v>
      </c>
      <c r="CI133">
        <v>0</v>
      </c>
      <c r="CJ133">
        <v>0</v>
      </c>
      <c r="CK133">
        <v>0</v>
      </c>
      <c r="CL133">
        <v>0</v>
      </c>
      <c r="CM133">
        <v>0</v>
      </c>
      <c r="CN133">
        <v>0</v>
      </c>
      <c r="CO133">
        <v>0</v>
      </c>
      <c r="CP133">
        <v>-345000</v>
      </c>
      <c r="CQ133">
        <v>-345000</v>
      </c>
      <c r="CR133">
        <v>-345000</v>
      </c>
      <c r="CS133">
        <v>0</v>
      </c>
      <c r="CT133">
        <v>-522972</v>
      </c>
      <c r="CU133">
        <v>-345000</v>
      </c>
      <c r="CV133">
        <v>0</v>
      </c>
      <c r="CW133">
        <v>0</v>
      </c>
      <c r="CX133">
        <v>-522972</v>
      </c>
      <c r="CY133">
        <v>-345000</v>
      </c>
      <c r="CZ133">
        <v>-867972</v>
      </c>
      <c r="DA133">
        <v>-85000</v>
      </c>
      <c r="DB133">
        <v>0</v>
      </c>
      <c r="DC133">
        <v>-85000</v>
      </c>
      <c r="DD133">
        <v>-75000</v>
      </c>
      <c r="DE133">
        <v>0</v>
      </c>
      <c r="DF133">
        <v>-75000</v>
      </c>
      <c r="DG133">
        <v>-12000</v>
      </c>
      <c r="DH133">
        <v>0</v>
      </c>
      <c r="DI133">
        <v>-12000</v>
      </c>
      <c r="DJ133">
        <v>-1540000</v>
      </c>
      <c r="DK133">
        <v>0</v>
      </c>
      <c r="DL133">
        <v>-1540000</v>
      </c>
      <c r="DM133">
        <v>-1712000</v>
      </c>
      <c r="DN133">
        <v>0</v>
      </c>
      <c r="DO133">
        <v>0</v>
      </c>
      <c r="DP133">
        <v>0</v>
      </c>
      <c r="DQ133">
        <v>-1712000</v>
      </c>
      <c r="DR133">
        <v>0</v>
      </c>
      <c r="DS133">
        <v>-1712000</v>
      </c>
      <c r="DT133">
        <v>49041827</v>
      </c>
      <c r="DU133">
        <v>464518</v>
      </c>
      <c r="DV133" s="661">
        <v>49506345</v>
      </c>
      <c r="DW133" t="s">
        <v>1784</v>
      </c>
    </row>
    <row r="134" spans="1:127" ht="12.75" x14ac:dyDescent="0.2">
      <c r="A134" s="605">
        <v>127</v>
      </c>
      <c r="B134" s="606" t="s">
        <v>138</v>
      </c>
      <c r="C134" s="607" t="s">
        <v>1185</v>
      </c>
      <c r="D134" s="608" t="s">
        <v>1189</v>
      </c>
      <c r="E134" s="609" t="s">
        <v>137</v>
      </c>
      <c r="G134">
        <v>116462115</v>
      </c>
      <c r="H134">
        <v>0</v>
      </c>
      <c r="I134">
        <v>116462115</v>
      </c>
      <c r="J134">
        <v>49.9</v>
      </c>
      <c r="K134">
        <v>58114595</v>
      </c>
      <c r="L134">
        <v>0</v>
      </c>
      <c r="M134">
        <v>0</v>
      </c>
      <c r="N134">
        <v>0</v>
      </c>
      <c r="O134">
        <v>58114595</v>
      </c>
      <c r="P134">
        <v>0</v>
      </c>
      <c r="Q134">
        <v>58114595</v>
      </c>
      <c r="R134">
        <v>-118821</v>
      </c>
      <c r="S134">
        <v>0</v>
      </c>
      <c r="T134">
        <v>-118821</v>
      </c>
      <c r="U134">
        <v>219644</v>
      </c>
      <c r="V134">
        <v>0</v>
      </c>
      <c r="W134">
        <v>219644</v>
      </c>
      <c r="X134">
        <v>100823</v>
      </c>
      <c r="Y134">
        <v>0</v>
      </c>
      <c r="Z134">
        <v>0</v>
      </c>
      <c r="AA134">
        <v>0</v>
      </c>
      <c r="AB134">
        <v>100823</v>
      </c>
      <c r="AC134">
        <v>0</v>
      </c>
      <c r="AD134">
        <v>100823</v>
      </c>
      <c r="AE134">
        <v>-100823</v>
      </c>
      <c r="AF134">
        <v>0</v>
      </c>
      <c r="AG134">
        <v>-100823</v>
      </c>
      <c r="AH134">
        <v>-3215857</v>
      </c>
      <c r="AI134">
        <v>0</v>
      </c>
      <c r="AJ134">
        <v>-3215857</v>
      </c>
      <c r="AK134">
        <v>0</v>
      </c>
      <c r="AL134">
        <v>0</v>
      </c>
      <c r="AM134">
        <v>0</v>
      </c>
      <c r="AN134">
        <v>1099829</v>
      </c>
      <c r="AO134">
        <v>0</v>
      </c>
      <c r="AP134">
        <v>1099829</v>
      </c>
      <c r="AQ134">
        <v>-2116028</v>
      </c>
      <c r="AR134">
        <v>0</v>
      </c>
      <c r="AS134">
        <v>-2116028</v>
      </c>
      <c r="AT134">
        <v>-4409105</v>
      </c>
      <c r="AU134">
        <v>0</v>
      </c>
      <c r="AV134">
        <v>-4409105</v>
      </c>
      <c r="AW134">
        <v>-35934</v>
      </c>
      <c r="AX134">
        <v>0</v>
      </c>
      <c r="AY134">
        <v>-35934</v>
      </c>
      <c r="AZ134">
        <v>0</v>
      </c>
      <c r="BA134">
        <v>0</v>
      </c>
      <c r="BB134">
        <v>0</v>
      </c>
      <c r="BC134">
        <v>0</v>
      </c>
      <c r="BD134">
        <v>0</v>
      </c>
      <c r="BE134">
        <v>0</v>
      </c>
      <c r="BF134">
        <v>-6561067</v>
      </c>
      <c r="BG134">
        <v>0</v>
      </c>
      <c r="BH134">
        <v>0</v>
      </c>
      <c r="BI134">
        <v>0</v>
      </c>
      <c r="BJ134">
        <v>-6561067</v>
      </c>
      <c r="BK134">
        <v>0</v>
      </c>
      <c r="BL134">
        <v>-6561067</v>
      </c>
      <c r="BM134">
        <v>0</v>
      </c>
      <c r="BN134">
        <v>0</v>
      </c>
      <c r="BO134">
        <v>0</v>
      </c>
      <c r="BP134">
        <v>-633274</v>
      </c>
      <c r="BQ134">
        <v>0</v>
      </c>
      <c r="BR134">
        <v>-633274</v>
      </c>
      <c r="BS134">
        <v>-633274</v>
      </c>
      <c r="BT134">
        <v>0</v>
      </c>
      <c r="BU134">
        <v>-224005</v>
      </c>
      <c r="BV134">
        <v>0</v>
      </c>
      <c r="BW134">
        <v>-857279</v>
      </c>
      <c r="BX134">
        <v>0</v>
      </c>
      <c r="BY134">
        <v>-857279</v>
      </c>
      <c r="BZ134">
        <v>-87511</v>
      </c>
      <c r="CA134">
        <v>0</v>
      </c>
      <c r="CB134">
        <v>-87511</v>
      </c>
      <c r="CC134">
        <v>-32675</v>
      </c>
      <c r="CD134">
        <v>0</v>
      </c>
      <c r="CE134">
        <v>-32675</v>
      </c>
      <c r="CF134">
        <v>-1489</v>
      </c>
      <c r="CG134">
        <v>0</v>
      </c>
      <c r="CH134">
        <v>-1489</v>
      </c>
      <c r="CI134">
        <v>0</v>
      </c>
      <c r="CJ134">
        <v>0</v>
      </c>
      <c r="CK134">
        <v>0</v>
      </c>
      <c r="CL134">
        <v>0</v>
      </c>
      <c r="CM134">
        <v>0</v>
      </c>
      <c r="CN134">
        <v>0</v>
      </c>
      <c r="CO134">
        <v>0</v>
      </c>
      <c r="CP134">
        <v>0</v>
      </c>
      <c r="CQ134">
        <v>0</v>
      </c>
      <c r="CR134">
        <v>0</v>
      </c>
      <c r="CS134">
        <v>0</v>
      </c>
      <c r="CT134">
        <v>-121675</v>
      </c>
      <c r="CU134">
        <v>0</v>
      </c>
      <c r="CV134">
        <v>0</v>
      </c>
      <c r="CW134">
        <v>0</v>
      </c>
      <c r="CX134">
        <v>-121675</v>
      </c>
      <c r="CY134">
        <v>0</v>
      </c>
      <c r="CZ134">
        <v>-121675</v>
      </c>
      <c r="DA134">
        <v>0</v>
      </c>
      <c r="DB134">
        <v>0</v>
      </c>
      <c r="DC134">
        <v>0</v>
      </c>
      <c r="DD134">
        <v>-6133</v>
      </c>
      <c r="DE134">
        <v>0</v>
      </c>
      <c r="DF134">
        <v>-6133</v>
      </c>
      <c r="DG134">
        <v>-6000</v>
      </c>
      <c r="DH134">
        <v>0</v>
      </c>
      <c r="DI134">
        <v>-6000</v>
      </c>
      <c r="DJ134">
        <v>-1013470</v>
      </c>
      <c r="DK134">
        <v>0</v>
      </c>
      <c r="DL134">
        <v>-1013470</v>
      </c>
      <c r="DM134">
        <v>-1025603</v>
      </c>
      <c r="DN134">
        <v>0</v>
      </c>
      <c r="DO134">
        <v>0</v>
      </c>
      <c r="DP134">
        <v>0</v>
      </c>
      <c r="DQ134">
        <v>-1025603</v>
      </c>
      <c r="DR134">
        <v>0</v>
      </c>
      <c r="DS134">
        <v>-1025603</v>
      </c>
      <c r="DT134">
        <v>49649794</v>
      </c>
      <c r="DU134">
        <v>0</v>
      </c>
      <c r="DV134" s="661">
        <v>49649794</v>
      </c>
      <c r="DW134" t="s">
        <v>1785</v>
      </c>
    </row>
    <row r="135" spans="1:127" ht="12.75" x14ac:dyDescent="0.2">
      <c r="A135" s="605">
        <v>128</v>
      </c>
      <c r="B135" s="606" t="s">
        <v>140</v>
      </c>
      <c r="C135" s="607" t="s">
        <v>1185</v>
      </c>
      <c r="D135" s="608" t="s">
        <v>1188</v>
      </c>
      <c r="E135" s="609" t="s">
        <v>139</v>
      </c>
      <c r="G135">
        <v>70209248</v>
      </c>
      <c r="H135">
        <v>0</v>
      </c>
      <c r="I135">
        <v>70209248</v>
      </c>
      <c r="J135">
        <v>49.9</v>
      </c>
      <c r="K135">
        <v>35034415</v>
      </c>
      <c r="L135">
        <v>0</v>
      </c>
      <c r="M135">
        <v>0</v>
      </c>
      <c r="N135">
        <v>0</v>
      </c>
      <c r="O135">
        <v>35034415</v>
      </c>
      <c r="P135">
        <v>0</v>
      </c>
      <c r="Q135">
        <v>35034415</v>
      </c>
      <c r="R135">
        <v>-469120</v>
      </c>
      <c r="S135">
        <v>0</v>
      </c>
      <c r="T135">
        <v>-469120</v>
      </c>
      <c r="U135">
        <v>18446</v>
      </c>
      <c r="V135">
        <v>0</v>
      </c>
      <c r="W135">
        <v>18446</v>
      </c>
      <c r="X135">
        <v>-450674</v>
      </c>
      <c r="Y135">
        <v>0</v>
      </c>
      <c r="Z135">
        <v>0</v>
      </c>
      <c r="AA135">
        <v>0</v>
      </c>
      <c r="AB135">
        <v>-450674</v>
      </c>
      <c r="AC135">
        <v>0</v>
      </c>
      <c r="AD135">
        <v>-450674</v>
      </c>
      <c r="AE135">
        <v>450674</v>
      </c>
      <c r="AF135">
        <v>0</v>
      </c>
      <c r="AG135">
        <v>450674</v>
      </c>
      <c r="AH135">
        <v>-4604282</v>
      </c>
      <c r="AI135">
        <v>0</v>
      </c>
      <c r="AJ135">
        <v>-4604282</v>
      </c>
      <c r="AK135">
        <v>0</v>
      </c>
      <c r="AL135">
        <v>0</v>
      </c>
      <c r="AM135">
        <v>0</v>
      </c>
      <c r="AN135">
        <v>558684</v>
      </c>
      <c r="AO135">
        <v>0</v>
      </c>
      <c r="AP135">
        <v>558684</v>
      </c>
      <c r="AQ135">
        <v>-4045598</v>
      </c>
      <c r="AR135">
        <v>0</v>
      </c>
      <c r="AS135">
        <v>-4045598</v>
      </c>
      <c r="AT135">
        <v>-1181303</v>
      </c>
      <c r="AU135">
        <v>0</v>
      </c>
      <c r="AV135">
        <v>-1181303</v>
      </c>
      <c r="AW135">
        <v>-84797</v>
      </c>
      <c r="AX135">
        <v>0</v>
      </c>
      <c r="AY135">
        <v>-84797</v>
      </c>
      <c r="AZ135">
        <v>-13287</v>
      </c>
      <c r="BA135">
        <v>0</v>
      </c>
      <c r="BB135">
        <v>-13287</v>
      </c>
      <c r="BC135">
        <v>0</v>
      </c>
      <c r="BD135">
        <v>0</v>
      </c>
      <c r="BE135">
        <v>0</v>
      </c>
      <c r="BF135">
        <v>-5324985</v>
      </c>
      <c r="BG135">
        <v>0</v>
      </c>
      <c r="BH135">
        <v>0</v>
      </c>
      <c r="BI135">
        <v>0</v>
      </c>
      <c r="BJ135">
        <v>-5324985</v>
      </c>
      <c r="BK135">
        <v>0</v>
      </c>
      <c r="BL135">
        <v>-5324985</v>
      </c>
      <c r="BM135">
        <v>-9754</v>
      </c>
      <c r="BN135">
        <v>0</v>
      </c>
      <c r="BO135">
        <v>-9754</v>
      </c>
      <c r="BP135">
        <v>-564889</v>
      </c>
      <c r="BQ135">
        <v>0</v>
      </c>
      <c r="BR135">
        <v>-564889</v>
      </c>
      <c r="BS135">
        <v>-574643</v>
      </c>
      <c r="BT135">
        <v>0</v>
      </c>
      <c r="BU135">
        <v>0</v>
      </c>
      <c r="BV135">
        <v>0</v>
      </c>
      <c r="BW135">
        <v>-574643</v>
      </c>
      <c r="BX135">
        <v>0</v>
      </c>
      <c r="BY135">
        <v>-574643</v>
      </c>
      <c r="BZ135">
        <v>-42505</v>
      </c>
      <c r="CA135">
        <v>0</v>
      </c>
      <c r="CB135">
        <v>-42505</v>
      </c>
      <c r="CC135">
        <v>-218293</v>
      </c>
      <c r="CD135">
        <v>0</v>
      </c>
      <c r="CE135">
        <v>-218293</v>
      </c>
      <c r="CF135">
        <v>-456</v>
      </c>
      <c r="CG135">
        <v>0</v>
      </c>
      <c r="CH135">
        <v>-456</v>
      </c>
      <c r="CI135">
        <v>-1286</v>
      </c>
      <c r="CJ135">
        <v>0</v>
      </c>
      <c r="CK135">
        <v>-1286</v>
      </c>
      <c r="CL135">
        <v>0</v>
      </c>
      <c r="CM135">
        <v>0</v>
      </c>
      <c r="CN135">
        <v>0</v>
      </c>
      <c r="CO135">
        <v>0</v>
      </c>
      <c r="CP135">
        <v>0</v>
      </c>
      <c r="CQ135">
        <v>0</v>
      </c>
      <c r="CR135">
        <v>0</v>
      </c>
      <c r="CS135">
        <v>0</v>
      </c>
      <c r="CT135">
        <v>-262540</v>
      </c>
      <c r="CU135">
        <v>0</v>
      </c>
      <c r="CV135">
        <v>0</v>
      </c>
      <c r="CW135">
        <v>0</v>
      </c>
      <c r="CX135">
        <v>-262540</v>
      </c>
      <c r="CY135">
        <v>0</v>
      </c>
      <c r="CZ135">
        <v>-262540</v>
      </c>
      <c r="DA135">
        <v>-13336</v>
      </c>
      <c r="DB135">
        <v>0</v>
      </c>
      <c r="DC135">
        <v>-13336</v>
      </c>
      <c r="DD135">
        <v>-35191</v>
      </c>
      <c r="DE135">
        <v>0</v>
      </c>
      <c r="DF135">
        <v>-35191</v>
      </c>
      <c r="DG135">
        <v>-10253</v>
      </c>
      <c r="DH135">
        <v>0</v>
      </c>
      <c r="DI135">
        <v>-10253</v>
      </c>
      <c r="DJ135">
        <v>-582656</v>
      </c>
      <c r="DK135">
        <v>0</v>
      </c>
      <c r="DL135">
        <v>-582656</v>
      </c>
      <c r="DM135">
        <v>-641436</v>
      </c>
      <c r="DN135">
        <v>0</v>
      </c>
      <c r="DO135">
        <v>0</v>
      </c>
      <c r="DP135">
        <v>0</v>
      </c>
      <c r="DQ135">
        <v>-641436</v>
      </c>
      <c r="DR135">
        <v>0</v>
      </c>
      <c r="DS135">
        <v>-641436</v>
      </c>
      <c r="DT135">
        <v>27780137</v>
      </c>
      <c r="DU135">
        <v>0</v>
      </c>
      <c r="DV135" s="661">
        <v>27780137</v>
      </c>
      <c r="DW135" t="s">
        <v>1786</v>
      </c>
    </row>
    <row r="136" spans="1:127" ht="12.75" x14ac:dyDescent="0.2">
      <c r="A136" s="605">
        <v>129</v>
      </c>
      <c r="B136" s="606" t="s">
        <v>142</v>
      </c>
      <c r="C136" s="607" t="s">
        <v>1190</v>
      </c>
      <c r="D136" s="608" t="s">
        <v>1191</v>
      </c>
      <c r="E136" s="609" t="s">
        <v>141</v>
      </c>
      <c r="G136">
        <v>811987000</v>
      </c>
      <c r="H136">
        <v>0</v>
      </c>
      <c r="I136">
        <v>811987000</v>
      </c>
      <c r="J136">
        <v>49.9</v>
      </c>
      <c r="K136">
        <v>405181513</v>
      </c>
      <c r="L136">
        <v>0</v>
      </c>
      <c r="M136">
        <v>361000</v>
      </c>
      <c r="N136">
        <v>0</v>
      </c>
      <c r="O136">
        <v>405542513</v>
      </c>
      <c r="P136">
        <v>0</v>
      </c>
      <c r="Q136">
        <v>405542513</v>
      </c>
      <c r="R136">
        <v>-976137</v>
      </c>
      <c r="S136">
        <v>0</v>
      </c>
      <c r="T136">
        <v>-976137</v>
      </c>
      <c r="U136">
        <v>9097984</v>
      </c>
      <c r="V136">
        <v>0</v>
      </c>
      <c r="W136">
        <v>9097984</v>
      </c>
      <c r="X136">
        <v>8121847</v>
      </c>
      <c r="Y136">
        <v>0</v>
      </c>
      <c r="Z136">
        <v>0</v>
      </c>
      <c r="AA136">
        <v>0</v>
      </c>
      <c r="AB136">
        <v>8121847</v>
      </c>
      <c r="AC136">
        <v>0</v>
      </c>
      <c r="AD136">
        <v>8121847</v>
      </c>
      <c r="AE136">
        <v>-8121847</v>
      </c>
      <c r="AF136">
        <v>0</v>
      </c>
      <c r="AG136">
        <v>-8121847</v>
      </c>
      <c r="AH136">
        <v>-7224000</v>
      </c>
      <c r="AI136">
        <v>0</v>
      </c>
      <c r="AJ136">
        <v>-7224000</v>
      </c>
      <c r="AK136">
        <v>0</v>
      </c>
      <c r="AL136">
        <v>0</v>
      </c>
      <c r="AM136">
        <v>0</v>
      </c>
      <c r="AN136">
        <v>9726000</v>
      </c>
      <c r="AO136">
        <v>0</v>
      </c>
      <c r="AP136">
        <v>9726000</v>
      </c>
      <c r="AQ136">
        <v>2502000</v>
      </c>
      <c r="AR136">
        <v>0</v>
      </c>
      <c r="AS136">
        <v>2502000</v>
      </c>
      <c r="AT136">
        <v>-11087000</v>
      </c>
      <c r="AU136">
        <v>0</v>
      </c>
      <c r="AV136">
        <v>-11087000</v>
      </c>
      <c r="AW136">
        <v>-102000</v>
      </c>
      <c r="AX136">
        <v>0</v>
      </c>
      <c r="AY136">
        <v>-102000</v>
      </c>
      <c r="AZ136">
        <v>0</v>
      </c>
      <c r="BA136">
        <v>0</v>
      </c>
      <c r="BB136">
        <v>0</v>
      </c>
      <c r="BC136">
        <v>0</v>
      </c>
      <c r="BD136">
        <v>0</v>
      </c>
      <c r="BE136">
        <v>0</v>
      </c>
      <c r="BF136">
        <v>-8687000</v>
      </c>
      <c r="BG136">
        <v>0</v>
      </c>
      <c r="BH136">
        <v>-500000</v>
      </c>
      <c r="BI136">
        <v>0</v>
      </c>
      <c r="BJ136">
        <v>-9187000</v>
      </c>
      <c r="BK136">
        <v>0</v>
      </c>
      <c r="BL136">
        <v>-9187000</v>
      </c>
      <c r="BM136">
        <v>-75000</v>
      </c>
      <c r="BN136">
        <v>0</v>
      </c>
      <c r="BO136">
        <v>-75000</v>
      </c>
      <c r="BP136">
        <v>-9981000</v>
      </c>
      <c r="BQ136">
        <v>0</v>
      </c>
      <c r="BR136">
        <v>-9981000</v>
      </c>
      <c r="BS136">
        <v>-10056000</v>
      </c>
      <c r="BT136">
        <v>0</v>
      </c>
      <c r="BU136">
        <v>-5073000</v>
      </c>
      <c r="BV136">
        <v>0</v>
      </c>
      <c r="BW136">
        <v>-15129000</v>
      </c>
      <c r="BX136">
        <v>0</v>
      </c>
      <c r="BY136">
        <v>-15129000</v>
      </c>
      <c r="BZ136">
        <v>-263000</v>
      </c>
      <c r="CA136">
        <v>0</v>
      </c>
      <c r="CB136">
        <v>-263000</v>
      </c>
      <c r="CC136">
        <v>0</v>
      </c>
      <c r="CD136">
        <v>0</v>
      </c>
      <c r="CE136">
        <v>0</v>
      </c>
      <c r="CF136">
        <v>0</v>
      </c>
      <c r="CG136">
        <v>0</v>
      </c>
      <c r="CH136">
        <v>0</v>
      </c>
      <c r="CI136">
        <v>0</v>
      </c>
      <c r="CJ136">
        <v>0</v>
      </c>
      <c r="CK136">
        <v>0</v>
      </c>
      <c r="CL136">
        <v>0</v>
      </c>
      <c r="CM136">
        <v>0</v>
      </c>
      <c r="CN136">
        <v>0</v>
      </c>
      <c r="CO136">
        <v>0</v>
      </c>
      <c r="CP136">
        <v>0</v>
      </c>
      <c r="CQ136">
        <v>0</v>
      </c>
      <c r="CR136">
        <v>0</v>
      </c>
      <c r="CS136">
        <v>0</v>
      </c>
      <c r="CT136">
        <v>-263000</v>
      </c>
      <c r="CU136">
        <v>0</v>
      </c>
      <c r="CV136">
        <v>-12000</v>
      </c>
      <c r="CW136">
        <v>0</v>
      </c>
      <c r="CX136">
        <v>-275000</v>
      </c>
      <c r="CY136">
        <v>0</v>
      </c>
      <c r="CZ136">
        <v>-275000</v>
      </c>
      <c r="DA136">
        <v>0</v>
      </c>
      <c r="DB136">
        <v>0</v>
      </c>
      <c r="DC136">
        <v>0</v>
      </c>
      <c r="DD136">
        <v>-35000</v>
      </c>
      <c r="DE136">
        <v>0</v>
      </c>
      <c r="DF136">
        <v>-35000</v>
      </c>
      <c r="DG136">
        <v>-24261</v>
      </c>
      <c r="DH136">
        <v>0</v>
      </c>
      <c r="DI136">
        <v>-24261</v>
      </c>
      <c r="DJ136">
        <v>-1539000</v>
      </c>
      <c r="DK136">
        <v>0</v>
      </c>
      <c r="DL136">
        <v>-1539000</v>
      </c>
      <c r="DM136">
        <v>-1598261</v>
      </c>
      <c r="DN136">
        <v>0</v>
      </c>
      <c r="DO136">
        <v>0</v>
      </c>
      <c r="DP136">
        <v>0</v>
      </c>
      <c r="DQ136">
        <v>-1598261</v>
      </c>
      <c r="DR136">
        <v>0</v>
      </c>
      <c r="DS136">
        <v>-1598261</v>
      </c>
      <c r="DT136">
        <v>387475099</v>
      </c>
      <c r="DU136">
        <v>0</v>
      </c>
      <c r="DV136" s="661">
        <v>387475099</v>
      </c>
      <c r="DW136" t="s">
        <v>1787</v>
      </c>
    </row>
    <row r="137" spans="1:127" ht="12.75" x14ac:dyDescent="0.2">
      <c r="A137" s="605">
        <v>130</v>
      </c>
      <c r="B137" s="606" t="s">
        <v>144</v>
      </c>
      <c r="C137" s="607" t="s">
        <v>1185</v>
      </c>
      <c r="D137" s="608" t="s">
        <v>1188</v>
      </c>
      <c r="E137" s="609" t="s">
        <v>143</v>
      </c>
      <c r="G137">
        <v>82744017</v>
      </c>
      <c r="H137">
        <v>2540350</v>
      </c>
      <c r="I137">
        <v>85284367</v>
      </c>
      <c r="J137">
        <v>49.9</v>
      </c>
      <c r="K137">
        <v>41289264</v>
      </c>
      <c r="L137">
        <v>1267635</v>
      </c>
      <c r="M137">
        <v>92481</v>
      </c>
      <c r="N137">
        <v>0</v>
      </c>
      <c r="O137">
        <v>41381745</v>
      </c>
      <c r="P137">
        <v>1267635</v>
      </c>
      <c r="Q137">
        <v>42649380</v>
      </c>
      <c r="R137">
        <v>-301414</v>
      </c>
      <c r="S137">
        <v>0</v>
      </c>
      <c r="T137">
        <v>-301414</v>
      </c>
      <c r="U137">
        <v>13332</v>
      </c>
      <c r="V137">
        <v>0</v>
      </c>
      <c r="W137">
        <v>13332</v>
      </c>
      <c r="X137">
        <v>-288082</v>
      </c>
      <c r="Y137">
        <v>0</v>
      </c>
      <c r="Z137">
        <v>0</v>
      </c>
      <c r="AA137">
        <v>0</v>
      </c>
      <c r="AB137">
        <v>-288082</v>
      </c>
      <c r="AC137">
        <v>0</v>
      </c>
      <c r="AD137">
        <v>-288082</v>
      </c>
      <c r="AE137">
        <v>288082</v>
      </c>
      <c r="AF137">
        <v>0</v>
      </c>
      <c r="AG137">
        <v>288082</v>
      </c>
      <c r="AH137">
        <v>-4203079</v>
      </c>
      <c r="AI137">
        <v>0</v>
      </c>
      <c r="AJ137">
        <v>-4203079</v>
      </c>
      <c r="AK137">
        <v>0</v>
      </c>
      <c r="AL137">
        <v>0</v>
      </c>
      <c r="AM137">
        <v>0</v>
      </c>
      <c r="AN137">
        <v>728549</v>
      </c>
      <c r="AO137">
        <v>28826</v>
      </c>
      <c r="AP137">
        <v>757375</v>
      </c>
      <c r="AQ137">
        <v>-3474530</v>
      </c>
      <c r="AR137">
        <v>28826</v>
      </c>
      <c r="AS137">
        <v>-3445704</v>
      </c>
      <c r="AT137">
        <v>-2611849</v>
      </c>
      <c r="AU137">
        <v>0</v>
      </c>
      <c r="AV137">
        <v>-2611849</v>
      </c>
      <c r="AW137">
        <v>-6390</v>
      </c>
      <c r="AX137">
        <v>0</v>
      </c>
      <c r="AY137">
        <v>-6390</v>
      </c>
      <c r="AZ137">
        <v>-6288</v>
      </c>
      <c r="BA137">
        <v>0</v>
      </c>
      <c r="BB137">
        <v>-6288</v>
      </c>
      <c r="BC137">
        <v>0</v>
      </c>
      <c r="BD137">
        <v>0</v>
      </c>
      <c r="BE137">
        <v>0</v>
      </c>
      <c r="BF137">
        <v>-6099057</v>
      </c>
      <c r="BG137">
        <v>28826</v>
      </c>
      <c r="BH137">
        <v>0</v>
      </c>
      <c r="BI137">
        <v>0</v>
      </c>
      <c r="BJ137">
        <v>-6099057</v>
      </c>
      <c r="BK137">
        <v>28826</v>
      </c>
      <c r="BL137">
        <v>-6070231</v>
      </c>
      <c r="BM137">
        <v>-50000</v>
      </c>
      <c r="BN137">
        <v>0</v>
      </c>
      <c r="BO137">
        <v>-50000</v>
      </c>
      <c r="BP137">
        <v>-418261</v>
      </c>
      <c r="BQ137">
        <v>-33536</v>
      </c>
      <c r="BR137">
        <v>-451797</v>
      </c>
      <c r="BS137">
        <v>-468261</v>
      </c>
      <c r="BT137">
        <v>-33536</v>
      </c>
      <c r="BU137">
        <v>-50000</v>
      </c>
      <c r="BV137">
        <v>0</v>
      </c>
      <c r="BW137">
        <v>-518261</v>
      </c>
      <c r="BX137">
        <v>-33536</v>
      </c>
      <c r="BY137">
        <v>-551797</v>
      </c>
      <c r="BZ137">
        <v>-64993</v>
      </c>
      <c r="CA137">
        <v>0</v>
      </c>
      <c r="CB137">
        <v>-64993</v>
      </c>
      <c r="CC137">
        <v>-83757</v>
      </c>
      <c r="CD137">
        <v>0</v>
      </c>
      <c r="CE137">
        <v>-83757</v>
      </c>
      <c r="CF137">
        <v>-1597</v>
      </c>
      <c r="CG137">
        <v>0</v>
      </c>
      <c r="CH137">
        <v>-1597</v>
      </c>
      <c r="CI137">
        <v>0</v>
      </c>
      <c r="CJ137">
        <v>0</v>
      </c>
      <c r="CK137">
        <v>0</v>
      </c>
      <c r="CL137">
        <v>0</v>
      </c>
      <c r="CM137">
        <v>0</v>
      </c>
      <c r="CN137">
        <v>0</v>
      </c>
      <c r="CO137">
        <v>0</v>
      </c>
      <c r="CP137">
        <v>-113451</v>
      </c>
      <c r="CQ137">
        <v>-113451</v>
      </c>
      <c r="CR137">
        <v>-113451</v>
      </c>
      <c r="CS137">
        <v>0</v>
      </c>
      <c r="CT137">
        <v>-150347</v>
      </c>
      <c r="CU137">
        <v>-113451</v>
      </c>
      <c r="CV137">
        <v>0</v>
      </c>
      <c r="CW137">
        <v>0</v>
      </c>
      <c r="CX137">
        <v>-150347</v>
      </c>
      <c r="CY137">
        <v>-113451</v>
      </c>
      <c r="CZ137">
        <v>-263798</v>
      </c>
      <c r="DA137">
        <v>-3821</v>
      </c>
      <c r="DB137">
        <v>0</v>
      </c>
      <c r="DC137">
        <v>-3821</v>
      </c>
      <c r="DD137">
        <v>-36814</v>
      </c>
      <c r="DE137">
        <v>0</v>
      </c>
      <c r="DF137">
        <v>-36814</v>
      </c>
      <c r="DG137">
        <v>-7972</v>
      </c>
      <c r="DH137">
        <v>0</v>
      </c>
      <c r="DI137">
        <v>-7972</v>
      </c>
      <c r="DJ137">
        <v>-397237</v>
      </c>
      <c r="DK137">
        <v>0</v>
      </c>
      <c r="DL137">
        <v>-397237</v>
      </c>
      <c r="DM137">
        <v>-445844</v>
      </c>
      <c r="DN137">
        <v>0</v>
      </c>
      <c r="DO137">
        <v>-200000</v>
      </c>
      <c r="DP137">
        <v>0</v>
      </c>
      <c r="DQ137">
        <v>-645844</v>
      </c>
      <c r="DR137">
        <v>0</v>
      </c>
      <c r="DS137">
        <v>-645844</v>
      </c>
      <c r="DT137">
        <v>33680154</v>
      </c>
      <c r="DU137">
        <v>1149474</v>
      </c>
      <c r="DV137" s="661">
        <v>34829628</v>
      </c>
      <c r="DW137" t="s">
        <v>1788</v>
      </c>
    </row>
    <row r="138" spans="1:127" ht="12.75" x14ac:dyDescent="0.2">
      <c r="A138" s="605">
        <v>131</v>
      </c>
      <c r="B138" s="606" t="s">
        <v>146</v>
      </c>
      <c r="C138" s="607" t="s">
        <v>1185</v>
      </c>
      <c r="D138" s="608" t="s">
        <v>1186</v>
      </c>
      <c r="E138" s="609" t="s">
        <v>145</v>
      </c>
      <c r="G138">
        <v>112918317</v>
      </c>
      <c r="H138">
        <v>0</v>
      </c>
      <c r="I138">
        <v>112918317</v>
      </c>
      <c r="J138">
        <v>49.9</v>
      </c>
      <c r="K138">
        <v>56346240</v>
      </c>
      <c r="L138">
        <v>0</v>
      </c>
      <c r="M138">
        <v>636888</v>
      </c>
      <c r="N138">
        <v>0</v>
      </c>
      <c r="O138">
        <v>56983128</v>
      </c>
      <c r="P138">
        <v>0</v>
      </c>
      <c r="Q138">
        <v>56983128</v>
      </c>
      <c r="R138">
        <v>-380046</v>
      </c>
      <c r="S138">
        <v>0</v>
      </c>
      <c r="T138">
        <v>-380046</v>
      </c>
      <c r="U138">
        <v>57666</v>
      </c>
      <c r="V138">
        <v>0</v>
      </c>
      <c r="W138">
        <v>57666</v>
      </c>
      <c r="X138">
        <v>-322380</v>
      </c>
      <c r="Y138">
        <v>0</v>
      </c>
      <c r="Z138">
        <v>0</v>
      </c>
      <c r="AA138">
        <v>0</v>
      </c>
      <c r="AB138">
        <v>-322380</v>
      </c>
      <c r="AC138">
        <v>0</v>
      </c>
      <c r="AD138">
        <v>-322380</v>
      </c>
      <c r="AE138">
        <v>322380</v>
      </c>
      <c r="AF138">
        <v>0</v>
      </c>
      <c r="AG138">
        <v>322380</v>
      </c>
      <c r="AH138">
        <v>-5267946</v>
      </c>
      <c r="AI138">
        <v>0</v>
      </c>
      <c r="AJ138">
        <v>-5267946</v>
      </c>
      <c r="AK138">
        <v>0</v>
      </c>
      <c r="AL138">
        <v>0</v>
      </c>
      <c r="AM138">
        <v>0</v>
      </c>
      <c r="AN138">
        <v>914710</v>
      </c>
      <c r="AO138">
        <v>0</v>
      </c>
      <c r="AP138">
        <v>914710</v>
      </c>
      <c r="AQ138">
        <v>-4353236</v>
      </c>
      <c r="AR138">
        <v>0</v>
      </c>
      <c r="AS138">
        <v>-4353236</v>
      </c>
      <c r="AT138">
        <v>-3439193</v>
      </c>
      <c r="AU138">
        <v>0</v>
      </c>
      <c r="AV138">
        <v>-3439193</v>
      </c>
      <c r="AW138">
        <v>-62044</v>
      </c>
      <c r="AX138">
        <v>0</v>
      </c>
      <c r="AY138">
        <v>-62044</v>
      </c>
      <c r="AZ138">
        <v>-8260</v>
      </c>
      <c r="BA138">
        <v>0</v>
      </c>
      <c r="BB138">
        <v>-8260</v>
      </c>
      <c r="BC138">
        <v>0</v>
      </c>
      <c r="BD138">
        <v>0</v>
      </c>
      <c r="BE138">
        <v>0</v>
      </c>
      <c r="BF138">
        <v>-7862733</v>
      </c>
      <c r="BG138">
        <v>0</v>
      </c>
      <c r="BH138">
        <v>-10978</v>
      </c>
      <c r="BI138">
        <v>0</v>
      </c>
      <c r="BJ138">
        <v>-7873711</v>
      </c>
      <c r="BK138">
        <v>0</v>
      </c>
      <c r="BL138">
        <v>-7873711</v>
      </c>
      <c r="BM138">
        <v>0</v>
      </c>
      <c r="BN138">
        <v>0</v>
      </c>
      <c r="BO138">
        <v>0</v>
      </c>
      <c r="BP138">
        <v>-834230</v>
      </c>
      <c r="BQ138">
        <v>0</v>
      </c>
      <c r="BR138">
        <v>-834230</v>
      </c>
      <c r="BS138">
        <v>-834230</v>
      </c>
      <c r="BT138">
        <v>0</v>
      </c>
      <c r="BU138">
        <v>0</v>
      </c>
      <c r="BV138">
        <v>0</v>
      </c>
      <c r="BW138">
        <v>-834230</v>
      </c>
      <c r="BX138">
        <v>0</v>
      </c>
      <c r="BY138">
        <v>-834230</v>
      </c>
      <c r="BZ138">
        <v>-49347</v>
      </c>
      <c r="CA138">
        <v>0</v>
      </c>
      <c r="CB138">
        <v>-49347</v>
      </c>
      <c r="CC138">
        <v>-363123</v>
      </c>
      <c r="CD138">
        <v>0</v>
      </c>
      <c r="CE138">
        <v>-363123</v>
      </c>
      <c r="CF138">
        <v>-2795</v>
      </c>
      <c r="CG138">
        <v>0</v>
      </c>
      <c r="CH138">
        <v>-2795</v>
      </c>
      <c r="CI138">
        <v>0</v>
      </c>
      <c r="CJ138">
        <v>0</v>
      </c>
      <c r="CK138">
        <v>0</v>
      </c>
      <c r="CL138">
        <v>0</v>
      </c>
      <c r="CM138">
        <v>0</v>
      </c>
      <c r="CN138">
        <v>0</v>
      </c>
      <c r="CO138">
        <v>0</v>
      </c>
      <c r="CP138">
        <v>0</v>
      </c>
      <c r="CQ138">
        <v>0</v>
      </c>
      <c r="CR138">
        <v>0</v>
      </c>
      <c r="CS138">
        <v>0</v>
      </c>
      <c r="CT138">
        <v>-415265</v>
      </c>
      <c r="CU138">
        <v>0</v>
      </c>
      <c r="CV138">
        <v>0</v>
      </c>
      <c r="CW138">
        <v>0</v>
      </c>
      <c r="CX138">
        <v>-415265</v>
      </c>
      <c r="CY138">
        <v>0</v>
      </c>
      <c r="CZ138">
        <v>-415265</v>
      </c>
      <c r="DA138">
        <v>-8260</v>
      </c>
      <c r="DB138">
        <v>0</v>
      </c>
      <c r="DC138">
        <v>-8260</v>
      </c>
      <c r="DD138">
        <v>-41370</v>
      </c>
      <c r="DE138">
        <v>0</v>
      </c>
      <c r="DF138">
        <v>-41370</v>
      </c>
      <c r="DG138">
        <v>-13000</v>
      </c>
      <c r="DH138">
        <v>0</v>
      </c>
      <c r="DI138">
        <v>-13000</v>
      </c>
      <c r="DJ138">
        <v>-819330</v>
      </c>
      <c r="DK138">
        <v>0</v>
      </c>
      <c r="DL138">
        <v>-819330</v>
      </c>
      <c r="DM138">
        <v>-881960</v>
      </c>
      <c r="DN138">
        <v>0</v>
      </c>
      <c r="DO138">
        <v>0</v>
      </c>
      <c r="DP138">
        <v>0</v>
      </c>
      <c r="DQ138">
        <v>-881960</v>
      </c>
      <c r="DR138">
        <v>0</v>
      </c>
      <c r="DS138">
        <v>-881960</v>
      </c>
      <c r="DT138">
        <v>46655582</v>
      </c>
      <c r="DU138">
        <v>0</v>
      </c>
      <c r="DV138" s="661">
        <v>46655582</v>
      </c>
      <c r="DW138" t="s">
        <v>1789</v>
      </c>
    </row>
    <row r="139" spans="1:127" ht="12.75" x14ac:dyDescent="0.2">
      <c r="A139" s="605">
        <v>132</v>
      </c>
      <c r="B139" s="606" t="s">
        <v>148</v>
      </c>
      <c r="C139" s="607" t="s">
        <v>1190</v>
      </c>
      <c r="D139" s="608" t="s">
        <v>1191</v>
      </c>
      <c r="E139" s="609" t="s">
        <v>147</v>
      </c>
      <c r="G139">
        <v>461306990</v>
      </c>
      <c r="H139">
        <v>0</v>
      </c>
      <c r="I139">
        <v>461306990</v>
      </c>
      <c r="J139">
        <v>49.9</v>
      </c>
      <c r="K139">
        <v>230192188</v>
      </c>
      <c r="L139">
        <v>0</v>
      </c>
      <c r="M139">
        <v>0</v>
      </c>
      <c r="N139">
        <v>0</v>
      </c>
      <c r="O139">
        <v>230192188</v>
      </c>
      <c r="P139">
        <v>0</v>
      </c>
      <c r="Q139">
        <v>230192188</v>
      </c>
      <c r="R139">
        <v>-1218795</v>
      </c>
      <c r="S139">
        <v>0</v>
      </c>
      <c r="T139">
        <v>-1218795</v>
      </c>
      <c r="U139">
        <v>536060</v>
      </c>
      <c r="V139">
        <v>0</v>
      </c>
      <c r="W139">
        <v>536060</v>
      </c>
      <c r="X139">
        <v>-682735</v>
      </c>
      <c r="Y139">
        <v>0</v>
      </c>
      <c r="Z139">
        <v>0</v>
      </c>
      <c r="AA139">
        <v>0</v>
      </c>
      <c r="AB139">
        <v>-682735</v>
      </c>
      <c r="AC139">
        <v>0</v>
      </c>
      <c r="AD139">
        <v>-682735</v>
      </c>
      <c r="AE139">
        <v>682735</v>
      </c>
      <c r="AF139">
        <v>0</v>
      </c>
      <c r="AG139">
        <v>682735</v>
      </c>
      <c r="AH139">
        <v>-6054471</v>
      </c>
      <c r="AI139">
        <v>0</v>
      </c>
      <c r="AJ139">
        <v>-6054471</v>
      </c>
      <c r="AK139">
        <v>-9075</v>
      </c>
      <c r="AL139">
        <v>0</v>
      </c>
      <c r="AM139">
        <v>-9075</v>
      </c>
      <c r="AN139">
        <v>5107904</v>
      </c>
      <c r="AO139">
        <v>0</v>
      </c>
      <c r="AP139">
        <v>5107904</v>
      </c>
      <c r="AQ139">
        <v>-946567</v>
      </c>
      <c r="AR139">
        <v>0</v>
      </c>
      <c r="AS139">
        <v>-946567</v>
      </c>
      <c r="AT139">
        <v>-6753179</v>
      </c>
      <c r="AU139">
        <v>0</v>
      </c>
      <c r="AV139">
        <v>-6753179</v>
      </c>
      <c r="AW139">
        <v>-70738</v>
      </c>
      <c r="AX139">
        <v>0</v>
      </c>
      <c r="AY139">
        <v>-70738</v>
      </c>
      <c r="AZ139">
        <v>0</v>
      </c>
      <c r="BA139">
        <v>0</v>
      </c>
      <c r="BB139">
        <v>0</v>
      </c>
      <c r="BC139">
        <v>0</v>
      </c>
      <c r="BD139">
        <v>0</v>
      </c>
      <c r="BE139">
        <v>0</v>
      </c>
      <c r="BF139">
        <v>-7770484</v>
      </c>
      <c r="BG139">
        <v>0</v>
      </c>
      <c r="BH139">
        <v>0</v>
      </c>
      <c r="BI139">
        <v>0</v>
      </c>
      <c r="BJ139">
        <v>-7770484</v>
      </c>
      <c r="BK139">
        <v>0</v>
      </c>
      <c r="BL139">
        <v>-7770484</v>
      </c>
      <c r="BM139">
        <v>0</v>
      </c>
      <c r="BN139">
        <v>0</v>
      </c>
      <c r="BO139">
        <v>0</v>
      </c>
      <c r="BP139">
        <v>-4722904</v>
      </c>
      <c r="BQ139">
        <v>0</v>
      </c>
      <c r="BR139">
        <v>-4722904</v>
      </c>
      <c r="BS139">
        <v>-4722904</v>
      </c>
      <c r="BT139">
        <v>0</v>
      </c>
      <c r="BU139">
        <v>-3000000</v>
      </c>
      <c r="BV139">
        <v>0</v>
      </c>
      <c r="BW139">
        <v>-7722904</v>
      </c>
      <c r="BX139">
        <v>0</v>
      </c>
      <c r="BY139">
        <v>-7722904</v>
      </c>
      <c r="BZ139">
        <v>-245024</v>
      </c>
      <c r="CA139">
        <v>0</v>
      </c>
      <c r="CB139">
        <v>-245024</v>
      </c>
      <c r="CC139">
        <v>-184900</v>
      </c>
      <c r="CD139">
        <v>0</v>
      </c>
      <c r="CE139">
        <v>-184900</v>
      </c>
      <c r="CF139">
        <v>-2176</v>
      </c>
      <c r="CG139">
        <v>0</v>
      </c>
      <c r="CH139">
        <v>-2176</v>
      </c>
      <c r="CI139">
        <v>0</v>
      </c>
      <c r="CJ139">
        <v>0</v>
      </c>
      <c r="CK139">
        <v>0</v>
      </c>
      <c r="CL139">
        <v>0</v>
      </c>
      <c r="CM139">
        <v>0</v>
      </c>
      <c r="CN139">
        <v>0</v>
      </c>
      <c r="CO139">
        <v>0</v>
      </c>
      <c r="CP139">
        <v>0</v>
      </c>
      <c r="CQ139">
        <v>0</v>
      </c>
      <c r="CR139">
        <v>0</v>
      </c>
      <c r="CS139">
        <v>0</v>
      </c>
      <c r="CT139">
        <v>-432100</v>
      </c>
      <c r="CU139">
        <v>0</v>
      </c>
      <c r="CV139">
        <v>0</v>
      </c>
      <c r="CW139">
        <v>0</v>
      </c>
      <c r="CX139">
        <v>-432100</v>
      </c>
      <c r="CY139">
        <v>0</v>
      </c>
      <c r="CZ139">
        <v>-432100</v>
      </c>
      <c r="DA139">
        <v>0</v>
      </c>
      <c r="DB139">
        <v>0</v>
      </c>
      <c r="DC139">
        <v>0</v>
      </c>
      <c r="DD139">
        <v>-7500</v>
      </c>
      <c r="DE139">
        <v>0</v>
      </c>
      <c r="DF139">
        <v>-7500</v>
      </c>
      <c r="DG139">
        <v>-40797</v>
      </c>
      <c r="DH139">
        <v>0</v>
      </c>
      <c r="DI139">
        <v>-40797</v>
      </c>
      <c r="DJ139">
        <v>-2669925</v>
      </c>
      <c r="DK139">
        <v>0</v>
      </c>
      <c r="DL139">
        <v>-2669925</v>
      </c>
      <c r="DM139">
        <v>-2718222</v>
      </c>
      <c r="DN139">
        <v>0</v>
      </c>
      <c r="DO139">
        <v>0</v>
      </c>
      <c r="DP139">
        <v>0</v>
      </c>
      <c r="DQ139">
        <v>-2718222</v>
      </c>
      <c r="DR139">
        <v>0</v>
      </c>
      <c r="DS139">
        <v>-2718222</v>
      </c>
      <c r="DT139">
        <v>210865743</v>
      </c>
      <c r="DU139">
        <v>0</v>
      </c>
      <c r="DV139" s="661">
        <v>210865743</v>
      </c>
      <c r="DW139" t="s">
        <v>1790</v>
      </c>
    </row>
    <row r="140" spans="1:127" ht="12.75" x14ac:dyDescent="0.2">
      <c r="A140" s="605">
        <v>133</v>
      </c>
      <c r="B140" s="606" t="s">
        <v>150</v>
      </c>
      <c r="C140" s="607" t="s">
        <v>1185</v>
      </c>
      <c r="D140" s="608" t="s">
        <v>1189</v>
      </c>
      <c r="E140" s="609" t="s">
        <v>149</v>
      </c>
      <c r="G140">
        <v>147849982</v>
      </c>
      <c r="H140">
        <v>4452050</v>
      </c>
      <c r="I140">
        <v>152302032</v>
      </c>
      <c r="J140">
        <v>49.9</v>
      </c>
      <c r="K140">
        <v>73777141</v>
      </c>
      <c r="L140">
        <v>2221573</v>
      </c>
      <c r="M140">
        <v>0</v>
      </c>
      <c r="N140">
        <v>0</v>
      </c>
      <c r="O140">
        <v>73777141</v>
      </c>
      <c r="P140">
        <v>2221573</v>
      </c>
      <c r="Q140">
        <v>75998714</v>
      </c>
      <c r="R140">
        <v>-202411</v>
      </c>
      <c r="S140">
        <v>-180</v>
      </c>
      <c r="T140">
        <v>-202591</v>
      </c>
      <c r="U140">
        <v>456838</v>
      </c>
      <c r="V140">
        <v>0</v>
      </c>
      <c r="W140">
        <v>456838</v>
      </c>
      <c r="X140">
        <v>254427</v>
      </c>
      <c r="Y140">
        <v>-180</v>
      </c>
      <c r="Z140">
        <v>0</v>
      </c>
      <c r="AA140">
        <v>0</v>
      </c>
      <c r="AB140">
        <v>254427</v>
      </c>
      <c r="AC140">
        <v>-180</v>
      </c>
      <c r="AD140">
        <v>254247</v>
      </c>
      <c r="AE140">
        <v>-254427</v>
      </c>
      <c r="AF140">
        <v>180</v>
      </c>
      <c r="AG140">
        <v>-254247</v>
      </c>
      <c r="AH140">
        <v>-5695978</v>
      </c>
      <c r="AI140">
        <v>-10484</v>
      </c>
      <c r="AJ140">
        <v>-5706462</v>
      </c>
      <c r="AK140">
        <v>-21627</v>
      </c>
      <c r="AL140">
        <v>0</v>
      </c>
      <c r="AM140">
        <v>-21627</v>
      </c>
      <c r="AN140">
        <v>1266241</v>
      </c>
      <c r="AO140">
        <v>51990</v>
      </c>
      <c r="AP140">
        <v>1318231</v>
      </c>
      <c r="AQ140">
        <v>-4429737</v>
      </c>
      <c r="AR140">
        <v>41506</v>
      </c>
      <c r="AS140">
        <v>-4388231</v>
      </c>
      <c r="AT140">
        <v>-3410090</v>
      </c>
      <c r="AU140">
        <v>-213688</v>
      </c>
      <c r="AV140">
        <v>-3623778</v>
      </c>
      <c r="AW140">
        <v>-210425</v>
      </c>
      <c r="AX140">
        <v>0</v>
      </c>
      <c r="AY140">
        <v>-210425</v>
      </c>
      <c r="AZ140">
        <v>-33382</v>
      </c>
      <c r="BA140">
        <v>0</v>
      </c>
      <c r="BB140">
        <v>-33382</v>
      </c>
      <c r="BC140">
        <v>0</v>
      </c>
      <c r="BD140">
        <v>0</v>
      </c>
      <c r="BE140">
        <v>0</v>
      </c>
      <c r="BF140">
        <v>-8083634</v>
      </c>
      <c r="BG140">
        <v>-172182</v>
      </c>
      <c r="BH140">
        <v>0</v>
      </c>
      <c r="BI140">
        <v>0</v>
      </c>
      <c r="BJ140">
        <v>-8083634</v>
      </c>
      <c r="BK140">
        <v>-172182</v>
      </c>
      <c r="BL140">
        <v>-8255816</v>
      </c>
      <c r="BM140">
        <v>0</v>
      </c>
      <c r="BN140">
        <v>0</v>
      </c>
      <c r="BO140">
        <v>0</v>
      </c>
      <c r="BP140">
        <v>-1830965</v>
      </c>
      <c r="BQ140">
        <v>-73856</v>
      </c>
      <c r="BR140">
        <v>-1904821</v>
      </c>
      <c r="BS140">
        <v>-1830965</v>
      </c>
      <c r="BT140">
        <v>-73856</v>
      </c>
      <c r="BU140">
        <v>0</v>
      </c>
      <c r="BV140">
        <v>0</v>
      </c>
      <c r="BW140">
        <v>-1830965</v>
      </c>
      <c r="BX140">
        <v>-73856</v>
      </c>
      <c r="BY140">
        <v>-1904821</v>
      </c>
      <c r="BZ140">
        <v>-9236</v>
      </c>
      <c r="CA140">
        <v>0</v>
      </c>
      <c r="CB140">
        <v>-9236</v>
      </c>
      <c r="CC140">
        <v>-42020</v>
      </c>
      <c r="CD140">
        <v>0</v>
      </c>
      <c r="CE140">
        <v>-42020</v>
      </c>
      <c r="CF140">
        <v>0</v>
      </c>
      <c r="CG140">
        <v>0</v>
      </c>
      <c r="CH140">
        <v>0</v>
      </c>
      <c r="CI140">
        <v>0</v>
      </c>
      <c r="CJ140">
        <v>0</v>
      </c>
      <c r="CK140">
        <v>0</v>
      </c>
      <c r="CL140">
        <v>0</v>
      </c>
      <c r="CM140">
        <v>0</v>
      </c>
      <c r="CN140">
        <v>0</v>
      </c>
      <c r="CO140">
        <v>0</v>
      </c>
      <c r="CP140">
        <v>-245189</v>
      </c>
      <c r="CQ140">
        <v>-245189</v>
      </c>
      <c r="CR140">
        <v>-245189</v>
      </c>
      <c r="CS140">
        <v>0</v>
      </c>
      <c r="CT140">
        <v>-51256</v>
      </c>
      <c r="CU140">
        <v>-245189</v>
      </c>
      <c r="CV140">
        <v>0</v>
      </c>
      <c r="CW140">
        <v>0</v>
      </c>
      <c r="CX140">
        <v>-51256</v>
      </c>
      <c r="CY140">
        <v>-245189</v>
      </c>
      <c r="CZ140">
        <v>-296445</v>
      </c>
      <c r="DA140">
        <v>-35877</v>
      </c>
      <c r="DB140">
        <v>0</v>
      </c>
      <c r="DC140">
        <v>-35877</v>
      </c>
      <c r="DD140">
        <v>-32059</v>
      </c>
      <c r="DE140">
        <v>0</v>
      </c>
      <c r="DF140">
        <v>-32059</v>
      </c>
      <c r="DG140">
        <v>-9857</v>
      </c>
      <c r="DH140">
        <v>0</v>
      </c>
      <c r="DI140">
        <v>-9857</v>
      </c>
      <c r="DJ140">
        <v>-982772</v>
      </c>
      <c r="DK140">
        <v>0</v>
      </c>
      <c r="DL140">
        <v>-982772</v>
      </c>
      <c r="DM140">
        <v>-1060565</v>
      </c>
      <c r="DN140">
        <v>0</v>
      </c>
      <c r="DO140">
        <v>0</v>
      </c>
      <c r="DP140">
        <v>0</v>
      </c>
      <c r="DQ140">
        <v>-1060565</v>
      </c>
      <c r="DR140">
        <v>0</v>
      </c>
      <c r="DS140">
        <v>-1060565</v>
      </c>
      <c r="DT140">
        <v>63005148</v>
      </c>
      <c r="DU140">
        <v>1730166</v>
      </c>
      <c r="DV140" s="661">
        <v>64735314</v>
      </c>
      <c r="DW140" t="s">
        <v>1791</v>
      </c>
    </row>
    <row r="141" spans="1:127" ht="12.75" x14ac:dyDescent="0.2">
      <c r="A141" s="605">
        <v>134</v>
      </c>
      <c r="B141" s="606" t="s">
        <v>152</v>
      </c>
      <c r="C141" s="607" t="s">
        <v>1185</v>
      </c>
      <c r="D141" s="608" t="s">
        <v>1187</v>
      </c>
      <c r="E141" s="609" t="s">
        <v>151</v>
      </c>
      <c r="G141">
        <v>56304231</v>
      </c>
      <c r="H141">
        <v>0</v>
      </c>
      <c r="I141">
        <v>56304231</v>
      </c>
      <c r="J141">
        <v>49.9</v>
      </c>
      <c r="K141">
        <v>28095811</v>
      </c>
      <c r="L141">
        <v>0</v>
      </c>
      <c r="M141">
        <v>0</v>
      </c>
      <c r="N141">
        <v>0</v>
      </c>
      <c r="O141">
        <v>28095811</v>
      </c>
      <c r="P141">
        <v>0</v>
      </c>
      <c r="Q141">
        <v>28095811</v>
      </c>
      <c r="R141">
        <v>-109070</v>
      </c>
      <c r="S141">
        <v>0</v>
      </c>
      <c r="T141">
        <v>-109070</v>
      </c>
      <c r="U141">
        <v>285349</v>
      </c>
      <c r="V141">
        <v>0</v>
      </c>
      <c r="W141">
        <v>285349</v>
      </c>
      <c r="X141">
        <v>176279</v>
      </c>
      <c r="Y141">
        <v>0</v>
      </c>
      <c r="Z141">
        <v>0</v>
      </c>
      <c r="AA141">
        <v>0</v>
      </c>
      <c r="AB141">
        <v>176279</v>
      </c>
      <c r="AC141">
        <v>0</v>
      </c>
      <c r="AD141">
        <v>176279</v>
      </c>
      <c r="AE141">
        <v>-176279</v>
      </c>
      <c r="AF141">
        <v>0</v>
      </c>
      <c r="AG141">
        <v>-176279</v>
      </c>
      <c r="AH141">
        <v>-4131177</v>
      </c>
      <c r="AI141">
        <v>0</v>
      </c>
      <c r="AJ141">
        <v>-4131177</v>
      </c>
      <c r="AK141">
        <v>-8550</v>
      </c>
      <c r="AL141">
        <v>0</v>
      </c>
      <c r="AM141">
        <v>-8550</v>
      </c>
      <c r="AN141">
        <v>500000</v>
      </c>
      <c r="AO141">
        <v>0</v>
      </c>
      <c r="AP141">
        <v>500000</v>
      </c>
      <c r="AQ141">
        <v>-3631177</v>
      </c>
      <c r="AR141">
        <v>0</v>
      </c>
      <c r="AS141">
        <v>-3631177</v>
      </c>
      <c r="AT141">
        <v>-1507530</v>
      </c>
      <c r="AU141">
        <v>0</v>
      </c>
      <c r="AV141">
        <v>-1507530</v>
      </c>
      <c r="AW141">
        <v>-56259</v>
      </c>
      <c r="AX141">
        <v>0</v>
      </c>
      <c r="AY141">
        <v>-56259</v>
      </c>
      <c r="AZ141">
        <v>0</v>
      </c>
      <c r="BA141">
        <v>0</v>
      </c>
      <c r="BB141">
        <v>0</v>
      </c>
      <c r="BC141">
        <v>0</v>
      </c>
      <c r="BD141">
        <v>0</v>
      </c>
      <c r="BE141">
        <v>0</v>
      </c>
      <c r="BF141">
        <v>-5194966</v>
      </c>
      <c r="BG141">
        <v>0</v>
      </c>
      <c r="BH141">
        <v>-779245</v>
      </c>
      <c r="BI141">
        <v>0</v>
      </c>
      <c r="BJ141">
        <v>-5974211</v>
      </c>
      <c r="BK141">
        <v>0</v>
      </c>
      <c r="BL141">
        <v>-5974211</v>
      </c>
      <c r="BM141">
        <v>0</v>
      </c>
      <c r="BN141">
        <v>0</v>
      </c>
      <c r="BO141">
        <v>0</v>
      </c>
      <c r="BP141">
        <v>-982851</v>
      </c>
      <c r="BQ141">
        <v>0</v>
      </c>
      <c r="BR141">
        <v>-982851</v>
      </c>
      <c r="BS141">
        <v>-982851</v>
      </c>
      <c r="BT141">
        <v>0</v>
      </c>
      <c r="BU141">
        <v>-500000</v>
      </c>
      <c r="BV141">
        <v>0</v>
      </c>
      <c r="BW141">
        <v>-1482851</v>
      </c>
      <c r="BX141">
        <v>0</v>
      </c>
      <c r="BY141">
        <v>-1482851</v>
      </c>
      <c r="BZ141">
        <v>-121531</v>
      </c>
      <c r="CA141">
        <v>0</v>
      </c>
      <c r="CB141">
        <v>-121531</v>
      </c>
      <c r="CC141">
        <v>-78283</v>
      </c>
      <c r="CD141">
        <v>0</v>
      </c>
      <c r="CE141">
        <v>-78283</v>
      </c>
      <c r="CF141">
        <v>0</v>
      </c>
      <c r="CG141">
        <v>0</v>
      </c>
      <c r="CH141">
        <v>0</v>
      </c>
      <c r="CI141">
        <v>0</v>
      </c>
      <c r="CJ141">
        <v>0</v>
      </c>
      <c r="CK141">
        <v>0</v>
      </c>
      <c r="CL141">
        <v>0</v>
      </c>
      <c r="CM141">
        <v>0</v>
      </c>
      <c r="CN141">
        <v>0</v>
      </c>
      <c r="CO141">
        <v>0</v>
      </c>
      <c r="CP141">
        <v>0</v>
      </c>
      <c r="CQ141">
        <v>0</v>
      </c>
      <c r="CR141">
        <v>0</v>
      </c>
      <c r="CS141">
        <v>0</v>
      </c>
      <c r="CT141">
        <v>-199814</v>
      </c>
      <c r="CU141">
        <v>0</v>
      </c>
      <c r="CV141">
        <v>-25000</v>
      </c>
      <c r="CW141">
        <v>0</v>
      </c>
      <c r="CX141">
        <v>-224814</v>
      </c>
      <c r="CY141">
        <v>0</v>
      </c>
      <c r="CZ141">
        <v>-224814</v>
      </c>
      <c r="DA141">
        <v>0</v>
      </c>
      <c r="DB141">
        <v>0</v>
      </c>
      <c r="DC141">
        <v>0</v>
      </c>
      <c r="DD141">
        <v>0</v>
      </c>
      <c r="DE141">
        <v>0</v>
      </c>
      <c r="DF141">
        <v>0</v>
      </c>
      <c r="DG141">
        <v>-2000</v>
      </c>
      <c r="DH141">
        <v>0</v>
      </c>
      <c r="DI141">
        <v>-2000</v>
      </c>
      <c r="DJ141">
        <v>-411607</v>
      </c>
      <c r="DK141">
        <v>0</v>
      </c>
      <c r="DL141">
        <v>-411607</v>
      </c>
      <c r="DM141">
        <v>-413607</v>
      </c>
      <c r="DN141">
        <v>0</v>
      </c>
      <c r="DO141">
        <v>0</v>
      </c>
      <c r="DP141">
        <v>0</v>
      </c>
      <c r="DQ141">
        <v>-413607</v>
      </c>
      <c r="DR141">
        <v>0</v>
      </c>
      <c r="DS141">
        <v>-413607</v>
      </c>
      <c r="DT141">
        <v>20176607</v>
      </c>
      <c r="DU141">
        <v>0</v>
      </c>
      <c r="DV141" s="661">
        <v>20176607</v>
      </c>
      <c r="DW141" t="s">
        <v>1792</v>
      </c>
    </row>
    <row r="142" spans="1:127" ht="12.75" x14ac:dyDescent="0.2">
      <c r="A142" s="605">
        <v>135</v>
      </c>
      <c r="B142" s="606" t="s">
        <v>154</v>
      </c>
      <c r="C142" s="607" t="s">
        <v>1185</v>
      </c>
      <c r="D142" s="608" t="s">
        <v>1189</v>
      </c>
      <c r="E142" s="609" t="s">
        <v>153</v>
      </c>
      <c r="G142">
        <v>135872933</v>
      </c>
      <c r="H142">
        <v>2103710</v>
      </c>
      <c r="I142">
        <v>137976643</v>
      </c>
      <c r="J142">
        <v>49.9</v>
      </c>
      <c r="K142">
        <v>67800594</v>
      </c>
      <c r="L142">
        <v>1049751</v>
      </c>
      <c r="M142">
        <v>185500</v>
      </c>
      <c r="N142">
        <v>-25000</v>
      </c>
      <c r="O142">
        <v>67986094</v>
      </c>
      <c r="P142">
        <v>1024751</v>
      </c>
      <c r="Q142">
        <v>69010845</v>
      </c>
      <c r="R142">
        <v>-123023</v>
      </c>
      <c r="S142">
        <v>0</v>
      </c>
      <c r="T142">
        <v>-123023</v>
      </c>
      <c r="U142">
        <v>437727</v>
      </c>
      <c r="V142">
        <v>0</v>
      </c>
      <c r="W142">
        <v>437727</v>
      </c>
      <c r="X142">
        <v>314704</v>
      </c>
      <c r="Y142">
        <v>0</v>
      </c>
      <c r="Z142">
        <v>0</v>
      </c>
      <c r="AA142">
        <v>0</v>
      </c>
      <c r="AB142">
        <v>314704</v>
      </c>
      <c r="AC142">
        <v>0</v>
      </c>
      <c r="AD142">
        <v>314704</v>
      </c>
      <c r="AE142">
        <v>-314704</v>
      </c>
      <c r="AF142">
        <v>0</v>
      </c>
      <c r="AG142">
        <v>-314704</v>
      </c>
      <c r="AH142">
        <v>-4444128</v>
      </c>
      <c r="AI142">
        <v>-4566</v>
      </c>
      <c r="AJ142">
        <v>-4448694</v>
      </c>
      <c r="AK142">
        <v>-27695</v>
      </c>
      <c r="AL142">
        <v>0</v>
      </c>
      <c r="AM142">
        <v>-27695</v>
      </c>
      <c r="AN142">
        <v>1301025</v>
      </c>
      <c r="AO142">
        <v>23966</v>
      </c>
      <c r="AP142">
        <v>1324991</v>
      </c>
      <c r="AQ142">
        <v>-3143103</v>
      </c>
      <c r="AR142">
        <v>19400</v>
      </c>
      <c r="AS142">
        <v>-3123703</v>
      </c>
      <c r="AT142">
        <v>-4817777</v>
      </c>
      <c r="AU142">
        <v>0</v>
      </c>
      <c r="AV142">
        <v>-4817777</v>
      </c>
      <c r="AW142">
        <v>-107942</v>
      </c>
      <c r="AX142">
        <v>0</v>
      </c>
      <c r="AY142">
        <v>-107942</v>
      </c>
      <c r="AZ142">
        <v>0</v>
      </c>
      <c r="BA142">
        <v>0</v>
      </c>
      <c r="BB142">
        <v>0</v>
      </c>
      <c r="BC142">
        <v>0</v>
      </c>
      <c r="BD142">
        <v>0</v>
      </c>
      <c r="BE142">
        <v>0</v>
      </c>
      <c r="BF142">
        <v>-8068822</v>
      </c>
      <c r="BG142">
        <v>19400</v>
      </c>
      <c r="BH142">
        <v>0</v>
      </c>
      <c r="BI142">
        <v>0</v>
      </c>
      <c r="BJ142">
        <v>-8068822</v>
      </c>
      <c r="BK142">
        <v>19400</v>
      </c>
      <c r="BL142">
        <v>-8049422</v>
      </c>
      <c r="BM142">
        <v>-63000</v>
      </c>
      <c r="BN142">
        <v>0</v>
      </c>
      <c r="BO142">
        <v>-63000</v>
      </c>
      <c r="BP142">
        <v>-1640476</v>
      </c>
      <c r="BQ142">
        <v>-13722</v>
      </c>
      <c r="BR142">
        <v>-1654198</v>
      </c>
      <c r="BS142">
        <v>-1703476</v>
      </c>
      <c r="BT142">
        <v>-13722</v>
      </c>
      <c r="BU142">
        <v>-350000</v>
      </c>
      <c r="BV142">
        <v>0</v>
      </c>
      <c r="BW142">
        <v>-2053476</v>
      </c>
      <c r="BX142">
        <v>-13722</v>
      </c>
      <c r="BY142">
        <v>-2067198</v>
      </c>
      <c r="BZ142">
        <v>-141439</v>
      </c>
      <c r="CA142">
        <v>0</v>
      </c>
      <c r="CB142">
        <v>-141439</v>
      </c>
      <c r="CC142">
        <v>-41813</v>
      </c>
      <c r="CD142">
        <v>0</v>
      </c>
      <c r="CE142">
        <v>-41813</v>
      </c>
      <c r="CF142">
        <v>0</v>
      </c>
      <c r="CG142">
        <v>0</v>
      </c>
      <c r="CH142">
        <v>0</v>
      </c>
      <c r="CI142">
        <v>0</v>
      </c>
      <c r="CJ142">
        <v>0</v>
      </c>
      <c r="CK142">
        <v>0</v>
      </c>
      <c r="CL142">
        <v>0</v>
      </c>
      <c r="CM142">
        <v>0</v>
      </c>
      <c r="CN142">
        <v>0</v>
      </c>
      <c r="CO142">
        <v>0</v>
      </c>
      <c r="CP142">
        <v>-177520</v>
      </c>
      <c r="CQ142">
        <v>-177520</v>
      </c>
      <c r="CR142">
        <v>-177520</v>
      </c>
      <c r="CS142">
        <v>0</v>
      </c>
      <c r="CT142">
        <v>-183252</v>
      </c>
      <c r="CU142">
        <v>-177520</v>
      </c>
      <c r="CV142">
        <v>0</v>
      </c>
      <c r="CW142">
        <v>0</v>
      </c>
      <c r="CX142">
        <v>-183252</v>
      </c>
      <c r="CY142">
        <v>-177520</v>
      </c>
      <c r="CZ142">
        <v>-360772</v>
      </c>
      <c r="DA142">
        <v>0</v>
      </c>
      <c r="DB142">
        <v>0</v>
      </c>
      <c r="DC142">
        <v>0</v>
      </c>
      <c r="DD142">
        <v>-6149</v>
      </c>
      <c r="DE142">
        <v>0</v>
      </c>
      <c r="DF142">
        <v>-6149</v>
      </c>
      <c r="DG142">
        <v>-5975</v>
      </c>
      <c r="DH142">
        <v>0</v>
      </c>
      <c r="DI142">
        <v>-5975</v>
      </c>
      <c r="DJ142">
        <v>-822531</v>
      </c>
      <c r="DK142">
        <v>0</v>
      </c>
      <c r="DL142">
        <v>-822531</v>
      </c>
      <c r="DM142">
        <v>-834655</v>
      </c>
      <c r="DN142">
        <v>0</v>
      </c>
      <c r="DO142">
        <v>0</v>
      </c>
      <c r="DP142">
        <v>0</v>
      </c>
      <c r="DQ142">
        <v>-834655</v>
      </c>
      <c r="DR142">
        <v>0</v>
      </c>
      <c r="DS142">
        <v>-834655</v>
      </c>
      <c r="DT142">
        <v>57160593</v>
      </c>
      <c r="DU142">
        <v>852909</v>
      </c>
      <c r="DV142" s="661">
        <v>58013502</v>
      </c>
      <c r="DW142" t="s">
        <v>1793</v>
      </c>
    </row>
    <row r="143" spans="1:127" ht="12.75" x14ac:dyDescent="0.2">
      <c r="A143" s="605">
        <v>136</v>
      </c>
      <c r="B143" s="606" t="s">
        <v>156</v>
      </c>
      <c r="C143" s="607" t="s">
        <v>524</v>
      </c>
      <c r="D143" s="608" t="s">
        <v>1186</v>
      </c>
      <c r="E143" s="609" t="s">
        <v>912</v>
      </c>
      <c r="G143">
        <v>111767832</v>
      </c>
      <c r="H143">
        <v>0</v>
      </c>
      <c r="I143">
        <v>111767832</v>
      </c>
      <c r="J143">
        <v>49.9</v>
      </c>
      <c r="K143">
        <v>55772148</v>
      </c>
      <c r="L143">
        <v>0</v>
      </c>
      <c r="M143">
        <v>0</v>
      </c>
      <c r="N143">
        <v>0</v>
      </c>
      <c r="O143">
        <v>55772148</v>
      </c>
      <c r="P143">
        <v>0</v>
      </c>
      <c r="Q143">
        <v>55772148</v>
      </c>
      <c r="R143">
        <v>-626956</v>
      </c>
      <c r="S143">
        <v>0</v>
      </c>
      <c r="T143">
        <v>-626956</v>
      </c>
      <c r="U143">
        <v>101226</v>
      </c>
      <c r="V143">
        <v>0</v>
      </c>
      <c r="W143">
        <v>101226</v>
      </c>
      <c r="X143">
        <v>-525730</v>
      </c>
      <c r="Y143">
        <v>0</v>
      </c>
      <c r="Z143">
        <v>0</v>
      </c>
      <c r="AA143">
        <v>0</v>
      </c>
      <c r="AB143">
        <v>-525730</v>
      </c>
      <c r="AC143">
        <v>0</v>
      </c>
      <c r="AD143">
        <v>-525730</v>
      </c>
      <c r="AE143">
        <v>525730</v>
      </c>
      <c r="AF143">
        <v>0</v>
      </c>
      <c r="AG143">
        <v>525730</v>
      </c>
      <c r="AH143">
        <v>-8725179</v>
      </c>
      <c r="AI143">
        <v>0</v>
      </c>
      <c r="AJ143">
        <v>-8725179</v>
      </c>
      <c r="AK143">
        <v>-30674</v>
      </c>
      <c r="AL143">
        <v>0</v>
      </c>
      <c r="AM143">
        <v>-30674</v>
      </c>
      <c r="AN143">
        <v>861052</v>
      </c>
      <c r="AO143">
        <v>0</v>
      </c>
      <c r="AP143">
        <v>861052</v>
      </c>
      <c r="AQ143">
        <v>-7864127</v>
      </c>
      <c r="AR143">
        <v>0</v>
      </c>
      <c r="AS143">
        <v>-7864127</v>
      </c>
      <c r="AT143">
        <v>-3703111</v>
      </c>
      <c r="AU143">
        <v>0</v>
      </c>
      <c r="AV143">
        <v>-3703111</v>
      </c>
      <c r="AW143">
        <v>-106578</v>
      </c>
      <c r="AX143">
        <v>0</v>
      </c>
      <c r="AY143">
        <v>-106578</v>
      </c>
      <c r="AZ143">
        <v>0</v>
      </c>
      <c r="BA143">
        <v>0</v>
      </c>
      <c r="BB143">
        <v>0</v>
      </c>
      <c r="BC143">
        <v>-23116</v>
      </c>
      <c r="BD143">
        <v>0</v>
      </c>
      <c r="BE143">
        <v>-23116</v>
      </c>
      <c r="BF143">
        <v>-11696932</v>
      </c>
      <c r="BG143">
        <v>0</v>
      </c>
      <c r="BH143">
        <v>0</v>
      </c>
      <c r="BI143">
        <v>0</v>
      </c>
      <c r="BJ143">
        <v>-11696932</v>
      </c>
      <c r="BK143">
        <v>0</v>
      </c>
      <c r="BL143">
        <v>-11696932</v>
      </c>
      <c r="BM143">
        <v>-10000</v>
      </c>
      <c r="BN143">
        <v>0</v>
      </c>
      <c r="BO143">
        <v>-10000</v>
      </c>
      <c r="BP143">
        <v>-1074775</v>
      </c>
      <c r="BQ143">
        <v>0</v>
      </c>
      <c r="BR143">
        <v>-1074775</v>
      </c>
      <c r="BS143">
        <v>-1084775</v>
      </c>
      <c r="BT143">
        <v>0</v>
      </c>
      <c r="BU143">
        <v>0</v>
      </c>
      <c r="BV143">
        <v>0</v>
      </c>
      <c r="BW143">
        <v>-1084775</v>
      </c>
      <c r="BX143">
        <v>0</v>
      </c>
      <c r="BY143">
        <v>-1084775</v>
      </c>
      <c r="BZ143">
        <v>-158773</v>
      </c>
      <c r="CA143">
        <v>0</v>
      </c>
      <c r="CB143">
        <v>-158773</v>
      </c>
      <c r="CC143">
        <v>-61609</v>
      </c>
      <c r="CD143">
        <v>0</v>
      </c>
      <c r="CE143">
        <v>-61609</v>
      </c>
      <c r="CF143">
        <v>-972</v>
      </c>
      <c r="CG143">
        <v>0</v>
      </c>
      <c r="CH143">
        <v>-972</v>
      </c>
      <c r="CI143">
        <v>0</v>
      </c>
      <c r="CJ143">
        <v>0</v>
      </c>
      <c r="CK143">
        <v>0</v>
      </c>
      <c r="CL143">
        <v>0</v>
      </c>
      <c r="CM143">
        <v>0</v>
      </c>
      <c r="CN143">
        <v>0</v>
      </c>
      <c r="CO143">
        <v>0</v>
      </c>
      <c r="CP143">
        <v>0</v>
      </c>
      <c r="CQ143">
        <v>0</v>
      </c>
      <c r="CR143">
        <v>0</v>
      </c>
      <c r="CS143">
        <v>0</v>
      </c>
      <c r="CT143">
        <v>-221354</v>
      </c>
      <c r="CU143">
        <v>0</v>
      </c>
      <c r="CV143">
        <v>0</v>
      </c>
      <c r="CW143">
        <v>0</v>
      </c>
      <c r="CX143">
        <v>-221354</v>
      </c>
      <c r="CY143">
        <v>0</v>
      </c>
      <c r="CZ143">
        <v>-221354</v>
      </c>
      <c r="DA143">
        <v>-636</v>
      </c>
      <c r="DB143">
        <v>0</v>
      </c>
      <c r="DC143">
        <v>-636</v>
      </c>
      <c r="DD143">
        <v>-34115</v>
      </c>
      <c r="DE143">
        <v>0</v>
      </c>
      <c r="DF143">
        <v>-34115</v>
      </c>
      <c r="DG143">
        <v>-14388</v>
      </c>
      <c r="DH143">
        <v>0</v>
      </c>
      <c r="DI143">
        <v>-14388</v>
      </c>
      <c r="DJ143">
        <v>-859318</v>
      </c>
      <c r="DK143">
        <v>0</v>
      </c>
      <c r="DL143">
        <v>-859318</v>
      </c>
      <c r="DM143">
        <v>-908457</v>
      </c>
      <c r="DN143">
        <v>0</v>
      </c>
      <c r="DO143">
        <v>0</v>
      </c>
      <c r="DP143">
        <v>0</v>
      </c>
      <c r="DQ143">
        <v>-908457</v>
      </c>
      <c r="DR143">
        <v>0</v>
      </c>
      <c r="DS143">
        <v>-908457</v>
      </c>
      <c r="DT143">
        <v>41334900</v>
      </c>
      <c r="DU143">
        <v>0</v>
      </c>
      <c r="DV143" s="661">
        <v>41334900</v>
      </c>
      <c r="DW143" t="s">
        <v>1794</v>
      </c>
    </row>
    <row r="144" spans="1:127" ht="12.75" x14ac:dyDescent="0.2">
      <c r="A144" s="605">
        <v>137</v>
      </c>
      <c r="B144" s="606" t="s">
        <v>158</v>
      </c>
      <c r="C144" s="607" t="s">
        <v>524</v>
      </c>
      <c r="D144" s="608" t="s">
        <v>1194</v>
      </c>
      <c r="E144" s="609" t="s">
        <v>913</v>
      </c>
      <c r="G144">
        <v>4596439</v>
      </c>
      <c r="H144">
        <v>0</v>
      </c>
      <c r="I144">
        <v>4596439</v>
      </c>
      <c r="J144">
        <v>49.9</v>
      </c>
      <c r="K144">
        <v>2293623</v>
      </c>
      <c r="L144">
        <v>0</v>
      </c>
      <c r="M144">
        <v>0</v>
      </c>
      <c r="N144">
        <v>0</v>
      </c>
      <c r="O144">
        <v>2293623</v>
      </c>
      <c r="P144">
        <v>0</v>
      </c>
      <c r="Q144">
        <v>2293623</v>
      </c>
      <c r="R144">
        <v>-7888</v>
      </c>
      <c r="S144">
        <v>0</v>
      </c>
      <c r="T144">
        <v>-7888</v>
      </c>
      <c r="U144">
        <v>59</v>
      </c>
      <c r="V144">
        <v>0</v>
      </c>
      <c r="W144">
        <v>59</v>
      </c>
      <c r="X144">
        <v>-7829</v>
      </c>
      <c r="Y144">
        <v>0</v>
      </c>
      <c r="Z144">
        <v>0</v>
      </c>
      <c r="AA144">
        <v>0</v>
      </c>
      <c r="AB144">
        <v>-7829</v>
      </c>
      <c r="AC144">
        <v>0</v>
      </c>
      <c r="AD144">
        <v>-7829</v>
      </c>
      <c r="AE144">
        <v>7829</v>
      </c>
      <c r="AF144">
        <v>0</v>
      </c>
      <c r="AG144">
        <v>7829</v>
      </c>
      <c r="AH144">
        <v>-628869</v>
      </c>
      <c r="AI144">
        <v>0</v>
      </c>
      <c r="AJ144">
        <v>-628869</v>
      </c>
      <c r="AK144">
        <v>0</v>
      </c>
      <c r="AL144">
        <v>0</v>
      </c>
      <c r="AM144">
        <v>0</v>
      </c>
      <c r="AN144">
        <v>19452</v>
      </c>
      <c r="AO144">
        <v>0</v>
      </c>
      <c r="AP144">
        <v>19452</v>
      </c>
      <c r="AQ144">
        <v>-609417</v>
      </c>
      <c r="AR144">
        <v>0</v>
      </c>
      <c r="AS144">
        <v>-609417</v>
      </c>
      <c r="AT144">
        <v>-48694</v>
      </c>
      <c r="AU144">
        <v>0</v>
      </c>
      <c r="AV144">
        <v>-48694</v>
      </c>
      <c r="AW144">
        <v>-7864</v>
      </c>
      <c r="AX144">
        <v>0</v>
      </c>
      <c r="AY144">
        <v>-7864</v>
      </c>
      <c r="AZ144">
        <v>-2161</v>
      </c>
      <c r="BA144">
        <v>0</v>
      </c>
      <c r="BB144">
        <v>-2161</v>
      </c>
      <c r="BC144">
        <v>0</v>
      </c>
      <c r="BD144">
        <v>0</v>
      </c>
      <c r="BE144">
        <v>0</v>
      </c>
      <c r="BF144">
        <v>-668136</v>
      </c>
      <c r="BG144">
        <v>0</v>
      </c>
      <c r="BH144">
        <v>0</v>
      </c>
      <c r="BI144">
        <v>0</v>
      </c>
      <c r="BJ144">
        <v>-668136</v>
      </c>
      <c r="BK144">
        <v>0</v>
      </c>
      <c r="BL144">
        <v>-668136</v>
      </c>
      <c r="BM144">
        <v>0</v>
      </c>
      <c r="BN144">
        <v>0</v>
      </c>
      <c r="BO144">
        <v>0</v>
      </c>
      <c r="BP144">
        <v>-3162</v>
      </c>
      <c r="BQ144">
        <v>0</v>
      </c>
      <c r="BR144">
        <v>-3162</v>
      </c>
      <c r="BS144">
        <v>-3162</v>
      </c>
      <c r="BT144">
        <v>0</v>
      </c>
      <c r="BU144">
        <v>0</v>
      </c>
      <c r="BV144">
        <v>0</v>
      </c>
      <c r="BW144">
        <v>-3162</v>
      </c>
      <c r="BX144">
        <v>0</v>
      </c>
      <c r="BY144">
        <v>-3162</v>
      </c>
      <c r="BZ144">
        <v>-3039</v>
      </c>
      <c r="CA144">
        <v>0</v>
      </c>
      <c r="CB144">
        <v>-3039</v>
      </c>
      <c r="CC144">
        <v>-3784</v>
      </c>
      <c r="CD144">
        <v>0</v>
      </c>
      <c r="CE144">
        <v>-3784</v>
      </c>
      <c r="CF144">
        <v>-1674</v>
      </c>
      <c r="CG144">
        <v>0</v>
      </c>
      <c r="CH144">
        <v>-1674</v>
      </c>
      <c r="CI144">
        <v>0</v>
      </c>
      <c r="CJ144">
        <v>0</v>
      </c>
      <c r="CK144">
        <v>0</v>
      </c>
      <c r="CL144">
        <v>0</v>
      </c>
      <c r="CM144">
        <v>0</v>
      </c>
      <c r="CN144">
        <v>0</v>
      </c>
      <c r="CO144">
        <v>0</v>
      </c>
      <c r="CP144">
        <v>0</v>
      </c>
      <c r="CQ144">
        <v>0</v>
      </c>
      <c r="CR144">
        <v>0</v>
      </c>
      <c r="CS144">
        <v>0</v>
      </c>
      <c r="CT144">
        <v>-8497</v>
      </c>
      <c r="CU144">
        <v>0</v>
      </c>
      <c r="CV144">
        <v>0</v>
      </c>
      <c r="CW144">
        <v>0</v>
      </c>
      <c r="CX144">
        <v>-8497</v>
      </c>
      <c r="CY144">
        <v>0</v>
      </c>
      <c r="CZ144">
        <v>-8497</v>
      </c>
      <c r="DA144">
        <v>-2161</v>
      </c>
      <c r="DB144">
        <v>0</v>
      </c>
      <c r="DC144">
        <v>-2161</v>
      </c>
      <c r="DD144">
        <v>0</v>
      </c>
      <c r="DE144">
        <v>0</v>
      </c>
      <c r="DF144">
        <v>0</v>
      </c>
      <c r="DG144">
        <v>0</v>
      </c>
      <c r="DH144">
        <v>0</v>
      </c>
      <c r="DI144">
        <v>0</v>
      </c>
      <c r="DJ144">
        <v>-61186</v>
      </c>
      <c r="DK144">
        <v>0</v>
      </c>
      <c r="DL144">
        <v>-61186</v>
      </c>
      <c r="DM144">
        <v>-63347</v>
      </c>
      <c r="DN144">
        <v>0</v>
      </c>
      <c r="DO144">
        <v>0</v>
      </c>
      <c r="DP144">
        <v>0</v>
      </c>
      <c r="DQ144">
        <v>-63347</v>
      </c>
      <c r="DR144">
        <v>0</v>
      </c>
      <c r="DS144">
        <v>-63347</v>
      </c>
      <c r="DT144">
        <v>1542652</v>
      </c>
      <c r="DU144">
        <v>0</v>
      </c>
      <c r="DV144" s="661">
        <v>1542652</v>
      </c>
      <c r="DW144" t="s">
        <v>1795</v>
      </c>
    </row>
    <row r="145" spans="1:127" ht="12.75" x14ac:dyDescent="0.2">
      <c r="A145" s="605">
        <v>138</v>
      </c>
      <c r="B145" s="606" t="s">
        <v>160</v>
      </c>
      <c r="C145" s="607" t="s">
        <v>1196</v>
      </c>
      <c r="D145" s="608" t="s">
        <v>1191</v>
      </c>
      <c r="E145" s="609" t="s">
        <v>159</v>
      </c>
      <c r="G145">
        <v>717531478</v>
      </c>
      <c r="H145">
        <v>0</v>
      </c>
      <c r="I145">
        <v>717531478</v>
      </c>
      <c r="J145">
        <v>49.9</v>
      </c>
      <c r="K145">
        <v>358048208</v>
      </c>
      <c r="L145">
        <v>0</v>
      </c>
      <c r="M145">
        <v>-3369077</v>
      </c>
      <c r="N145">
        <v>0</v>
      </c>
      <c r="O145">
        <v>354679131</v>
      </c>
      <c r="P145">
        <v>0</v>
      </c>
      <c r="Q145">
        <v>354679131</v>
      </c>
      <c r="R145">
        <v>-3705293</v>
      </c>
      <c r="S145">
        <v>0</v>
      </c>
      <c r="T145">
        <v>-3705293</v>
      </c>
      <c r="U145">
        <v>145196</v>
      </c>
      <c r="V145">
        <v>0</v>
      </c>
      <c r="W145">
        <v>145196</v>
      </c>
      <c r="X145">
        <v>-3560097</v>
      </c>
      <c r="Y145">
        <v>0</v>
      </c>
      <c r="Z145">
        <v>0</v>
      </c>
      <c r="AA145">
        <v>0</v>
      </c>
      <c r="AB145">
        <v>-3560097</v>
      </c>
      <c r="AC145">
        <v>0</v>
      </c>
      <c r="AD145">
        <v>-3560097</v>
      </c>
      <c r="AE145">
        <v>3560097</v>
      </c>
      <c r="AF145">
        <v>0</v>
      </c>
      <c r="AG145">
        <v>3560097</v>
      </c>
      <c r="AH145">
        <v>-7075973</v>
      </c>
      <c r="AI145">
        <v>0</v>
      </c>
      <c r="AJ145">
        <v>-7075973</v>
      </c>
      <c r="AK145">
        <v>0</v>
      </c>
      <c r="AL145">
        <v>0</v>
      </c>
      <c r="AM145">
        <v>0</v>
      </c>
      <c r="AN145">
        <v>7778974</v>
      </c>
      <c r="AO145">
        <v>0</v>
      </c>
      <c r="AP145">
        <v>7778974</v>
      </c>
      <c r="AQ145">
        <v>703001</v>
      </c>
      <c r="AR145">
        <v>0</v>
      </c>
      <c r="AS145">
        <v>703001</v>
      </c>
      <c r="AT145">
        <v>-27001876</v>
      </c>
      <c r="AU145">
        <v>0</v>
      </c>
      <c r="AV145">
        <v>-27001876</v>
      </c>
      <c r="AW145">
        <v>-7716</v>
      </c>
      <c r="AX145">
        <v>0</v>
      </c>
      <c r="AY145">
        <v>-7716</v>
      </c>
      <c r="AZ145">
        <v>0</v>
      </c>
      <c r="BA145">
        <v>0</v>
      </c>
      <c r="BB145">
        <v>0</v>
      </c>
      <c r="BC145">
        <v>0</v>
      </c>
      <c r="BD145">
        <v>0</v>
      </c>
      <c r="BE145">
        <v>0</v>
      </c>
      <c r="BF145">
        <v>-26306591</v>
      </c>
      <c r="BG145">
        <v>0</v>
      </c>
      <c r="BH145">
        <v>0</v>
      </c>
      <c r="BI145">
        <v>0</v>
      </c>
      <c r="BJ145">
        <v>-26306591</v>
      </c>
      <c r="BK145">
        <v>0</v>
      </c>
      <c r="BL145">
        <v>-26306591</v>
      </c>
      <c r="BM145">
        <v>0</v>
      </c>
      <c r="BN145">
        <v>0</v>
      </c>
      <c r="BO145">
        <v>0</v>
      </c>
      <c r="BP145">
        <v>-11954173</v>
      </c>
      <c r="BQ145">
        <v>0</v>
      </c>
      <c r="BR145">
        <v>-11954173</v>
      </c>
      <c r="BS145">
        <v>-11954173</v>
      </c>
      <c r="BT145">
        <v>0</v>
      </c>
      <c r="BU145">
        <v>0</v>
      </c>
      <c r="BV145">
        <v>0</v>
      </c>
      <c r="BW145">
        <v>-11954173</v>
      </c>
      <c r="BX145">
        <v>0</v>
      </c>
      <c r="BY145">
        <v>-11954173</v>
      </c>
      <c r="BZ145">
        <v>-838033</v>
      </c>
      <c r="CA145">
        <v>0</v>
      </c>
      <c r="CB145">
        <v>-838033</v>
      </c>
      <c r="CC145">
        <v>-561352</v>
      </c>
      <c r="CD145">
        <v>0</v>
      </c>
      <c r="CE145">
        <v>-561352</v>
      </c>
      <c r="CF145">
        <v>-1929</v>
      </c>
      <c r="CG145">
        <v>0</v>
      </c>
      <c r="CH145">
        <v>-1929</v>
      </c>
      <c r="CI145">
        <v>0</v>
      </c>
      <c r="CJ145">
        <v>0</v>
      </c>
      <c r="CK145">
        <v>0</v>
      </c>
      <c r="CL145">
        <v>0</v>
      </c>
      <c r="CM145">
        <v>0</v>
      </c>
      <c r="CN145">
        <v>0</v>
      </c>
      <c r="CO145">
        <v>0</v>
      </c>
      <c r="CP145">
        <v>0</v>
      </c>
      <c r="CQ145">
        <v>0</v>
      </c>
      <c r="CR145">
        <v>0</v>
      </c>
      <c r="CS145">
        <v>0</v>
      </c>
      <c r="CT145">
        <v>-1401314</v>
      </c>
      <c r="CU145">
        <v>0</v>
      </c>
      <c r="CV145">
        <v>0</v>
      </c>
      <c r="CW145">
        <v>0</v>
      </c>
      <c r="CX145">
        <v>-1401314</v>
      </c>
      <c r="CY145">
        <v>0</v>
      </c>
      <c r="CZ145">
        <v>-1401314</v>
      </c>
      <c r="DA145">
        <v>0</v>
      </c>
      <c r="DB145">
        <v>0</v>
      </c>
      <c r="DC145">
        <v>0</v>
      </c>
      <c r="DD145">
        <v>-317379</v>
      </c>
      <c r="DE145">
        <v>0</v>
      </c>
      <c r="DF145">
        <v>-317379</v>
      </c>
      <c r="DG145">
        <v>-143000</v>
      </c>
      <c r="DH145">
        <v>0</v>
      </c>
      <c r="DI145">
        <v>-143000</v>
      </c>
      <c r="DJ145">
        <v>-7087442</v>
      </c>
      <c r="DK145">
        <v>0</v>
      </c>
      <c r="DL145">
        <v>-7087442</v>
      </c>
      <c r="DM145">
        <v>-7547821</v>
      </c>
      <c r="DN145">
        <v>0</v>
      </c>
      <c r="DO145">
        <v>0</v>
      </c>
      <c r="DP145">
        <v>0</v>
      </c>
      <c r="DQ145">
        <v>-7547821</v>
      </c>
      <c r="DR145">
        <v>0</v>
      </c>
      <c r="DS145">
        <v>-7547821</v>
      </c>
      <c r="DT145">
        <v>303909135</v>
      </c>
      <c r="DU145">
        <v>0</v>
      </c>
      <c r="DV145" s="661">
        <v>303909135</v>
      </c>
      <c r="DW145" t="s">
        <v>1796</v>
      </c>
    </row>
    <row r="146" spans="1:127" ht="12.75" x14ac:dyDescent="0.2">
      <c r="A146" s="605">
        <v>139</v>
      </c>
      <c r="B146" s="606" t="s">
        <v>162</v>
      </c>
      <c r="C146" s="607" t="s">
        <v>1196</v>
      </c>
      <c r="D146" s="608" t="s">
        <v>1191</v>
      </c>
      <c r="E146" s="609" t="s">
        <v>161</v>
      </c>
      <c r="G146">
        <v>808572091</v>
      </c>
      <c r="H146">
        <v>0</v>
      </c>
      <c r="I146">
        <v>808572091</v>
      </c>
      <c r="J146">
        <v>49.9</v>
      </c>
      <c r="K146">
        <v>403477473</v>
      </c>
      <c r="L146">
        <v>0</v>
      </c>
      <c r="M146">
        <v>0</v>
      </c>
      <c r="N146">
        <v>0</v>
      </c>
      <c r="O146">
        <v>403477473</v>
      </c>
      <c r="P146">
        <v>0</v>
      </c>
      <c r="Q146">
        <v>403477473</v>
      </c>
      <c r="R146">
        <v>-1156547</v>
      </c>
      <c r="S146">
        <v>0</v>
      </c>
      <c r="T146">
        <v>-1156547</v>
      </c>
      <c r="U146">
        <v>311314</v>
      </c>
      <c r="V146">
        <v>0</v>
      </c>
      <c r="W146">
        <v>311314</v>
      </c>
      <c r="X146">
        <v>-845233</v>
      </c>
      <c r="Y146">
        <v>0</v>
      </c>
      <c r="Z146">
        <v>0</v>
      </c>
      <c r="AA146">
        <v>0</v>
      </c>
      <c r="AB146">
        <v>-845233</v>
      </c>
      <c r="AC146">
        <v>0</v>
      </c>
      <c r="AD146">
        <v>-845233</v>
      </c>
      <c r="AE146">
        <v>845233</v>
      </c>
      <c r="AF146">
        <v>0</v>
      </c>
      <c r="AG146">
        <v>845233</v>
      </c>
      <c r="AH146">
        <v>-3949544</v>
      </c>
      <c r="AI146">
        <v>0</v>
      </c>
      <c r="AJ146">
        <v>-3949544</v>
      </c>
      <c r="AK146">
        <v>0</v>
      </c>
      <c r="AL146">
        <v>0</v>
      </c>
      <c r="AM146">
        <v>0</v>
      </c>
      <c r="AN146">
        <v>9355976</v>
      </c>
      <c r="AO146">
        <v>0</v>
      </c>
      <c r="AP146">
        <v>9355976</v>
      </c>
      <c r="AQ146">
        <v>5406432</v>
      </c>
      <c r="AR146">
        <v>0</v>
      </c>
      <c r="AS146">
        <v>5406432</v>
      </c>
      <c r="AT146">
        <v>-25489465</v>
      </c>
      <c r="AU146">
        <v>0</v>
      </c>
      <c r="AV146">
        <v>-25489465</v>
      </c>
      <c r="AW146">
        <v>-120832</v>
      </c>
      <c r="AX146">
        <v>0</v>
      </c>
      <c r="AY146">
        <v>-120832</v>
      </c>
      <c r="AZ146">
        <v>0</v>
      </c>
      <c r="BA146">
        <v>0</v>
      </c>
      <c r="BB146">
        <v>0</v>
      </c>
      <c r="BC146">
        <v>0</v>
      </c>
      <c r="BD146">
        <v>0</v>
      </c>
      <c r="BE146">
        <v>0</v>
      </c>
      <c r="BF146">
        <v>-20203865</v>
      </c>
      <c r="BG146">
        <v>0</v>
      </c>
      <c r="BH146">
        <v>0</v>
      </c>
      <c r="BI146">
        <v>0</v>
      </c>
      <c r="BJ146">
        <v>-20203865</v>
      </c>
      <c r="BK146">
        <v>0</v>
      </c>
      <c r="BL146">
        <v>-20203865</v>
      </c>
      <c r="BM146">
        <v>-94945</v>
      </c>
      <c r="BN146">
        <v>0</v>
      </c>
      <c r="BO146">
        <v>-94945</v>
      </c>
      <c r="BP146">
        <v>-11171833</v>
      </c>
      <c r="BQ146">
        <v>0</v>
      </c>
      <c r="BR146">
        <v>-11171833</v>
      </c>
      <c r="BS146">
        <v>-11266778</v>
      </c>
      <c r="BT146">
        <v>0</v>
      </c>
      <c r="BU146">
        <v>0</v>
      </c>
      <c r="BV146">
        <v>0</v>
      </c>
      <c r="BW146">
        <v>-11266778</v>
      </c>
      <c r="BX146">
        <v>0</v>
      </c>
      <c r="BY146">
        <v>-11266778</v>
      </c>
      <c r="BZ146">
        <v>-99200</v>
      </c>
      <c r="CA146">
        <v>0</v>
      </c>
      <c r="CB146">
        <v>-99200</v>
      </c>
      <c r="CC146">
        <v>-60800</v>
      </c>
      <c r="CD146">
        <v>0</v>
      </c>
      <c r="CE146">
        <v>-60800</v>
      </c>
      <c r="CF146">
        <v>0</v>
      </c>
      <c r="CG146">
        <v>0</v>
      </c>
      <c r="CH146">
        <v>0</v>
      </c>
      <c r="CI146">
        <v>0</v>
      </c>
      <c r="CJ146">
        <v>0</v>
      </c>
      <c r="CK146">
        <v>0</v>
      </c>
      <c r="CL146">
        <v>0</v>
      </c>
      <c r="CM146">
        <v>0</v>
      </c>
      <c r="CN146">
        <v>0</v>
      </c>
      <c r="CO146">
        <v>0</v>
      </c>
      <c r="CP146">
        <v>0</v>
      </c>
      <c r="CQ146">
        <v>0</v>
      </c>
      <c r="CR146">
        <v>0</v>
      </c>
      <c r="CS146">
        <v>0</v>
      </c>
      <c r="CT146">
        <v>-160000</v>
      </c>
      <c r="CU146">
        <v>0</v>
      </c>
      <c r="CV146">
        <v>0</v>
      </c>
      <c r="CW146">
        <v>0</v>
      </c>
      <c r="CX146">
        <v>-160000</v>
      </c>
      <c r="CY146">
        <v>0</v>
      </c>
      <c r="CZ146">
        <v>-160000</v>
      </c>
      <c r="DA146">
        <v>0</v>
      </c>
      <c r="DB146">
        <v>0</v>
      </c>
      <c r="DC146">
        <v>0</v>
      </c>
      <c r="DD146">
        <v>-55009</v>
      </c>
      <c r="DE146">
        <v>0</v>
      </c>
      <c r="DF146">
        <v>-55009</v>
      </c>
      <c r="DG146">
        <v>0</v>
      </c>
      <c r="DH146">
        <v>0</v>
      </c>
      <c r="DI146">
        <v>0</v>
      </c>
      <c r="DJ146">
        <v>-5918417</v>
      </c>
      <c r="DK146">
        <v>0</v>
      </c>
      <c r="DL146">
        <v>-5918417</v>
      </c>
      <c r="DM146">
        <v>-5973426</v>
      </c>
      <c r="DN146">
        <v>0</v>
      </c>
      <c r="DO146">
        <v>0</v>
      </c>
      <c r="DP146">
        <v>0</v>
      </c>
      <c r="DQ146">
        <v>-5973426</v>
      </c>
      <c r="DR146">
        <v>0</v>
      </c>
      <c r="DS146">
        <v>-5973426</v>
      </c>
      <c r="DT146">
        <v>365028171</v>
      </c>
      <c r="DU146">
        <v>0</v>
      </c>
      <c r="DV146" s="661">
        <v>365028171</v>
      </c>
      <c r="DW146" t="s">
        <v>1797</v>
      </c>
    </row>
    <row r="147" spans="1:127" ht="12.75" x14ac:dyDescent="0.2">
      <c r="A147" s="605">
        <v>140</v>
      </c>
      <c r="B147" s="606" t="s">
        <v>164</v>
      </c>
      <c r="C147" s="607" t="s">
        <v>1185</v>
      </c>
      <c r="D147" s="608" t="s">
        <v>1188</v>
      </c>
      <c r="E147" s="609" t="s">
        <v>163</v>
      </c>
      <c r="G147">
        <v>81780956</v>
      </c>
      <c r="H147">
        <v>0</v>
      </c>
      <c r="I147">
        <v>81780956</v>
      </c>
      <c r="J147">
        <v>49.9</v>
      </c>
      <c r="K147">
        <v>40808697</v>
      </c>
      <c r="L147">
        <v>0</v>
      </c>
      <c r="M147">
        <v>0</v>
      </c>
      <c r="N147">
        <v>0</v>
      </c>
      <c r="O147">
        <v>40808697</v>
      </c>
      <c r="P147">
        <v>0</v>
      </c>
      <c r="Q147">
        <v>40808697</v>
      </c>
      <c r="R147">
        <v>-64130</v>
      </c>
      <c r="S147">
        <v>0</v>
      </c>
      <c r="T147">
        <v>-64130</v>
      </c>
      <c r="U147">
        <v>105738</v>
      </c>
      <c r="V147">
        <v>0</v>
      </c>
      <c r="W147">
        <v>105738</v>
      </c>
      <c r="X147">
        <v>41608</v>
      </c>
      <c r="Y147">
        <v>0</v>
      </c>
      <c r="Z147">
        <v>-16987</v>
      </c>
      <c r="AA147">
        <v>0</v>
      </c>
      <c r="AB147">
        <v>24621</v>
      </c>
      <c r="AC147">
        <v>0</v>
      </c>
      <c r="AD147">
        <v>24621</v>
      </c>
      <c r="AE147">
        <v>-24621</v>
      </c>
      <c r="AF147">
        <v>0</v>
      </c>
      <c r="AG147">
        <v>-24621</v>
      </c>
      <c r="AH147">
        <v>-3126478</v>
      </c>
      <c r="AI147">
        <v>0</v>
      </c>
      <c r="AJ147">
        <v>-3126478</v>
      </c>
      <c r="AK147">
        <v>-5000</v>
      </c>
      <c r="AL147">
        <v>0</v>
      </c>
      <c r="AM147">
        <v>-5000</v>
      </c>
      <c r="AN147">
        <v>774747</v>
      </c>
      <c r="AO147">
        <v>0</v>
      </c>
      <c r="AP147">
        <v>774747</v>
      </c>
      <c r="AQ147">
        <v>-2351731</v>
      </c>
      <c r="AR147">
        <v>0</v>
      </c>
      <c r="AS147">
        <v>-2351731</v>
      </c>
      <c r="AT147">
        <v>-3124482</v>
      </c>
      <c r="AU147">
        <v>0</v>
      </c>
      <c r="AV147">
        <v>-3124482</v>
      </c>
      <c r="AW147">
        <v>-49244</v>
      </c>
      <c r="AX147">
        <v>0</v>
      </c>
      <c r="AY147">
        <v>-49244</v>
      </c>
      <c r="AZ147">
        <v>-7184</v>
      </c>
      <c r="BA147">
        <v>0</v>
      </c>
      <c r="BB147">
        <v>-7184</v>
      </c>
      <c r="BC147">
        <v>0</v>
      </c>
      <c r="BD147">
        <v>0</v>
      </c>
      <c r="BE147">
        <v>0</v>
      </c>
      <c r="BF147">
        <v>-5532641</v>
      </c>
      <c r="BG147">
        <v>0</v>
      </c>
      <c r="BH147">
        <v>-150000</v>
      </c>
      <c r="BI147">
        <v>0</v>
      </c>
      <c r="BJ147">
        <v>-5682641</v>
      </c>
      <c r="BK147">
        <v>0</v>
      </c>
      <c r="BL147">
        <v>-5682641</v>
      </c>
      <c r="BM147">
        <v>-10000</v>
      </c>
      <c r="BN147">
        <v>0</v>
      </c>
      <c r="BO147">
        <v>-10000</v>
      </c>
      <c r="BP147">
        <v>-600028</v>
      </c>
      <c r="BQ147">
        <v>0</v>
      </c>
      <c r="BR147">
        <v>-600028</v>
      </c>
      <c r="BS147">
        <v>-610028</v>
      </c>
      <c r="BT147">
        <v>0</v>
      </c>
      <c r="BU147">
        <v>0</v>
      </c>
      <c r="BV147">
        <v>0</v>
      </c>
      <c r="BW147">
        <v>-610028</v>
      </c>
      <c r="BX147">
        <v>0</v>
      </c>
      <c r="BY147">
        <v>-610028</v>
      </c>
      <c r="BZ147">
        <v>-12834</v>
      </c>
      <c r="CA147">
        <v>0</v>
      </c>
      <c r="CB147">
        <v>-12834</v>
      </c>
      <c r="CC147">
        <v>-34948</v>
      </c>
      <c r="CD147">
        <v>0</v>
      </c>
      <c r="CE147">
        <v>-34948</v>
      </c>
      <c r="CF147">
        <v>-3953</v>
      </c>
      <c r="CG147">
        <v>0</v>
      </c>
      <c r="CH147">
        <v>-3953</v>
      </c>
      <c r="CI147">
        <v>0</v>
      </c>
      <c r="CJ147">
        <v>0</v>
      </c>
      <c r="CK147">
        <v>0</v>
      </c>
      <c r="CL147">
        <v>0</v>
      </c>
      <c r="CM147">
        <v>0</v>
      </c>
      <c r="CN147">
        <v>0</v>
      </c>
      <c r="CO147">
        <v>0</v>
      </c>
      <c r="CP147">
        <v>0</v>
      </c>
      <c r="CQ147">
        <v>0</v>
      </c>
      <c r="CR147">
        <v>0</v>
      </c>
      <c r="CS147">
        <v>0</v>
      </c>
      <c r="CT147">
        <v>-51735</v>
      </c>
      <c r="CU147">
        <v>0</v>
      </c>
      <c r="CV147">
        <v>-10000</v>
      </c>
      <c r="CW147">
        <v>0</v>
      </c>
      <c r="CX147">
        <v>-61735</v>
      </c>
      <c r="CY147">
        <v>0</v>
      </c>
      <c r="CZ147">
        <v>-61735</v>
      </c>
      <c r="DA147">
        <v>-7184</v>
      </c>
      <c r="DB147">
        <v>0</v>
      </c>
      <c r="DC147">
        <v>-7184</v>
      </c>
      <c r="DD147">
        <v>-1000</v>
      </c>
      <c r="DE147">
        <v>0</v>
      </c>
      <c r="DF147">
        <v>-1000</v>
      </c>
      <c r="DG147">
        <v>-2402</v>
      </c>
      <c r="DH147">
        <v>0</v>
      </c>
      <c r="DI147">
        <v>-2402</v>
      </c>
      <c r="DJ147">
        <v>-400215</v>
      </c>
      <c r="DK147">
        <v>0</v>
      </c>
      <c r="DL147">
        <v>-400215</v>
      </c>
      <c r="DM147">
        <v>-410801</v>
      </c>
      <c r="DN147">
        <v>0</v>
      </c>
      <c r="DO147">
        <v>0</v>
      </c>
      <c r="DP147">
        <v>0</v>
      </c>
      <c r="DQ147">
        <v>-410801</v>
      </c>
      <c r="DR147">
        <v>0</v>
      </c>
      <c r="DS147">
        <v>-410801</v>
      </c>
      <c r="DT147">
        <v>34068113</v>
      </c>
      <c r="DU147">
        <v>0</v>
      </c>
      <c r="DV147" s="661">
        <v>34068113</v>
      </c>
      <c r="DW147" t="s">
        <v>1798</v>
      </c>
    </row>
    <row r="148" spans="1:127" ht="12.75" x14ac:dyDescent="0.2">
      <c r="A148" s="605">
        <v>141</v>
      </c>
      <c r="B148" s="606" t="s">
        <v>166</v>
      </c>
      <c r="C148" s="607" t="s">
        <v>1185</v>
      </c>
      <c r="D148" s="608" t="s">
        <v>1189</v>
      </c>
      <c r="E148" s="609" t="s">
        <v>915</v>
      </c>
      <c r="G148">
        <v>118851709</v>
      </c>
      <c r="H148">
        <v>203275</v>
      </c>
      <c r="I148">
        <v>119054984</v>
      </c>
      <c r="J148">
        <v>49.9</v>
      </c>
      <c r="K148">
        <v>59307003</v>
      </c>
      <c r="L148">
        <v>101434</v>
      </c>
      <c r="M148">
        <v>678640</v>
      </c>
      <c r="N148">
        <v>0</v>
      </c>
      <c r="O148">
        <v>59985643</v>
      </c>
      <c r="P148">
        <v>101434</v>
      </c>
      <c r="Q148">
        <v>60087077</v>
      </c>
      <c r="R148">
        <v>-398240</v>
      </c>
      <c r="S148">
        <v>0</v>
      </c>
      <c r="T148">
        <v>-398240</v>
      </c>
      <c r="U148">
        <v>173677</v>
      </c>
      <c r="V148">
        <v>0</v>
      </c>
      <c r="W148">
        <v>173677</v>
      </c>
      <c r="X148">
        <v>-224563</v>
      </c>
      <c r="Y148">
        <v>0</v>
      </c>
      <c r="Z148">
        <v>0</v>
      </c>
      <c r="AA148">
        <v>0</v>
      </c>
      <c r="AB148">
        <v>-224563</v>
      </c>
      <c r="AC148">
        <v>0</v>
      </c>
      <c r="AD148">
        <v>-224563</v>
      </c>
      <c r="AE148">
        <v>224563</v>
      </c>
      <c r="AF148">
        <v>0</v>
      </c>
      <c r="AG148">
        <v>224563</v>
      </c>
      <c r="AH148">
        <v>-6629417</v>
      </c>
      <c r="AI148">
        <v>-11577</v>
      </c>
      <c r="AJ148">
        <v>-6640994</v>
      </c>
      <c r="AK148">
        <v>-2676</v>
      </c>
      <c r="AL148">
        <v>0</v>
      </c>
      <c r="AM148">
        <v>-2676</v>
      </c>
      <c r="AN148">
        <v>1010317</v>
      </c>
      <c r="AO148">
        <v>611</v>
      </c>
      <c r="AP148">
        <v>1010928</v>
      </c>
      <c r="AQ148">
        <v>-5619100</v>
      </c>
      <c r="AR148">
        <v>-10966</v>
      </c>
      <c r="AS148">
        <v>-5630066</v>
      </c>
      <c r="AT148">
        <v>-3267687</v>
      </c>
      <c r="AU148">
        <v>-19251</v>
      </c>
      <c r="AV148">
        <v>-3286938</v>
      </c>
      <c r="AW148">
        <v>-38681</v>
      </c>
      <c r="AX148">
        <v>0</v>
      </c>
      <c r="AY148">
        <v>-38681</v>
      </c>
      <c r="AZ148">
        <v>-67575</v>
      </c>
      <c r="BA148">
        <v>0</v>
      </c>
      <c r="BB148">
        <v>-67575</v>
      </c>
      <c r="BC148">
        <v>0</v>
      </c>
      <c r="BD148">
        <v>0</v>
      </c>
      <c r="BE148">
        <v>0</v>
      </c>
      <c r="BF148">
        <v>-8993043</v>
      </c>
      <c r="BG148">
        <v>-30217</v>
      </c>
      <c r="BH148">
        <v>0</v>
      </c>
      <c r="BI148">
        <v>0</v>
      </c>
      <c r="BJ148">
        <v>-8993043</v>
      </c>
      <c r="BK148">
        <v>-30217</v>
      </c>
      <c r="BL148">
        <v>-9023260</v>
      </c>
      <c r="BM148">
        <v>-15000</v>
      </c>
      <c r="BN148">
        <v>0</v>
      </c>
      <c r="BO148">
        <v>-15000</v>
      </c>
      <c r="BP148">
        <v>-1157351</v>
      </c>
      <c r="BQ148">
        <v>0</v>
      </c>
      <c r="BR148">
        <v>-1157351</v>
      </c>
      <c r="BS148">
        <v>-1172351</v>
      </c>
      <c r="BT148">
        <v>0</v>
      </c>
      <c r="BU148">
        <v>0</v>
      </c>
      <c r="BV148">
        <v>0</v>
      </c>
      <c r="BW148">
        <v>-1172351</v>
      </c>
      <c r="BX148">
        <v>0</v>
      </c>
      <c r="BY148">
        <v>-1172351</v>
      </c>
      <c r="BZ148">
        <v>-125947</v>
      </c>
      <c r="CA148">
        <v>0</v>
      </c>
      <c r="CB148">
        <v>-125947</v>
      </c>
      <c r="CC148">
        <v>-625108</v>
      </c>
      <c r="CD148">
        <v>0</v>
      </c>
      <c r="CE148">
        <v>-625108</v>
      </c>
      <c r="CF148">
        <v>-2489</v>
      </c>
      <c r="CG148">
        <v>0</v>
      </c>
      <c r="CH148">
        <v>-2489</v>
      </c>
      <c r="CI148">
        <v>0</v>
      </c>
      <c r="CJ148">
        <v>0</v>
      </c>
      <c r="CK148">
        <v>0</v>
      </c>
      <c r="CL148">
        <v>-3700</v>
      </c>
      <c r="CM148">
        <v>0</v>
      </c>
      <c r="CN148">
        <v>-3700</v>
      </c>
      <c r="CO148">
        <v>0</v>
      </c>
      <c r="CP148">
        <v>-57183</v>
      </c>
      <c r="CQ148">
        <v>-57183</v>
      </c>
      <c r="CR148">
        <v>-57183</v>
      </c>
      <c r="CS148">
        <v>0</v>
      </c>
      <c r="CT148">
        <v>-757244</v>
      </c>
      <c r="CU148">
        <v>-57183</v>
      </c>
      <c r="CV148">
        <v>-30000</v>
      </c>
      <c r="CW148">
        <v>0</v>
      </c>
      <c r="CX148">
        <v>-787244</v>
      </c>
      <c r="CY148">
        <v>-57183</v>
      </c>
      <c r="CZ148">
        <v>-844427</v>
      </c>
      <c r="DA148">
        <v>-67575</v>
      </c>
      <c r="DB148">
        <v>0</v>
      </c>
      <c r="DC148">
        <v>-67575</v>
      </c>
      <c r="DD148">
        <v>-70260</v>
      </c>
      <c r="DE148">
        <v>0</v>
      </c>
      <c r="DF148">
        <v>-70260</v>
      </c>
      <c r="DG148">
        <v>-11798</v>
      </c>
      <c r="DH148">
        <v>0</v>
      </c>
      <c r="DI148">
        <v>-11798</v>
      </c>
      <c r="DJ148">
        <v>-1000000</v>
      </c>
      <c r="DK148">
        <v>0</v>
      </c>
      <c r="DL148">
        <v>-1000000</v>
      </c>
      <c r="DM148">
        <v>-1149633</v>
      </c>
      <c r="DN148">
        <v>0</v>
      </c>
      <c r="DO148">
        <v>-1500</v>
      </c>
      <c r="DP148">
        <v>0</v>
      </c>
      <c r="DQ148">
        <v>-1151133</v>
      </c>
      <c r="DR148">
        <v>0</v>
      </c>
      <c r="DS148">
        <v>-1151133</v>
      </c>
      <c r="DT148">
        <v>47657309</v>
      </c>
      <c r="DU148">
        <v>14034</v>
      </c>
      <c r="DV148" s="661">
        <v>47671343</v>
      </c>
      <c r="DW148" t="s">
        <v>1799</v>
      </c>
    </row>
    <row r="149" spans="1:127" ht="12.75" x14ac:dyDescent="0.2">
      <c r="A149" s="605">
        <v>142</v>
      </c>
      <c r="B149" s="606" t="s">
        <v>168</v>
      </c>
      <c r="C149" s="607" t="s">
        <v>524</v>
      </c>
      <c r="D149" s="608" t="s">
        <v>1193</v>
      </c>
      <c r="E149" s="609" t="s">
        <v>911</v>
      </c>
      <c r="G149">
        <v>220948817</v>
      </c>
      <c r="H149">
        <v>7130300</v>
      </c>
      <c r="I149">
        <v>228079117</v>
      </c>
      <c r="J149">
        <v>49.9</v>
      </c>
      <c r="K149">
        <v>110253460</v>
      </c>
      <c r="L149">
        <v>3558020</v>
      </c>
      <c r="M149">
        <v>500000</v>
      </c>
      <c r="N149">
        <v>1500000</v>
      </c>
      <c r="O149">
        <v>110753460</v>
      </c>
      <c r="P149">
        <v>5058020</v>
      </c>
      <c r="Q149">
        <v>115811480</v>
      </c>
      <c r="R149">
        <v>-149453</v>
      </c>
      <c r="S149">
        <v>0</v>
      </c>
      <c r="T149">
        <v>-149453</v>
      </c>
      <c r="U149">
        <v>1299780</v>
      </c>
      <c r="V149">
        <v>0</v>
      </c>
      <c r="W149">
        <v>1299780</v>
      </c>
      <c r="X149">
        <v>1150327</v>
      </c>
      <c r="Y149">
        <v>0</v>
      </c>
      <c r="Z149">
        <v>0</v>
      </c>
      <c r="AA149">
        <v>0</v>
      </c>
      <c r="AB149">
        <v>1150327</v>
      </c>
      <c r="AC149">
        <v>0</v>
      </c>
      <c r="AD149">
        <v>1150327</v>
      </c>
      <c r="AE149">
        <v>-1150327</v>
      </c>
      <c r="AF149">
        <v>0</v>
      </c>
      <c r="AG149">
        <v>-1150327</v>
      </c>
      <c r="AH149">
        <v>-9677965</v>
      </c>
      <c r="AI149">
        <v>0</v>
      </c>
      <c r="AJ149">
        <v>-9677965</v>
      </c>
      <c r="AK149">
        <v>0</v>
      </c>
      <c r="AL149">
        <v>0</v>
      </c>
      <c r="AM149">
        <v>0</v>
      </c>
      <c r="AN149">
        <v>1990574</v>
      </c>
      <c r="AO149">
        <v>89758</v>
      </c>
      <c r="AP149">
        <v>2080332</v>
      </c>
      <c r="AQ149">
        <v>-7687391</v>
      </c>
      <c r="AR149">
        <v>89758</v>
      </c>
      <c r="AS149">
        <v>-7597633</v>
      </c>
      <c r="AT149">
        <v>-9300475</v>
      </c>
      <c r="AU149">
        <v>-81920</v>
      </c>
      <c r="AV149">
        <v>-9382395</v>
      </c>
      <c r="AW149">
        <v>0</v>
      </c>
      <c r="AX149">
        <v>0</v>
      </c>
      <c r="AY149">
        <v>0</v>
      </c>
      <c r="AZ149">
        <v>0</v>
      </c>
      <c r="BA149">
        <v>0</v>
      </c>
      <c r="BB149">
        <v>0</v>
      </c>
      <c r="BC149">
        <v>0</v>
      </c>
      <c r="BD149">
        <v>0</v>
      </c>
      <c r="BE149">
        <v>0</v>
      </c>
      <c r="BF149">
        <v>-16987866</v>
      </c>
      <c r="BG149">
        <v>7838</v>
      </c>
      <c r="BH149">
        <v>0</v>
      </c>
      <c r="BI149">
        <v>0</v>
      </c>
      <c r="BJ149">
        <v>-16987866</v>
      </c>
      <c r="BK149">
        <v>7838</v>
      </c>
      <c r="BL149">
        <v>-16980028</v>
      </c>
      <c r="BM149">
        <v>0</v>
      </c>
      <c r="BN149">
        <v>0</v>
      </c>
      <c r="BO149">
        <v>0</v>
      </c>
      <c r="BP149">
        <v>-2518877</v>
      </c>
      <c r="BQ149">
        <v>-7834</v>
      </c>
      <c r="BR149">
        <v>-2526711</v>
      </c>
      <c r="BS149">
        <v>-2518877</v>
      </c>
      <c r="BT149">
        <v>-7834</v>
      </c>
      <c r="BU149">
        <v>0</v>
      </c>
      <c r="BV149">
        <v>0</v>
      </c>
      <c r="BW149">
        <v>-2518877</v>
      </c>
      <c r="BX149">
        <v>-7834</v>
      </c>
      <c r="BY149">
        <v>-2526711</v>
      </c>
      <c r="BZ149">
        <v>-6078</v>
      </c>
      <c r="CA149">
        <v>0</v>
      </c>
      <c r="CB149">
        <v>-6078</v>
      </c>
      <c r="CC149">
        <v>-1229708</v>
      </c>
      <c r="CD149">
        <v>0</v>
      </c>
      <c r="CE149">
        <v>-1229708</v>
      </c>
      <c r="CF149">
        <v>0</v>
      </c>
      <c r="CG149">
        <v>0</v>
      </c>
      <c r="CH149">
        <v>0</v>
      </c>
      <c r="CI149">
        <v>0</v>
      </c>
      <c r="CJ149">
        <v>0</v>
      </c>
      <c r="CK149">
        <v>0</v>
      </c>
      <c r="CL149">
        <v>0</v>
      </c>
      <c r="CM149">
        <v>0</v>
      </c>
      <c r="CN149">
        <v>0</v>
      </c>
      <c r="CO149">
        <v>0</v>
      </c>
      <c r="CP149">
        <v>-83928</v>
      </c>
      <c r="CQ149">
        <v>-83928</v>
      </c>
      <c r="CR149">
        <v>-83928</v>
      </c>
      <c r="CS149">
        <v>0</v>
      </c>
      <c r="CT149">
        <v>-1235786</v>
      </c>
      <c r="CU149">
        <v>-83928</v>
      </c>
      <c r="CV149">
        <v>0</v>
      </c>
      <c r="CW149">
        <v>0</v>
      </c>
      <c r="CX149">
        <v>-1235786</v>
      </c>
      <c r="CY149">
        <v>-83928</v>
      </c>
      <c r="CZ149">
        <v>-1319714</v>
      </c>
      <c r="DA149">
        <v>0</v>
      </c>
      <c r="DB149">
        <v>0</v>
      </c>
      <c r="DC149">
        <v>0</v>
      </c>
      <c r="DD149">
        <v>-19825</v>
      </c>
      <c r="DE149">
        <v>0</v>
      </c>
      <c r="DF149">
        <v>-19825</v>
      </c>
      <c r="DG149">
        <v>-8791</v>
      </c>
      <c r="DH149">
        <v>0</v>
      </c>
      <c r="DI149">
        <v>-8791</v>
      </c>
      <c r="DJ149">
        <v>-1800000</v>
      </c>
      <c r="DK149">
        <v>0</v>
      </c>
      <c r="DL149">
        <v>-1800000</v>
      </c>
      <c r="DM149">
        <v>-1828616</v>
      </c>
      <c r="DN149">
        <v>0</v>
      </c>
      <c r="DO149">
        <v>0</v>
      </c>
      <c r="DP149">
        <v>0</v>
      </c>
      <c r="DQ149">
        <v>-1828616</v>
      </c>
      <c r="DR149">
        <v>0</v>
      </c>
      <c r="DS149">
        <v>-1828616</v>
      </c>
      <c r="DT149">
        <v>89332642</v>
      </c>
      <c r="DU149">
        <v>4974096</v>
      </c>
      <c r="DV149" s="661">
        <v>94306738</v>
      </c>
      <c r="DW149" t="s">
        <v>1800</v>
      </c>
    </row>
    <row r="150" spans="1:127" ht="12.75" x14ac:dyDescent="0.2">
      <c r="A150" s="605">
        <v>143</v>
      </c>
      <c r="B150" s="606" t="s">
        <v>170</v>
      </c>
      <c r="C150" s="607" t="s">
        <v>1190</v>
      </c>
      <c r="D150" s="608" t="s">
        <v>1191</v>
      </c>
      <c r="E150" s="609" t="s">
        <v>169</v>
      </c>
      <c r="G150">
        <v>211047651</v>
      </c>
      <c r="H150">
        <v>0</v>
      </c>
      <c r="I150">
        <v>211047651</v>
      </c>
      <c r="J150">
        <v>49.9</v>
      </c>
      <c r="K150">
        <v>105312778</v>
      </c>
      <c r="L150">
        <v>0</v>
      </c>
      <c r="M150">
        <v>-152778</v>
      </c>
      <c r="N150">
        <v>0</v>
      </c>
      <c r="O150">
        <v>105160000</v>
      </c>
      <c r="P150">
        <v>0</v>
      </c>
      <c r="Q150">
        <v>105160000</v>
      </c>
      <c r="R150">
        <v>-213000</v>
      </c>
      <c r="S150">
        <v>0</v>
      </c>
      <c r="T150">
        <v>-213000</v>
      </c>
      <c r="U150">
        <v>110000</v>
      </c>
      <c r="V150">
        <v>0</v>
      </c>
      <c r="W150">
        <v>110000</v>
      </c>
      <c r="X150">
        <v>-103000</v>
      </c>
      <c r="Y150">
        <v>0</v>
      </c>
      <c r="Z150">
        <v>0</v>
      </c>
      <c r="AA150">
        <v>0</v>
      </c>
      <c r="AB150">
        <v>-103000</v>
      </c>
      <c r="AC150">
        <v>0</v>
      </c>
      <c r="AD150">
        <v>-103000</v>
      </c>
      <c r="AE150">
        <v>103000</v>
      </c>
      <c r="AF150">
        <v>0</v>
      </c>
      <c r="AG150">
        <v>103000</v>
      </c>
      <c r="AH150">
        <v>-4326000</v>
      </c>
      <c r="AI150">
        <v>0</v>
      </c>
      <c r="AJ150">
        <v>-4326000</v>
      </c>
      <c r="AK150">
        <v>-11000</v>
      </c>
      <c r="AL150">
        <v>0</v>
      </c>
      <c r="AM150">
        <v>-11000</v>
      </c>
      <c r="AN150">
        <v>2209000</v>
      </c>
      <c r="AO150">
        <v>0</v>
      </c>
      <c r="AP150">
        <v>2209000</v>
      </c>
      <c r="AQ150">
        <v>-2117000</v>
      </c>
      <c r="AR150">
        <v>0</v>
      </c>
      <c r="AS150">
        <v>-2117000</v>
      </c>
      <c r="AT150">
        <v>-8500000</v>
      </c>
      <c r="AU150">
        <v>0</v>
      </c>
      <c r="AV150">
        <v>-8500000</v>
      </c>
      <c r="AW150">
        <v>-136000</v>
      </c>
      <c r="AX150">
        <v>0</v>
      </c>
      <c r="AY150">
        <v>-136000</v>
      </c>
      <c r="AZ150">
        <v>0</v>
      </c>
      <c r="BA150">
        <v>0</v>
      </c>
      <c r="BB150">
        <v>0</v>
      </c>
      <c r="BC150">
        <v>0</v>
      </c>
      <c r="BD150">
        <v>0</v>
      </c>
      <c r="BE150">
        <v>0</v>
      </c>
      <c r="BF150">
        <v>-10753000</v>
      </c>
      <c r="BG150">
        <v>0</v>
      </c>
      <c r="BH150">
        <v>-400000</v>
      </c>
      <c r="BI150">
        <v>0</v>
      </c>
      <c r="BJ150">
        <v>-11153000</v>
      </c>
      <c r="BK150">
        <v>0</v>
      </c>
      <c r="BL150">
        <v>-11153000</v>
      </c>
      <c r="BM150">
        <v>-31000</v>
      </c>
      <c r="BN150">
        <v>0</v>
      </c>
      <c r="BO150">
        <v>-31000</v>
      </c>
      <c r="BP150">
        <v>-3495000</v>
      </c>
      <c r="BQ150">
        <v>0</v>
      </c>
      <c r="BR150">
        <v>-3495000</v>
      </c>
      <c r="BS150">
        <v>-3526000</v>
      </c>
      <c r="BT150">
        <v>0</v>
      </c>
      <c r="BU150">
        <v>-400000</v>
      </c>
      <c r="BV150">
        <v>0</v>
      </c>
      <c r="BW150">
        <v>-3926000</v>
      </c>
      <c r="BX150">
        <v>0</v>
      </c>
      <c r="BY150">
        <v>-3926000</v>
      </c>
      <c r="BZ150">
        <v>-78000</v>
      </c>
      <c r="CA150">
        <v>0</v>
      </c>
      <c r="CB150">
        <v>-78000</v>
      </c>
      <c r="CC150">
        <v>-404000</v>
      </c>
      <c r="CD150">
        <v>0</v>
      </c>
      <c r="CE150">
        <v>-404000</v>
      </c>
      <c r="CF150">
        <v>0</v>
      </c>
      <c r="CG150">
        <v>0</v>
      </c>
      <c r="CH150">
        <v>0</v>
      </c>
      <c r="CI150">
        <v>0</v>
      </c>
      <c r="CJ150">
        <v>0</v>
      </c>
      <c r="CK150">
        <v>0</v>
      </c>
      <c r="CL150">
        <v>0</v>
      </c>
      <c r="CM150">
        <v>0</v>
      </c>
      <c r="CN150">
        <v>0</v>
      </c>
      <c r="CO150">
        <v>0</v>
      </c>
      <c r="CP150">
        <v>0</v>
      </c>
      <c r="CQ150">
        <v>0</v>
      </c>
      <c r="CR150">
        <v>0</v>
      </c>
      <c r="CS150">
        <v>0</v>
      </c>
      <c r="CT150">
        <v>-482000</v>
      </c>
      <c r="CU150">
        <v>0</v>
      </c>
      <c r="CV150">
        <v>-18000</v>
      </c>
      <c r="CW150">
        <v>0</v>
      </c>
      <c r="CX150">
        <v>-500000</v>
      </c>
      <c r="CY150">
        <v>0</v>
      </c>
      <c r="CZ150">
        <v>-500000</v>
      </c>
      <c r="DA150">
        <v>0</v>
      </c>
      <c r="DB150">
        <v>0</v>
      </c>
      <c r="DC150">
        <v>0</v>
      </c>
      <c r="DD150">
        <v>-22000</v>
      </c>
      <c r="DE150">
        <v>0</v>
      </c>
      <c r="DF150">
        <v>-22000</v>
      </c>
      <c r="DG150">
        <v>-12000</v>
      </c>
      <c r="DH150">
        <v>0</v>
      </c>
      <c r="DI150">
        <v>-12000</v>
      </c>
      <c r="DJ150">
        <v>-2066000</v>
      </c>
      <c r="DK150">
        <v>0</v>
      </c>
      <c r="DL150">
        <v>-2066000</v>
      </c>
      <c r="DM150">
        <v>-2100000</v>
      </c>
      <c r="DN150">
        <v>0</v>
      </c>
      <c r="DO150">
        <v>-100000</v>
      </c>
      <c r="DP150">
        <v>0</v>
      </c>
      <c r="DQ150">
        <v>-2200000</v>
      </c>
      <c r="DR150">
        <v>0</v>
      </c>
      <c r="DS150">
        <v>-2200000</v>
      </c>
      <c r="DT150">
        <v>87278000</v>
      </c>
      <c r="DU150">
        <v>0</v>
      </c>
      <c r="DV150" s="661">
        <v>87278000</v>
      </c>
      <c r="DW150" t="s">
        <v>1801</v>
      </c>
    </row>
    <row r="151" spans="1:127" ht="12.75" x14ac:dyDescent="0.2">
      <c r="A151" s="605">
        <v>144</v>
      </c>
      <c r="B151" s="606" t="s">
        <v>172</v>
      </c>
      <c r="C151" s="607" t="s">
        <v>1192</v>
      </c>
      <c r="D151" s="608" t="s">
        <v>1193</v>
      </c>
      <c r="E151" s="609" t="s">
        <v>171</v>
      </c>
      <c r="G151">
        <v>287299965</v>
      </c>
      <c r="H151">
        <v>925500</v>
      </c>
      <c r="I151">
        <v>288225465</v>
      </c>
      <c r="J151">
        <v>49.9</v>
      </c>
      <c r="K151">
        <v>143362683</v>
      </c>
      <c r="L151">
        <v>461825</v>
      </c>
      <c r="M151">
        <v>0</v>
      </c>
      <c r="N151">
        <v>0</v>
      </c>
      <c r="O151">
        <v>143362683</v>
      </c>
      <c r="P151">
        <v>461825</v>
      </c>
      <c r="Q151">
        <v>143824508</v>
      </c>
      <c r="R151">
        <v>-558548</v>
      </c>
      <c r="S151">
        <v>0</v>
      </c>
      <c r="T151">
        <v>-558548</v>
      </c>
      <c r="U151">
        <v>794406</v>
      </c>
      <c r="V151">
        <v>0</v>
      </c>
      <c r="W151">
        <v>794406</v>
      </c>
      <c r="X151">
        <v>235858</v>
      </c>
      <c r="Y151">
        <v>0</v>
      </c>
      <c r="Z151">
        <v>0</v>
      </c>
      <c r="AA151">
        <v>0</v>
      </c>
      <c r="AB151">
        <v>235858</v>
      </c>
      <c r="AC151">
        <v>0</v>
      </c>
      <c r="AD151">
        <v>235858</v>
      </c>
      <c r="AE151">
        <v>-235858</v>
      </c>
      <c r="AF151">
        <v>0</v>
      </c>
      <c r="AG151">
        <v>-235858</v>
      </c>
      <c r="AH151">
        <v>-20858569</v>
      </c>
      <c r="AI151">
        <v>0</v>
      </c>
      <c r="AJ151">
        <v>-20858569</v>
      </c>
      <c r="AK151">
        <v>-61260</v>
      </c>
      <c r="AL151">
        <v>0</v>
      </c>
      <c r="AM151">
        <v>-61260</v>
      </c>
      <c r="AN151">
        <v>2393471</v>
      </c>
      <c r="AO151">
        <v>0</v>
      </c>
      <c r="AP151">
        <v>2393471</v>
      </c>
      <c r="AQ151">
        <v>-18465098</v>
      </c>
      <c r="AR151">
        <v>0</v>
      </c>
      <c r="AS151">
        <v>-18465098</v>
      </c>
      <c r="AT151">
        <v>-9052891</v>
      </c>
      <c r="AU151">
        <v>0</v>
      </c>
      <c r="AV151">
        <v>-9052891</v>
      </c>
      <c r="AW151">
        <v>-160589</v>
      </c>
      <c r="AX151">
        <v>0</v>
      </c>
      <c r="AY151">
        <v>-160589</v>
      </c>
      <c r="AZ151">
        <v>-4192</v>
      </c>
      <c r="BA151">
        <v>0</v>
      </c>
      <c r="BB151">
        <v>-4192</v>
      </c>
      <c r="BC151">
        <v>0</v>
      </c>
      <c r="BD151">
        <v>0</v>
      </c>
      <c r="BE151">
        <v>0</v>
      </c>
      <c r="BF151">
        <v>-27682770</v>
      </c>
      <c r="BG151">
        <v>0</v>
      </c>
      <c r="BH151">
        <v>0</v>
      </c>
      <c r="BI151">
        <v>0</v>
      </c>
      <c r="BJ151">
        <v>-27682770</v>
      </c>
      <c r="BK151">
        <v>0</v>
      </c>
      <c r="BL151">
        <v>-27682770</v>
      </c>
      <c r="BM151">
        <v>-31498</v>
      </c>
      <c r="BN151">
        <v>0</v>
      </c>
      <c r="BO151">
        <v>-31498</v>
      </c>
      <c r="BP151">
        <v>-4556953</v>
      </c>
      <c r="BQ151">
        <v>0</v>
      </c>
      <c r="BR151">
        <v>-4556953</v>
      </c>
      <c r="BS151">
        <v>-4588451</v>
      </c>
      <c r="BT151">
        <v>0</v>
      </c>
      <c r="BU151">
        <v>0</v>
      </c>
      <c r="BV151">
        <v>0</v>
      </c>
      <c r="BW151">
        <v>-4588451</v>
      </c>
      <c r="BX151">
        <v>0</v>
      </c>
      <c r="BY151">
        <v>-4588451</v>
      </c>
      <c r="BZ151">
        <v>-296478</v>
      </c>
      <c r="CA151">
        <v>0</v>
      </c>
      <c r="CB151">
        <v>-296478</v>
      </c>
      <c r="CC151">
        <v>-104595</v>
      </c>
      <c r="CD151">
        <v>0</v>
      </c>
      <c r="CE151">
        <v>-104595</v>
      </c>
      <c r="CF151">
        <v>0</v>
      </c>
      <c r="CG151">
        <v>0</v>
      </c>
      <c r="CH151">
        <v>0</v>
      </c>
      <c r="CI151">
        <v>-2043</v>
      </c>
      <c r="CJ151">
        <v>0</v>
      </c>
      <c r="CK151">
        <v>-2043</v>
      </c>
      <c r="CL151">
        <v>-81391</v>
      </c>
      <c r="CM151">
        <v>0</v>
      </c>
      <c r="CN151">
        <v>-81391</v>
      </c>
      <c r="CO151">
        <v>0</v>
      </c>
      <c r="CP151">
        <v>-157655</v>
      </c>
      <c r="CQ151">
        <v>-157655</v>
      </c>
      <c r="CR151">
        <v>-157655</v>
      </c>
      <c r="CS151">
        <v>0</v>
      </c>
      <c r="CT151">
        <v>-484507</v>
      </c>
      <c r="CU151">
        <v>-157655</v>
      </c>
      <c r="CV151">
        <v>0</v>
      </c>
      <c r="CW151">
        <v>0</v>
      </c>
      <c r="CX151">
        <v>-484507</v>
      </c>
      <c r="CY151">
        <v>-157655</v>
      </c>
      <c r="CZ151">
        <v>-642162</v>
      </c>
      <c r="DA151">
        <v>0</v>
      </c>
      <c r="DB151">
        <v>0</v>
      </c>
      <c r="DC151">
        <v>0</v>
      </c>
      <c r="DD151">
        <v>-65619</v>
      </c>
      <c r="DE151">
        <v>0</v>
      </c>
      <c r="DF151">
        <v>-65619</v>
      </c>
      <c r="DG151">
        <v>-16000</v>
      </c>
      <c r="DH151">
        <v>0</v>
      </c>
      <c r="DI151">
        <v>-16000</v>
      </c>
      <c r="DJ151">
        <v>-2391923</v>
      </c>
      <c r="DK151">
        <v>0</v>
      </c>
      <c r="DL151">
        <v>-2391923</v>
      </c>
      <c r="DM151">
        <v>-2473542</v>
      </c>
      <c r="DN151">
        <v>0</v>
      </c>
      <c r="DO151">
        <v>0</v>
      </c>
      <c r="DP151">
        <v>0</v>
      </c>
      <c r="DQ151">
        <v>-2473542</v>
      </c>
      <c r="DR151">
        <v>0</v>
      </c>
      <c r="DS151">
        <v>-2473542</v>
      </c>
      <c r="DT151">
        <v>108369271</v>
      </c>
      <c r="DU151">
        <v>304170</v>
      </c>
      <c r="DV151" s="661">
        <v>108673441</v>
      </c>
      <c r="DW151" t="s">
        <v>1802</v>
      </c>
    </row>
    <row r="152" spans="1:127" ht="12.75" x14ac:dyDescent="0.2">
      <c r="A152" s="605">
        <v>145</v>
      </c>
      <c r="B152" s="606" t="s">
        <v>174</v>
      </c>
      <c r="C152" s="607" t="s">
        <v>1192</v>
      </c>
      <c r="D152" s="608" t="s">
        <v>1187</v>
      </c>
      <c r="E152" s="609" t="s">
        <v>173</v>
      </c>
      <c r="G152">
        <v>112089327</v>
      </c>
      <c r="H152">
        <v>0</v>
      </c>
      <c r="I152">
        <v>112089327</v>
      </c>
      <c r="J152">
        <v>49.9</v>
      </c>
      <c r="K152">
        <v>55932574</v>
      </c>
      <c r="L152">
        <v>0</v>
      </c>
      <c r="M152">
        <v>0</v>
      </c>
      <c r="N152">
        <v>0</v>
      </c>
      <c r="O152">
        <v>55932574</v>
      </c>
      <c r="P152">
        <v>0</v>
      </c>
      <c r="Q152">
        <v>55932574</v>
      </c>
      <c r="R152">
        <v>-199367</v>
      </c>
      <c r="S152">
        <v>0</v>
      </c>
      <c r="T152">
        <v>-199367</v>
      </c>
      <c r="U152">
        <v>293965</v>
      </c>
      <c r="V152">
        <v>0</v>
      </c>
      <c r="W152">
        <v>293965</v>
      </c>
      <c r="X152">
        <v>94598</v>
      </c>
      <c r="Y152">
        <v>0</v>
      </c>
      <c r="Z152">
        <v>0</v>
      </c>
      <c r="AA152">
        <v>0</v>
      </c>
      <c r="AB152">
        <v>94598</v>
      </c>
      <c r="AC152">
        <v>0</v>
      </c>
      <c r="AD152">
        <v>94598</v>
      </c>
      <c r="AE152">
        <v>-94598</v>
      </c>
      <c r="AF152">
        <v>0</v>
      </c>
      <c r="AG152">
        <v>-94598</v>
      </c>
      <c r="AH152">
        <v>-3484949</v>
      </c>
      <c r="AI152">
        <v>0</v>
      </c>
      <c r="AJ152">
        <v>-3484949</v>
      </c>
      <c r="AK152">
        <v>-8283</v>
      </c>
      <c r="AL152">
        <v>0</v>
      </c>
      <c r="AM152">
        <v>-8283</v>
      </c>
      <c r="AN152">
        <v>1108797</v>
      </c>
      <c r="AO152">
        <v>0</v>
      </c>
      <c r="AP152">
        <v>1108797</v>
      </c>
      <c r="AQ152">
        <v>-2376152</v>
      </c>
      <c r="AR152">
        <v>0</v>
      </c>
      <c r="AS152">
        <v>-2376152</v>
      </c>
      <c r="AT152">
        <v>-2602783</v>
      </c>
      <c r="AU152">
        <v>0</v>
      </c>
      <c r="AV152">
        <v>-2602783</v>
      </c>
      <c r="AW152">
        <v>-8888</v>
      </c>
      <c r="AX152">
        <v>0</v>
      </c>
      <c r="AY152">
        <v>-8888</v>
      </c>
      <c r="AZ152">
        <v>0</v>
      </c>
      <c r="BA152">
        <v>0</v>
      </c>
      <c r="BB152">
        <v>0</v>
      </c>
      <c r="BC152">
        <v>0</v>
      </c>
      <c r="BD152">
        <v>0</v>
      </c>
      <c r="BE152">
        <v>0</v>
      </c>
      <c r="BF152">
        <v>-4987823</v>
      </c>
      <c r="BG152">
        <v>0</v>
      </c>
      <c r="BH152">
        <v>0</v>
      </c>
      <c r="BI152">
        <v>0</v>
      </c>
      <c r="BJ152">
        <v>-4987823</v>
      </c>
      <c r="BK152">
        <v>0</v>
      </c>
      <c r="BL152">
        <v>-4987823</v>
      </c>
      <c r="BM152">
        <v>-250000</v>
      </c>
      <c r="BN152">
        <v>0</v>
      </c>
      <c r="BO152">
        <v>-250000</v>
      </c>
      <c r="BP152">
        <v>-1333112</v>
      </c>
      <c r="BQ152">
        <v>0</v>
      </c>
      <c r="BR152">
        <v>-1333112</v>
      </c>
      <c r="BS152">
        <v>-1583112</v>
      </c>
      <c r="BT152">
        <v>0</v>
      </c>
      <c r="BU152">
        <v>0</v>
      </c>
      <c r="BV152">
        <v>0</v>
      </c>
      <c r="BW152">
        <v>-1583112</v>
      </c>
      <c r="BX152">
        <v>0</v>
      </c>
      <c r="BY152">
        <v>-1583112</v>
      </c>
      <c r="BZ152">
        <v>-216185</v>
      </c>
      <c r="CA152">
        <v>0</v>
      </c>
      <c r="CB152">
        <v>-216185</v>
      </c>
      <c r="CC152">
        <v>-803787</v>
      </c>
      <c r="CD152">
        <v>0</v>
      </c>
      <c r="CE152">
        <v>-803787</v>
      </c>
      <c r="CF152">
        <v>0</v>
      </c>
      <c r="CG152">
        <v>0</v>
      </c>
      <c r="CH152">
        <v>0</v>
      </c>
      <c r="CI152">
        <v>0</v>
      </c>
      <c r="CJ152">
        <v>0</v>
      </c>
      <c r="CK152">
        <v>0</v>
      </c>
      <c r="CL152">
        <v>0</v>
      </c>
      <c r="CM152">
        <v>0</v>
      </c>
      <c r="CN152">
        <v>0</v>
      </c>
      <c r="CO152">
        <v>0</v>
      </c>
      <c r="CP152">
        <v>0</v>
      </c>
      <c r="CQ152">
        <v>0</v>
      </c>
      <c r="CR152">
        <v>0</v>
      </c>
      <c r="CS152">
        <v>0</v>
      </c>
      <c r="CT152">
        <v>-1019972</v>
      </c>
      <c r="CU152">
        <v>0</v>
      </c>
      <c r="CV152">
        <v>0</v>
      </c>
      <c r="CW152">
        <v>0</v>
      </c>
      <c r="CX152">
        <v>-1019972</v>
      </c>
      <c r="CY152">
        <v>0</v>
      </c>
      <c r="CZ152">
        <v>-1019972</v>
      </c>
      <c r="DA152">
        <v>0</v>
      </c>
      <c r="DB152">
        <v>0</v>
      </c>
      <c r="DC152">
        <v>0</v>
      </c>
      <c r="DD152">
        <v>-8532</v>
      </c>
      <c r="DE152">
        <v>0</v>
      </c>
      <c r="DF152">
        <v>-8532</v>
      </c>
      <c r="DG152">
        <v>-5656</v>
      </c>
      <c r="DH152">
        <v>0</v>
      </c>
      <c r="DI152">
        <v>-5656</v>
      </c>
      <c r="DJ152">
        <v>-466922</v>
      </c>
      <c r="DK152">
        <v>0</v>
      </c>
      <c r="DL152">
        <v>-466922</v>
      </c>
      <c r="DM152">
        <v>-481110</v>
      </c>
      <c r="DN152">
        <v>0</v>
      </c>
      <c r="DO152">
        <v>0</v>
      </c>
      <c r="DP152">
        <v>0</v>
      </c>
      <c r="DQ152">
        <v>-481110</v>
      </c>
      <c r="DR152">
        <v>0</v>
      </c>
      <c r="DS152">
        <v>-481110</v>
      </c>
      <c r="DT152">
        <v>47955155</v>
      </c>
      <c r="DU152">
        <v>0</v>
      </c>
      <c r="DV152" s="661">
        <v>47955155</v>
      </c>
      <c r="DW152" t="s">
        <v>1803</v>
      </c>
    </row>
    <row r="153" spans="1:127" ht="12.75" x14ac:dyDescent="0.2">
      <c r="A153" s="605">
        <v>146</v>
      </c>
      <c r="B153" s="606" t="s">
        <v>176</v>
      </c>
      <c r="C153" s="607" t="s">
        <v>1196</v>
      </c>
      <c r="D153" s="608" t="s">
        <v>1191</v>
      </c>
      <c r="E153" s="609" t="s">
        <v>175</v>
      </c>
      <c r="G153">
        <v>427485087</v>
      </c>
      <c r="H153">
        <v>3586075</v>
      </c>
      <c r="I153">
        <v>431071162</v>
      </c>
      <c r="J153">
        <v>49.9</v>
      </c>
      <c r="K153">
        <v>213315058</v>
      </c>
      <c r="L153">
        <v>1789451</v>
      </c>
      <c r="M153">
        <v>0</v>
      </c>
      <c r="N153">
        <v>0</v>
      </c>
      <c r="O153">
        <v>213315058</v>
      </c>
      <c r="P153">
        <v>1789451</v>
      </c>
      <c r="Q153">
        <v>215104509</v>
      </c>
      <c r="R153">
        <v>-4124778</v>
      </c>
      <c r="S153">
        <v>0</v>
      </c>
      <c r="T153">
        <v>-4124778</v>
      </c>
      <c r="U153">
        <v>505033</v>
      </c>
      <c r="V153">
        <v>0</v>
      </c>
      <c r="W153">
        <v>505033</v>
      </c>
      <c r="X153">
        <v>-3619745</v>
      </c>
      <c r="Y153">
        <v>0</v>
      </c>
      <c r="Z153">
        <v>0</v>
      </c>
      <c r="AA153">
        <v>0</v>
      </c>
      <c r="AB153">
        <v>-3619745</v>
      </c>
      <c r="AC153">
        <v>0</v>
      </c>
      <c r="AD153">
        <v>-3619745</v>
      </c>
      <c r="AE153">
        <v>3619745</v>
      </c>
      <c r="AF153">
        <v>0</v>
      </c>
      <c r="AG153">
        <v>3619745</v>
      </c>
      <c r="AH153">
        <v>-9407426</v>
      </c>
      <c r="AI153">
        <v>0</v>
      </c>
      <c r="AJ153">
        <v>-9407426</v>
      </c>
      <c r="AK153">
        <v>0</v>
      </c>
      <c r="AL153">
        <v>0</v>
      </c>
      <c r="AM153">
        <v>0</v>
      </c>
      <c r="AN153">
        <v>4404236</v>
      </c>
      <c r="AO153">
        <v>39858</v>
      </c>
      <c r="AP153">
        <v>4444094</v>
      </c>
      <c r="AQ153">
        <v>-5003190</v>
      </c>
      <c r="AR153">
        <v>39858</v>
      </c>
      <c r="AS153">
        <v>-4963332</v>
      </c>
      <c r="AT153">
        <v>-21630417</v>
      </c>
      <c r="AU153">
        <v>0</v>
      </c>
      <c r="AV153">
        <v>-21630417</v>
      </c>
      <c r="AW153">
        <v>-8090</v>
      </c>
      <c r="AX153">
        <v>0</v>
      </c>
      <c r="AY153">
        <v>-8090</v>
      </c>
      <c r="AZ153">
        <v>0</v>
      </c>
      <c r="BA153">
        <v>0</v>
      </c>
      <c r="BB153">
        <v>0</v>
      </c>
      <c r="BC153">
        <v>0</v>
      </c>
      <c r="BD153">
        <v>0</v>
      </c>
      <c r="BE153">
        <v>0</v>
      </c>
      <c r="BF153">
        <v>-26641697</v>
      </c>
      <c r="BG153">
        <v>39858</v>
      </c>
      <c r="BH153">
        <v>0</v>
      </c>
      <c r="BI153">
        <v>0</v>
      </c>
      <c r="BJ153">
        <v>-26641697</v>
      </c>
      <c r="BK153">
        <v>39858</v>
      </c>
      <c r="BL153">
        <v>-26601839</v>
      </c>
      <c r="BM153">
        <v>0</v>
      </c>
      <c r="BN153">
        <v>0</v>
      </c>
      <c r="BO153">
        <v>0</v>
      </c>
      <c r="BP153">
        <v>-4056393</v>
      </c>
      <c r="BQ153">
        <v>0</v>
      </c>
      <c r="BR153">
        <v>-4056393</v>
      </c>
      <c r="BS153">
        <v>-4056393</v>
      </c>
      <c r="BT153">
        <v>0</v>
      </c>
      <c r="BU153">
        <v>0</v>
      </c>
      <c r="BV153">
        <v>0</v>
      </c>
      <c r="BW153">
        <v>-4056393</v>
      </c>
      <c r="BX153">
        <v>0</v>
      </c>
      <c r="BY153">
        <v>-4056393</v>
      </c>
      <c r="BZ153">
        <v>-279833</v>
      </c>
      <c r="CA153">
        <v>0</v>
      </c>
      <c r="CB153">
        <v>-279833</v>
      </c>
      <c r="CC153">
        <v>-410221</v>
      </c>
      <c r="CD153">
        <v>0</v>
      </c>
      <c r="CE153">
        <v>-410221</v>
      </c>
      <c r="CF153">
        <v>0</v>
      </c>
      <c r="CG153">
        <v>0</v>
      </c>
      <c r="CH153">
        <v>0</v>
      </c>
      <c r="CI153">
        <v>0</v>
      </c>
      <c r="CJ153">
        <v>0</v>
      </c>
      <c r="CK153">
        <v>0</v>
      </c>
      <c r="CL153">
        <v>0</v>
      </c>
      <c r="CM153">
        <v>0</v>
      </c>
      <c r="CN153">
        <v>0</v>
      </c>
      <c r="CO153">
        <v>-504</v>
      </c>
      <c r="CP153">
        <v>0</v>
      </c>
      <c r="CQ153">
        <v>-504</v>
      </c>
      <c r="CR153">
        <v>0</v>
      </c>
      <c r="CS153">
        <v>0</v>
      </c>
      <c r="CT153">
        <v>-690558</v>
      </c>
      <c r="CU153">
        <v>0</v>
      </c>
      <c r="CV153">
        <v>0</v>
      </c>
      <c r="CW153">
        <v>0</v>
      </c>
      <c r="CX153">
        <v>-690558</v>
      </c>
      <c r="CY153">
        <v>0</v>
      </c>
      <c r="CZ153">
        <v>-690558</v>
      </c>
      <c r="DA153">
        <v>0</v>
      </c>
      <c r="DB153">
        <v>0</v>
      </c>
      <c r="DC153">
        <v>0</v>
      </c>
      <c r="DD153">
        <v>-300438</v>
      </c>
      <c r="DE153">
        <v>0</v>
      </c>
      <c r="DF153">
        <v>-300438</v>
      </c>
      <c r="DG153">
        <v>-83644</v>
      </c>
      <c r="DH153">
        <v>0</v>
      </c>
      <c r="DI153">
        <v>-83644</v>
      </c>
      <c r="DJ153">
        <v>-3553565</v>
      </c>
      <c r="DK153">
        <v>-11136</v>
      </c>
      <c r="DL153">
        <v>-3564701</v>
      </c>
      <c r="DM153">
        <v>-3937647</v>
      </c>
      <c r="DN153">
        <v>-11136</v>
      </c>
      <c r="DO153">
        <v>0</v>
      </c>
      <c r="DP153">
        <v>0</v>
      </c>
      <c r="DQ153">
        <v>-3937647</v>
      </c>
      <c r="DR153">
        <v>-11136</v>
      </c>
      <c r="DS153">
        <v>-3948783</v>
      </c>
      <c r="DT153">
        <v>174369018</v>
      </c>
      <c r="DU153">
        <v>1818173</v>
      </c>
      <c r="DV153" s="661">
        <v>176187191</v>
      </c>
      <c r="DW153" t="s">
        <v>1804</v>
      </c>
    </row>
    <row r="154" spans="1:127" ht="12.75" x14ac:dyDescent="0.2">
      <c r="A154" s="605">
        <v>147</v>
      </c>
      <c r="B154" s="606" t="s">
        <v>178</v>
      </c>
      <c r="C154" s="607" t="s">
        <v>1185</v>
      </c>
      <c r="D154" s="608" t="s">
        <v>1187</v>
      </c>
      <c r="E154" s="609" t="s">
        <v>177</v>
      </c>
      <c r="G154">
        <v>161019796</v>
      </c>
      <c r="H154">
        <v>0</v>
      </c>
      <c r="I154">
        <v>161019796</v>
      </c>
      <c r="J154">
        <v>49.9</v>
      </c>
      <c r="K154">
        <v>80348878</v>
      </c>
      <c r="L154">
        <v>0</v>
      </c>
      <c r="M154">
        <v>0</v>
      </c>
      <c r="N154">
        <v>0</v>
      </c>
      <c r="O154">
        <v>80348878</v>
      </c>
      <c r="P154">
        <v>0</v>
      </c>
      <c r="Q154">
        <v>80348878</v>
      </c>
      <c r="R154">
        <v>-301272</v>
      </c>
      <c r="S154">
        <v>0</v>
      </c>
      <c r="T154">
        <v>-301272</v>
      </c>
      <c r="U154">
        <v>296744</v>
      </c>
      <c r="V154">
        <v>0</v>
      </c>
      <c r="W154">
        <v>296744</v>
      </c>
      <c r="X154">
        <v>-4528</v>
      </c>
      <c r="Y154">
        <v>0</v>
      </c>
      <c r="Z154">
        <v>0</v>
      </c>
      <c r="AA154">
        <v>0</v>
      </c>
      <c r="AB154">
        <v>-4528</v>
      </c>
      <c r="AC154">
        <v>0</v>
      </c>
      <c r="AD154">
        <v>-4528</v>
      </c>
      <c r="AE154">
        <v>4528</v>
      </c>
      <c r="AF154">
        <v>0</v>
      </c>
      <c r="AG154">
        <v>4528</v>
      </c>
      <c r="AH154">
        <v>-5306052</v>
      </c>
      <c r="AI154">
        <v>0</v>
      </c>
      <c r="AJ154">
        <v>-5306052</v>
      </c>
      <c r="AK154">
        <v>-23104</v>
      </c>
      <c r="AL154">
        <v>0</v>
      </c>
      <c r="AM154">
        <v>-23104</v>
      </c>
      <c r="AN154">
        <v>1651757</v>
      </c>
      <c r="AO154">
        <v>0</v>
      </c>
      <c r="AP154">
        <v>1651757</v>
      </c>
      <c r="AQ154">
        <v>-3654295</v>
      </c>
      <c r="AR154">
        <v>0</v>
      </c>
      <c r="AS154">
        <v>-3654295</v>
      </c>
      <c r="AT154">
        <v>-4911784</v>
      </c>
      <c r="AU154">
        <v>0</v>
      </c>
      <c r="AV154">
        <v>-4911784</v>
      </c>
      <c r="AW154">
        <v>-49824</v>
      </c>
      <c r="AX154">
        <v>0</v>
      </c>
      <c r="AY154">
        <v>-49824</v>
      </c>
      <c r="AZ154">
        <v>-24817</v>
      </c>
      <c r="BA154">
        <v>0</v>
      </c>
      <c r="BB154">
        <v>-24817</v>
      </c>
      <c r="BC154">
        <v>0</v>
      </c>
      <c r="BD154">
        <v>0</v>
      </c>
      <c r="BE154">
        <v>0</v>
      </c>
      <c r="BF154">
        <v>-8640720</v>
      </c>
      <c r="BG154">
        <v>0</v>
      </c>
      <c r="BH154">
        <v>154265</v>
      </c>
      <c r="BI154">
        <v>0</v>
      </c>
      <c r="BJ154">
        <v>-8486455</v>
      </c>
      <c r="BK154">
        <v>0</v>
      </c>
      <c r="BL154">
        <v>-8486455</v>
      </c>
      <c r="BM154">
        <v>0</v>
      </c>
      <c r="BN154">
        <v>0</v>
      </c>
      <c r="BO154">
        <v>0</v>
      </c>
      <c r="BP154">
        <v>-869246</v>
      </c>
      <c r="BQ154">
        <v>0</v>
      </c>
      <c r="BR154">
        <v>-869246</v>
      </c>
      <c r="BS154">
        <v>-869246</v>
      </c>
      <c r="BT154">
        <v>0</v>
      </c>
      <c r="BU154">
        <v>124223</v>
      </c>
      <c r="BV154">
        <v>0</v>
      </c>
      <c r="BW154">
        <v>-745023</v>
      </c>
      <c r="BX154">
        <v>0</v>
      </c>
      <c r="BY154">
        <v>-745023</v>
      </c>
      <c r="BZ154">
        <v>-112748</v>
      </c>
      <c r="CA154">
        <v>0</v>
      </c>
      <c r="CB154">
        <v>-112748</v>
      </c>
      <c r="CC154">
        <v>-113064</v>
      </c>
      <c r="CD154">
        <v>0</v>
      </c>
      <c r="CE154">
        <v>-113064</v>
      </c>
      <c r="CF154">
        <v>-3319</v>
      </c>
      <c r="CG154">
        <v>0</v>
      </c>
      <c r="CH154">
        <v>-3319</v>
      </c>
      <c r="CI154">
        <v>0</v>
      </c>
      <c r="CJ154">
        <v>0</v>
      </c>
      <c r="CK154">
        <v>0</v>
      </c>
      <c r="CL154">
        <v>0</v>
      </c>
      <c r="CM154">
        <v>0</v>
      </c>
      <c r="CN154">
        <v>0</v>
      </c>
      <c r="CO154">
        <v>0</v>
      </c>
      <c r="CP154">
        <v>0</v>
      </c>
      <c r="CQ154">
        <v>0</v>
      </c>
      <c r="CR154">
        <v>0</v>
      </c>
      <c r="CS154">
        <v>0</v>
      </c>
      <c r="CT154">
        <v>-229131</v>
      </c>
      <c r="CU154">
        <v>0</v>
      </c>
      <c r="CV154">
        <v>8854</v>
      </c>
      <c r="CW154">
        <v>0</v>
      </c>
      <c r="CX154">
        <v>-220277</v>
      </c>
      <c r="CY154">
        <v>0</v>
      </c>
      <c r="CZ154">
        <v>-220277</v>
      </c>
      <c r="DA154">
        <v>-24817</v>
      </c>
      <c r="DB154">
        <v>0</v>
      </c>
      <c r="DC154">
        <v>-24817</v>
      </c>
      <c r="DD154">
        <v>-30946</v>
      </c>
      <c r="DE154">
        <v>0</v>
      </c>
      <c r="DF154">
        <v>-30946</v>
      </c>
      <c r="DG154">
        <v>-7000</v>
      </c>
      <c r="DH154">
        <v>0</v>
      </c>
      <c r="DI154">
        <v>-7000</v>
      </c>
      <c r="DJ154">
        <v>-1730528</v>
      </c>
      <c r="DK154">
        <v>0</v>
      </c>
      <c r="DL154">
        <v>-1730528</v>
      </c>
      <c r="DM154">
        <v>-1793291</v>
      </c>
      <c r="DN154">
        <v>0</v>
      </c>
      <c r="DO154">
        <v>0</v>
      </c>
      <c r="DP154">
        <v>0</v>
      </c>
      <c r="DQ154">
        <v>-1793291</v>
      </c>
      <c r="DR154">
        <v>0</v>
      </c>
      <c r="DS154">
        <v>-1793291</v>
      </c>
      <c r="DT154">
        <v>69099304</v>
      </c>
      <c r="DU154">
        <v>0</v>
      </c>
      <c r="DV154" s="661">
        <v>69099304</v>
      </c>
      <c r="DW154" t="s">
        <v>1805</v>
      </c>
    </row>
    <row r="155" spans="1:127" ht="12.75" x14ac:dyDescent="0.2">
      <c r="A155" s="605">
        <v>148</v>
      </c>
      <c r="B155" s="606" t="s">
        <v>180</v>
      </c>
      <c r="C155" s="607" t="s">
        <v>1192</v>
      </c>
      <c r="D155" s="608" t="s">
        <v>1193</v>
      </c>
      <c r="E155" s="609" t="s">
        <v>179</v>
      </c>
      <c r="G155">
        <v>931349872</v>
      </c>
      <c r="H155">
        <v>5944000</v>
      </c>
      <c r="I155">
        <v>937293872</v>
      </c>
      <c r="J155">
        <v>49.9</v>
      </c>
      <c r="K155">
        <v>464743586</v>
      </c>
      <c r="L155">
        <v>2966056</v>
      </c>
      <c r="M155">
        <v>5188776</v>
      </c>
      <c r="N155">
        <v>398000</v>
      </c>
      <c r="O155">
        <v>469932362</v>
      </c>
      <c r="P155">
        <v>3364056</v>
      </c>
      <c r="Q155">
        <v>473296418</v>
      </c>
      <c r="R155">
        <v>-1125386</v>
      </c>
      <c r="S155">
        <v>0</v>
      </c>
      <c r="T155">
        <v>-1125386</v>
      </c>
      <c r="U155">
        <v>4173942</v>
      </c>
      <c r="V155">
        <v>0</v>
      </c>
      <c r="W155">
        <v>4173942</v>
      </c>
      <c r="X155">
        <v>3048556</v>
      </c>
      <c r="Y155">
        <v>0</v>
      </c>
      <c r="Z155">
        <v>0</v>
      </c>
      <c r="AA155">
        <v>0</v>
      </c>
      <c r="AB155">
        <v>3048556</v>
      </c>
      <c r="AC155">
        <v>0</v>
      </c>
      <c r="AD155">
        <v>3048556</v>
      </c>
      <c r="AE155">
        <v>-3048556</v>
      </c>
      <c r="AF155">
        <v>0</v>
      </c>
      <c r="AG155">
        <v>-3048556</v>
      </c>
      <c r="AH155">
        <v>-29974467</v>
      </c>
      <c r="AI155">
        <v>0</v>
      </c>
      <c r="AJ155">
        <v>-29974467</v>
      </c>
      <c r="AK155">
        <v>-20000</v>
      </c>
      <c r="AL155">
        <v>0</v>
      </c>
      <c r="AM155">
        <v>-20000</v>
      </c>
      <c r="AN155">
        <v>9081956</v>
      </c>
      <c r="AO155">
        <v>77272</v>
      </c>
      <c r="AP155">
        <v>9159228</v>
      </c>
      <c r="AQ155">
        <v>-20892511</v>
      </c>
      <c r="AR155">
        <v>77272</v>
      </c>
      <c r="AS155">
        <v>-20815239</v>
      </c>
      <c r="AT155">
        <v>-27550354</v>
      </c>
      <c r="AU155">
        <v>0</v>
      </c>
      <c r="AV155">
        <v>-27550354</v>
      </c>
      <c r="AW155">
        <v>-357816</v>
      </c>
      <c r="AX155">
        <v>0</v>
      </c>
      <c r="AY155">
        <v>-357816</v>
      </c>
      <c r="AZ155">
        <v>-7510</v>
      </c>
      <c r="BA155">
        <v>0</v>
      </c>
      <c r="BB155">
        <v>-7510</v>
      </c>
      <c r="BC155">
        <v>0</v>
      </c>
      <c r="BD155">
        <v>0</v>
      </c>
      <c r="BE155">
        <v>0</v>
      </c>
      <c r="BF155">
        <v>-48808191</v>
      </c>
      <c r="BG155">
        <v>77272</v>
      </c>
      <c r="BH155">
        <v>0</v>
      </c>
      <c r="BI155">
        <v>0</v>
      </c>
      <c r="BJ155">
        <v>-48808191</v>
      </c>
      <c r="BK155">
        <v>77272</v>
      </c>
      <c r="BL155">
        <v>-48730919</v>
      </c>
      <c r="BM155">
        <v>-100000</v>
      </c>
      <c r="BN155">
        <v>0</v>
      </c>
      <c r="BO155">
        <v>-100000</v>
      </c>
      <c r="BP155">
        <v>-19000000</v>
      </c>
      <c r="BQ155">
        <v>0</v>
      </c>
      <c r="BR155">
        <v>-19000000</v>
      </c>
      <c r="BS155">
        <v>-19100000</v>
      </c>
      <c r="BT155">
        <v>0</v>
      </c>
      <c r="BU155">
        <v>0</v>
      </c>
      <c r="BV155">
        <v>0</v>
      </c>
      <c r="BW155">
        <v>-19100000</v>
      </c>
      <c r="BX155">
        <v>0</v>
      </c>
      <c r="BY155">
        <v>-19100000</v>
      </c>
      <c r="BZ155">
        <v>-72460</v>
      </c>
      <c r="CA155">
        <v>0</v>
      </c>
      <c r="CB155">
        <v>-72460</v>
      </c>
      <c r="CC155">
        <v>-490000</v>
      </c>
      <c r="CD155">
        <v>0</v>
      </c>
      <c r="CE155">
        <v>-490000</v>
      </c>
      <c r="CF155">
        <v>-66774</v>
      </c>
      <c r="CG155">
        <v>0</v>
      </c>
      <c r="CH155">
        <v>-66774</v>
      </c>
      <c r="CI155">
        <v>0</v>
      </c>
      <c r="CJ155">
        <v>0</v>
      </c>
      <c r="CK155">
        <v>0</v>
      </c>
      <c r="CL155">
        <v>-2353</v>
      </c>
      <c r="CM155">
        <v>0</v>
      </c>
      <c r="CN155">
        <v>-2353</v>
      </c>
      <c r="CO155">
        <v>-500000</v>
      </c>
      <c r="CP155">
        <v>-223432</v>
      </c>
      <c r="CQ155">
        <v>-723432</v>
      </c>
      <c r="CR155">
        <v>-223432</v>
      </c>
      <c r="CS155">
        <v>0</v>
      </c>
      <c r="CT155">
        <v>-1131587</v>
      </c>
      <c r="CU155">
        <v>-223432</v>
      </c>
      <c r="CV155">
        <v>0</v>
      </c>
      <c r="CW155">
        <v>0</v>
      </c>
      <c r="CX155">
        <v>-1131587</v>
      </c>
      <c r="CY155">
        <v>-223432</v>
      </c>
      <c r="CZ155">
        <v>-1355019</v>
      </c>
      <c r="DA155">
        <v>-7349</v>
      </c>
      <c r="DB155">
        <v>0</v>
      </c>
      <c r="DC155">
        <v>-7349</v>
      </c>
      <c r="DD155">
        <v>-100000</v>
      </c>
      <c r="DE155">
        <v>0</v>
      </c>
      <c r="DF155">
        <v>-100000</v>
      </c>
      <c r="DG155">
        <v>-48000</v>
      </c>
      <c r="DH155">
        <v>0</v>
      </c>
      <c r="DI155">
        <v>-48000</v>
      </c>
      <c r="DJ155">
        <v>-8454629</v>
      </c>
      <c r="DK155">
        <v>0</v>
      </c>
      <c r="DL155">
        <v>-8454629</v>
      </c>
      <c r="DM155">
        <v>-8609978</v>
      </c>
      <c r="DN155">
        <v>0</v>
      </c>
      <c r="DO155">
        <v>0</v>
      </c>
      <c r="DP155">
        <v>0</v>
      </c>
      <c r="DQ155">
        <v>-8609978</v>
      </c>
      <c r="DR155">
        <v>0</v>
      </c>
      <c r="DS155">
        <v>-8609978</v>
      </c>
      <c r="DT155">
        <v>395331162</v>
      </c>
      <c r="DU155">
        <v>3217896</v>
      </c>
      <c r="DV155" s="661">
        <v>398549058</v>
      </c>
      <c r="DW155" t="s">
        <v>1806</v>
      </c>
    </row>
    <row r="156" spans="1:127" ht="12.75" x14ac:dyDescent="0.2">
      <c r="A156" s="605">
        <v>149</v>
      </c>
      <c r="B156" s="606" t="s">
        <v>182</v>
      </c>
      <c r="C156" s="607" t="s">
        <v>524</v>
      </c>
      <c r="D156" s="608" t="s">
        <v>1188</v>
      </c>
      <c r="E156" s="609" t="s">
        <v>591</v>
      </c>
      <c r="G156">
        <v>298338400</v>
      </c>
      <c r="H156">
        <v>7263780</v>
      </c>
      <c r="I156">
        <v>305602180</v>
      </c>
      <c r="J156">
        <v>49.9</v>
      </c>
      <c r="K156">
        <v>148870862</v>
      </c>
      <c r="L156">
        <v>3624626</v>
      </c>
      <c r="M156">
        <v>300000</v>
      </c>
      <c r="N156">
        <v>50000</v>
      </c>
      <c r="O156">
        <v>149170862</v>
      </c>
      <c r="P156">
        <v>3674626</v>
      </c>
      <c r="Q156">
        <v>152845488</v>
      </c>
      <c r="R156">
        <v>-2138110</v>
      </c>
      <c r="S156">
        <v>-22115</v>
      </c>
      <c r="T156">
        <v>-2160225</v>
      </c>
      <c r="U156">
        <v>256377</v>
      </c>
      <c r="V156">
        <v>0</v>
      </c>
      <c r="W156">
        <v>256377</v>
      </c>
      <c r="X156">
        <v>-1881733</v>
      </c>
      <c r="Y156">
        <v>-22115</v>
      </c>
      <c r="Z156">
        <v>0</v>
      </c>
      <c r="AA156">
        <v>0</v>
      </c>
      <c r="AB156">
        <v>-1881733</v>
      </c>
      <c r="AC156">
        <v>-22115</v>
      </c>
      <c r="AD156">
        <v>-1903848</v>
      </c>
      <c r="AE156">
        <v>1881733</v>
      </c>
      <c r="AF156">
        <v>22115</v>
      </c>
      <c r="AG156">
        <v>1903848</v>
      </c>
      <c r="AH156">
        <v>-14871286</v>
      </c>
      <c r="AI156">
        <v>-534247</v>
      </c>
      <c r="AJ156">
        <v>-15405533</v>
      </c>
      <c r="AK156">
        <v>-30000</v>
      </c>
      <c r="AL156">
        <v>0</v>
      </c>
      <c r="AM156">
        <v>-30000</v>
      </c>
      <c r="AN156">
        <v>2726387</v>
      </c>
      <c r="AO156">
        <v>51094</v>
      </c>
      <c r="AP156">
        <v>2777481</v>
      </c>
      <c r="AQ156">
        <v>-12144899</v>
      </c>
      <c r="AR156">
        <v>-483153</v>
      </c>
      <c r="AS156">
        <v>-12628052</v>
      </c>
      <c r="AT156">
        <v>-12719356</v>
      </c>
      <c r="AU156">
        <v>-618517</v>
      </c>
      <c r="AV156">
        <v>-13337873</v>
      </c>
      <c r="AW156">
        <v>-44667</v>
      </c>
      <c r="AX156">
        <v>-18432</v>
      </c>
      <c r="AY156">
        <v>-63099</v>
      </c>
      <c r="AZ156">
        <v>0</v>
      </c>
      <c r="BA156">
        <v>0</v>
      </c>
      <c r="BB156">
        <v>0</v>
      </c>
      <c r="BC156">
        <v>0</v>
      </c>
      <c r="BD156">
        <v>0</v>
      </c>
      <c r="BE156">
        <v>0</v>
      </c>
      <c r="BF156">
        <v>-24908922</v>
      </c>
      <c r="BG156">
        <v>-1120102</v>
      </c>
      <c r="BH156">
        <v>-500000</v>
      </c>
      <c r="BI156">
        <v>0</v>
      </c>
      <c r="BJ156">
        <v>-25408922</v>
      </c>
      <c r="BK156">
        <v>-1120102</v>
      </c>
      <c r="BL156">
        <v>-26529024</v>
      </c>
      <c r="BM156">
        <v>-35000</v>
      </c>
      <c r="BN156">
        <v>0</v>
      </c>
      <c r="BO156">
        <v>-35000</v>
      </c>
      <c r="BP156">
        <v>-2566250</v>
      </c>
      <c r="BQ156">
        <v>-107240</v>
      </c>
      <c r="BR156">
        <v>-2673490</v>
      </c>
      <c r="BS156">
        <v>-2601250</v>
      </c>
      <c r="BT156">
        <v>-107240</v>
      </c>
      <c r="BU156">
        <v>-1175000</v>
      </c>
      <c r="BV156">
        <v>-25000</v>
      </c>
      <c r="BW156">
        <v>-3776250</v>
      </c>
      <c r="BX156">
        <v>-132240</v>
      </c>
      <c r="BY156">
        <v>-3908490</v>
      </c>
      <c r="BZ156">
        <v>-404793</v>
      </c>
      <c r="CA156">
        <v>-77406</v>
      </c>
      <c r="CB156">
        <v>-482199</v>
      </c>
      <c r="CC156">
        <v>-161102</v>
      </c>
      <c r="CD156">
        <v>0</v>
      </c>
      <c r="CE156">
        <v>-161102</v>
      </c>
      <c r="CF156">
        <v>0</v>
      </c>
      <c r="CG156">
        <v>0</v>
      </c>
      <c r="CH156">
        <v>0</v>
      </c>
      <c r="CI156">
        <v>0</v>
      </c>
      <c r="CJ156">
        <v>0</v>
      </c>
      <c r="CK156">
        <v>0</v>
      </c>
      <c r="CL156">
        <v>0</v>
      </c>
      <c r="CM156">
        <v>0</v>
      </c>
      <c r="CN156">
        <v>0</v>
      </c>
      <c r="CO156">
        <v>-150000</v>
      </c>
      <c r="CP156">
        <v>0</v>
      </c>
      <c r="CQ156">
        <v>-150000</v>
      </c>
      <c r="CR156">
        <v>0</v>
      </c>
      <c r="CS156">
        <v>0</v>
      </c>
      <c r="CT156">
        <v>-715895</v>
      </c>
      <c r="CU156">
        <v>-77406</v>
      </c>
      <c r="CV156">
        <v>0</v>
      </c>
      <c r="CW156">
        <v>0</v>
      </c>
      <c r="CX156">
        <v>-715895</v>
      </c>
      <c r="CY156">
        <v>-77406</v>
      </c>
      <c r="CZ156">
        <v>-793301</v>
      </c>
      <c r="DA156">
        <v>0</v>
      </c>
      <c r="DB156">
        <v>0</v>
      </c>
      <c r="DC156">
        <v>0</v>
      </c>
      <c r="DD156">
        <v>-125717</v>
      </c>
      <c r="DE156">
        <v>-862</v>
      </c>
      <c r="DF156">
        <v>-126579</v>
      </c>
      <c r="DG156">
        <v>-37000</v>
      </c>
      <c r="DH156">
        <v>0</v>
      </c>
      <c r="DI156">
        <v>-37000</v>
      </c>
      <c r="DJ156">
        <v>-2338856</v>
      </c>
      <c r="DK156">
        <v>-18279</v>
      </c>
      <c r="DL156">
        <v>-2357135</v>
      </c>
      <c r="DM156">
        <v>-2501573</v>
      </c>
      <c r="DN156">
        <v>-19141</v>
      </c>
      <c r="DO156">
        <v>0</v>
      </c>
      <c r="DP156">
        <v>0</v>
      </c>
      <c r="DQ156">
        <v>-2501573</v>
      </c>
      <c r="DR156">
        <v>-19141</v>
      </c>
      <c r="DS156">
        <v>-2520714</v>
      </c>
      <c r="DT156">
        <v>114886489</v>
      </c>
      <c r="DU156">
        <v>2303622</v>
      </c>
      <c r="DV156" s="661">
        <v>117190111</v>
      </c>
      <c r="DW156" t="s">
        <v>1807</v>
      </c>
    </row>
    <row r="157" spans="1:127" ht="12.75" x14ac:dyDescent="0.2">
      <c r="A157" s="605">
        <v>150</v>
      </c>
      <c r="B157" s="606" t="s">
        <v>184</v>
      </c>
      <c r="C157" s="607" t="s">
        <v>1185</v>
      </c>
      <c r="D157" s="608" t="s">
        <v>1186</v>
      </c>
      <c r="E157" s="609" t="s">
        <v>183</v>
      </c>
      <c r="G157">
        <v>64963910</v>
      </c>
      <c r="H157">
        <v>6825210</v>
      </c>
      <c r="I157">
        <v>71789120</v>
      </c>
      <c r="J157">
        <v>49.9</v>
      </c>
      <c r="K157">
        <v>32416991</v>
      </c>
      <c r="L157">
        <v>3405780</v>
      </c>
      <c r="M157">
        <v>-126334</v>
      </c>
      <c r="N157">
        <v>93363</v>
      </c>
      <c r="O157">
        <v>32290657</v>
      </c>
      <c r="P157">
        <v>3499143</v>
      </c>
      <c r="Q157">
        <v>35789800</v>
      </c>
      <c r="R157">
        <v>-226118</v>
      </c>
      <c r="S157">
        <v>-1598</v>
      </c>
      <c r="T157">
        <v>-227716</v>
      </c>
      <c r="U157">
        <v>4830</v>
      </c>
      <c r="V157">
        <v>12494</v>
      </c>
      <c r="W157">
        <v>17324</v>
      </c>
      <c r="X157">
        <v>-221288</v>
      </c>
      <c r="Y157">
        <v>10896</v>
      </c>
      <c r="Z157">
        <v>0</v>
      </c>
      <c r="AA157">
        <v>0</v>
      </c>
      <c r="AB157">
        <v>-221288</v>
      </c>
      <c r="AC157">
        <v>10896</v>
      </c>
      <c r="AD157">
        <v>-210392</v>
      </c>
      <c r="AE157">
        <v>221288</v>
      </c>
      <c r="AF157">
        <v>-10896</v>
      </c>
      <c r="AG157">
        <v>210392</v>
      </c>
      <c r="AH157">
        <v>-3902419</v>
      </c>
      <c r="AI157">
        <v>-419508</v>
      </c>
      <c r="AJ157">
        <v>-4321927</v>
      </c>
      <c r="AK157">
        <v>0</v>
      </c>
      <c r="AL157">
        <v>0</v>
      </c>
      <c r="AM157">
        <v>0</v>
      </c>
      <c r="AN157">
        <v>507262</v>
      </c>
      <c r="AO157">
        <v>52067</v>
      </c>
      <c r="AP157">
        <v>559329</v>
      </c>
      <c r="AQ157">
        <v>-3395157</v>
      </c>
      <c r="AR157">
        <v>-367441</v>
      </c>
      <c r="AS157">
        <v>-3762598</v>
      </c>
      <c r="AT157">
        <v>-3099379</v>
      </c>
      <c r="AU157">
        <v>-67359</v>
      </c>
      <c r="AV157">
        <v>-3166738</v>
      </c>
      <c r="AW157">
        <v>-93892</v>
      </c>
      <c r="AX157">
        <v>0</v>
      </c>
      <c r="AY157">
        <v>-93892</v>
      </c>
      <c r="AZ157">
        <v>-5693</v>
      </c>
      <c r="BA157">
        <v>0</v>
      </c>
      <c r="BB157">
        <v>-5693</v>
      </c>
      <c r="BC157">
        <v>0</v>
      </c>
      <c r="BD157">
        <v>0</v>
      </c>
      <c r="BE157">
        <v>0</v>
      </c>
      <c r="BF157">
        <v>-6594121</v>
      </c>
      <c r="BG157">
        <v>-434800</v>
      </c>
      <c r="BH157">
        <v>0</v>
      </c>
      <c r="BI157">
        <v>0</v>
      </c>
      <c r="BJ157">
        <v>-6594121</v>
      </c>
      <c r="BK157">
        <v>-434800</v>
      </c>
      <c r="BL157">
        <v>-7028921</v>
      </c>
      <c r="BM157">
        <v>0</v>
      </c>
      <c r="BN157">
        <v>0</v>
      </c>
      <c r="BO157">
        <v>0</v>
      </c>
      <c r="BP157">
        <v>-676315</v>
      </c>
      <c r="BQ157">
        <v>-58662</v>
      </c>
      <c r="BR157">
        <v>-734977</v>
      </c>
      <c r="BS157">
        <v>-676315</v>
      </c>
      <c r="BT157">
        <v>-58662</v>
      </c>
      <c r="BU157">
        <v>0</v>
      </c>
      <c r="BV157">
        <v>0</v>
      </c>
      <c r="BW157">
        <v>-676315</v>
      </c>
      <c r="BX157">
        <v>-58662</v>
      </c>
      <c r="BY157">
        <v>-734977</v>
      </c>
      <c r="BZ157">
        <v>-166908</v>
      </c>
      <c r="CA157">
        <v>-9216</v>
      </c>
      <c r="CB157">
        <v>-176124</v>
      </c>
      <c r="CC157">
        <v>-22467</v>
      </c>
      <c r="CD157">
        <v>0</v>
      </c>
      <c r="CE157">
        <v>-22467</v>
      </c>
      <c r="CF157">
        <v>-615</v>
      </c>
      <c r="CG157">
        <v>0</v>
      </c>
      <c r="CH157">
        <v>-615</v>
      </c>
      <c r="CI157">
        <v>0</v>
      </c>
      <c r="CJ157">
        <v>0</v>
      </c>
      <c r="CK157">
        <v>0</v>
      </c>
      <c r="CL157">
        <v>0</v>
      </c>
      <c r="CM157">
        <v>0</v>
      </c>
      <c r="CN157">
        <v>0</v>
      </c>
      <c r="CO157">
        <v>0</v>
      </c>
      <c r="CP157">
        <v>-416906</v>
      </c>
      <c r="CQ157">
        <v>-416906</v>
      </c>
      <c r="CR157">
        <v>-416906</v>
      </c>
      <c r="CS157">
        <v>0</v>
      </c>
      <c r="CT157">
        <v>-189990</v>
      </c>
      <c r="CU157">
        <v>-426122</v>
      </c>
      <c r="CV157">
        <v>0</v>
      </c>
      <c r="CW157">
        <v>0</v>
      </c>
      <c r="CX157">
        <v>-189990</v>
      </c>
      <c r="CY157">
        <v>-426122</v>
      </c>
      <c r="CZ157">
        <v>-616112</v>
      </c>
      <c r="DA157">
        <v>-5694</v>
      </c>
      <c r="DB157">
        <v>0</v>
      </c>
      <c r="DC157">
        <v>-5694</v>
      </c>
      <c r="DD157">
        <v>-18028</v>
      </c>
      <c r="DE157">
        <v>0</v>
      </c>
      <c r="DF157">
        <v>-18028</v>
      </c>
      <c r="DG157">
        <v>-7</v>
      </c>
      <c r="DH157">
        <v>0</v>
      </c>
      <c r="DI157">
        <v>-7</v>
      </c>
      <c r="DJ157">
        <v>-1326209</v>
      </c>
      <c r="DK157">
        <v>-46751</v>
      </c>
      <c r="DL157">
        <v>-1372960</v>
      </c>
      <c r="DM157">
        <v>-1349938</v>
      </c>
      <c r="DN157">
        <v>-46751</v>
      </c>
      <c r="DO157">
        <v>0</v>
      </c>
      <c r="DP157">
        <v>0</v>
      </c>
      <c r="DQ157">
        <v>-1349938</v>
      </c>
      <c r="DR157">
        <v>-46751</v>
      </c>
      <c r="DS157">
        <v>-1396689</v>
      </c>
      <c r="DT157">
        <v>23259005</v>
      </c>
      <c r="DU157">
        <v>2543704</v>
      </c>
      <c r="DV157" s="661">
        <v>25802709</v>
      </c>
      <c r="DW157" t="s">
        <v>1808</v>
      </c>
    </row>
    <row r="158" spans="1:127" ht="12.75" x14ac:dyDescent="0.2">
      <c r="A158" s="605">
        <v>151</v>
      </c>
      <c r="B158" s="606" t="s">
        <v>186</v>
      </c>
      <c r="C158" s="607" t="s">
        <v>1196</v>
      </c>
      <c r="D158" s="608" t="s">
        <v>1191</v>
      </c>
      <c r="E158" s="609" t="s">
        <v>185</v>
      </c>
      <c r="G158">
        <v>178155438</v>
      </c>
      <c r="H158">
        <v>0</v>
      </c>
      <c r="I158">
        <v>178155438</v>
      </c>
      <c r="J158">
        <v>49.9</v>
      </c>
      <c r="K158">
        <v>88899564</v>
      </c>
      <c r="L158">
        <v>0</v>
      </c>
      <c r="M158">
        <v>0</v>
      </c>
      <c r="N158">
        <v>0</v>
      </c>
      <c r="O158">
        <v>88899564</v>
      </c>
      <c r="P158">
        <v>0</v>
      </c>
      <c r="Q158">
        <v>88899564</v>
      </c>
      <c r="R158">
        <v>-1070156</v>
      </c>
      <c r="S158">
        <v>0</v>
      </c>
      <c r="T158">
        <v>-1070156</v>
      </c>
      <c r="U158">
        <v>155466</v>
      </c>
      <c r="V158">
        <v>0</v>
      </c>
      <c r="W158">
        <v>155466</v>
      </c>
      <c r="X158">
        <v>-914690</v>
      </c>
      <c r="Y158">
        <v>0</v>
      </c>
      <c r="Z158">
        <v>0</v>
      </c>
      <c r="AA158">
        <v>0</v>
      </c>
      <c r="AB158">
        <v>-914690</v>
      </c>
      <c r="AC158">
        <v>0</v>
      </c>
      <c r="AD158">
        <v>-914690</v>
      </c>
      <c r="AE158">
        <v>914690</v>
      </c>
      <c r="AF158">
        <v>0</v>
      </c>
      <c r="AG158">
        <v>914690</v>
      </c>
      <c r="AH158">
        <v>-8451975</v>
      </c>
      <c r="AI158">
        <v>0</v>
      </c>
      <c r="AJ158">
        <v>-8451975</v>
      </c>
      <c r="AK158">
        <v>0</v>
      </c>
      <c r="AL158">
        <v>0</v>
      </c>
      <c r="AM158">
        <v>0</v>
      </c>
      <c r="AN158">
        <v>1566902</v>
      </c>
      <c r="AO158">
        <v>0</v>
      </c>
      <c r="AP158">
        <v>1566902</v>
      </c>
      <c r="AQ158">
        <v>-6885073</v>
      </c>
      <c r="AR158">
        <v>0</v>
      </c>
      <c r="AS158">
        <v>-6885073</v>
      </c>
      <c r="AT158">
        <v>-9311048</v>
      </c>
      <c r="AU158">
        <v>0</v>
      </c>
      <c r="AV158">
        <v>-9311048</v>
      </c>
      <c r="AW158">
        <v>0</v>
      </c>
      <c r="AX158">
        <v>0</v>
      </c>
      <c r="AY158">
        <v>0</v>
      </c>
      <c r="AZ158">
        <v>0</v>
      </c>
      <c r="BA158">
        <v>0</v>
      </c>
      <c r="BB158">
        <v>0</v>
      </c>
      <c r="BC158">
        <v>0</v>
      </c>
      <c r="BD158">
        <v>0</v>
      </c>
      <c r="BE158">
        <v>0</v>
      </c>
      <c r="BF158">
        <v>-16196121</v>
      </c>
      <c r="BG158">
        <v>0</v>
      </c>
      <c r="BH158">
        <v>0</v>
      </c>
      <c r="BI158">
        <v>0</v>
      </c>
      <c r="BJ158">
        <v>-16196121</v>
      </c>
      <c r="BK158">
        <v>0</v>
      </c>
      <c r="BL158">
        <v>-16196121</v>
      </c>
      <c r="BM158">
        <v>0</v>
      </c>
      <c r="BN158">
        <v>0</v>
      </c>
      <c r="BO158">
        <v>0</v>
      </c>
      <c r="BP158">
        <v>-1285585</v>
      </c>
      <c r="BQ158">
        <v>0</v>
      </c>
      <c r="BR158">
        <v>-1285585</v>
      </c>
      <c r="BS158">
        <v>-1285585</v>
      </c>
      <c r="BT158">
        <v>0</v>
      </c>
      <c r="BU158">
        <v>0</v>
      </c>
      <c r="BV158">
        <v>0</v>
      </c>
      <c r="BW158">
        <v>-1285585</v>
      </c>
      <c r="BX158">
        <v>0</v>
      </c>
      <c r="BY158">
        <v>-1285585</v>
      </c>
      <c r="BZ158">
        <v>-474556</v>
      </c>
      <c r="CA158">
        <v>0</v>
      </c>
      <c r="CB158">
        <v>-474556</v>
      </c>
      <c r="CC158">
        <v>0</v>
      </c>
      <c r="CD158">
        <v>0</v>
      </c>
      <c r="CE158">
        <v>0</v>
      </c>
      <c r="CF158">
        <v>0</v>
      </c>
      <c r="CG158">
        <v>0</v>
      </c>
      <c r="CH158">
        <v>0</v>
      </c>
      <c r="CI158">
        <v>0</v>
      </c>
      <c r="CJ158">
        <v>0</v>
      </c>
      <c r="CK158">
        <v>0</v>
      </c>
      <c r="CL158">
        <v>0</v>
      </c>
      <c r="CM158">
        <v>0</v>
      </c>
      <c r="CN158">
        <v>0</v>
      </c>
      <c r="CO158">
        <v>-900</v>
      </c>
      <c r="CP158">
        <v>0</v>
      </c>
      <c r="CQ158">
        <v>-900</v>
      </c>
      <c r="CR158">
        <v>0</v>
      </c>
      <c r="CS158">
        <v>0</v>
      </c>
      <c r="CT158">
        <v>-475456</v>
      </c>
      <c r="CU158">
        <v>0</v>
      </c>
      <c r="CV158">
        <v>0</v>
      </c>
      <c r="CW158">
        <v>0</v>
      </c>
      <c r="CX158">
        <v>-475456</v>
      </c>
      <c r="CY158">
        <v>0</v>
      </c>
      <c r="CZ158">
        <v>-475456</v>
      </c>
      <c r="DA158">
        <v>0</v>
      </c>
      <c r="DB158">
        <v>0</v>
      </c>
      <c r="DC158">
        <v>0</v>
      </c>
      <c r="DD158">
        <v>-130998</v>
      </c>
      <c r="DE158">
        <v>0</v>
      </c>
      <c r="DF158">
        <v>-130998</v>
      </c>
      <c r="DG158">
        <v>-32610</v>
      </c>
      <c r="DH158">
        <v>0</v>
      </c>
      <c r="DI158">
        <v>-32610</v>
      </c>
      <c r="DJ158">
        <v>-2062903</v>
      </c>
      <c r="DK158">
        <v>0</v>
      </c>
      <c r="DL158">
        <v>-2062903</v>
      </c>
      <c r="DM158">
        <v>-2226511</v>
      </c>
      <c r="DN158">
        <v>0</v>
      </c>
      <c r="DO158">
        <v>0</v>
      </c>
      <c r="DP158">
        <v>0</v>
      </c>
      <c r="DQ158">
        <v>-2226511</v>
      </c>
      <c r="DR158">
        <v>0</v>
      </c>
      <c r="DS158">
        <v>-2226511</v>
      </c>
      <c r="DT158">
        <v>67801201</v>
      </c>
      <c r="DU158">
        <v>0</v>
      </c>
      <c r="DV158" s="661">
        <v>67801201</v>
      </c>
      <c r="DW158" t="s">
        <v>1809</v>
      </c>
    </row>
    <row r="159" spans="1:127" ht="12.75" x14ac:dyDescent="0.2">
      <c r="A159" s="605">
        <v>152</v>
      </c>
      <c r="B159" s="606" t="s">
        <v>188</v>
      </c>
      <c r="C159" s="607" t="s">
        <v>1185</v>
      </c>
      <c r="D159" s="608" t="s">
        <v>1195</v>
      </c>
      <c r="E159" s="609" t="s">
        <v>187</v>
      </c>
      <c r="G159">
        <v>90077346</v>
      </c>
      <c r="H159">
        <v>0</v>
      </c>
      <c r="I159">
        <v>90077346</v>
      </c>
      <c r="J159">
        <v>49.9</v>
      </c>
      <c r="K159">
        <v>44948596</v>
      </c>
      <c r="L159">
        <v>0</v>
      </c>
      <c r="M159">
        <v>-911596</v>
      </c>
      <c r="N159">
        <v>0</v>
      </c>
      <c r="O159">
        <v>44037000</v>
      </c>
      <c r="P159">
        <v>0</v>
      </c>
      <c r="Q159">
        <v>44037000</v>
      </c>
      <c r="R159">
        <v>-427590</v>
      </c>
      <c r="S159">
        <v>0</v>
      </c>
      <c r="T159">
        <v>-427590</v>
      </c>
      <c r="U159">
        <v>264709</v>
      </c>
      <c r="V159">
        <v>0</v>
      </c>
      <c r="W159">
        <v>264709</v>
      </c>
      <c r="X159">
        <v>-162881</v>
      </c>
      <c r="Y159">
        <v>0</v>
      </c>
      <c r="Z159">
        <v>0</v>
      </c>
      <c r="AA159">
        <v>0</v>
      </c>
      <c r="AB159">
        <v>-162881</v>
      </c>
      <c r="AC159">
        <v>0</v>
      </c>
      <c r="AD159">
        <v>-162881</v>
      </c>
      <c r="AE159">
        <v>162881</v>
      </c>
      <c r="AF159">
        <v>0</v>
      </c>
      <c r="AG159">
        <v>162881</v>
      </c>
      <c r="AH159">
        <v>-3512211</v>
      </c>
      <c r="AI159">
        <v>0</v>
      </c>
      <c r="AJ159">
        <v>-3512211</v>
      </c>
      <c r="AK159">
        <v>-7435</v>
      </c>
      <c r="AL159">
        <v>0</v>
      </c>
      <c r="AM159">
        <v>-7435</v>
      </c>
      <c r="AN159">
        <v>822538</v>
      </c>
      <c r="AO159">
        <v>0</v>
      </c>
      <c r="AP159">
        <v>822538</v>
      </c>
      <c r="AQ159">
        <v>-2689673</v>
      </c>
      <c r="AR159">
        <v>0</v>
      </c>
      <c r="AS159">
        <v>-2689673</v>
      </c>
      <c r="AT159">
        <v>-2084534</v>
      </c>
      <c r="AU159">
        <v>0</v>
      </c>
      <c r="AV159">
        <v>-2084534</v>
      </c>
      <c r="AW159">
        <v>-56023</v>
      </c>
      <c r="AX159">
        <v>0</v>
      </c>
      <c r="AY159">
        <v>-56023</v>
      </c>
      <c r="AZ159">
        <v>-1869</v>
      </c>
      <c r="BA159">
        <v>0</v>
      </c>
      <c r="BB159">
        <v>-1869</v>
      </c>
      <c r="BC159">
        <v>0</v>
      </c>
      <c r="BD159">
        <v>0</v>
      </c>
      <c r="BE159">
        <v>0</v>
      </c>
      <c r="BF159">
        <v>-4832099</v>
      </c>
      <c r="BG159">
        <v>0</v>
      </c>
      <c r="BH159">
        <v>-58195</v>
      </c>
      <c r="BI159">
        <v>0</v>
      </c>
      <c r="BJ159">
        <v>-4890294</v>
      </c>
      <c r="BK159">
        <v>0</v>
      </c>
      <c r="BL159">
        <v>-4890294</v>
      </c>
      <c r="BM159">
        <v>0</v>
      </c>
      <c r="BN159">
        <v>0</v>
      </c>
      <c r="BO159">
        <v>0</v>
      </c>
      <c r="BP159">
        <v>-700190</v>
      </c>
      <c r="BQ159">
        <v>0</v>
      </c>
      <c r="BR159">
        <v>-700190</v>
      </c>
      <c r="BS159">
        <v>-700190</v>
      </c>
      <c r="BT159">
        <v>0</v>
      </c>
      <c r="BU159">
        <v>-1086810</v>
      </c>
      <c r="BV159">
        <v>0</v>
      </c>
      <c r="BW159">
        <v>-1787000</v>
      </c>
      <c r="BX159">
        <v>0</v>
      </c>
      <c r="BY159">
        <v>-1787000</v>
      </c>
      <c r="BZ159">
        <v>-26000</v>
      </c>
      <c r="CA159">
        <v>0</v>
      </c>
      <c r="CB159">
        <v>-26000</v>
      </c>
      <c r="CC159">
        <v>0</v>
      </c>
      <c r="CD159">
        <v>0</v>
      </c>
      <c r="CE159">
        <v>0</v>
      </c>
      <c r="CF159">
        <v>0</v>
      </c>
      <c r="CG159">
        <v>0</v>
      </c>
      <c r="CH159">
        <v>0</v>
      </c>
      <c r="CI159">
        <v>0</v>
      </c>
      <c r="CJ159">
        <v>0</v>
      </c>
      <c r="CK159">
        <v>0</v>
      </c>
      <c r="CL159">
        <v>0</v>
      </c>
      <c r="CM159">
        <v>0</v>
      </c>
      <c r="CN159">
        <v>0</v>
      </c>
      <c r="CO159">
        <v>0</v>
      </c>
      <c r="CP159">
        <v>0</v>
      </c>
      <c r="CQ159">
        <v>0</v>
      </c>
      <c r="CR159">
        <v>0</v>
      </c>
      <c r="CS159">
        <v>0</v>
      </c>
      <c r="CT159">
        <v>-26000</v>
      </c>
      <c r="CU159">
        <v>0</v>
      </c>
      <c r="CV159">
        <v>-54000</v>
      </c>
      <c r="CW159">
        <v>0</v>
      </c>
      <c r="CX159">
        <v>-80000</v>
      </c>
      <c r="CY159">
        <v>0</v>
      </c>
      <c r="CZ159">
        <v>-80000</v>
      </c>
      <c r="DA159">
        <v>-1869</v>
      </c>
      <c r="DB159">
        <v>0</v>
      </c>
      <c r="DC159">
        <v>-1869</v>
      </c>
      <c r="DD159">
        <v>-43443</v>
      </c>
      <c r="DE159">
        <v>0</v>
      </c>
      <c r="DF159">
        <v>-43443</v>
      </c>
      <c r="DG159">
        <v>-7430</v>
      </c>
      <c r="DH159">
        <v>0</v>
      </c>
      <c r="DI159">
        <v>-7430</v>
      </c>
      <c r="DJ159">
        <v>-555694</v>
      </c>
      <c r="DK159">
        <v>0</v>
      </c>
      <c r="DL159">
        <v>-555694</v>
      </c>
      <c r="DM159">
        <v>-608436</v>
      </c>
      <c r="DN159">
        <v>0</v>
      </c>
      <c r="DO159">
        <v>6436</v>
      </c>
      <c r="DP159">
        <v>0</v>
      </c>
      <c r="DQ159">
        <v>-602000</v>
      </c>
      <c r="DR159">
        <v>0</v>
      </c>
      <c r="DS159">
        <v>-602000</v>
      </c>
      <c r="DT159">
        <v>36514825</v>
      </c>
      <c r="DU159">
        <v>0</v>
      </c>
      <c r="DV159" s="661">
        <v>36514825</v>
      </c>
      <c r="DW159" t="s">
        <v>1810</v>
      </c>
    </row>
    <row r="160" spans="1:127" ht="12.75" x14ac:dyDescent="0.2">
      <c r="A160" s="605">
        <v>153</v>
      </c>
      <c r="B160" s="606" t="s">
        <v>190</v>
      </c>
      <c r="C160" s="607" t="s">
        <v>1185</v>
      </c>
      <c r="D160" s="608" t="s">
        <v>1188</v>
      </c>
      <c r="E160" s="609" t="s">
        <v>189</v>
      </c>
      <c r="G160">
        <v>115153858</v>
      </c>
      <c r="H160">
        <v>0</v>
      </c>
      <c r="I160">
        <v>115153858</v>
      </c>
      <c r="J160">
        <v>49.9</v>
      </c>
      <c r="K160">
        <v>57461775</v>
      </c>
      <c r="L160">
        <v>0</v>
      </c>
      <c r="M160">
        <v>-500000</v>
      </c>
      <c r="N160">
        <v>0</v>
      </c>
      <c r="O160">
        <v>56961775</v>
      </c>
      <c r="P160">
        <v>0</v>
      </c>
      <c r="Q160">
        <v>56961775</v>
      </c>
      <c r="R160">
        <v>-90851</v>
      </c>
      <c r="S160">
        <v>0</v>
      </c>
      <c r="T160">
        <v>-90851</v>
      </c>
      <c r="U160">
        <v>96682</v>
      </c>
      <c r="V160">
        <v>0</v>
      </c>
      <c r="W160">
        <v>96682</v>
      </c>
      <c r="X160">
        <v>5831</v>
      </c>
      <c r="Y160">
        <v>0</v>
      </c>
      <c r="Z160">
        <v>9270</v>
      </c>
      <c r="AA160">
        <v>0</v>
      </c>
      <c r="AB160">
        <v>15101</v>
      </c>
      <c r="AC160">
        <v>0</v>
      </c>
      <c r="AD160">
        <v>15101</v>
      </c>
      <c r="AE160">
        <v>-15101</v>
      </c>
      <c r="AF160">
        <v>0</v>
      </c>
      <c r="AG160">
        <v>-15101</v>
      </c>
      <c r="AH160">
        <v>-3511601</v>
      </c>
      <c r="AI160">
        <v>0</v>
      </c>
      <c r="AJ160">
        <v>-3511601</v>
      </c>
      <c r="AK160">
        <v>-4416</v>
      </c>
      <c r="AL160">
        <v>0</v>
      </c>
      <c r="AM160">
        <v>-4416</v>
      </c>
      <c r="AN160">
        <v>1102171</v>
      </c>
      <c r="AO160">
        <v>0</v>
      </c>
      <c r="AP160">
        <v>1102171</v>
      </c>
      <c r="AQ160">
        <v>-2409430</v>
      </c>
      <c r="AR160">
        <v>0</v>
      </c>
      <c r="AS160">
        <v>-2409430</v>
      </c>
      <c r="AT160">
        <v>-5473343</v>
      </c>
      <c r="AU160">
        <v>0</v>
      </c>
      <c r="AV160">
        <v>-5473343</v>
      </c>
      <c r="AW160">
        <v>-79931</v>
      </c>
      <c r="AX160">
        <v>0</v>
      </c>
      <c r="AY160">
        <v>-79931</v>
      </c>
      <c r="AZ160">
        <v>0</v>
      </c>
      <c r="BA160">
        <v>0</v>
      </c>
      <c r="BB160">
        <v>0</v>
      </c>
      <c r="BC160">
        <v>0</v>
      </c>
      <c r="BD160">
        <v>0</v>
      </c>
      <c r="BE160">
        <v>0</v>
      </c>
      <c r="BF160">
        <v>-7962704</v>
      </c>
      <c r="BG160">
        <v>0</v>
      </c>
      <c r="BH160">
        <v>-247760</v>
      </c>
      <c r="BI160">
        <v>0</v>
      </c>
      <c r="BJ160">
        <v>-8210464</v>
      </c>
      <c r="BK160">
        <v>0</v>
      </c>
      <c r="BL160">
        <v>-8210464</v>
      </c>
      <c r="BM160">
        <v>0</v>
      </c>
      <c r="BN160">
        <v>0</v>
      </c>
      <c r="BO160">
        <v>0</v>
      </c>
      <c r="BP160">
        <v>-843525</v>
      </c>
      <c r="BQ160">
        <v>0</v>
      </c>
      <c r="BR160">
        <v>-843525</v>
      </c>
      <c r="BS160">
        <v>-843525</v>
      </c>
      <c r="BT160">
        <v>0</v>
      </c>
      <c r="BU160">
        <v>-656475</v>
      </c>
      <c r="BV160">
        <v>0</v>
      </c>
      <c r="BW160">
        <v>-1500000</v>
      </c>
      <c r="BX160">
        <v>0</v>
      </c>
      <c r="BY160">
        <v>-1500000</v>
      </c>
      <c r="BZ160">
        <v>-39468</v>
      </c>
      <c r="CA160">
        <v>0</v>
      </c>
      <c r="CB160">
        <v>-39468</v>
      </c>
      <c r="CC160">
        <v>-6213</v>
      </c>
      <c r="CD160">
        <v>0</v>
      </c>
      <c r="CE160">
        <v>-6213</v>
      </c>
      <c r="CF160">
        <v>-4595</v>
      </c>
      <c r="CG160">
        <v>0</v>
      </c>
      <c r="CH160">
        <v>-4595</v>
      </c>
      <c r="CI160">
        <v>0</v>
      </c>
      <c r="CJ160">
        <v>0</v>
      </c>
      <c r="CK160">
        <v>0</v>
      </c>
      <c r="CL160">
        <v>0</v>
      </c>
      <c r="CM160">
        <v>0</v>
      </c>
      <c r="CN160">
        <v>0</v>
      </c>
      <c r="CO160">
        <v>-150000</v>
      </c>
      <c r="CP160">
        <v>0</v>
      </c>
      <c r="CQ160">
        <v>-150000</v>
      </c>
      <c r="CR160">
        <v>0</v>
      </c>
      <c r="CS160">
        <v>0</v>
      </c>
      <c r="CT160">
        <v>-200276</v>
      </c>
      <c r="CU160">
        <v>0</v>
      </c>
      <c r="CV160">
        <v>30494</v>
      </c>
      <c r="CW160">
        <v>0</v>
      </c>
      <c r="CX160">
        <v>-169782</v>
      </c>
      <c r="CY160">
        <v>0</v>
      </c>
      <c r="CZ160">
        <v>-169782</v>
      </c>
      <c r="DA160">
        <v>0</v>
      </c>
      <c r="DB160">
        <v>0</v>
      </c>
      <c r="DC160">
        <v>0</v>
      </c>
      <c r="DD160">
        <v>-8151</v>
      </c>
      <c r="DE160">
        <v>0</v>
      </c>
      <c r="DF160">
        <v>-8151</v>
      </c>
      <c r="DG160">
        <v>-6000</v>
      </c>
      <c r="DH160">
        <v>0</v>
      </c>
      <c r="DI160">
        <v>-6000</v>
      </c>
      <c r="DJ160">
        <v>-913476</v>
      </c>
      <c r="DK160">
        <v>0</v>
      </c>
      <c r="DL160">
        <v>-913476</v>
      </c>
      <c r="DM160">
        <v>-927627</v>
      </c>
      <c r="DN160">
        <v>0</v>
      </c>
      <c r="DO160">
        <v>0</v>
      </c>
      <c r="DP160">
        <v>0</v>
      </c>
      <c r="DQ160">
        <v>-927627</v>
      </c>
      <c r="DR160">
        <v>0</v>
      </c>
      <c r="DS160">
        <v>-927627</v>
      </c>
      <c r="DT160">
        <v>46169003</v>
      </c>
      <c r="DU160">
        <v>0</v>
      </c>
      <c r="DV160" s="661">
        <v>46169003</v>
      </c>
      <c r="DW160" t="s">
        <v>1811</v>
      </c>
    </row>
    <row r="161" spans="1:127" ht="12.75" x14ac:dyDescent="0.2">
      <c r="A161" s="605">
        <v>154</v>
      </c>
      <c r="B161" s="606" t="s">
        <v>192</v>
      </c>
      <c r="C161" s="607" t="s">
        <v>1192</v>
      </c>
      <c r="D161" s="608" t="s">
        <v>1187</v>
      </c>
      <c r="E161" s="609" t="s">
        <v>191</v>
      </c>
      <c r="G161">
        <v>471328725</v>
      </c>
      <c r="H161">
        <v>71805581</v>
      </c>
      <c r="I161">
        <v>543134306</v>
      </c>
      <c r="J161">
        <v>49.9</v>
      </c>
      <c r="K161">
        <v>235193034</v>
      </c>
      <c r="L161">
        <v>35830985</v>
      </c>
      <c r="M161">
        <v>1408510</v>
      </c>
      <c r="N161">
        <v>251490</v>
      </c>
      <c r="O161">
        <v>236601544</v>
      </c>
      <c r="P161">
        <v>36082475</v>
      </c>
      <c r="Q161">
        <v>272684019</v>
      </c>
      <c r="R161">
        <v>-2002489</v>
      </c>
      <c r="S161">
        <v>-60436</v>
      </c>
      <c r="T161">
        <v>-2062925</v>
      </c>
      <c r="U161">
        <v>1899227</v>
      </c>
      <c r="V161">
        <v>439574</v>
      </c>
      <c r="W161">
        <v>2338801</v>
      </c>
      <c r="X161">
        <v>-103262</v>
      </c>
      <c r="Y161">
        <v>379138</v>
      </c>
      <c r="Z161">
        <v>0</v>
      </c>
      <c r="AA161">
        <v>0</v>
      </c>
      <c r="AB161">
        <v>-103262</v>
      </c>
      <c r="AC161">
        <v>379138</v>
      </c>
      <c r="AD161">
        <v>275876</v>
      </c>
      <c r="AE161">
        <v>103262</v>
      </c>
      <c r="AF161">
        <v>-379138</v>
      </c>
      <c r="AG161">
        <v>-275876</v>
      </c>
      <c r="AH161">
        <v>-15521751</v>
      </c>
      <c r="AI161">
        <v>-1159349</v>
      </c>
      <c r="AJ161">
        <v>-16681100</v>
      </c>
      <c r="AK161">
        <v>-63407</v>
      </c>
      <c r="AL161">
        <v>-11593</v>
      </c>
      <c r="AM161">
        <v>-75000</v>
      </c>
      <c r="AN161">
        <v>4737129</v>
      </c>
      <c r="AO161">
        <v>736829</v>
      </c>
      <c r="AP161">
        <v>5473958</v>
      </c>
      <c r="AQ161">
        <v>-10784622</v>
      </c>
      <c r="AR161">
        <v>-422520</v>
      </c>
      <c r="AS161">
        <v>-11207142</v>
      </c>
      <c r="AT161">
        <v>-20437755</v>
      </c>
      <c r="AU161">
        <v>-1215479</v>
      </c>
      <c r="AV161">
        <v>-21653234</v>
      </c>
      <c r="AW161">
        <v>-4977</v>
      </c>
      <c r="AX161">
        <v>0</v>
      </c>
      <c r="AY161">
        <v>-4977</v>
      </c>
      <c r="AZ161">
        <v>0</v>
      </c>
      <c r="BA161">
        <v>0</v>
      </c>
      <c r="BB161">
        <v>0</v>
      </c>
      <c r="BC161">
        <v>0</v>
      </c>
      <c r="BD161">
        <v>0</v>
      </c>
      <c r="BE161">
        <v>0</v>
      </c>
      <c r="BF161">
        <v>-31227354</v>
      </c>
      <c r="BG161">
        <v>-1637999</v>
      </c>
      <c r="BH161">
        <v>-212125</v>
      </c>
      <c r="BI161">
        <v>-37875</v>
      </c>
      <c r="BJ161">
        <v>-31439479</v>
      </c>
      <c r="BK161">
        <v>-1675874</v>
      </c>
      <c r="BL161">
        <v>-33115353</v>
      </c>
      <c r="BM161">
        <v>0</v>
      </c>
      <c r="BN161">
        <v>0</v>
      </c>
      <c r="BO161">
        <v>0</v>
      </c>
      <c r="BP161">
        <v>-5083133</v>
      </c>
      <c r="BQ161">
        <v>-5645887</v>
      </c>
      <c r="BR161">
        <v>-10729020</v>
      </c>
      <c r="BS161">
        <v>-5083133</v>
      </c>
      <c r="BT161">
        <v>-5645887</v>
      </c>
      <c r="BU161">
        <v>-1500000</v>
      </c>
      <c r="BV161">
        <v>-1700000</v>
      </c>
      <c r="BW161">
        <v>-6583133</v>
      </c>
      <c r="BX161">
        <v>-7345887</v>
      </c>
      <c r="BY161">
        <v>-13929020</v>
      </c>
      <c r="BZ161">
        <v>-17510</v>
      </c>
      <c r="CA161">
        <v>-804</v>
      </c>
      <c r="CB161">
        <v>-18314</v>
      </c>
      <c r="CC161">
        <v>-15220</v>
      </c>
      <c r="CD161">
        <v>0</v>
      </c>
      <c r="CE161">
        <v>-15220</v>
      </c>
      <c r="CF161">
        <v>0</v>
      </c>
      <c r="CG161">
        <v>0</v>
      </c>
      <c r="CH161">
        <v>0</v>
      </c>
      <c r="CI161">
        <v>0</v>
      </c>
      <c r="CJ161">
        <v>0</v>
      </c>
      <c r="CK161">
        <v>0</v>
      </c>
      <c r="CL161">
        <v>0</v>
      </c>
      <c r="CM161">
        <v>0</v>
      </c>
      <c r="CN161">
        <v>0</v>
      </c>
      <c r="CO161">
        <v>0</v>
      </c>
      <c r="CP161">
        <v>-84425</v>
      </c>
      <c r="CQ161">
        <v>-84425</v>
      </c>
      <c r="CR161">
        <v>-84425</v>
      </c>
      <c r="CS161">
        <v>0</v>
      </c>
      <c r="CT161">
        <v>-32730</v>
      </c>
      <c r="CU161">
        <v>-85229</v>
      </c>
      <c r="CV161">
        <v>0</v>
      </c>
      <c r="CW161">
        <v>0</v>
      </c>
      <c r="CX161">
        <v>-32730</v>
      </c>
      <c r="CY161">
        <v>-85229</v>
      </c>
      <c r="CZ161">
        <v>-117959</v>
      </c>
      <c r="DA161">
        <v>0</v>
      </c>
      <c r="DB161">
        <v>0</v>
      </c>
      <c r="DC161">
        <v>0</v>
      </c>
      <c r="DD161">
        <v>-111811</v>
      </c>
      <c r="DE161">
        <v>-11520</v>
      </c>
      <c r="DF161">
        <v>-123331</v>
      </c>
      <c r="DG161">
        <v>-28647</v>
      </c>
      <c r="DH161">
        <v>-4000</v>
      </c>
      <c r="DI161">
        <v>-32647</v>
      </c>
      <c r="DJ161">
        <v>-3949734</v>
      </c>
      <c r="DK161">
        <v>-375658</v>
      </c>
      <c r="DL161">
        <v>-4325392</v>
      </c>
      <c r="DM161">
        <v>-4090192</v>
      </c>
      <c r="DN161">
        <v>-391178</v>
      </c>
      <c r="DO161">
        <v>0</v>
      </c>
      <c r="DP161">
        <v>0</v>
      </c>
      <c r="DQ161">
        <v>-4090192</v>
      </c>
      <c r="DR161">
        <v>-391178</v>
      </c>
      <c r="DS161">
        <v>-4481370</v>
      </c>
      <c r="DT161">
        <v>194352748</v>
      </c>
      <c r="DU161">
        <v>26963445</v>
      </c>
      <c r="DV161" s="661">
        <v>221316193</v>
      </c>
      <c r="DW161" t="s">
        <v>1812</v>
      </c>
    </row>
    <row r="162" spans="1:127" ht="12.75" x14ac:dyDescent="0.2">
      <c r="A162" s="605">
        <v>155</v>
      </c>
      <c r="B162" s="606" t="s">
        <v>194</v>
      </c>
      <c r="C162" s="607" t="s">
        <v>524</v>
      </c>
      <c r="D162" s="608" t="s">
        <v>1189</v>
      </c>
      <c r="E162" s="609" t="s">
        <v>529</v>
      </c>
      <c r="G162">
        <v>162823619</v>
      </c>
      <c r="H162">
        <v>9335530</v>
      </c>
      <c r="I162">
        <v>172159149</v>
      </c>
      <c r="J162">
        <v>49.9</v>
      </c>
      <c r="K162">
        <v>81248986</v>
      </c>
      <c r="L162">
        <v>4658429</v>
      </c>
      <c r="M162">
        <v>0</v>
      </c>
      <c r="N162">
        <v>0</v>
      </c>
      <c r="O162">
        <v>81248986</v>
      </c>
      <c r="P162">
        <v>4658429</v>
      </c>
      <c r="Q162">
        <v>85907415</v>
      </c>
      <c r="R162">
        <v>-662095</v>
      </c>
      <c r="S162">
        <v>-17720</v>
      </c>
      <c r="T162">
        <v>-679815</v>
      </c>
      <c r="U162">
        <v>810841</v>
      </c>
      <c r="V162">
        <v>6798</v>
      </c>
      <c r="W162">
        <v>817639</v>
      </c>
      <c r="X162">
        <v>148746</v>
      </c>
      <c r="Y162">
        <v>-10922</v>
      </c>
      <c r="Z162">
        <v>0</v>
      </c>
      <c r="AA162">
        <v>0</v>
      </c>
      <c r="AB162">
        <v>148746</v>
      </c>
      <c r="AC162">
        <v>-10922</v>
      </c>
      <c r="AD162">
        <v>137824</v>
      </c>
      <c r="AE162">
        <v>-148746</v>
      </c>
      <c r="AF162">
        <v>10922</v>
      </c>
      <c r="AG162">
        <v>-137824</v>
      </c>
      <c r="AH162">
        <v>-5812302</v>
      </c>
      <c r="AI162">
        <v>-21657</v>
      </c>
      <c r="AJ162">
        <v>-5833959</v>
      </c>
      <c r="AK162">
        <v>-5942</v>
      </c>
      <c r="AL162">
        <v>0</v>
      </c>
      <c r="AM162">
        <v>-5942</v>
      </c>
      <c r="AN162">
        <v>1539909</v>
      </c>
      <c r="AO162">
        <v>107680</v>
      </c>
      <c r="AP162">
        <v>1647589</v>
      </c>
      <c r="AQ162">
        <v>-4272393</v>
      </c>
      <c r="AR162">
        <v>86023</v>
      </c>
      <c r="AS162">
        <v>-4186370</v>
      </c>
      <c r="AT162">
        <v>-5729265</v>
      </c>
      <c r="AU162">
        <v>0</v>
      </c>
      <c r="AV162">
        <v>-5729265</v>
      </c>
      <c r="AW162">
        <v>-38973</v>
      </c>
      <c r="AX162">
        <v>0</v>
      </c>
      <c r="AY162">
        <v>-38973</v>
      </c>
      <c r="AZ162">
        <v>0</v>
      </c>
      <c r="BA162">
        <v>0</v>
      </c>
      <c r="BB162">
        <v>0</v>
      </c>
      <c r="BC162">
        <v>0</v>
      </c>
      <c r="BD162">
        <v>0</v>
      </c>
      <c r="BE162">
        <v>0</v>
      </c>
      <c r="BF162">
        <v>-10040631</v>
      </c>
      <c r="BG162">
        <v>86023</v>
      </c>
      <c r="BH162">
        <v>0</v>
      </c>
      <c r="BI162">
        <v>0</v>
      </c>
      <c r="BJ162">
        <v>-10040631</v>
      </c>
      <c r="BK162">
        <v>86023</v>
      </c>
      <c r="BL162">
        <v>-9954608</v>
      </c>
      <c r="BM162">
        <v>0</v>
      </c>
      <c r="BN162">
        <v>0</v>
      </c>
      <c r="BO162">
        <v>0</v>
      </c>
      <c r="BP162">
        <v>-1769127</v>
      </c>
      <c r="BQ162">
        <v>-19712</v>
      </c>
      <c r="BR162">
        <v>-1788839</v>
      </c>
      <c r="BS162">
        <v>-1769127</v>
      </c>
      <c r="BT162">
        <v>-19712</v>
      </c>
      <c r="BU162">
        <v>0</v>
      </c>
      <c r="BV162">
        <v>0</v>
      </c>
      <c r="BW162">
        <v>-1769127</v>
      </c>
      <c r="BX162">
        <v>-19712</v>
      </c>
      <c r="BY162">
        <v>-1788839</v>
      </c>
      <c r="BZ162">
        <v>-122242</v>
      </c>
      <c r="CA162">
        <v>0</v>
      </c>
      <c r="CB162">
        <v>-122242</v>
      </c>
      <c r="CC162">
        <v>-90981</v>
      </c>
      <c r="CD162">
        <v>0</v>
      </c>
      <c r="CE162">
        <v>-90981</v>
      </c>
      <c r="CF162">
        <v>0</v>
      </c>
      <c r="CG162">
        <v>0</v>
      </c>
      <c r="CH162">
        <v>0</v>
      </c>
      <c r="CI162">
        <v>0</v>
      </c>
      <c r="CJ162">
        <v>0</v>
      </c>
      <c r="CK162">
        <v>0</v>
      </c>
      <c r="CL162">
        <v>0</v>
      </c>
      <c r="CM162">
        <v>0</v>
      </c>
      <c r="CN162">
        <v>0</v>
      </c>
      <c r="CO162">
        <v>0</v>
      </c>
      <c r="CP162">
        <v>0</v>
      </c>
      <c r="CQ162">
        <v>0</v>
      </c>
      <c r="CR162">
        <v>0</v>
      </c>
      <c r="CS162">
        <v>0</v>
      </c>
      <c r="CT162">
        <v>-213223</v>
      </c>
      <c r="CU162">
        <v>0</v>
      </c>
      <c r="CV162">
        <v>0</v>
      </c>
      <c r="CW162">
        <v>0</v>
      </c>
      <c r="CX162">
        <v>-213223</v>
      </c>
      <c r="CY162">
        <v>0</v>
      </c>
      <c r="CZ162">
        <v>-213223</v>
      </c>
      <c r="DA162">
        <v>0</v>
      </c>
      <c r="DB162">
        <v>0</v>
      </c>
      <c r="DC162">
        <v>0</v>
      </c>
      <c r="DD162">
        <v>-29328</v>
      </c>
      <c r="DE162">
        <v>0</v>
      </c>
      <c r="DF162">
        <v>-29328</v>
      </c>
      <c r="DG162">
        <v>-8000</v>
      </c>
      <c r="DH162">
        <v>0</v>
      </c>
      <c r="DI162">
        <v>-8000</v>
      </c>
      <c r="DJ162">
        <v>-1089268</v>
      </c>
      <c r="DK162">
        <v>-678</v>
      </c>
      <c r="DL162">
        <v>-1089946</v>
      </c>
      <c r="DM162">
        <v>-1126596</v>
      </c>
      <c r="DN162">
        <v>-678</v>
      </c>
      <c r="DO162">
        <v>0</v>
      </c>
      <c r="DP162">
        <v>0</v>
      </c>
      <c r="DQ162">
        <v>-1126596</v>
      </c>
      <c r="DR162">
        <v>-678</v>
      </c>
      <c r="DS162">
        <v>-1127274</v>
      </c>
      <c r="DT162">
        <v>68248155</v>
      </c>
      <c r="DU162">
        <v>4713140</v>
      </c>
      <c r="DV162" s="661">
        <v>72961295</v>
      </c>
      <c r="DW162" t="s">
        <v>1813</v>
      </c>
    </row>
    <row r="163" spans="1:127" ht="12.75" x14ac:dyDescent="0.2">
      <c r="A163" s="605">
        <v>156</v>
      </c>
      <c r="B163" s="606" t="s">
        <v>196</v>
      </c>
      <c r="C163" s="607" t="s">
        <v>1185</v>
      </c>
      <c r="D163" s="608" t="s">
        <v>1186</v>
      </c>
      <c r="E163" s="609" t="s">
        <v>195</v>
      </c>
      <c r="G163">
        <v>146719129</v>
      </c>
      <c r="H163">
        <v>325000</v>
      </c>
      <c r="I163">
        <v>147044129</v>
      </c>
      <c r="J163">
        <v>49.9</v>
      </c>
      <c r="K163">
        <v>73212845</v>
      </c>
      <c r="L163">
        <v>162175</v>
      </c>
      <c r="M163">
        <v>0</v>
      </c>
      <c r="N163">
        <v>0</v>
      </c>
      <c r="O163">
        <v>73212845</v>
      </c>
      <c r="P163">
        <v>162175</v>
      </c>
      <c r="Q163">
        <v>73375020</v>
      </c>
      <c r="R163">
        <v>-284892</v>
      </c>
      <c r="S163">
        <v>0</v>
      </c>
      <c r="T163">
        <v>-284892</v>
      </c>
      <c r="U163">
        <v>966528</v>
      </c>
      <c r="V163">
        <v>0</v>
      </c>
      <c r="W163">
        <v>966528</v>
      </c>
      <c r="X163">
        <v>681636</v>
      </c>
      <c r="Y163">
        <v>0</v>
      </c>
      <c r="Z163">
        <v>0</v>
      </c>
      <c r="AA163">
        <v>0</v>
      </c>
      <c r="AB163">
        <v>681636</v>
      </c>
      <c r="AC163">
        <v>0</v>
      </c>
      <c r="AD163">
        <v>681636</v>
      </c>
      <c r="AE163">
        <v>-681636</v>
      </c>
      <c r="AF163">
        <v>0</v>
      </c>
      <c r="AG163">
        <v>-681636</v>
      </c>
      <c r="AH163">
        <v>-4790167</v>
      </c>
      <c r="AI163">
        <v>0</v>
      </c>
      <c r="AJ163">
        <v>-4790167</v>
      </c>
      <c r="AK163">
        <v>-4591</v>
      </c>
      <c r="AL163">
        <v>0</v>
      </c>
      <c r="AM163">
        <v>-4591</v>
      </c>
      <c r="AN163">
        <v>1330160</v>
      </c>
      <c r="AO163">
        <v>0</v>
      </c>
      <c r="AP163">
        <v>1330160</v>
      </c>
      <c r="AQ163">
        <v>-3460007</v>
      </c>
      <c r="AR163">
        <v>0</v>
      </c>
      <c r="AS163">
        <v>-3460007</v>
      </c>
      <c r="AT163">
        <v>-4886207</v>
      </c>
      <c r="AU163">
        <v>0</v>
      </c>
      <c r="AV163">
        <v>-4886207</v>
      </c>
      <c r="AW163">
        <v>-111653</v>
      </c>
      <c r="AX163">
        <v>0</v>
      </c>
      <c r="AY163">
        <v>-111653</v>
      </c>
      <c r="AZ163">
        <v>-3373</v>
      </c>
      <c r="BA163">
        <v>0</v>
      </c>
      <c r="BB163">
        <v>-3373</v>
      </c>
      <c r="BC163">
        <v>0</v>
      </c>
      <c r="BD163">
        <v>0</v>
      </c>
      <c r="BE163">
        <v>0</v>
      </c>
      <c r="BF163">
        <v>-8461240</v>
      </c>
      <c r="BG163">
        <v>0</v>
      </c>
      <c r="BH163">
        <v>0</v>
      </c>
      <c r="BI163">
        <v>0</v>
      </c>
      <c r="BJ163">
        <v>-8461240</v>
      </c>
      <c r="BK163">
        <v>0</v>
      </c>
      <c r="BL163">
        <v>-8461240</v>
      </c>
      <c r="BM163">
        <v>0</v>
      </c>
      <c r="BN163">
        <v>0</v>
      </c>
      <c r="BO163">
        <v>0</v>
      </c>
      <c r="BP163">
        <v>-1373610</v>
      </c>
      <c r="BQ163">
        <v>0</v>
      </c>
      <c r="BR163">
        <v>-1373610</v>
      </c>
      <c r="BS163">
        <v>-1373610</v>
      </c>
      <c r="BT163">
        <v>0</v>
      </c>
      <c r="BU163">
        <v>-828707</v>
      </c>
      <c r="BV163">
        <v>0</v>
      </c>
      <c r="BW163">
        <v>-2202317</v>
      </c>
      <c r="BX163">
        <v>0</v>
      </c>
      <c r="BY163">
        <v>-2202317</v>
      </c>
      <c r="BZ163">
        <v>-144994</v>
      </c>
      <c r="CA163">
        <v>0</v>
      </c>
      <c r="CB163">
        <v>-144994</v>
      </c>
      <c r="CC163">
        <v>-9699</v>
      </c>
      <c r="CD163">
        <v>0</v>
      </c>
      <c r="CE163">
        <v>-9699</v>
      </c>
      <c r="CF163">
        <v>-8038</v>
      </c>
      <c r="CG163">
        <v>0</v>
      </c>
      <c r="CH163">
        <v>-8038</v>
      </c>
      <c r="CI163">
        <v>-3373</v>
      </c>
      <c r="CJ163">
        <v>0</v>
      </c>
      <c r="CK163">
        <v>-3373</v>
      </c>
      <c r="CL163">
        <v>0</v>
      </c>
      <c r="CM163">
        <v>0</v>
      </c>
      <c r="CN163">
        <v>0</v>
      </c>
      <c r="CO163">
        <v>0</v>
      </c>
      <c r="CP163">
        <v>-55000</v>
      </c>
      <c r="CQ163">
        <v>-55000</v>
      </c>
      <c r="CR163">
        <v>-55000</v>
      </c>
      <c r="CS163">
        <v>0</v>
      </c>
      <c r="CT163">
        <v>-166104</v>
      </c>
      <c r="CU163">
        <v>-55000</v>
      </c>
      <c r="CV163">
        <v>0</v>
      </c>
      <c r="CW163">
        <v>0</v>
      </c>
      <c r="CX163">
        <v>-166104</v>
      </c>
      <c r="CY163">
        <v>-55000</v>
      </c>
      <c r="CZ163">
        <v>-221104</v>
      </c>
      <c r="DA163">
        <v>0</v>
      </c>
      <c r="DB163">
        <v>0</v>
      </c>
      <c r="DC163">
        <v>0</v>
      </c>
      <c r="DD163">
        <v>-17634</v>
      </c>
      <c r="DE163">
        <v>0</v>
      </c>
      <c r="DF163">
        <v>-17634</v>
      </c>
      <c r="DG163">
        <v>-8212</v>
      </c>
      <c r="DH163">
        <v>0</v>
      </c>
      <c r="DI163">
        <v>-8212</v>
      </c>
      <c r="DJ163">
        <v>-1449106</v>
      </c>
      <c r="DK163">
        <v>0</v>
      </c>
      <c r="DL163">
        <v>-1449106</v>
      </c>
      <c r="DM163">
        <v>-1474952</v>
      </c>
      <c r="DN163">
        <v>0</v>
      </c>
      <c r="DO163">
        <v>0</v>
      </c>
      <c r="DP163">
        <v>0</v>
      </c>
      <c r="DQ163">
        <v>-1474952</v>
      </c>
      <c r="DR163">
        <v>0</v>
      </c>
      <c r="DS163">
        <v>-1474952</v>
      </c>
      <c r="DT163">
        <v>61589868</v>
      </c>
      <c r="DU163">
        <v>107175</v>
      </c>
      <c r="DV163" s="661">
        <v>61697043</v>
      </c>
      <c r="DW163" t="s">
        <v>1814</v>
      </c>
    </row>
    <row r="164" spans="1:127" ht="12.75" x14ac:dyDescent="0.2">
      <c r="A164" s="605">
        <v>157</v>
      </c>
      <c r="B164" s="606" t="s">
        <v>198</v>
      </c>
      <c r="C164" s="607" t="s">
        <v>1185</v>
      </c>
      <c r="D164" s="608" t="s">
        <v>1189</v>
      </c>
      <c r="E164" s="609" t="s">
        <v>197</v>
      </c>
      <c r="G164">
        <v>41006436</v>
      </c>
      <c r="H164">
        <v>0</v>
      </c>
      <c r="I164">
        <v>41006436</v>
      </c>
      <c r="J164">
        <v>49.9</v>
      </c>
      <c r="K164">
        <v>20462212</v>
      </c>
      <c r="L164">
        <v>0</v>
      </c>
      <c r="M164">
        <v>0</v>
      </c>
      <c r="N164">
        <v>0</v>
      </c>
      <c r="O164">
        <v>20462212</v>
      </c>
      <c r="P164">
        <v>0</v>
      </c>
      <c r="Q164">
        <v>20462212</v>
      </c>
      <c r="R164">
        <v>-100654</v>
      </c>
      <c r="S164">
        <v>0</v>
      </c>
      <c r="T164">
        <v>-100654</v>
      </c>
      <c r="U164">
        <v>4676</v>
      </c>
      <c r="V164">
        <v>0</v>
      </c>
      <c r="W164">
        <v>4676</v>
      </c>
      <c r="X164">
        <v>-95978</v>
      </c>
      <c r="Y164">
        <v>0</v>
      </c>
      <c r="Z164">
        <v>-30317</v>
      </c>
      <c r="AA164">
        <v>0</v>
      </c>
      <c r="AB164">
        <v>-126295</v>
      </c>
      <c r="AC164">
        <v>0</v>
      </c>
      <c r="AD164">
        <v>-126295</v>
      </c>
      <c r="AE164">
        <v>126295</v>
      </c>
      <c r="AF164">
        <v>0</v>
      </c>
      <c r="AG164">
        <v>126295</v>
      </c>
      <c r="AH164">
        <v>-3167542</v>
      </c>
      <c r="AI164">
        <v>0</v>
      </c>
      <c r="AJ164">
        <v>-3167542</v>
      </c>
      <c r="AK164">
        <v>-56120</v>
      </c>
      <c r="AL164">
        <v>0</v>
      </c>
      <c r="AM164">
        <v>-56120</v>
      </c>
      <c r="AN164">
        <v>292230</v>
      </c>
      <c r="AO164">
        <v>0</v>
      </c>
      <c r="AP164">
        <v>292230</v>
      </c>
      <c r="AQ164">
        <v>-2875312</v>
      </c>
      <c r="AR164">
        <v>0</v>
      </c>
      <c r="AS164">
        <v>-2875312</v>
      </c>
      <c r="AT164">
        <v>-899406</v>
      </c>
      <c r="AU164">
        <v>0</v>
      </c>
      <c r="AV164">
        <v>-899406</v>
      </c>
      <c r="AW164">
        <v>-64061</v>
      </c>
      <c r="AX164">
        <v>0</v>
      </c>
      <c r="AY164">
        <v>-64061</v>
      </c>
      <c r="AZ164">
        <v>-10124</v>
      </c>
      <c r="BA164">
        <v>0</v>
      </c>
      <c r="BB164">
        <v>-10124</v>
      </c>
      <c r="BC164">
        <v>0</v>
      </c>
      <c r="BD164">
        <v>0</v>
      </c>
      <c r="BE164">
        <v>0</v>
      </c>
      <c r="BF164">
        <v>-3848903</v>
      </c>
      <c r="BG164">
        <v>0</v>
      </c>
      <c r="BH164">
        <v>0</v>
      </c>
      <c r="BI164">
        <v>0</v>
      </c>
      <c r="BJ164">
        <v>-3848903</v>
      </c>
      <c r="BK164">
        <v>0</v>
      </c>
      <c r="BL164">
        <v>-3848903</v>
      </c>
      <c r="BM164">
        <v>0</v>
      </c>
      <c r="BN164">
        <v>0</v>
      </c>
      <c r="BO164">
        <v>0</v>
      </c>
      <c r="BP164">
        <v>-438031</v>
      </c>
      <c r="BQ164">
        <v>0</v>
      </c>
      <c r="BR164">
        <v>-438031</v>
      </c>
      <c r="BS164">
        <v>-438031</v>
      </c>
      <c r="BT164">
        <v>0</v>
      </c>
      <c r="BU164">
        <v>0</v>
      </c>
      <c r="BV164">
        <v>0</v>
      </c>
      <c r="BW164">
        <v>-438031</v>
      </c>
      <c r="BX164">
        <v>0</v>
      </c>
      <c r="BY164">
        <v>-438031</v>
      </c>
      <c r="BZ164">
        <v>-29689</v>
      </c>
      <c r="CA164">
        <v>0</v>
      </c>
      <c r="CB164">
        <v>-29689</v>
      </c>
      <c r="CC164">
        <v>-6334</v>
      </c>
      <c r="CD164">
        <v>0</v>
      </c>
      <c r="CE164">
        <v>-6334</v>
      </c>
      <c r="CF164">
        <v>-302</v>
      </c>
      <c r="CG164">
        <v>0</v>
      </c>
      <c r="CH164">
        <v>-302</v>
      </c>
      <c r="CI164">
        <v>-1984</v>
      </c>
      <c r="CJ164">
        <v>0</v>
      </c>
      <c r="CK164">
        <v>-1984</v>
      </c>
      <c r="CL164">
        <v>0</v>
      </c>
      <c r="CM164">
        <v>0</v>
      </c>
      <c r="CN164">
        <v>0</v>
      </c>
      <c r="CO164">
        <v>0</v>
      </c>
      <c r="CP164">
        <v>0</v>
      </c>
      <c r="CQ164">
        <v>0</v>
      </c>
      <c r="CR164">
        <v>0</v>
      </c>
      <c r="CS164">
        <v>0</v>
      </c>
      <c r="CT164">
        <v>-38309</v>
      </c>
      <c r="CU164">
        <v>0</v>
      </c>
      <c r="CV164">
        <v>0</v>
      </c>
      <c r="CW164">
        <v>0</v>
      </c>
      <c r="CX164">
        <v>-38309</v>
      </c>
      <c r="CY164">
        <v>0</v>
      </c>
      <c r="CZ164">
        <v>-38309</v>
      </c>
      <c r="DA164">
        <v>-8140</v>
      </c>
      <c r="DB164">
        <v>0</v>
      </c>
      <c r="DC164">
        <v>-8140</v>
      </c>
      <c r="DD164">
        <v>-14771</v>
      </c>
      <c r="DE164">
        <v>0</v>
      </c>
      <c r="DF164">
        <v>-14771</v>
      </c>
      <c r="DG164">
        <v>-2688</v>
      </c>
      <c r="DH164">
        <v>0</v>
      </c>
      <c r="DI164">
        <v>-2688</v>
      </c>
      <c r="DJ164">
        <v>-498797</v>
      </c>
      <c r="DK164">
        <v>0</v>
      </c>
      <c r="DL164">
        <v>-498797</v>
      </c>
      <c r="DM164">
        <v>-524396</v>
      </c>
      <c r="DN164">
        <v>0</v>
      </c>
      <c r="DO164">
        <v>0</v>
      </c>
      <c r="DP164">
        <v>0</v>
      </c>
      <c r="DQ164">
        <v>-524396</v>
      </c>
      <c r="DR164">
        <v>0</v>
      </c>
      <c r="DS164">
        <v>-524396</v>
      </c>
      <c r="DT164">
        <v>15486278</v>
      </c>
      <c r="DU164">
        <v>0</v>
      </c>
      <c r="DV164" s="661">
        <v>15486278</v>
      </c>
      <c r="DW164" t="s">
        <v>1815</v>
      </c>
    </row>
    <row r="165" spans="1:127" ht="12.75" x14ac:dyDescent="0.2">
      <c r="A165" s="605">
        <v>158</v>
      </c>
      <c r="B165" s="606" t="s">
        <v>200</v>
      </c>
      <c r="C165" s="607" t="s">
        <v>1185</v>
      </c>
      <c r="D165" s="608" t="s">
        <v>1195</v>
      </c>
      <c r="E165" s="609" t="s">
        <v>199</v>
      </c>
      <c r="G165">
        <v>47230950</v>
      </c>
      <c r="H165">
        <v>0</v>
      </c>
      <c r="I165">
        <v>47230950</v>
      </c>
      <c r="J165">
        <v>49.9</v>
      </c>
      <c r="K165">
        <v>23568244</v>
      </c>
      <c r="L165">
        <v>0</v>
      </c>
      <c r="M165">
        <v>0</v>
      </c>
      <c r="N165">
        <v>0</v>
      </c>
      <c r="O165">
        <v>23568244</v>
      </c>
      <c r="P165">
        <v>0</v>
      </c>
      <c r="Q165">
        <v>23568244</v>
      </c>
      <c r="R165">
        <v>-234334</v>
      </c>
      <c r="S165">
        <v>0</v>
      </c>
      <c r="T165">
        <v>-234334</v>
      </c>
      <c r="U165">
        <v>66274</v>
      </c>
      <c r="V165">
        <v>0</v>
      </c>
      <c r="W165">
        <v>66274</v>
      </c>
      <c r="X165">
        <v>-168060</v>
      </c>
      <c r="Y165">
        <v>0</v>
      </c>
      <c r="Z165">
        <v>0</v>
      </c>
      <c r="AA165">
        <v>0</v>
      </c>
      <c r="AB165">
        <v>-168060</v>
      </c>
      <c r="AC165">
        <v>0</v>
      </c>
      <c r="AD165">
        <v>-168060</v>
      </c>
      <c r="AE165">
        <v>168060</v>
      </c>
      <c r="AF165">
        <v>0</v>
      </c>
      <c r="AG165">
        <v>168060</v>
      </c>
      <c r="AH165">
        <v>-3802395</v>
      </c>
      <c r="AI165">
        <v>0</v>
      </c>
      <c r="AJ165">
        <v>-3802395</v>
      </c>
      <c r="AK165">
        <v>0</v>
      </c>
      <c r="AL165">
        <v>0</v>
      </c>
      <c r="AM165">
        <v>0</v>
      </c>
      <c r="AN165">
        <v>361741</v>
      </c>
      <c r="AO165">
        <v>0</v>
      </c>
      <c r="AP165">
        <v>361741</v>
      </c>
      <c r="AQ165">
        <v>-3440654</v>
      </c>
      <c r="AR165">
        <v>0</v>
      </c>
      <c r="AS165">
        <v>-3440654</v>
      </c>
      <c r="AT165">
        <v>-2159615</v>
      </c>
      <c r="AU165">
        <v>0</v>
      </c>
      <c r="AV165">
        <v>-2159615</v>
      </c>
      <c r="AW165">
        <v>-151581</v>
      </c>
      <c r="AX165">
        <v>0</v>
      </c>
      <c r="AY165">
        <v>-151581</v>
      </c>
      <c r="AZ165">
        <v>-31559</v>
      </c>
      <c r="BA165">
        <v>0</v>
      </c>
      <c r="BB165">
        <v>-31559</v>
      </c>
      <c r="BC165">
        <v>0</v>
      </c>
      <c r="BD165">
        <v>0</v>
      </c>
      <c r="BE165">
        <v>0</v>
      </c>
      <c r="BF165">
        <v>-5783409</v>
      </c>
      <c r="BG165">
        <v>0</v>
      </c>
      <c r="BH165">
        <v>0</v>
      </c>
      <c r="BI165">
        <v>0</v>
      </c>
      <c r="BJ165">
        <v>-5783409</v>
      </c>
      <c r="BK165">
        <v>0</v>
      </c>
      <c r="BL165">
        <v>-5783409</v>
      </c>
      <c r="BM165">
        <v>0</v>
      </c>
      <c r="BN165">
        <v>0</v>
      </c>
      <c r="BO165">
        <v>0</v>
      </c>
      <c r="BP165">
        <v>-290666</v>
      </c>
      <c r="BQ165">
        <v>0</v>
      </c>
      <c r="BR165">
        <v>-290666</v>
      </c>
      <c r="BS165">
        <v>-290666</v>
      </c>
      <c r="BT165">
        <v>0</v>
      </c>
      <c r="BU165">
        <v>-199230</v>
      </c>
      <c r="BV165">
        <v>0</v>
      </c>
      <c r="BW165">
        <v>-489896</v>
      </c>
      <c r="BX165">
        <v>0</v>
      </c>
      <c r="BY165">
        <v>-489896</v>
      </c>
      <c r="BZ165">
        <v>-85458</v>
      </c>
      <c r="CA165">
        <v>0</v>
      </c>
      <c r="CB165">
        <v>-85458</v>
      </c>
      <c r="CC165">
        <v>-35869</v>
      </c>
      <c r="CD165">
        <v>0</v>
      </c>
      <c r="CE165">
        <v>-35869</v>
      </c>
      <c r="CF165">
        <v>-37794</v>
      </c>
      <c r="CG165">
        <v>0</v>
      </c>
      <c r="CH165">
        <v>-37794</v>
      </c>
      <c r="CI165">
        <v>0</v>
      </c>
      <c r="CJ165">
        <v>0</v>
      </c>
      <c r="CK165">
        <v>0</v>
      </c>
      <c r="CL165">
        <v>-520</v>
      </c>
      <c r="CM165">
        <v>0</v>
      </c>
      <c r="CN165">
        <v>-520</v>
      </c>
      <c r="CO165">
        <v>0</v>
      </c>
      <c r="CP165">
        <v>0</v>
      </c>
      <c r="CQ165">
        <v>0</v>
      </c>
      <c r="CR165">
        <v>0</v>
      </c>
      <c r="CS165">
        <v>0</v>
      </c>
      <c r="CT165">
        <v>-159641</v>
      </c>
      <c r="CU165">
        <v>0</v>
      </c>
      <c r="CV165">
        <v>0</v>
      </c>
      <c r="CW165">
        <v>0</v>
      </c>
      <c r="CX165">
        <v>-159641</v>
      </c>
      <c r="CY165">
        <v>0</v>
      </c>
      <c r="CZ165">
        <v>-159641</v>
      </c>
      <c r="DA165">
        <v>-34503</v>
      </c>
      <c r="DB165">
        <v>0</v>
      </c>
      <c r="DC165">
        <v>-34503</v>
      </c>
      <c r="DD165">
        <v>-23389</v>
      </c>
      <c r="DE165">
        <v>0</v>
      </c>
      <c r="DF165">
        <v>-23389</v>
      </c>
      <c r="DG165">
        <v>-3526</v>
      </c>
      <c r="DH165">
        <v>0</v>
      </c>
      <c r="DI165">
        <v>-3526</v>
      </c>
      <c r="DJ165">
        <v>-531399</v>
      </c>
      <c r="DK165">
        <v>0</v>
      </c>
      <c r="DL165">
        <v>-531399</v>
      </c>
      <c r="DM165">
        <v>-592817</v>
      </c>
      <c r="DN165">
        <v>0</v>
      </c>
      <c r="DO165">
        <v>0</v>
      </c>
      <c r="DP165">
        <v>0</v>
      </c>
      <c r="DQ165">
        <v>-592817</v>
      </c>
      <c r="DR165">
        <v>0</v>
      </c>
      <c r="DS165">
        <v>-592817</v>
      </c>
      <c r="DT165">
        <v>16374421</v>
      </c>
      <c r="DU165">
        <v>0</v>
      </c>
      <c r="DV165" s="661">
        <v>16374421</v>
      </c>
      <c r="DW165" t="s">
        <v>1816</v>
      </c>
    </row>
    <row r="166" spans="1:127" ht="12.75" x14ac:dyDescent="0.2">
      <c r="A166" s="605">
        <v>159</v>
      </c>
      <c r="B166" s="606" t="s">
        <v>202</v>
      </c>
      <c r="C166" s="607" t="s">
        <v>1192</v>
      </c>
      <c r="D166" s="608" t="s">
        <v>1187</v>
      </c>
      <c r="E166" s="609" t="s">
        <v>201</v>
      </c>
      <c r="G166">
        <v>881183373</v>
      </c>
      <c r="H166">
        <v>30139980</v>
      </c>
      <c r="I166">
        <v>911323353</v>
      </c>
      <c r="J166">
        <v>49.9</v>
      </c>
      <c r="K166">
        <v>439710503</v>
      </c>
      <c r="L166">
        <v>15039850</v>
      </c>
      <c r="M166">
        <v>5000000</v>
      </c>
      <c r="N166">
        <v>0</v>
      </c>
      <c r="O166">
        <v>444710503</v>
      </c>
      <c r="P166">
        <v>15039850</v>
      </c>
      <c r="Q166">
        <v>459750353</v>
      </c>
      <c r="R166">
        <v>-994173</v>
      </c>
      <c r="S166">
        <v>-30395</v>
      </c>
      <c r="T166">
        <v>-1024568</v>
      </c>
      <c r="U166">
        <v>1433835</v>
      </c>
      <c r="V166">
        <v>18184</v>
      </c>
      <c r="W166">
        <v>1452019</v>
      </c>
      <c r="X166">
        <v>439662</v>
      </c>
      <c r="Y166">
        <v>-12211</v>
      </c>
      <c r="Z166">
        <v>0</v>
      </c>
      <c r="AA166">
        <v>0</v>
      </c>
      <c r="AB166">
        <v>439662</v>
      </c>
      <c r="AC166">
        <v>-12211</v>
      </c>
      <c r="AD166">
        <v>427451</v>
      </c>
      <c r="AE166">
        <v>-439662</v>
      </c>
      <c r="AF166">
        <v>12211</v>
      </c>
      <c r="AG166">
        <v>-427451</v>
      </c>
      <c r="AH166">
        <v>-19797073</v>
      </c>
      <c r="AI166">
        <v>-193311</v>
      </c>
      <c r="AJ166">
        <v>-19990384</v>
      </c>
      <c r="AK166">
        <v>0</v>
      </c>
      <c r="AL166">
        <v>0</v>
      </c>
      <c r="AM166">
        <v>0</v>
      </c>
      <c r="AN166">
        <v>9073991</v>
      </c>
      <c r="AO166">
        <v>324351</v>
      </c>
      <c r="AP166">
        <v>9398342</v>
      </c>
      <c r="AQ166">
        <v>-10723082</v>
      </c>
      <c r="AR166">
        <v>131040</v>
      </c>
      <c r="AS166">
        <v>-10592042</v>
      </c>
      <c r="AT166">
        <v>-31553490</v>
      </c>
      <c r="AU166">
        <v>-312704</v>
      </c>
      <c r="AV166">
        <v>-31866194</v>
      </c>
      <c r="AW166">
        <v>-118594</v>
      </c>
      <c r="AX166">
        <v>0</v>
      </c>
      <c r="AY166">
        <v>-118594</v>
      </c>
      <c r="AZ166">
        <v>0</v>
      </c>
      <c r="BA166">
        <v>0</v>
      </c>
      <c r="BB166">
        <v>0</v>
      </c>
      <c r="BC166">
        <v>0</v>
      </c>
      <c r="BD166">
        <v>0</v>
      </c>
      <c r="BE166">
        <v>0</v>
      </c>
      <c r="BF166">
        <v>-42395166</v>
      </c>
      <c r="BG166">
        <v>-181664</v>
      </c>
      <c r="BH166">
        <v>0</v>
      </c>
      <c r="BI166">
        <v>0</v>
      </c>
      <c r="BJ166">
        <v>-42395166</v>
      </c>
      <c r="BK166">
        <v>-181664</v>
      </c>
      <c r="BL166">
        <v>-42576830</v>
      </c>
      <c r="BM166">
        <v>0</v>
      </c>
      <c r="BN166">
        <v>0</v>
      </c>
      <c r="BO166">
        <v>0</v>
      </c>
      <c r="BP166">
        <v>-24572412</v>
      </c>
      <c r="BQ166">
        <v>-216151</v>
      </c>
      <c r="BR166">
        <v>-24788563</v>
      </c>
      <c r="BS166">
        <v>-24572412</v>
      </c>
      <c r="BT166">
        <v>-216151</v>
      </c>
      <c r="BU166">
        <v>0</v>
      </c>
      <c r="BV166">
        <v>0</v>
      </c>
      <c r="BW166">
        <v>-24572412</v>
      </c>
      <c r="BX166">
        <v>-216151</v>
      </c>
      <c r="BY166">
        <v>-24788563</v>
      </c>
      <c r="BZ166">
        <v>-1287104</v>
      </c>
      <c r="CA166">
        <v>0</v>
      </c>
      <c r="CB166">
        <v>-1287104</v>
      </c>
      <c r="CC166">
        <v>-410140</v>
      </c>
      <c r="CD166">
        <v>0</v>
      </c>
      <c r="CE166">
        <v>-410140</v>
      </c>
      <c r="CF166">
        <v>0</v>
      </c>
      <c r="CG166">
        <v>0</v>
      </c>
      <c r="CH166">
        <v>0</v>
      </c>
      <c r="CI166">
        <v>0</v>
      </c>
      <c r="CJ166">
        <v>0</v>
      </c>
      <c r="CK166">
        <v>0</v>
      </c>
      <c r="CL166">
        <v>0</v>
      </c>
      <c r="CM166">
        <v>0</v>
      </c>
      <c r="CN166">
        <v>0</v>
      </c>
      <c r="CO166">
        <v>-30761</v>
      </c>
      <c r="CP166">
        <v>-1058176</v>
      </c>
      <c r="CQ166">
        <v>-1088937</v>
      </c>
      <c r="CR166">
        <v>-1058176</v>
      </c>
      <c r="CS166">
        <v>0</v>
      </c>
      <c r="CT166">
        <v>-1728005</v>
      </c>
      <c r="CU166">
        <v>-1058176</v>
      </c>
      <c r="CV166">
        <v>0</v>
      </c>
      <c r="CW166">
        <v>0</v>
      </c>
      <c r="CX166">
        <v>-1728005</v>
      </c>
      <c r="CY166">
        <v>-1058176</v>
      </c>
      <c r="CZ166">
        <v>-2786181</v>
      </c>
      <c r="DA166">
        <v>0</v>
      </c>
      <c r="DB166">
        <v>0</v>
      </c>
      <c r="DC166">
        <v>0</v>
      </c>
      <c r="DD166">
        <v>-75801</v>
      </c>
      <c r="DE166">
        <v>0</v>
      </c>
      <c r="DF166">
        <v>-75801</v>
      </c>
      <c r="DG166">
        <v>-43346</v>
      </c>
      <c r="DH166">
        <v>0</v>
      </c>
      <c r="DI166">
        <v>-43346</v>
      </c>
      <c r="DJ166">
        <v>-5566058</v>
      </c>
      <c r="DK166">
        <v>-29788</v>
      </c>
      <c r="DL166">
        <v>-5595846</v>
      </c>
      <c r="DM166">
        <v>-5685205</v>
      </c>
      <c r="DN166">
        <v>-29788</v>
      </c>
      <c r="DO166">
        <v>0</v>
      </c>
      <c r="DP166">
        <v>0</v>
      </c>
      <c r="DQ166">
        <v>-5685205</v>
      </c>
      <c r="DR166">
        <v>-29788</v>
      </c>
      <c r="DS166">
        <v>-5714993</v>
      </c>
      <c r="DT166">
        <v>370769377</v>
      </c>
      <c r="DU166">
        <v>13541860</v>
      </c>
      <c r="DV166" s="661">
        <v>384311237</v>
      </c>
      <c r="DW166" t="s">
        <v>1817</v>
      </c>
    </row>
    <row r="167" spans="1:127" ht="12.75" x14ac:dyDescent="0.2">
      <c r="A167" s="605">
        <v>160</v>
      </c>
      <c r="B167" s="606" t="s">
        <v>204</v>
      </c>
      <c r="C167" s="607" t="s">
        <v>1185</v>
      </c>
      <c r="D167" s="608" t="s">
        <v>1188</v>
      </c>
      <c r="E167" s="609" t="s">
        <v>203</v>
      </c>
      <c r="G167">
        <v>75212869</v>
      </c>
      <c r="H167">
        <v>0</v>
      </c>
      <c r="I167">
        <v>75212869</v>
      </c>
      <c r="J167">
        <v>49.9</v>
      </c>
      <c r="K167">
        <v>37531222</v>
      </c>
      <c r="L167">
        <v>0</v>
      </c>
      <c r="M167">
        <v>0</v>
      </c>
      <c r="N167">
        <v>0</v>
      </c>
      <c r="O167">
        <v>37531222</v>
      </c>
      <c r="P167">
        <v>0</v>
      </c>
      <c r="Q167">
        <v>37531222</v>
      </c>
      <c r="R167">
        <v>-197354</v>
      </c>
      <c r="S167">
        <v>0</v>
      </c>
      <c r="T167">
        <v>-197354</v>
      </c>
      <c r="U167">
        <v>69218</v>
      </c>
      <c r="V167">
        <v>0</v>
      </c>
      <c r="W167">
        <v>69218</v>
      </c>
      <c r="X167">
        <v>-128136</v>
      </c>
      <c r="Y167">
        <v>0</v>
      </c>
      <c r="Z167">
        <v>0</v>
      </c>
      <c r="AA167">
        <v>0</v>
      </c>
      <c r="AB167">
        <v>-128136</v>
      </c>
      <c r="AC167">
        <v>0</v>
      </c>
      <c r="AD167">
        <v>-128136</v>
      </c>
      <c r="AE167">
        <v>128136</v>
      </c>
      <c r="AF167">
        <v>0</v>
      </c>
      <c r="AG167">
        <v>128136</v>
      </c>
      <c r="AH167">
        <v>-3324303</v>
      </c>
      <c r="AI167">
        <v>0</v>
      </c>
      <c r="AJ167">
        <v>-3324303</v>
      </c>
      <c r="AK167">
        <v>-6287</v>
      </c>
      <c r="AL167">
        <v>0</v>
      </c>
      <c r="AM167">
        <v>-6287</v>
      </c>
      <c r="AN167">
        <v>674938</v>
      </c>
      <c r="AO167">
        <v>0</v>
      </c>
      <c r="AP167">
        <v>674938</v>
      </c>
      <c r="AQ167">
        <v>-2649365</v>
      </c>
      <c r="AR167">
        <v>0</v>
      </c>
      <c r="AS167">
        <v>-2649365</v>
      </c>
      <c r="AT167">
        <v>-2469216</v>
      </c>
      <c r="AU167">
        <v>0</v>
      </c>
      <c r="AV167">
        <v>-2469216</v>
      </c>
      <c r="AW167">
        <v>-15360</v>
      </c>
      <c r="AX167">
        <v>0</v>
      </c>
      <c r="AY167">
        <v>-15360</v>
      </c>
      <c r="AZ167">
        <v>0</v>
      </c>
      <c r="BA167">
        <v>0</v>
      </c>
      <c r="BB167">
        <v>0</v>
      </c>
      <c r="BC167">
        <v>0</v>
      </c>
      <c r="BD167">
        <v>0</v>
      </c>
      <c r="BE167">
        <v>0</v>
      </c>
      <c r="BF167">
        <v>-5133941</v>
      </c>
      <c r="BG167">
        <v>0</v>
      </c>
      <c r="BH167">
        <v>-107427</v>
      </c>
      <c r="BI167">
        <v>0</v>
      </c>
      <c r="BJ167">
        <v>-5241368</v>
      </c>
      <c r="BK167">
        <v>0</v>
      </c>
      <c r="BL167">
        <v>-5241368</v>
      </c>
      <c r="BM167">
        <v>0</v>
      </c>
      <c r="BN167">
        <v>0</v>
      </c>
      <c r="BO167">
        <v>0</v>
      </c>
      <c r="BP167">
        <v>-686045</v>
      </c>
      <c r="BQ167">
        <v>0</v>
      </c>
      <c r="BR167">
        <v>-686045</v>
      </c>
      <c r="BS167">
        <v>-686045</v>
      </c>
      <c r="BT167">
        <v>0</v>
      </c>
      <c r="BU167">
        <v>-93333</v>
      </c>
      <c r="BV167">
        <v>0</v>
      </c>
      <c r="BW167">
        <v>-779378</v>
      </c>
      <c r="BX167">
        <v>0</v>
      </c>
      <c r="BY167">
        <v>-779378</v>
      </c>
      <c r="BZ167">
        <v>-94920</v>
      </c>
      <c r="CA167">
        <v>0</v>
      </c>
      <c r="CB167">
        <v>-94920</v>
      </c>
      <c r="CC167">
        <v>-21360</v>
      </c>
      <c r="CD167">
        <v>0</v>
      </c>
      <c r="CE167">
        <v>-21360</v>
      </c>
      <c r="CF167">
        <v>0</v>
      </c>
      <c r="CG167">
        <v>0</v>
      </c>
      <c r="CH167">
        <v>0</v>
      </c>
      <c r="CI167">
        <v>0</v>
      </c>
      <c r="CJ167">
        <v>0</v>
      </c>
      <c r="CK167">
        <v>0</v>
      </c>
      <c r="CL167">
        <v>0</v>
      </c>
      <c r="CM167">
        <v>0</v>
      </c>
      <c r="CN167">
        <v>0</v>
      </c>
      <c r="CO167">
        <v>0</v>
      </c>
      <c r="CP167">
        <v>0</v>
      </c>
      <c r="CQ167">
        <v>0</v>
      </c>
      <c r="CR167">
        <v>0</v>
      </c>
      <c r="CS167">
        <v>0</v>
      </c>
      <c r="CT167">
        <v>-116280</v>
      </c>
      <c r="CU167">
        <v>0</v>
      </c>
      <c r="CV167">
        <v>0</v>
      </c>
      <c r="CW167">
        <v>0</v>
      </c>
      <c r="CX167">
        <v>-116280</v>
      </c>
      <c r="CY167">
        <v>0</v>
      </c>
      <c r="CZ167">
        <v>-116280</v>
      </c>
      <c r="DA167">
        <v>0</v>
      </c>
      <c r="DB167">
        <v>0</v>
      </c>
      <c r="DC167">
        <v>0</v>
      </c>
      <c r="DD167">
        <v>-6607</v>
      </c>
      <c r="DE167">
        <v>0</v>
      </c>
      <c r="DF167">
        <v>-6607</v>
      </c>
      <c r="DG167">
        <v>-5804</v>
      </c>
      <c r="DH167">
        <v>0</v>
      </c>
      <c r="DI167">
        <v>-5804</v>
      </c>
      <c r="DJ167">
        <v>-474318</v>
      </c>
      <c r="DK167">
        <v>0</v>
      </c>
      <c r="DL167">
        <v>-474318</v>
      </c>
      <c r="DM167">
        <v>-486729</v>
      </c>
      <c r="DN167">
        <v>0</v>
      </c>
      <c r="DO167">
        <v>0</v>
      </c>
      <c r="DP167">
        <v>0</v>
      </c>
      <c r="DQ167">
        <v>-486729</v>
      </c>
      <c r="DR167">
        <v>0</v>
      </c>
      <c r="DS167">
        <v>-486729</v>
      </c>
      <c r="DT167">
        <v>30779331</v>
      </c>
      <c r="DU167">
        <v>0</v>
      </c>
      <c r="DV167" s="661">
        <v>30779331</v>
      </c>
      <c r="DW167" t="s">
        <v>1818</v>
      </c>
    </row>
    <row r="168" spans="1:127" ht="12.75" x14ac:dyDescent="0.2">
      <c r="A168" s="605">
        <v>161</v>
      </c>
      <c r="B168" s="606" t="s">
        <v>206</v>
      </c>
      <c r="C168" s="607" t="s">
        <v>524</v>
      </c>
      <c r="D168" s="608" t="s">
        <v>1186</v>
      </c>
      <c r="E168" s="609" t="s">
        <v>584</v>
      </c>
      <c r="G168">
        <v>229718847</v>
      </c>
      <c r="H168">
        <v>26250</v>
      </c>
      <c r="I168">
        <v>229745097</v>
      </c>
      <c r="J168">
        <v>49.9</v>
      </c>
      <c r="K168">
        <v>114629705</v>
      </c>
      <c r="L168">
        <v>13099</v>
      </c>
      <c r="M168">
        <v>750000</v>
      </c>
      <c r="N168">
        <v>0</v>
      </c>
      <c r="O168">
        <v>115379705</v>
      </c>
      <c r="P168">
        <v>13099</v>
      </c>
      <c r="Q168">
        <v>115392804</v>
      </c>
      <c r="R168">
        <v>-412098</v>
      </c>
      <c r="S168">
        <v>0</v>
      </c>
      <c r="T168">
        <v>-412098</v>
      </c>
      <c r="U168">
        <v>3065278</v>
      </c>
      <c r="V168">
        <v>0</v>
      </c>
      <c r="W168">
        <v>3065278</v>
      </c>
      <c r="X168">
        <v>2653180</v>
      </c>
      <c r="Y168">
        <v>0</v>
      </c>
      <c r="Z168">
        <v>0</v>
      </c>
      <c r="AA168">
        <v>0</v>
      </c>
      <c r="AB168">
        <v>2653180</v>
      </c>
      <c r="AC168">
        <v>0</v>
      </c>
      <c r="AD168">
        <v>2653180</v>
      </c>
      <c r="AE168">
        <v>-2653180</v>
      </c>
      <c r="AF168">
        <v>0</v>
      </c>
      <c r="AG168">
        <v>-2653180</v>
      </c>
      <c r="AH168">
        <v>-7415984</v>
      </c>
      <c r="AI168">
        <v>-5863</v>
      </c>
      <c r="AJ168">
        <v>-7421847</v>
      </c>
      <c r="AK168">
        <v>-1996</v>
      </c>
      <c r="AL168">
        <v>0</v>
      </c>
      <c r="AM168">
        <v>-1996</v>
      </c>
      <c r="AN168">
        <v>2270493</v>
      </c>
      <c r="AO168">
        <v>0</v>
      </c>
      <c r="AP168">
        <v>2270493</v>
      </c>
      <c r="AQ168">
        <v>-5145491</v>
      </c>
      <c r="AR168">
        <v>-5863</v>
      </c>
      <c r="AS168">
        <v>-5151354</v>
      </c>
      <c r="AT168">
        <v>-9406453</v>
      </c>
      <c r="AU168">
        <v>-5939</v>
      </c>
      <c r="AV168">
        <v>-9412392</v>
      </c>
      <c r="AW168">
        <v>-112302</v>
      </c>
      <c r="AX168">
        <v>0</v>
      </c>
      <c r="AY168">
        <v>-112302</v>
      </c>
      <c r="AZ168">
        <v>-1062</v>
      </c>
      <c r="BA168">
        <v>0</v>
      </c>
      <c r="BB168">
        <v>-1062</v>
      </c>
      <c r="BC168">
        <v>0</v>
      </c>
      <c r="BD168">
        <v>0</v>
      </c>
      <c r="BE168">
        <v>0</v>
      </c>
      <c r="BF168">
        <v>-14665308</v>
      </c>
      <c r="BG168">
        <v>-11802</v>
      </c>
      <c r="BH168">
        <v>0</v>
      </c>
      <c r="BI168">
        <v>0</v>
      </c>
      <c r="BJ168">
        <v>-14665308</v>
      </c>
      <c r="BK168">
        <v>-11802</v>
      </c>
      <c r="BL168">
        <v>-14677110</v>
      </c>
      <c r="BM168">
        <v>0</v>
      </c>
      <c r="BN168">
        <v>0</v>
      </c>
      <c r="BO168">
        <v>0</v>
      </c>
      <c r="BP168">
        <v>-1703470</v>
      </c>
      <c r="BQ168">
        <v>0</v>
      </c>
      <c r="BR168">
        <v>-1703470</v>
      </c>
      <c r="BS168">
        <v>-1703470</v>
      </c>
      <c r="BT168">
        <v>0</v>
      </c>
      <c r="BU168">
        <v>0</v>
      </c>
      <c r="BV168">
        <v>0</v>
      </c>
      <c r="BW168">
        <v>-1703470</v>
      </c>
      <c r="BX168">
        <v>0</v>
      </c>
      <c r="BY168">
        <v>-1703470</v>
      </c>
      <c r="BZ168">
        <v>-88374</v>
      </c>
      <c r="CA168">
        <v>-1297</v>
      </c>
      <c r="CB168">
        <v>-89671</v>
      </c>
      <c r="CC168">
        <v>-79595</v>
      </c>
      <c r="CD168">
        <v>0</v>
      </c>
      <c r="CE168">
        <v>-79595</v>
      </c>
      <c r="CF168">
        <v>0</v>
      </c>
      <c r="CG168">
        <v>0</v>
      </c>
      <c r="CH168">
        <v>0</v>
      </c>
      <c r="CI168">
        <v>-1062</v>
      </c>
      <c r="CJ168">
        <v>0</v>
      </c>
      <c r="CK168">
        <v>-1062</v>
      </c>
      <c r="CL168">
        <v>0</v>
      </c>
      <c r="CM168">
        <v>0</v>
      </c>
      <c r="CN168">
        <v>0</v>
      </c>
      <c r="CO168">
        <v>0</v>
      </c>
      <c r="CP168">
        <v>0</v>
      </c>
      <c r="CQ168">
        <v>0</v>
      </c>
      <c r="CR168">
        <v>0</v>
      </c>
      <c r="CS168">
        <v>0</v>
      </c>
      <c r="CT168">
        <v>-169031</v>
      </c>
      <c r="CU168">
        <v>-1297</v>
      </c>
      <c r="CV168">
        <v>0</v>
      </c>
      <c r="CW168">
        <v>0</v>
      </c>
      <c r="CX168">
        <v>-169031</v>
      </c>
      <c r="CY168">
        <v>-1297</v>
      </c>
      <c r="CZ168">
        <v>-170328</v>
      </c>
      <c r="DA168">
        <v>0</v>
      </c>
      <c r="DB168">
        <v>0</v>
      </c>
      <c r="DC168">
        <v>0</v>
      </c>
      <c r="DD168">
        <v>-48811</v>
      </c>
      <c r="DE168">
        <v>0</v>
      </c>
      <c r="DF168">
        <v>-48811</v>
      </c>
      <c r="DG168">
        <v>-15572</v>
      </c>
      <c r="DH168">
        <v>0</v>
      </c>
      <c r="DI168">
        <v>-15572</v>
      </c>
      <c r="DJ168">
        <v>-1669304</v>
      </c>
      <c r="DK168">
        <v>0</v>
      </c>
      <c r="DL168">
        <v>-1669304</v>
      </c>
      <c r="DM168">
        <v>-1733687</v>
      </c>
      <c r="DN168">
        <v>0</v>
      </c>
      <c r="DO168">
        <v>0</v>
      </c>
      <c r="DP168">
        <v>0</v>
      </c>
      <c r="DQ168">
        <v>-1733687</v>
      </c>
      <c r="DR168">
        <v>0</v>
      </c>
      <c r="DS168">
        <v>-1733687</v>
      </c>
      <c r="DT168">
        <v>99761389</v>
      </c>
      <c r="DU168">
        <v>0</v>
      </c>
      <c r="DV168" s="661">
        <v>99761389</v>
      </c>
      <c r="DW168" t="s">
        <v>1819</v>
      </c>
    </row>
    <row r="169" spans="1:127" ht="12.75" x14ac:dyDescent="0.2">
      <c r="A169" s="605">
        <v>162</v>
      </c>
      <c r="B169" s="606" t="s">
        <v>208</v>
      </c>
      <c r="C169" s="607" t="s">
        <v>1185</v>
      </c>
      <c r="D169" s="608" t="s">
        <v>1188</v>
      </c>
      <c r="E169" s="609" t="s">
        <v>207</v>
      </c>
      <c r="G169">
        <v>39404634</v>
      </c>
      <c r="H169">
        <v>0</v>
      </c>
      <c r="I169">
        <v>39404634</v>
      </c>
      <c r="J169">
        <v>49.9</v>
      </c>
      <c r="K169">
        <v>19662912</v>
      </c>
      <c r="L169">
        <v>0</v>
      </c>
      <c r="M169">
        <v>-48312</v>
      </c>
      <c r="N169">
        <v>0</v>
      </c>
      <c r="O169">
        <v>19614600</v>
      </c>
      <c r="P169">
        <v>0</v>
      </c>
      <c r="Q169">
        <v>19614600</v>
      </c>
      <c r="R169">
        <v>-240000</v>
      </c>
      <c r="S169">
        <v>0</v>
      </c>
      <c r="T169">
        <v>-240000</v>
      </c>
      <c r="U169">
        <v>25000</v>
      </c>
      <c r="V169">
        <v>0</v>
      </c>
      <c r="W169">
        <v>25000</v>
      </c>
      <c r="X169">
        <v>-215000</v>
      </c>
      <c r="Y169">
        <v>0</v>
      </c>
      <c r="Z169">
        <v>0</v>
      </c>
      <c r="AA169">
        <v>0</v>
      </c>
      <c r="AB169">
        <v>-215000</v>
      </c>
      <c r="AC169">
        <v>0</v>
      </c>
      <c r="AD169">
        <v>-215000</v>
      </c>
      <c r="AE169">
        <v>215000</v>
      </c>
      <c r="AF169">
        <v>0</v>
      </c>
      <c r="AG169">
        <v>215000</v>
      </c>
      <c r="AH169">
        <v>-2190188</v>
      </c>
      <c r="AI169">
        <v>0</v>
      </c>
      <c r="AJ169">
        <v>-2190188</v>
      </c>
      <c r="AK169">
        <v>-6000</v>
      </c>
      <c r="AL169">
        <v>0</v>
      </c>
      <c r="AM169">
        <v>-6000</v>
      </c>
      <c r="AN169">
        <v>335000</v>
      </c>
      <c r="AO169">
        <v>0</v>
      </c>
      <c r="AP169">
        <v>335000</v>
      </c>
      <c r="AQ169">
        <v>-1855188</v>
      </c>
      <c r="AR169">
        <v>0</v>
      </c>
      <c r="AS169">
        <v>-1855188</v>
      </c>
      <c r="AT169">
        <v>-1480000</v>
      </c>
      <c r="AU169">
        <v>0</v>
      </c>
      <c r="AV169">
        <v>-1480000</v>
      </c>
      <c r="AW169">
        <v>-43500</v>
      </c>
      <c r="AX169">
        <v>0</v>
      </c>
      <c r="AY169">
        <v>-43500</v>
      </c>
      <c r="AZ169">
        <v>-18500</v>
      </c>
      <c r="BA169">
        <v>0</v>
      </c>
      <c r="BB169">
        <v>-18500</v>
      </c>
      <c r="BC169">
        <v>0</v>
      </c>
      <c r="BD169">
        <v>0</v>
      </c>
      <c r="BE169">
        <v>0</v>
      </c>
      <c r="BF169">
        <v>-3397188</v>
      </c>
      <c r="BG169">
        <v>0</v>
      </c>
      <c r="BH169">
        <v>0</v>
      </c>
      <c r="BI169">
        <v>0</v>
      </c>
      <c r="BJ169">
        <v>-3397188</v>
      </c>
      <c r="BK169">
        <v>0</v>
      </c>
      <c r="BL169">
        <v>-3397188</v>
      </c>
      <c r="BM169">
        <v>0</v>
      </c>
      <c r="BN169">
        <v>0</v>
      </c>
      <c r="BO169">
        <v>0</v>
      </c>
      <c r="BP169">
        <v>-350000</v>
      </c>
      <c r="BQ169">
        <v>0</v>
      </c>
      <c r="BR169">
        <v>-350000</v>
      </c>
      <c r="BS169">
        <v>-350000</v>
      </c>
      <c r="BT169">
        <v>0</v>
      </c>
      <c r="BU169">
        <v>0</v>
      </c>
      <c r="BV169">
        <v>0</v>
      </c>
      <c r="BW169">
        <v>-350000</v>
      </c>
      <c r="BX169">
        <v>0</v>
      </c>
      <c r="BY169">
        <v>-350000</v>
      </c>
      <c r="BZ169">
        <v>-55000</v>
      </c>
      <c r="CA169">
        <v>0</v>
      </c>
      <c r="CB169">
        <v>-55000</v>
      </c>
      <c r="CC169">
        <v>-35000</v>
      </c>
      <c r="CD169">
        <v>0</v>
      </c>
      <c r="CE169">
        <v>-35000</v>
      </c>
      <c r="CF169">
        <v>-800</v>
      </c>
      <c r="CG169">
        <v>0</v>
      </c>
      <c r="CH169">
        <v>-800</v>
      </c>
      <c r="CI169">
        <v>0</v>
      </c>
      <c r="CJ169">
        <v>0</v>
      </c>
      <c r="CK169">
        <v>0</v>
      </c>
      <c r="CL169">
        <v>0</v>
      </c>
      <c r="CM169">
        <v>0</v>
      </c>
      <c r="CN169">
        <v>0</v>
      </c>
      <c r="CO169">
        <v>0</v>
      </c>
      <c r="CP169">
        <v>0</v>
      </c>
      <c r="CQ169">
        <v>0</v>
      </c>
      <c r="CR169">
        <v>0</v>
      </c>
      <c r="CS169">
        <v>0</v>
      </c>
      <c r="CT169">
        <v>-90800</v>
      </c>
      <c r="CU169">
        <v>0</v>
      </c>
      <c r="CV169">
        <v>0</v>
      </c>
      <c r="CW169">
        <v>0</v>
      </c>
      <c r="CX169">
        <v>-90800</v>
      </c>
      <c r="CY169">
        <v>0</v>
      </c>
      <c r="CZ169">
        <v>-90800</v>
      </c>
      <c r="DA169">
        <v>-18500</v>
      </c>
      <c r="DB169">
        <v>0</v>
      </c>
      <c r="DC169">
        <v>-18500</v>
      </c>
      <c r="DD169">
        <v>-19500</v>
      </c>
      <c r="DE169">
        <v>0</v>
      </c>
      <c r="DF169">
        <v>-19500</v>
      </c>
      <c r="DG169">
        <v>-4214</v>
      </c>
      <c r="DH169">
        <v>0</v>
      </c>
      <c r="DI169">
        <v>-4214</v>
      </c>
      <c r="DJ169">
        <v>-440000</v>
      </c>
      <c r="DK169">
        <v>0</v>
      </c>
      <c r="DL169">
        <v>-440000</v>
      </c>
      <c r="DM169">
        <v>-482214</v>
      </c>
      <c r="DN169">
        <v>0</v>
      </c>
      <c r="DO169">
        <v>0</v>
      </c>
      <c r="DP169">
        <v>0</v>
      </c>
      <c r="DQ169">
        <v>-482214</v>
      </c>
      <c r="DR169">
        <v>0</v>
      </c>
      <c r="DS169">
        <v>-482214</v>
      </c>
      <c r="DT169">
        <v>15079398</v>
      </c>
      <c r="DU169">
        <v>0</v>
      </c>
      <c r="DV169" s="661">
        <v>15079398</v>
      </c>
      <c r="DW169" t="s">
        <v>1820</v>
      </c>
    </row>
    <row r="170" spans="1:127" ht="12.75" x14ac:dyDescent="0.2">
      <c r="A170" s="605">
        <v>163</v>
      </c>
      <c r="B170" s="606" t="s">
        <v>210</v>
      </c>
      <c r="C170" s="607" t="s">
        <v>1185</v>
      </c>
      <c r="D170" s="608" t="s">
        <v>1194</v>
      </c>
      <c r="E170" s="609" t="s">
        <v>209</v>
      </c>
      <c r="G170">
        <v>95327066</v>
      </c>
      <c r="H170">
        <v>0</v>
      </c>
      <c r="I170">
        <v>95327066</v>
      </c>
      <c r="J170">
        <v>49.9</v>
      </c>
      <c r="K170">
        <v>47568206</v>
      </c>
      <c r="L170">
        <v>0</v>
      </c>
      <c r="M170">
        <v>0</v>
      </c>
      <c r="N170">
        <v>0</v>
      </c>
      <c r="O170">
        <v>47568206</v>
      </c>
      <c r="P170">
        <v>0</v>
      </c>
      <c r="Q170">
        <v>47568206</v>
      </c>
      <c r="R170">
        <v>-402119</v>
      </c>
      <c r="S170">
        <v>0</v>
      </c>
      <c r="T170">
        <v>-402119</v>
      </c>
      <c r="U170">
        <v>146838</v>
      </c>
      <c r="V170">
        <v>0</v>
      </c>
      <c r="W170">
        <v>146838</v>
      </c>
      <c r="X170">
        <v>-255281</v>
      </c>
      <c r="Y170">
        <v>0</v>
      </c>
      <c r="Z170">
        <v>0</v>
      </c>
      <c r="AA170">
        <v>0</v>
      </c>
      <c r="AB170">
        <v>-255281</v>
      </c>
      <c r="AC170">
        <v>0</v>
      </c>
      <c r="AD170">
        <v>-255281</v>
      </c>
      <c r="AE170">
        <v>255281</v>
      </c>
      <c r="AF170">
        <v>0</v>
      </c>
      <c r="AG170">
        <v>255281</v>
      </c>
      <c r="AH170">
        <v>-5544081</v>
      </c>
      <c r="AI170">
        <v>0</v>
      </c>
      <c r="AJ170">
        <v>-5544081</v>
      </c>
      <c r="AK170">
        <v>0</v>
      </c>
      <c r="AL170">
        <v>0</v>
      </c>
      <c r="AM170">
        <v>0</v>
      </c>
      <c r="AN170">
        <v>777706</v>
      </c>
      <c r="AO170">
        <v>0</v>
      </c>
      <c r="AP170">
        <v>777706</v>
      </c>
      <c r="AQ170">
        <v>-4766375</v>
      </c>
      <c r="AR170">
        <v>0</v>
      </c>
      <c r="AS170">
        <v>-4766375</v>
      </c>
      <c r="AT170">
        <v>-3555561</v>
      </c>
      <c r="AU170">
        <v>0</v>
      </c>
      <c r="AV170">
        <v>-3555561</v>
      </c>
      <c r="AW170">
        <v>-44775</v>
      </c>
      <c r="AX170">
        <v>0</v>
      </c>
      <c r="AY170">
        <v>-44775</v>
      </c>
      <c r="AZ170">
        <v>-19034</v>
      </c>
      <c r="BA170">
        <v>0</v>
      </c>
      <c r="BB170">
        <v>-19034</v>
      </c>
      <c r="BC170">
        <v>0</v>
      </c>
      <c r="BD170">
        <v>0</v>
      </c>
      <c r="BE170">
        <v>0</v>
      </c>
      <c r="BF170">
        <v>-8385745</v>
      </c>
      <c r="BG170">
        <v>0</v>
      </c>
      <c r="BH170">
        <v>0</v>
      </c>
      <c r="BI170">
        <v>0</v>
      </c>
      <c r="BJ170">
        <v>-8385745</v>
      </c>
      <c r="BK170">
        <v>0</v>
      </c>
      <c r="BL170">
        <v>-8385745</v>
      </c>
      <c r="BM170">
        <v>0</v>
      </c>
      <c r="BN170">
        <v>0</v>
      </c>
      <c r="BO170">
        <v>0</v>
      </c>
      <c r="BP170">
        <v>-1150545</v>
      </c>
      <c r="BQ170">
        <v>0</v>
      </c>
      <c r="BR170">
        <v>-1150545</v>
      </c>
      <c r="BS170">
        <v>-1150545</v>
      </c>
      <c r="BT170">
        <v>0</v>
      </c>
      <c r="BU170">
        <v>0</v>
      </c>
      <c r="BV170">
        <v>0</v>
      </c>
      <c r="BW170">
        <v>-1150545</v>
      </c>
      <c r="BX170">
        <v>0</v>
      </c>
      <c r="BY170">
        <v>-1150545</v>
      </c>
      <c r="BZ170">
        <v>-63091</v>
      </c>
      <c r="CA170">
        <v>0</v>
      </c>
      <c r="CB170">
        <v>-63091</v>
      </c>
      <c r="CC170">
        <v>-20752</v>
      </c>
      <c r="CD170">
        <v>0</v>
      </c>
      <c r="CE170">
        <v>-20752</v>
      </c>
      <c r="CF170">
        <v>-5229</v>
      </c>
      <c r="CG170">
        <v>0</v>
      </c>
      <c r="CH170">
        <v>-5229</v>
      </c>
      <c r="CI170">
        <v>0</v>
      </c>
      <c r="CJ170">
        <v>0</v>
      </c>
      <c r="CK170">
        <v>0</v>
      </c>
      <c r="CL170">
        <v>-4948</v>
      </c>
      <c r="CM170">
        <v>0</v>
      </c>
      <c r="CN170">
        <v>-4948</v>
      </c>
      <c r="CO170">
        <v>0</v>
      </c>
      <c r="CP170">
        <v>0</v>
      </c>
      <c r="CQ170">
        <v>0</v>
      </c>
      <c r="CR170">
        <v>0</v>
      </c>
      <c r="CS170">
        <v>0</v>
      </c>
      <c r="CT170">
        <v>-94020</v>
      </c>
      <c r="CU170">
        <v>0</v>
      </c>
      <c r="CV170">
        <v>0</v>
      </c>
      <c r="CW170">
        <v>0</v>
      </c>
      <c r="CX170">
        <v>-94020</v>
      </c>
      <c r="CY170">
        <v>0</v>
      </c>
      <c r="CZ170">
        <v>-94020</v>
      </c>
      <c r="DA170">
        <v>-19034</v>
      </c>
      <c r="DB170">
        <v>0</v>
      </c>
      <c r="DC170">
        <v>-19034</v>
      </c>
      <c r="DD170">
        <v>-60282</v>
      </c>
      <c r="DE170">
        <v>0</v>
      </c>
      <c r="DF170">
        <v>-60282</v>
      </c>
      <c r="DG170">
        <v>-9972</v>
      </c>
      <c r="DH170">
        <v>0</v>
      </c>
      <c r="DI170">
        <v>-9972</v>
      </c>
      <c r="DJ170">
        <v>-1075987</v>
      </c>
      <c r="DK170">
        <v>0</v>
      </c>
      <c r="DL170">
        <v>-1075987</v>
      </c>
      <c r="DM170">
        <v>-1165275</v>
      </c>
      <c r="DN170">
        <v>0</v>
      </c>
      <c r="DO170">
        <v>0</v>
      </c>
      <c r="DP170">
        <v>0</v>
      </c>
      <c r="DQ170">
        <v>-1165275</v>
      </c>
      <c r="DR170">
        <v>0</v>
      </c>
      <c r="DS170">
        <v>-1165275</v>
      </c>
      <c r="DT170">
        <v>36517340</v>
      </c>
      <c r="DU170">
        <v>0</v>
      </c>
      <c r="DV170" s="661">
        <v>36517340</v>
      </c>
      <c r="DW170" t="s">
        <v>1821</v>
      </c>
    </row>
    <row r="171" spans="1:127" ht="12.75" x14ac:dyDescent="0.2">
      <c r="A171" s="605">
        <v>164</v>
      </c>
      <c r="B171" s="606" t="s">
        <v>212</v>
      </c>
      <c r="C171" s="607" t="s">
        <v>1190</v>
      </c>
      <c r="D171" s="608" t="s">
        <v>1191</v>
      </c>
      <c r="E171" s="609" t="s">
        <v>211</v>
      </c>
      <c r="G171">
        <v>212521869</v>
      </c>
      <c r="H171">
        <v>0</v>
      </c>
      <c r="I171">
        <v>212521869</v>
      </c>
      <c r="J171">
        <v>49.9</v>
      </c>
      <c r="K171">
        <v>106048413</v>
      </c>
      <c r="L171">
        <v>0</v>
      </c>
      <c r="M171">
        <v>250000</v>
      </c>
      <c r="N171">
        <v>0</v>
      </c>
      <c r="O171">
        <v>106298413</v>
      </c>
      <c r="P171">
        <v>0</v>
      </c>
      <c r="Q171">
        <v>106298413</v>
      </c>
      <c r="R171">
        <v>-165213</v>
      </c>
      <c r="S171">
        <v>0</v>
      </c>
      <c r="T171">
        <v>-165213</v>
      </c>
      <c r="U171">
        <v>548275</v>
      </c>
      <c r="V171">
        <v>0</v>
      </c>
      <c r="W171">
        <v>548275</v>
      </c>
      <c r="X171">
        <v>383062</v>
      </c>
      <c r="Y171">
        <v>0</v>
      </c>
      <c r="Z171">
        <v>0</v>
      </c>
      <c r="AA171">
        <v>0</v>
      </c>
      <c r="AB171">
        <v>383062</v>
      </c>
      <c r="AC171">
        <v>0</v>
      </c>
      <c r="AD171">
        <v>383062</v>
      </c>
      <c r="AE171">
        <v>-383062</v>
      </c>
      <c r="AF171">
        <v>0</v>
      </c>
      <c r="AG171">
        <v>-383062</v>
      </c>
      <c r="AH171">
        <v>-5139222</v>
      </c>
      <c r="AI171">
        <v>0</v>
      </c>
      <c r="AJ171">
        <v>-5139222</v>
      </c>
      <c r="AK171">
        <v>-3148</v>
      </c>
      <c r="AL171">
        <v>0</v>
      </c>
      <c r="AM171">
        <v>-3148</v>
      </c>
      <c r="AN171">
        <v>2136033</v>
      </c>
      <c r="AO171">
        <v>0</v>
      </c>
      <c r="AP171">
        <v>2136033</v>
      </c>
      <c r="AQ171">
        <v>-3003189</v>
      </c>
      <c r="AR171">
        <v>0</v>
      </c>
      <c r="AS171">
        <v>-3003189</v>
      </c>
      <c r="AT171">
        <v>-6426026</v>
      </c>
      <c r="AU171">
        <v>0</v>
      </c>
      <c r="AV171">
        <v>-6426026</v>
      </c>
      <c r="AW171">
        <v>-121037</v>
      </c>
      <c r="AX171">
        <v>0</v>
      </c>
      <c r="AY171">
        <v>-121037</v>
      </c>
      <c r="AZ171">
        <v>0</v>
      </c>
      <c r="BA171">
        <v>0</v>
      </c>
      <c r="BB171">
        <v>0</v>
      </c>
      <c r="BC171">
        <v>0</v>
      </c>
      <c r="BD171">
        <v>0</v>
      </c>
      <c r="BE171">
        <v>0</v>
      </c>
      <c r="BF171">
        <v>-9550252</v>
      </c>
      <c r="BG171">
        <v>0</v>
      </c>
      <c r="BH171">
        <v>-1500000</v>
      </c>
      <c r="BI171">
        <v>0</v>
      </c>
      <c r="BJ171">
        <v>-11050252</v>
      </c>
      <c r="BK171">
        <v>0</v>
      </c>
      <c r="BL171">
        <v>-11050252</v>
      </c>
      <c r="BM171">
        <v>0</v>
      </c>
      <c r="BN171">
        <v>0</v>
      </c>
      <c r="BO171">
        <v>0</v>
      </c>
      <c r="BP171">
        <v>-882335</v>
      </c>
      <c r="BQ171">
        <v>0</v>
      </c>
      <c r="BR171">
        <v>-882335</v>
      </c>
      <c r="BS171">
        <v>-882335</v>
      </c>
      <c r="BT171">
        <v>0</v>
      </c>
      <c r="BU171">
        <v>-595000</v>
      </c>
      <c r="BV171">
        <v>0</v>
      </c>
      <c r="BW171">
        <v>-1477335</v>
      </c>
      <c r="BX171">
        <v>0</v>
      </c>
      <c r="BY171">
        <v>-1477335</v>
      </c>
      <c r="BZ171">
        <v>-181680</v>
      </c>
      <c r="CA171">
        <v>0</v>
      </c>
      <c r="CB171">
        <v>-181680</v>
      </c>
      <c r="CC171">
        <v>-40305</v>
      </c>
      <c r="CD171">
        <v>0</v>
      </c>
      <c r="CE171">
        <v>-40305</v>
      </c>
      <c r="CF171">
        <v>-2583</v>
      </c>
      <c r="CG171">
        <v>0</v>
      </c>
      <c r="CH171">
        <v>-2583</v>
      </c>
      <c r="CI171">
        <v>0</v>
      </c>
      <c r="CJ171">
        <v>0</v>
      </c>
      <c r="CK171">
        <v>0</v>
      </c>
      <c r="CL171">
        <v>0</v>
      </c>
      <c r="CM171">
        <v>0</v>
      </c>
      <c r="CN171">
        <v>0</v>
      </c>
      <c r="CO171">
        <v>-100000</v>
      </c>
      <c r="CP171">
        <v>0</v>
      </c>
      <c r="CQ171">
        <v>-100000</v>
      </c>
      <c r="CR171">
        <v>0</v>
      </c>
      <c r="CS171">
        <v>0</v>
      </c>
      <c r="CT171">
        <v>-324568</v>
      </c>
      <c r="CU171">
        <v>0</v>
      </c>
      <c r="CV171">
        <v>0</v>
      </c>
      <c r="CW171">
        <v>0</v>
      </c>
      <c r="CX171">
        <v>-324568</v>
      </c>
      <c r="CY171">
        <v>0</v>
      </c>
      <c r="CZ171">
        <v>-324568</v>
      </c>
      <c r="DA171">
        <v>0</v>
      </c>
      <c r="DB171">
        <v>0</v>
      </c>
      <c r="DC171">
        <v>0</v>
      </c>
      <c r="DD171">
        <v>-23173</v>
      </c>
      <c r="DE171">
        <v>0</v>
      </c>
      <c r="DF171">
        <v>-23173</v>
      </c>
      <c r="DG171">
        <v>-13000</v>
      </c>
      <c r="DH171">
        <v>0</v>
      </c>
      <c r="DI171">
        <v>-13000</v>
      </c>
      <c r="DJ171">
        <v>-2508000</v>
      </c>
      <c r="DK171">
        <v>0</v>
      </c>
      <c r="DL171">
        <v>-2508000</v>
      </c>
      <c r="DM171">
        <v>-2544173</v>
      </c>
      <c r="DN171">
        <v>0</v>
      </c>
      <c r="DO171">
        <v>-50000</v>
      </c>
      <c r="DP171">
        <v>0</v>
      </c>
      <c r="DQ171">
        <v>-2594173</v>
      </c>
      <c r="DR171">
        <v>0</v>
      </c>
      <c r="DS171">
        <v>-2594173</v>
      </c>
      <c r="DT171">
        <v>91235147</v>
      </c>
      <c r="DU171">
        <v>0</v>
      </c>
      <c r="DV171" s="661">
        <v>91235147</v>
      </c>
      <c r="DW171" t="s">
        <v>1822</v>
      </c>
    </row>
    <row r="172" spans="1:127" ht="12.75" x14ac:dyDescent="0.2">
      <c r="A172" s="605">
        <v>165</v>
      </c>
      <c r="B172" s="606" t="s">
        <v>214</v>
      </c>
      <c r="C172" s="607" t="s">
        <v>1185</v>
      </c>
      <c r="D172" s="608" t="s">
        <v>1194</v>
      </c>
      <c r="E172" s="609" t="s">
        <v>213</v>
      </c>
      <c r="G172">
        <v>45278449</v>
      </c>
      <c r="H172">
        <v>0</v>
      </c>
      <c r="I172">
        <v>45278449</v>
      </c>
      <c r="J172">
        <v>49.9</v>
      </c>
      <c r="K172">
        <v>22593946</v>
      </c>
      <c r="L172">
        <v>0</v>
      </c>
      <c r="M172">
        <v>254726</v>
      </c>
      <c r="N172">
        <v>0</v>
      </c>
      <c r="O172">
        <v>22848672</v>
      </c>
      <c r="P172">
        <v>0</v>
      </c>
      <c r="Q172">
        <v>22848672</v>
      </c>
      <c r="R172">
        <v>-395786</v>
      </c>
      <c r="S172">
        <v>0</v>
      </c>
      <c r="T172">
        <v>-395786</v>
      </c>
      <c r="U172">
        <v>153144</v>
      </c>
      <c r="V172">
        <v>0</v>
      </c>
      <c r="W172">
        <v>153144</v>
      </c>
      <c r="X172">
        <v>-242642</v>
      </c>
      <c r="Y172">
        <v>0</v>
      </c>
      <c r="Z172">
        <v>0</v>
      </c>
      <c r="AA172">
        <v>0</v>
      </c>
      <c r="AB172">
        <v>-242642</v>
      </c>
      <c r="AC172">
        <v>0</v>
      </c>
      <c r="AD172">
        <v>-242642</v>
      </c>
      <c r="AE172">
        <v>242642</v>
      </c>
      <c r="AF172">
        <v>0</v>
      </c>
      <c r="AG172">
        <v>242642</v>
      </c>
      <c r="AH172">
        <v>-4135666</v>
      </c>
      <c r="AI172">
        <v>0</v>
      </c>
      <c r="AJ172">
        <v>-4135666</v>
      </c>
      <c r="AK172">
        <v>-8585</v>
      </c>
      <c r="AL172">
        <v>0</v>
      </c>
      <c r="AM172">
        <v>-8585</v>
      </c>
      <c r="AN172">
        <v>306122</v>
      </c>
      <c r="AO172">
        <v>0</v>
      </c>
      <c r="AP172">
        <v>306122</v>
      </c>
      <c r="AQ172">
        <v>-3829544</v>
      </c>
      <c r="AR172">
        <v>0</v>
      </c>
      <c r="AS172">
        <v>-3829544</v>
      </c>
      <c r="AT172">
        <v>-1594574</v>
      </c>
      <c r="AU172">
        <v>0</v>
      </c>
      <c r="AV172">
        <v>-1594574</v>
      </c>
      <c r="AW172">
        <v>-35609</v>
      </c>
      <c r="AX172">
        <v>0</v>
      </c>
      <c r="AY172">
        <v>-35609</v>
      </c>
      <c r="AZ172">
        <v>-29873</v>
      </c>
      <c r="BA172">
        <v>0</v>
      </c>
      <c r="BB172">
        <v>-29873</v>
      </c>
      <c r="BC172">
        <v>0</v>
      </c>
      <c r="BD172">
        <v>0</v>
      </c>
      <c r="BE172">
        <v>0</v>
      </c>
      <c r="BF172">
        <v>-5489600</v>
      </c>
      <c r="BG172">
        <v>0</v>
      </c>
      <c r="BH172">
        <v>0</v>
      </c>
      <c r="BI172">
        <v>0</v>
      </c>
      <c r="BJ172">
        <v>-5489600</v>
      </c>
      <c r="BK172">
        <v>0</v>
      </c>
      <c r="BL172">
        <v>-5489600</v>
      </c>
      <c r="BM172">
        <v>-4000</v>
      </c>
      <c r="BN172">
        <v>0</v>
      </c>
      <c r="BO172">
        <v>-4000</v>
      </c>
      <c r="BP172">
        <v>-452343</v>
      </c>
      <c r="BQ172">
        <v>0</v>
      </c>
      <c r="BR172">
        <v>-452343</v>
      </c>
      <c r="BS172">
        <v>-456343</v>
      </c>
      <c r="BT172">
        <v>0</v>
      </c>
      <c r="BU172">
        <v>0</v>
      </c>
      <c r="BV172">
        <v>0</v>
      </c>
      <c r="BW172">
        <v>-456343</v>
      </c>
      <c r="BX172">
        <v>0</v>
      </c>
      <c r="BY172">
        <v>-456343</v>
      </c>
      <c r="BZ172">
        <v>-78171</v>
      </c>
      <c r="CA172">
        <v>0</v>
      </c>
      <c r="CB172">
        <v>-78171</v>
      </c>
      <c r="CC172">
        <v>-18608</v>
      </c>
      <c r="CD172">
        <v>0</v>
      </c>
      <c r="CE172">
        <v>-18608</v>
      </c>
      <c r="CF172">
        <v>-510</v>
      </c>
      <c r="CG172">
        <v>0</v>
      </c>
      <c r="CH172">
        <v>-510</v>
      </c>
      <c r="CI172">
        <v>0</v>
      </c>
      <c r="CJ172">
        <v>0</v>
      </c>
      <c r="CK172">
        <v>0</v>
      </c>
      <c r="CL172">
        <v>-5634</v>
      </c>
      <c r="CM172">
        <v>0</v>
      </c>
      <c r="CN172">
        <v>-5634</v>
      </c>
      <c r="CO172">
        <v>0</v>
      </c>
      <c r="CP172">
        <v>0</v>
      </c>
      <c r="CQ172">
        <v>0</v>
      </c>
      <c r="CR172">
        <v>0</v>
      </c>
      <c r="CS172">
        <v>0</v>
      </c>
      <c r="CT172">
        <v>-102923</v>
      </c>
      <c r="CU172">
        <v>0</v>
      </c>
      <c r="CV172">
        <v>0</v>
      </c>
      <c r="CW172">
        <v>0</v>
      </c>
      <c r="CX172">
        <v>-102923</v>
      </c>
      <c r="CY172">
        <v>0</v>
      </c>
      <c r="CZ172">
        <v>-102923</v>
      </c>
      <c r="DA172">
        <v>-29873</v>
      </c>
      <c r="DB172">
        <v>0</v>
      </c>
      <c r="DC172">
        <v>-29873</v>
      </c>
      <c r="DD172">
        <v>-28298</v>
      </c>
      <c r="DE172">
        <v>0</v>
      </c>
      <c r="DF172">
        <v>-28298</v>
      </c>
      <c r="DG172">
        <v>-3000</v>
      </c>
      <c r="DH172">
        <v>0</v>
      </c>
      <c r="DI172">
        <v>-3000</v>
      </c>
      <c r="DJ172">
        <v>-340620</v>
      </c>
      <c r="DK172">
        <v>0</v>
      </c>
      <c r="DL172">
        <v>-340620</v>
      </c>
      <c r="DM172">
        <v>-401791</v>
      </c>
      <c r="DN172">
        <v>0</v>
      </c>
      <c r="DO172">
        <v>-259827</v>
      </c>
      <c r="DP172">
        <v>0</v>
      </c>
      <c r="DQ172">
        <v>-661618</v>
      </c>
      <c r="DR172">
        <v>0</v>
      </c>
      <c r="DS172">
        <v>-661618</v>
      </c>
      <c r="DT172">
        <v>15895546</v>
      </c>
      <c r="DU172">
        <v>0</v>
      </c>
      <c r="DV172" s="661">
        <v>15895546</v>
      </c>
      <c r="DW172" t="s">
        <v>1823</v>
      </c>
    </row>
    <row r="173" spans="1:127" ht="12.75" x14ac:dyDescent="0.2">
      <c r="A173" s="605">
        <v>166</v>
      </c>
      <c r="B173" s="606" t="s">
        <v>216</v>
      </c>
      <c r="C173" s="607" t="s">
        <v>1185</v>
      </c>
      <c r="D173" s="608" t="s">
        <v>1189</v>
      </c>
      <c r="E173" s="609" t="s">
        <v>215</v>
      </c>
      <c r="G173">
        <v>62754928</v>
      </c>
      <c r="H173">
        <v>0</v>
      </c>
      <c r="I173">
        <v>62754928</v>
      </c>
      <c r="J173">
        <v>49.9</v>
      </c>
      <c r="K173">
        <v>31314709</v>
      </c>
      <c r="L173">
        <v>0</v>
      </c>
      <c r="M173">
        <v>224000</v>
      </c>
      <c r="N173">
        <v>0</v>
      </c>
      <c r="O173">
        <v>31538709</v>
      </c>
      <c r="P173">
        <v>0</v>
      </c>
      <c r="Q173">
        <v>31538709</v>
      </c>
      <c r="R173">
        <v>-202945</v>
      </c>
      <c r="S173">
        <v>0</v>
      </c>
      <c r="T173">
        <v>-202945</v>
      </c>
      <c r="U173">
        <v>27584</v>
      </c>
      <c r="V173">
        <v>0</v>
      </c>
      <c r="W173">
        <v>27584</v>
      </c>
      <c r="X173">
        <v>-175361</v>
      </c>
      <c r="Y173">
        <v>0</v>
      </c>
      <c r="Z173">
        <v>0</v>
      </c>
      <c r="AA173">
        <v>0</v>
      </c>
      <c r="AB173">
        <v>-175361</v>
      </c>
      <c r="AC173">
        <v>0</v>
      </c>
      <c r="AD173">
        <v>-175361</v>
      </c>
      <c r="AE173">
        <v>175361</v>
      </c>
      <c r="AF173">
        <v>0</v>
      </c>
      <c r="AG173">
        <v>175361</v>
      </c>
      <c r="AH173">
        <v>-3825286</v>
      </c>
      <c r="AI173">
        <v>0</v>
      </c>
      <c r="AJ173">
        <v>-3825286</v>
      </c>
      <c r="AK173">
        <v>-12076</v>
      </c>
      <c r="AL173">
        <v>0</v>
      </c>
      <c r="AM173">
        <v>-12076</v>
      </c>
      <c r="AN173">
        <v>502303</v>
      </c>
      <c r="AO173">
        <v>0</v>
      </c>
      <c r="AP173">
        <v>502303</v>
      </c>
      <c r="AQ173">
        <v>-3322983</v>
      </c>
      <c r="AR173">
        <v>0</v>
      </c>
      <c r="AS173">
        <v>-3322983</v>
      </c>
      <c r="AT173">
        <v>-1761096</v>
      </c>
      <c r="AU173">
        <v>0</v>
      </c>
      <c r="AV173">
        <v>-1761096</v>
      </c>
      <c r="AW173">
        <v>-75828</v>
      </c>
      <c r="AX173">
        <v>0</v>
      </c>
      <c r="AY173">
        <v>-75828</v>
      </c>
      <c r="AZ173">
        <v>-52909</v>
      </c>
      <c r="BA173">
        <v>0</v>
      </c>
      <c r="BB173">
        <v>-52909</v>
      </c>
      <c r="BC173">
        <v>0</v>
      </c>
      <c r="BD173">
        <v>0</v>
      </c>
      <c r="BE173">
        <v>0</v>
      </c>
      <c r="BF173">
        <v>-5212816</v>
      </c>
      <c r="BG173">
        <v>0</v>
      </c>
      <c r="BH173">
        <v>-17203</v>
      </c>
      <c r="BI173">
        <v>0</v>
      </c>
      <c r="BJ173">
        <v>-5230019</v>
      </c>
      <c r="BK173">
        <v>0</v>
      </c>
      <c r="BL173">
        <v>-5230019</v>
      </c>
      <c r="BM173">
        <v>0</v>
      </c>
      <c r="BN173">
        <v>0</v>
      </c>
      <c r="BO173">
        <v>0</v>
      </c>
      <c r="BP173">
        <v>-723717</v>
      </c>
      <c r="BQ173">
        <v>0</v>
      </c>
      <c r="BR173">
        <v>-723717</v>
      </c>
      <c r="BS173">
        <v>-723717</v>
      </c>
      <c r="BT173">
        <v>0</v>
      </c>
      <c r="BU173">
        <v>-25000</v>
      </c>
      <c r="BV173">
        <v>0</v>
      </c>
      <c r="BW173">
        <v>-748717</v>
      </c>
      <c r="BX173">
        <v>0</v>
      </c>
      <c r="BY173">
        <v>-748717</v>
      </c>
      <c r="BZ173">
        <v>-177282</v>
      </c>
      <c r="CA173">
        <v>0</v>
      </c>
      <c r="CB173">
        <v>-177282</v>
      </c>
      <c r="CC173">
        <v>-38633</v>
      </c>
      <c r="CD173">
        <v>0</v>
      </c>
      <c r="CE173">
        <v>-38633</v>
      </c>
      <c r="CF173">
        <v>-16274</v>
      </c>
      <c r="CG173">
        <v>0</v>
      </c>
      <c r="CH173">
        <v>-16274</v>
      </c>
      <c r="CI173">
        <v>0</v>
      </c>
      <c r="CJ173">
        <v>0</v>
      </c>
      <c r="CK173">
        <v>0</v>
      </c>
      <c r="CL173">
        <v>-29472</v>
      </c>
      <c r="CM173">
        <v>0</v>
      </c>
      <c r="CN173">
        <v>-29472</v>
      </c>
      <c r="CO173">
        <v>0</v>
      </c>
      <c r="CP173">
        <v>0</v>
      </c>
      <c r="CQ173">
        <v>0</v>
      </c>
      <c r="CR173">
        <v>0</v>
      </c>
      <c r="CS173">
        <v>0</v>
      </c>
      <c r="CT173">
        <v>-261661</v>
      </c>
      <c r="CU173">
        <v>0</v>
      </c>
      <c r="CV173">
        <v>0</v>
      </c>
      <c r="CW173">
        <v>0</v>
      </c>
      <c r="CX173">
        <v>-261661</v>
      </c>
      <c r="CY173">
        <v>0</v>
      </c>
      <c r="CZ173">
        <v>-261661</v>
      </c>
      <c r="DA173">
        <v>-52909</v>
      </c>
      <c r="DB173">
        <v>0</v>
      </c>
      <c r="DC173">
        <v>-52909</v>
      </c>
      <c r="DD173">
        <v>-67514</v>
      </c>
      <c r="DE173">
        <v>0</v>
      </c>
      <c r="DF173">
        <v>-67514</v>
      </c>
      <c r="DG173">
        <v>-6000</v>
      </c>
      <c r="DH173">
        <v>0</v>
      </c>
      <c r="DI173">
        <v>-6000</v>
      </c>
      <c r="DJ173">
        <v>-340574</v>
      </c>
      <c r="DK173">
        <v>0</v>
      </c>
      <c r="DL173">
        <v>-340574</v>
      </c>
      <c r="DM173">
        <v>-466997</v>
      </c>
      <c r="DN173">
        <v>0</v>
      </c>
      <c r="DO173">
        <v>0</v>
      </c>
      <c r="DP173">
        <v>0</v>
      </c>
      <c r="DQ173">
        <v>-466997</v>
      </c>
      <c r="DR173">
        <v>0</v>
      </c>
      <c r="DS173">
        <v>-466997</v>
      </c>
      <c r="DT173">
        <v>24655954</v>
      </c>
      <c r="DU173">
        <v>0</v>
      </c>
      <c r="DV173" s="661">
        <v>24655954</v>
      </c>
      <c r="DW173" t="s">
        <v>1824</v>
      </c>
    </row>
    <row r="174" spans="1:127" ht="12.75" x14ac:dyDescent="0.2">
      <c r="A174" s="605">
        <v>167</v>
      </c>
      <c r="B174" s="606" t="s">
        <v>218</v>
      </c>
      <c r="C174" s="607" t="s">
        <v>1185</v>
      </c>
      <c r="D174" s="608" t="s">
        <v>1186</v>
      </c>
      <c r="E174" s="609" t="s">
        <v>217</v>
      </c>
      <c r="G174">
        <v>121606323</v>
      </c>
      <c r="H174">
        <v>0</v>
      </c>
      <c r="I174">
        <v>121606323</v>
      </c>
      <c r="J174">
        <v>49.9</v>
      </c>
      <c r="K174">
        <v>60681555</v>
      </c>
      <c r="L174">
        <v>0</v>
      </c>
      <c r="M174">
        <v>606816</v>
      </c>
      <c r="N174">
        <v>0</v>
      </c>
      <c r="O174">
        <v>61288371</v>
      </c>
      <c r="P174">
        <v>0</v>
      </c>
      <c r="Q174">
        <v>61288371</v>
      </c>
      <c r="R174">
        <v>-312464</v>
      </c>
      <c r="S174">
        <v>0</v>
      </c>
      <c r="T174">
        <v>-312464</v>
      </c>
      <c r="U174">
        <v>81431</v>
      </c>
      <c r="V174">
        <v>0</v>
      </c>
      <c r="W174">
        <v>81431</v>
      </c>
      <c r="X174">
        <v>-231033</v>
      </c>
      <c r="Y174">
        <v>0</v>
      </c>
      <c r="Z174">
        <v>0</v>
      </c>
      <c r="AA174">
        <v>0</v>
      </c>
      <c r="AB174">
        <v>-231033</v>
      </c>
      <c r="AC174">
        <v>0</v>
      </c>
      <c r="AD174">
        <v>-231033</v>
      </c>
      <c r="AE174">
        <v>231033</v>
      </c>
      <c r="AF174">
        <v>0</v>
      </c>
      <c r="AG174">
        <v>231033</v>
      </c>
      <c r="AH174">
        <v>-4885222</v>
      </c>
      <c r="AI174">
        <v>0</v>
      </c>
      <c r="AJ174">
        <v>-4885222</v>
      </c>
      <c r="AK174">
        <v>0</v>
      </c>
      <c r="AL174">
        <v>0</v>
      </c>
      <c r="AM174">
        <v>0</v>
      </c>
      <c r="AN174">
        <v>1026426</v>
      </c>
      <c r="AO174">
        <v>0</v>
      </c>
      <c r="AP174">
        <v>1026426</v>
      </c>
      <c r="AQ174">
        <v>-3858796</v>
      </c>
      <c r="AR174">
        <v>0</v>
      </c>
      <c r="AS174">
        <v>-3858796</v>
      </c>
      <c r="AT174">
        <v>-4395655</v>
      </c>
      <c r="AU174">
        <v>0</v>
      </c>
      <c r="AV174">
        <v>-4395655</v>
      </c>
      <c r="AW174">
        <v>-56945</v>
      </c>
      <c r="AX174">
        <v>0</v>
      </c>
      <c r="AY174">
        <v>-56945</v>
      </c>
      <c r="AZ174">
        <v>-5850</v>
      </c>
      <c r="BA174">
        <v>0</v>
      </c>
      <c r="BB174">
        <v>-5850</v>
      </c>
      <c r="BC174">
        <v>0</v>
      </c>
      <c r="BD174">
        <v>0</v>
      </c>
      <c r="BE174">
        <v>0</v>
      </c>
      <c r="BF174">
        <v>-8317246</v>
      </c>
      <c r="BG174">
        <v>0</v>
      </c>
      <c r="BH174">
        <v>0</v>
      </c>
      <c r="BI174">
        <v>0</v>
      </c>
      <c r="BJ174">
        <v>-8317246</v>
      </c>
      <c r="BK174">
        <v>0</v>
      </c>
      <c r="BL174">
        <v>-8317246</v>
      </c>
      <c r="BM174">
        <v>0</v>
      </c>
      <c r="BN174">
        <v>0</v>
      </c>
      <c r="BO174">
        <v>0</v>
      </c>
      <c r="BP174">
        <v>-712830</v>
      </c>
      <c r="BQ174">
        <v>0</v>
      </c>
      <c r="BR174">
        <v>-712830</v>
      </c>
      <c r="BS174">
        <v>-712830</v>
      </c>
      <c r="BT174">
        <v>0</v>
      </c>
      <c r="BU174">
        <v>0</v>
      </c>
      <c r="BV174">
        <v>0</v>
      </c>
      <c r="BW174">
        <v>-712830</v>
      </c>
      <c r="BX174">
        <v>0</v>
      </c>
      <c r="BY174">
        <v>-712830</v>
      </c>
      <c r="BZ174">
        <v>-90474</v>
      </c>
      <c r="CA174">
        <v>0</v>
      </c>
      <c r="CB174">
        <v>-90474</v>
      </c>
      <c r="CC174">
        <v>-724935</v>
      </c>
      <c r="CD174">
        <v>0</v>
      </c>
      <c r="CE174">
        <v>-724935</v>
      </c>
      <c r="CF174">
        <v>-4337</v>
      </c>
      <c r="CG174">
        <v>0</v>
      </c>
      <c r="CH174">
        <v>-4337</v>
      </c>
      <c r="CI174">
        <v>0</v>
      </c>
      <c r="CJ174">
        <v>0</v>
      </c>
      <c r="CK174">
        <v>0</v>
      </c>
      <c r="CL174">
        <v>-7360</v>
      </c>
      <c r="CM174">
        <v>0</v>
      </c>
      <c r="CN174">
        <v>-7360</v>
      </c>
      <c r="CO174">
        <v>0</v>
      </c>
      <c r="CP174">
        <v>0</v>
      </c>
      <c r="CQ174">
        <v>0</v>
      </c>
      <c r="CR174">
        <v>0</v>
      </c>
      <c r="CS174">
        <v>0</v>
      </c>
      <c r="CT174">
        <v>-827106</v>
      </c>
      <c r="CU174">
        <v>0</v>
      </c>
      <c r="CV174">
        <v>0</v>
      </c>
      <c r="CW174">
        <v>0</v>
      </c>
      <c r="CX174">
        <v>-827106</v>
      </c>
      <c r="CY174">
        <v>0</v>
      </c>
      <c r="CZ174">
        <v>-827106</v>
      </c>
      <c r="DA174">
        <v>-5793</v>
      </c>
      <c r="DB174">
        <v>0</v>
      </c>
      <c r="DC174">
        <v>-5793</v>
      </c>
      <c r="DD174">
        <v>-48964</v>
      </c>
      <c r="DE174">
        <v>0</v>
      </c>
      <c r="DF174">
        <v>-48964</v>
      </c>
      <c r="DG174">
        <v>-1500</v>
      </c>
      <c r="DH174">
        <v>0</v>
      </c>
      <c r="DI174">
        <v>-1500</v>
      </c>
      <c r="DJ174">
        <v>-1988191</v>
      </c>
      <c r="DK174">
        <v>0</v>
      </c>
      <c r="DL174">
        <v>-1988191</v>
      </c>
      <c r="DM174">
        <v>-2044448</v>
      </c>
      <c r="DN174">
        <v>0</v>
      </c>
      <c r="DO174">
        <v>0</v>
      </c>
      <c r="DP174">
        <v>0</v>
      </c>
      <c r="DQ174">
        <v>-2044448</v>
      </c>
      <c r="DR174">
        <v>0</v>
      </c>
      <c r="DS174">
        <v>-2044448</v>
      </c>
      <c r="DT174">
        <v>49155708</v>
      </c>
      <c r="DU174">
        <v>0</v>
      </c>
      <c r="DV174" s="661">
        <v>49155708</v>
      </c>
      <c r="DW174" t="s">
        <v>1825</v>
      </c>
    </row>
    <row r="175" spans="1:127" ht="12.75" x14ac:dyDescent="0.2">
      <c r="A175" s="605">
        <v>168</v>
      </c>
      <c r="B175" s="606" t="s">
        <v>220</v>
      </c>
      <c r="C175" s="607" t="s">
        <v>524</v>
      </c>
      <c r="D175" s="608" t="s">
        <v>1197</v>
      </c>
      <c r="E175" s="609" t="s">
        <v>549</v>
      </c>
      <c r="G175">
        <v>95926096</v>
      </c>
      <c r="H175">
        <v>7339285</v>
      </c>
      <c r="I175">
        <v>103265381</v>
      </c>
      <c r="J175">
        <v>49.9</v>
      </c>
      <c r="K175">
        <v>47867122</v>
      </c>
      <c r="L175">
        <v>3662303</v>
      </c>
      <c r="M175">
        <v>200000</v>
      </c>
      <c r="N175">
        <v>0</v>
      </c>
      <c r="O175">
        <v>48067122</v>
      </c>
      <c r="P175">
        <v>3662303</v>
      </c>
      <c r="Q175">
        <v>51729425</v>
      </c>
      <c r="R175">
        <v>-152198</v>
      </c>
      <c r="S175">
        <v>-20770</v>
      </c>
      <c r="T175">
        <v>-172968</v>
      </c>
      <c r="U175">
        <v>1714650</v>
      </c>
      <c r="V175">
        <v>77892</v>
      </c>
      <c r="W175">
        <v>1792542</v>
      </c>
      <c r="X175">
        <v>1562452</v>
      </c>
      <c r="Y175">
        <v>57122</v>
      </c>
      <c r="Z175">
        <v>0</v>
      </c>
      <c r="AA175">
        <v>0</v>
      </c>
      <c r="AB175">
        <v>1562452</v>
      </c>
      <c r="AC175">
        <v>57122</v>
      </c>
      <c r="AD175">
        <v>1619574</v>
      </c>
      <c r="AE175">
        <v>-1562452</v>
      </c>
      <c r="AF175">
        <v>-57122</v>
      </c>
      <c r="AG175">
        <v>-1619574</v>
      </c>
      <c r="AH175">
        <v>-3840271</v>
      </c>
      <c r="AI175">
        <v>-276401</v>
      </c>
      <c r="AJ175">
        <v>-4116672</v>
      </c>
      <c r="AK175">
        <v>-4770</v>
      </c>
      <c r="AL175">
        <v>0</v>
      </c>
      <c r="AM175">
        <v>-4770</v>
      </c>
      <c r="AN175">
        <v>863600</v>
      </c>
      <c r="AO175">
        <v>52324</v>
      </c>
      <c r="AP175">
        <v>915924</v>
      </c>
      <c r="AQ175">
        <v>-2976671</v>
      </c>
      <c r="AR175">
        <v>-224077</v>
      </c>
      <c r="AS175">
        <v>-3200748</v>
      </c>
      <c r="AT175">
        <v>-6686628</v>
      </c>
      <c r="AU175">
        <v>-82575</v>
      </c>
      <c r="AV175">
        <v>-6769203</v>
      </c>
      <c r="AW175">
        <v>-59986</v>
      </c>
      <c r="AX175">
        <v>0</v>
      </c>
      <c r="AY175">
        <v>-59986</v>
      </c>
      <c r="AZ175">
        <v>0</v>
      </c>
      <c r="BA175">
        <v>0</v>
      </c>
      <c r="BB175">
        <v>0</v>
      </c>
      <c r="BC175">
        <v>0</v>
      </c>
      <c r="BD175">
        <v>0</v>
      </c>
      <c r="BE175">
        <v>0</v>
      </c>
      <c r="BF175">
        <v>-9723285</v>
      </c>
      <c r="BG175">
        <v>-306652</v>
      </c>
      <c r="BH175">
        <v>0</v>
      </c>
      <c r="BI175">
        <v>0</v>
      </c>
      <c r="BJ175">
        <v>-9723285</v>
      </c>
      <c r="BK175">
        <v>-306652</v>
      </c>
      <c r="BL175">
        <v>-10029937</v>
      </c>
      <c r="BM175">
        <v>0</v>
      </c>
      <c r="BN175">
        <v>0</v>
      </c>
      <c r="BO175">
        <v>0</v>
      </c>
      <c r="BP175">
        <v>-1376277</v>
      </c>
      <c r="BQ175">
        <v>-423723</v>
      </c>
      <c r="BR175">
        <v>-1800000</v>
      </c>
      <c r="BS175">
        <v>-1376277</v>
      </c>
      <c r="BT175">
        <v>-423723</v>
      </c>
      <c r="BU175">
        <v>0</v>
      </c>
      <c r="BV175">
        <v>0</v>
      </c>
      <c r="BW175">
        <v>-1376277</v>
      </c>
      <c r="BX175">
        <v>-423723</v>
      </c>
      <c r="BY175">
        <v>-1800000</v>
      </c>
      <c r="BZ175">
        <v>-5000</v>
      </c>
      <c r="CA175">
        <v>0</v>
      </c>
      <c r="CB175">
        <v>-5000</v>
      </c>
      <c r="CC175">
        <v>0</v>
      </c>
      <c r="CD175">
        <v>0</v>
      </c>
      <c r="CE175">
        <v>0</v>
      </c>
      <c r="CF175">
        <v>-8960</v>
      </c>
      <c r="CG175">
        <v>0</v>
      </c>
      <c r="CH175">
        <v>-8960</v>
      </c>
      <c r="CI175">
        <v>0</v>
      </c>
      <c r="CJ175">
        <v>0</v>
      </c>
      <c r="CK175">
        <v>0</v>
      </c>
      <c r="CL175">
        <v>0</v>
      </c>
      <c r="CM175">
        <v>0</v>
      </c>
      <c r="CN175">
        <v>0</v>
      </c>
      <c r="CO175">
        <v>-10000</v>
      </c>
      <c r="CP175">
        <v>-183111</v>
      </c>
      <c r="CQ175">
        <v>-193111</v>
      </c>
      <c r="CR175">
        <v>-168111</v>
      </c>
      <c r="CS175">
        <v>0</v>
      </c>
      <c r="CT175">
        <v>-23960</v>
      </c>
      <c r="CU175">
        <v>-183111</v>
      </c>
      <c r="CV175">
        <v>0</v>
      </c>
      <c r="CW175">
        <v>0</v>
      </c>
      <c r="CX175">
        <v>-23960</v>
      </c>
      <c r="CY175">
        <v>-183111</v>
      </c>
      <c r="CZ175">
        <v>-207071</v>
      </c>
      <c r="DA175">
        <v>0</v>
      </c>
      <c r="DB175">
        <v>0</v>
      </c>
      <c r="DC175">
        <v>0</v>
      </c>
      <c r="DD175">
        <v>-12949</v>
      </c>
      <c r="DE175">
        <v>-1711</v>
      </c>
      <c r="DF175">
        <v>-14660</v>
      </c>
      <c r="DG175">
        <v>-5000</v>
      </c>
      <c r="DH175">
        <v>-1000</v>
      </c>
      <c r="DI175">
        <v>-6000</v>
      </c>
      <c r="DJ175">
        <v>-1153735</v>
      </c>
      <c r="DK175">
        <v>-146265</v>
      </c>
      <c r="DL175">
        <v>-1300000</v>
      </c>
      <c r="DM175">
        <v>-1171684</v>
      </c>
      <c r="DN175">
        <v>-148976</v>
      </c>
      <c r="DO175">
        <v>0</v>
      </c>
      <c r="DP175">
        <v>0</v>
      </c>
      <c r="DQ175">
        <v>-1171684</v>
      </c>
      <c r="DR175">
        <v>-148976</v>
      </c>
      <c r="DS175">
        <v>-1320660</v>
      </c>
      <c r="DT175">
        <v>37334368</v>
      </c>
      <c r="DU175">
        <v>2656963</v>
      </c>
      <c r="DV175" s="661">
        <v>39991331</v>
      </c>
      <c r="DW175" t="s">
        <v>1826</v>
      </c>
    </row>
    <row r="176" spans="1:127" ht="12.75" x14ac:dyDescent="0.2">
      <c r="A176" s="605">
        <v>169</v>
      </c>
      <c r="B176" s="606" t="s">
        <v>222</v>
      </c>
      <c r="C176" s="607" t="s">
        <v>524</v>
      </c>
      <c r="D176" s="608" t="s">
        <v>1186</v>
      </c>
      <c r="E176" s="609" t="s">
        <v>537</v>
      </c>
      <c r="G176">
        <v>415222455</v>
      </c>
      <c r="H176">
        <v>0</v>
      </c>
      <c r="I176">
        <v>415222455</v>
      </c>
      <c r="J176">
        <v>49.9</v>
      </c>
      <c r="K176">
        <v>207196005</v>
      </c>
      <c r="L176">
        <v>0</v>
      </c>
      <c r="M176">
        <v>3281683</v>
      </c>
      <c r="N176">
        <v>0</v>
      </c>
      <c r="O176">
        <v>210477688</v>
      </c>
      <c r="P176">
        <v>0</v>
      </c>
      <c r="Q176">
        <v>210477688</v>
      </c>
      <c r="R176">
        <v>-500000</v>
      </c>
      <c r="S176">
        <v>0</v>
      </c>
      <c r="T176">
        <v>-500000</v>
      </c>
      <c r="U176">
        <v>0</v>
      </c>
      <c r="V176">
        <v>0</v>
      </c>
      <c r="W176">
        <v>0</v>
      </c>
      <c r="X176">
        <v>-500000</v>
      </c>
      <c r="Y176">
        <v>0</v>
      </c>
      <c r="Z176">
        <v>0</v>
      </c>
      <c r="AA176">
        <v>0</v>
      </c>
      <c r="AB176">
        <v>-500000</v>
      </c>
      <c r="AC176">
        <v>0</v>
      </c>
      <c r="AD176">
        <v>-500000</v>
      </c>
      <c r="AE176">
        <v>500000</v>
      </c>
      <c r="AF176">
        <v>0</v>
      </c>
      <c r="AG176">
        <v>500000</v>
      </c>
      <c r="AH176">
        <v>-7348000</v>
      </c>
      <c r="AI176">
        <v>0</v>
      </c>
      <c r="AJ176">
        <v>-7348000</v>
      </c>
      <c r="AK176">
        <v>-83000</v>
      </c>
      <c r="AL176">
        <v>0</v>
      </c>
      <c r="AM176">
        <v>-83000</v>
      </c>
      <c r="AN176">
        <v>4532548</v>
      </c>
      <c r="AO176">
        <v>0</v>
      </c>
      <c r="AP176">
        <v>4532548</v>
      </c>
      <c r="AQ176">
        <v>-2815452</v>
      </c>
      <c r="AR176">
        <v>0</v>
      </c>
      <c r="AS176">
        <v>-2815452</v>
      </c>
      <c r="AT176">
        <v>-11800000</v>
      </c>
      <c r="AU176">
        <v>0</v>
      </c>
      <c r="AV176">
        <v>-11800000</v>
      </c>
      <c r="AW176">
        <v>-51000</v>
      </c>
      <c r="AX176">
        <v>0</v>
      </c>
      <c r="AY176">
        <v>-51000</v>
      </c>
      <c r="AZ176">
        <v>-15000</v>
      </c>
      <c r="BA176">
        <v>0</v>
      </c>
      <c r="BB176">
        <v>-15000</v>
      </c>
      <c r="BC176">
        <v>0</v>
      </c>
      <c r="BD176">
        <v>0</v>
      </c>
      <c r="BE176">
        <v>0</v>
      </c>
      <c r="BF176">
        <v>-14681452</v>
      </c>
      <c r="BG176">
        <v>0</v>
      </c>
      <c r="BH176">
        <v>0</v>
      </c>
      <c r="BI176">
        <v>0</v>
      </c>
      <c r="BJ176">
        <v>-14681452</v>
      </c>
      <c r="BK176">
        <v>0</v>
      </c>
      <c r="BL176">
        <v>-14681452</v>
      </c>
      <c r="BM176">
        <v>0</v>
      </c>
      <c r="BN176">
        <v>0</v>
      </c>
      <c r="BO176">
        <v>0</v>
      </c>
      <c r="BP176">
        <v>-6298000</v>
      </c>
      <c r="BQ176">
        <v>0</v>
      </c>
      <c r="BR176">
        <v>-6298000</v>
      </c>
      <c r="BS176">
        <v>-6298000</v>
      </c>
      <c r="BT176">
        <v>0</v>
      </c>
      <c r="BU176">
        <v>0</v>
      </c>
      <c r="BV176">
        <v>0</v>
      </c>
      <c r="BW176">
        <v>-6298000</v>
      </c>
      <c r="BX176">
        <v>0</v>
      </c>
      <c r="BY176">
        <v>-6298000</v>
      </c>
      <c r="BZ176">
        <v>-621000</v>
      </c>
      <c r="CA176">
        <v>0</v>
      </c>
      <c r="CB176">
        <v>-621000</v>
      </c>
      <c r="CC176">
        <v>0</v>
      </c>
      <c r="CD176">
        <v>0</v>
      </c>
      <c r="CE176">
        <v>0</v>
      </c>
      <c r="CF176">
        <v>-19000</v>
      </c>
      <c r="CG176">
        <v>0</v>
      </c>
      <c r="CH176">
        <v>-19000</v>
      </c>
      <c r="CI176">
        <v>0</v>
      </c>
      <c r="CJ176">
        <v>0</v>
      </c>
      <c r="CK176">
        <v>0</v>
      </c>
      <c r="CL176">
        <v>0</v>
      </c>
      <c r="CM176">
        <v>0</v>
      </c>
      <c r="CN176">
        <v>0</v>
      </c>
      <c r="CO176">
        <v>0</v>
      </c>
      <c r="CP176">
        <v>0</v>
      </c>
      <c r="CQ176">
        <v>0</v>
      </c>
      <c r="CR176">
        <v>0</v>
      </c>
      <c r="CS176">
        <v>0</v>
      </c>
      <c r="CT176">
        <v>-640000</v>
      </c>
      <c r="CU176">
        <v>0</v>
      </c>
      <c r="CV176">
        <v>0</v>
      </c>
      <c r="CW176">
        <v>0</v>
      </c>
      <c r="CX176">
        <v>-640000</v>
      </c>
      <c r="CY176">
        <v>0</v>
      </c>
      <c r="CZ176">
        <v>-640000</v>
      </c>
      <c r="DA176">
        <v>-15000</v>
      </c>
      <c r="DB176">
        <v>0</v>
      </c>
      <c r="DC176">
        <v>-15000</v>
      </c>
      <c r="DD176">
        <v>-25000</v>
      </c>
      <c r="DE176">
        <v>0</v>
      </c>
      <c r="DF176">
        <v>-25000</v>
      </c>
      <c r="DG176">
        <v>-21426</v>
      </c>
      <c r="DH176">
        <v>0</v>
      </c>
      <c r="DI176">
        <v>-21426</v>
      </c>
      <c r="DJ176">
        <v>-2000000</v>
      </c>
      <c r="DK176">
        <v>0</v>
      </c>
      <c r="DL176">
        <v>-2000000</v>
      </c>
      <c r="DM176">
        <v>-2061426</v>
      </c>
      <c r="DN176">
        <v>0</v>
      </c>
      <c r="DO176">
        <v>0</v>
      </c>
      <c r="DP176">
        <v>0</v>
      </c>
      <c r="DQ176">
        <v>-2061426</v>
      </c>
      <c r="DR176">
        <v>0</v>
      </c>
      <c r="DS176">
        <v>-2061426</v>
      </c>
      <c r="DT176">
        <v>186296810</v>
      </c>
      <c r="DU176">
        <v>0</v>
      </c>
      <c r="DV176" s="661">
        <v>186296810</v>
      </c>
      <c r="DW176" t="s">
        <v>1827</v>
      </c>
    </row>
    <row r="177" spans="1:127" ht="12.75" x14ac:dyDescent="0.2">
      <c r="A177" s="605">
        <v>170</v>
      </c>
      <c r="B177" s="606" t="s">
        <v>224</v>
      </c>
      <c r="C177" s="607" t="s">
        <v>1185</v>
      </c>
      <c r="D177" s="608" t="s">
        <v>1186</v>
      </c>
      <c r="E177" s="609" t="s">
        <v>223</v>
      </c>
      <c r="G177">
        <v>104291921</v>
      </c>
      <c r="H177">
        <v>0</v>
      </c>
      <c r="I177">
        <v>104291921</v>
      </c>
      <c r="J177">
        <v>49.9</v>
      </c>
      <c r="K177">
        <v>52041669</v>
      </c>
      <c r="L177">
        <v>0</v>
      </c>
      <c r="M177">
        <v>0</v>
      </c>
      <c r="N177">
        <v>0</v>
      </c>
      <c r="O177">
        <v>52041669</v>
      </c>
      <c r="P177">
        <v>0</v>
      </c>
      <c r="Q177">
        <v>52041669</v>
      </c>
      <c r="R177">
        <v>-410580</v>
      </c>
      <c r="S177">
        <v>0</v>
      </c>
      <c r="T177">
        <v>-410580</v>
      </c>
      <c r="U177">
        <v>80484</v>
      </c>
      <c r="V177">
        <v>0</v>
      </c>
      <c r="W177">
        <v>80484</v>
      </c>
      <c r="X177">
        <v>-330096</v>
      </c>
      <c r="Y177">
        <v>0</v>
      </c>
      <c r="Z177">
        <v>0</v>
      </c>
      <c r="AA177">
        <v>0</v>
      </c>
      <c r="AB177">
        <v>-330096</v>
      </c>
      <c r="AC177">
        <v>0</v>
      </c>
      <c r="AD177">
        <v>-330096</v>
      </c>
      <c r="AE177">
        <v>330096</v>
      </c>
      <c r="AF177">
        <v>0</v>
      </c>
      <c r="AG177">
        <v>330096</v>
      </c>
      <c r="AH177">
        <v>-3372274</v>
      </c>
      <c r="AI177">
        <v>0</v>
      </c>
      <c r="AJ177">
        <v>-3372274</v>
      </c>
      <c r="AK177">
        <v>-19935</v>
      </c>
      <c r="AL177">
        <v>0</v>
      </c>
      <c r="AM177">
        <v>-19935</v>
      </c>
      <c r="AN177">
        <v>993617</v>
      </c>
      <c r="AO177">
        <v>0</v>
      </c>
      <c r="AP177">
        <v>993617</v>
      </c>
      <c r="AQ177">
        <v>-2378657</v>
      </c>
      <c r="AR177">
        <v>0</v>
      </c>
      <c r="AS177">
        <v>-2378657</v>
      </c>
      <c r="AT177">
        <v>-2907529</v>
      </c>
      <c r="AU177">
        <v>0</v>
      </c>
      <c r="AV177">
        <v>-2907529</v>
      </c>
      <c r="AW177">
        <v>-36790</v>
      </c>
      <c r="AX177">
        <v>0</v>
      </c>
      <c r="AY177">
        <v>-36790</v>
      </c>
      <c r="AZ177">
        <v>-6886</v>
      </c>
      <c r="BA177">
        <v>0</v>
      </c>
      <c r="BB177">
        <v>-6886</v>
      </c>
      <c r="BC177">
        <v>0</v>
      </c>
      <c r="BD177">
        <v>0</v>
      </c>
      <c r="BE177">
        <v>0</v>
      </c>
      <c r="BF177">
        <v>-5329862</v>
      </c>
      <c r="BG177">
        <v>0</v>
      </c>
      <c r="BH177">
        <v>0</v>
      </c>
      <c r="BI177">
        <v>0</v>
      </c>
      <c r="BJ177">
        <v>-5329862</v>
      </c>
      <c r="BK177">
        <v>0</v>
      </c>
      <c r="BL177">
        <v>-5329862</v>
      </c>
      <c r="BM177">
        <v>0</v>
      </c>
      <c r="BN177">
        <v>0</v>
      </c>
      <c r="BO177">
        <v>0</v>
      </c>
      <c r="BP177">
        <v>-1105186</v>
      </c>
      <c r="BQ177">
        <v>0</v>
      </c>
      <c r="BR177">
        <v>-1105186</v>
      </c>
      <c r="BS177">
        <v>-1105186</v>
      </c>
      <c r="BT177">
        <v>0</v>
      </c>
      <c r="BU177">
        <v>0</v>
      </c>
      <c r="BV177">
        <v>0</v>
      </c>
      <c r="BW177">
        <v>-1105186</v>
      </c>
      <c r="BX177">
        <v>0</v>
      </c>
      <c r="BY177">
        <v>-1105186</v>
      </c>
      <c r="BZ177">
        <v>-25907</v>
      </c>
      <c r="CA177">
        <v>0</v>
      </c>
      <c r="CB177">
        <v>-25907</v>
      </c>
      <c r="CC177">
        <v>-10804</v>
      </c>
      <c r="CD177">
        <v>0</v>
      </c>
      <c r="CE177">
        <v>-10804</v>
      </c>
      <c r="CF177">
        <v>0</v>
      </c>
      <c r="CG177">
        <v>0</v>
      </c>
      <c r="CH177">
        <v>0</v>
      </c>
      <c r="CI177">
        <v>0</v>
      </c>
      <c r="CJ177">
        <v>0</v>
      </c>
      <c r="CK177">
        <v>0</v>
      </c>
      <c r="CL177">
        <v>-16711</v>
      </c>
      <c r="CM177">
        <v>0</v>
      </c>
      <c r="CN177">
        <v>-16711</v>
      </c>
      <c r="CO177">
        <v>0</v>
      </c>
      <c r="CP177">
        <v>0</v>
      </c>
      <c r="CQ177">
        <v>0</v>
      </c>
      <c r="CR177">
        <v>0</v>
      </c>
      <c r="CS177">
        <v>0</v>
      </c>
      <c r="CT177">
        <v>-53422</v>
      </c>
      <c r="CU177">
        <v>0</v>
      </c>
      <c r="CV177">
        <v>0</v>
      </c>
      <c r="CW177">
        <v>0</v>
      </c>
      <c r="CX177">
        <v>-53422</v>
      </c>
      <c r="CY177">
        <v>0</v>
      </c>
      <c r="CZ177">
        <v>-53422</v>
      </c>
      <c r="DA177">
        <v>-6886</v>
      </c>
      <c r="DB177">
        <v>0</v>
      </c>
      <c r="DC177">
        <v>-6886</v>
      </c>
      <c r="DD177">
        <v>-53807</v>
      </c>
      <c r="DE177">
        <v>0</v>
      </c>
      <c r="DF177">
        <v>-53807</v>
      </c>
      <c r="DG177">
        <v>-10628</v>
      </c>
      <c r="DH177">
        <v>0</v>
      </c>
      <c r="DI177">
        <v>-10628</v>
      </c>
      <c r="DJ177">
        <v>-940690</v>
      </c>
      <c r="DK177">
        <v>0</v>
      </c>
      <c r="DL177">
        <v>-940690</v>
      </c>
      <c r="DM177">
        <v>-1012011</v>
      </c>
      <c r="DN177">
        <v>0</v>
      </c>
      <c r="DO177">
        <v>0</v>
      </c>
      <c r="DP177">
        <v>0</v>
      </c>
      <c r="DQ177">
        <v>-1012011</v>
      </c>
      <c r="DR177">
        <v>0</v>
      </c>
      <c r="DS177">
        <v>-1012011</v>
      </c>
      <c r="DT177">
        <v>44211092</v>
      </c>
      <c r="DU177">
        <v>0</v>
      </c>
      <c r="DV177" s="661">
        <v>44211092</v>
      </c>
      <c r="DW177" t="s">
        <v>1828</v>
      </c>
    </row>
    <row r="178" spans="1:127" ht="12.75" x14ac:dyDescent="0.2">
      <c r="A178" s="605">
        <v>171</v>
      </c>
      <c r="B178" s="606" t="s">
        <v>226</v>
      </c>
      <c r="C178" s="607" t="s">
        <v>1185</v>
      </c>
      <c r="D178" s="608" t="s">
        <v>1186</v>
      </c>
      <c r="E178" s="609" t="s">
        <v>225</v>
      </c>
      <c r="G178">
        <v>171909188</v>
      </c>
      <c r="H178">
        <v>0</v>
      </c>
      <c r="I178">
        <v>171909188</v>
      </c>
      <c r="J178">
        <v>49.9</v>
      </c>
      <c r="K178">
        <v>85782685</v>
      </c>
      <c r="L178">
        <v>0</v>
      </c>
      <c r="M178">
        <v>0</v>
      </c>
      <c r="N178">
        <v>0</v>
      </c>
      <c r="O178">
        <v>85782685</v>
      </c>
      <c r="P178">
        <v>0</v>
      </c>
      <c r="Q178">
        <v>85782685</v>
      </c>
      <c r="R178">
        <v>-259543</v>
      </c>
      <c r="S178">
        <v>0</v>
      </c>
      <c r="T178">
        <v>-259543</v>
      </c>
      <c r="U178">
        <v>209885</v>
      </c>
      <c r="V178">
        <v>0</v>
      </c>
      <c r="W178">
        <v>209885</v>
      </c>
      <c r="X178">
        <v>-49658</v>
      </c>
      <c r="Y178">
        <v>0</v>
      </c>
      <c r="Z178">
        <v>0</v>
      </c>
      <c r="AA178">
        <v>0</v>
      </c>
      <c r="AB178">
        <v>-49658</v>
      </c>
      <c r="AC178">
        <v>0</v>
      </c>
      <c r="AD178">
        <v>-49658</v>
      </c>
      <c r="AE178">
        <v>49658</v>
      </c>
      <c r="AF178">
        <v>0</v>
      </c>
      <c r="AG178">
        <v>49658</v>
      </c>
      <c r="AH178">
        <v>-8178534</v>
      </c>
      <c r="AI178">
        <v>0</v>
      </c>
      <c r="AJ178">
        <v>-8178534</v>
      </c>
      <c r="AK178">
        <v>-15000</v>
      </c>
      <c r="AL178">
        <v>0</v>
      </c>
      <c r="AM178">
        <v>-15000</v>
      </c>
      <c r="AN178">
        <v>1506490</v>
      </c>
      <c r="AO178">
        <v>0</v>
      </c>
      <c r="AP178">
        <v>1506490</v>
      </c>
      <c r="AQ178">
        <v>-6672044</v>
      </c>
      <c r="AR178">
        <v>0</v>
      </c>
      <c r="AS178">
        <v>-6672044</v>
      </c>
      <c r="AT178">
        <v>-4057138</v>
      </c>
      <c r="AU178">
        <v>0</v>
      </c>
      <c r="AV178">
        <v>-4057138</v>
      </c>
      <c r="AW178">
        <v>-55763</v>
      </c>
      <c r="AX178">
        <v>0</v>
      </c>
      <c r="AY178">
        <v>-55763</v>
      </c>
      <c r="AZ178">
        <v>-11981</v>
      </c>
      <c r="BA178">
        <v>0</v>
      </c>
      <c r="BB178">
        <v>-11981</v>
      </c>
      <c r="BC178">
        <v>0</v>
      </c>
      <c r="BD178">
        <v>0</v>
      </c>
      <c r="BE178">
        <v>0</v>
      </c>
      <c r="BF178">
        <v>-10796926</v>
      </c>
      <c r="BG178">
        <v>0</v>
      </c>
      <c r="BH178">
        <v>0</v>
      </c>
      <c r="BI178">
        <v>0</v>
      </c>
      <c r="BJ178">
        <v>-10796926</v>
      </c>
      <c r="BK178">
        <v>0</v>
      </c>
      <c r="BL178">
        <v>-10796926</v>
      </c>
      <c r="BM178">
        <v>-133641</v>
      </c>
      <c r="BN178">
        <v>0</v>
      </c>
      <c r="BO178">
        <v>-133641</v>
      </c>
      <c r="BP178">
        <v>-1102379</v>
      </c>
      <c r="BQ178">
        <v>0</v>
      </c>
      <c r="BR178">
        <v>-1102379</v>
      </c>
      <c r="BS178">
        <v>-1236020</v>
      </c>
      <c r="BT178">
        <v>0</v>
      </c>
      <c r="BU178">
        <v>0</v>
      </c>
      <c r="BV178">
        <v>0</v>
      </c>
      <c r="BW178">
        <v>-1236020</v>
      </c>
      <c r="BX178">
        <v>0</v>
      </c>
      <c r="BY178">
        <v>-1236020</v>
      </c>
      <c r="BZ178">
        <v>-109902</v>
      </c>
      <c r="CA178">
        <v>0</v>
      </c>
      <c r="CB178">
        <v>-109902</v>
      </c>
      <c r="CC178">
        <v>-8296</v>
      </c>
      <c r="CD178">
        <v>0</v>
      </c>
      <c r="CE178">
        <v>-8296</v>
      </c>
      <c r="CF178">
        <v>0</v>
      </c>
      <c r="CG178">
        <v>0</v>
      </c>
      <c r="CH178">
        <v>0</v>
      </c>
      <c r="CI178">
        <v>0</v>
      </c>
      <c r="CJ178">
        <v>0</v>
      </c>
      <c r="CK178">
        <v>0</v>
      </c>
      <c r="CL178">
        <v>0</v>
      </c>
      <c r="CM178">
        <v>0</v>
      </c>
      <c r="CN178">
        <v>0</v>
      </c>
      <c r="CO178">
        <v>-11906</v>
      </c>
      <c r="CP178">
        <v>0</v>
      </c>
      <c r="CQ178">
        <v>-11906</v>
      </c>
      <c r="CR178">
        <v>0</v>
      </c>
      <c r="CS178">
        <v>0</v>
      </c>
      <c r="CT178">
        <v>-130104</v>
      </c>
      <c r="CU178">
        <v>0</v>
      </c>
      <c r="CV178">
        <v>0</v>
      </c>
      <c r="CW178">
        <v>0</v>
      </c>
      <c r="CX178">
        <v>-130104</v>
      </c>
      <c r="CY178">
        <v>0</v>
      </c>
      <c r="CZ178">
        <v>-130104</v>
      </c>
      <c r="DA178">
        <v>-11981</v>
      </c>
      <c r="DB178">
        <v>0</v>
      </c>
      <c r="DC178">
        <v>-11981</v>
      </c>
      <c r="DD178">
        <v>-32685</v>
      </c>
      <c r="DE178">
        <v>0</v>
      </c>
      <c r="DF178">
        <v>-32685</v>
      </c>
      <c r="DG178">
        <v>-11826</v>
      </c>
      <c r="DH178">
        <v>0</v>
      </c>
      <c r="DI178">
        <v>-11826</v>
      </c>
      <c r="DJ178">
        <v>-1473570</v>
      </c>
      <c r="DK178">
        <v>0</v>
      </c>
      <c r="DL178">
        <v>-1473570</v>
      </c>
      <c r="DM178">
        <v>-1530062</v>
      </c>
      <c r="DN178">
        <v>0</v>
      </c>
      <c r="DO178">
        <v>0</v>
      </c>
      <c r="DP178">
        <v>0</v>
      </c>
      <c r="DQ178">
        <v>-1530062</v>
      </c>
      <c r="DR178">
        <v>0</v>
      </c>
      <c r="DS178">
        <v>-1530062</v>
      </c>
      <c r="DT178">
        <v>72039915</v>
      </c>
      <c r="DU178">
        <v>0</v>
      </c>
      <c r="DV178" s="661">
        <v>72039915</v>
      </c>
      <c r="DW178" t="s">
        <v>1829</v>
      </c>
    </row>
    <row r="179" spans="1:127" ht="12.75" x14ac:dyDescent="0.2">
      <c r="A179" s="605">
        <v>172</v>
      </c>
      <c r="B179" s="606" t="s">
        <v>228</v>
      </c>
      <c r="C179" s="607" t="s">
        <v>1185</v>
      </c>
      <c r="D179" s="608" t="s">
        <v>1188</v>
      </c>
      <c r="E179" s="609" t="s">
        <v>227</v>
      </c>
      <c r="G179">
        <v>107846409</v>
      </c>
      <c r="H179">
        <v>0</v>
      </c>
      <c r="I179">
        <v>107846409</v>
      </c>
      <c r="J179">
        <v>49.9</v>
      </c>
      <c r="K179">
        <v>53815358</v>
      </c>
      <c r="L179">
        <v>0</v>
      </c>
      <c r="M179">
        <v>139491</v>
      </c>
      <c r="N179">
        <v>0</v>
      </c>
      <c r="O179">
        <v>53954849</v>
      </c>
      <c r="P179">
        <v>0</v>
      </c>
      <c r="Q179">
        <v>53954849</v>
      </c>
      <c r="R179">
        <v>-512822</v>
      </c>
      <c r="S179">
        <v>0</v>
      </c>
      <c r="T179">
        <v>-512822</v>
      </c>
      <c r="U179">
        <v>37379</v>
      </c>
      <c r="V179">
        <v>0</v>
      </c>
      <c r="W179">
        <v>37379</v>
      </c>
      <c r="X179">
        <v>-475443</v>
      </c>
      <c r="Y179">
        <v>0</v>
      </c>
      <c r="Z179">
        <v>0</v>
      </c>
      <c r="AA179">
        <v>0</v>
      </c>
      <c r="AB179">
        <v>-475443</v>
      </c>
      <c r="AC179">
        <v>0</v>
      </c>
      <c r="AD179">
        <v>-475443</v>
      </c>
      <c r="AE179">
        <v>475443</v>
      </c>
      <c r="AF179">
        <v>0</v>
      </c>
      <c r="AG179">
        <v>475443</v>
      </c>
      <c r="AH179">
        <v>-4892844</v>
      </c>
      <c r="AI179">
        <v>0</v>
      </c>
      <c r="AJ179">
        <v>-4892844</v>
      </c>
      <c r="AK179">
        <v>0</v>
      </c>
      <c r="AL179">
        <v>0</v>
      </c>
      <c r="AM179">
        <v>0</v>
      </c>
      <c r="AN179">
        <v>1006128</v>
      </c>
      <c r="AO179">
        <v>0</v>
      </c>
      <c r="AP179">
        <v>1006128</v>
      </c>
      <c r="AQ179">
        <v>-3886716</v>
      </c>
      <c r="AR179">
        <v>0</v>
      </c>
      <c r="AS179">
        <v>-3886716</v>
      </c>
      <c r="AT179">
        <v>-2188476</v>
      </c>
      <c r="AU179">
        <v>0</v>
      </c>
      <c r="AV179">
        <v>-2188476</v>
      </c>
      <c r="AW179">
        <v>-86221</v>
      </c>
      <c r="AX179">
        <v>0</v>
      </c>
      <c r="AY179">
        <v>-86221</v>
      </c>
      <c r="AZ179">
        <v>-28679</v>
      </c>
      <c r="BA179">
        <v>0</v>
      </c>
      <c r="BB179">
        <v>-28679</v>
      </c>
      <c r="BC179">
        <v>0</v>
      </c>
      <c r="BD179">
        <v>0</v>
      </c>
      <c r="BE179">
        <v>0</v>
      </c>
      <c r="BF179">
        <v>-6190092</v>
      </c>
      <c r="BG179">
        <v>0</v>
      </c>
      <c r="BH179">
        <v>0</v>
      </c>
      <c r="BI179">
        <v>0</v>
      </c>
      <c r="BJ179">
        <v>-6190092</v>
      </c>
      <c r="BK179">
        <v>0</v>
      </c>
      <c r="BL179">
        <v>-6190092</v>
      </c>
      <c r="BM179">
        <v>0</v>
      </c>
      <c r="BN179">
        <v>0</v>
      </c>
      <c r="BO179">
        <v>0</v>
      </c>
      <c r="BP179">
        <v>-938974</v>
      </c>
      <c r="BQ179">
        <v>0</v>
      </c>
      <c r="BR179">
        <v>-938974</v>
      </c>
      <c r="BS179">
        <v>-938974</v>
      </c>
      <c r="BT179">
        <v>0</v>
      </c>
      <c r="BU179">
        <v>0</v>
      </c>
      <c r="BV179">
        <v>0</v>
      </c>
      <c r="BW179">
        <v>-938974</v>
      </c>
      <c r="BX179">
        <v>0</v>
      </c>
      <c r="BY179">
        <v>-938974</v>
      </c>
      <c r="BZ179">
        <v>-72033</v>
      </c>
      <c r="CA179">
        <v>0</v>
      </c>
      <c r="CB179">
        <v>-72033</v>
      </c>
      <c r="CC179">
        <v>-275186</v>
      </c>
      <c r="CD179">
        <v>0</v>
      </c>
      <c r="CE179">
        <v>-275186</v>
      </c>
      <c r="CF179">
        <v>0</v>
      </c>
      <c r="CG179">
        <v>0</v>
      </c>
      <c r="CH179">
        <v>0</v>
      </c>
      <c r="CI179">
        <v>0</v>
      </c>
      <c r="CJ179">
        <v>0</v>
      </c>
      <c r="CK179">
        <v>0</v>
      </c>
      <c r="CL179">
        <v>0</v>
      </c>
      <c r="CM179">
        <v>0</v>
      </c>
      <c r="CN179">
        <v>0</v>
      </c>
      <c r="CO179">
        <v>0</v>
      </c>
      <c r="CP179">
        <v>0</v>
      </c>
      <c r="CQ179">
        <v>0</v>
      </c>
      <c r="CR179">
        <v>0</v>
      </c>
      <c r="CS179">
        <v>0</v>
      </c>
      <c r="CT179">
        <v>-347219</v>
      </c>
      <c r="CU179">
        <v>0</v>
      </c>
      <c r="CV179">
        <v>0</v>
      </c>
      <c r="CW179">
        <v>0</v>
      </c>
      <c r="CX179">
        <v>-347219</v>
      </c>
      <c r="CY179">
        <v>0</v>
      </c>
      <c r="CZ179">
        <v>-347219</v>
      </c>
      <c r="DA179">
        <v>-17868</v>
      </c>
      <c r="DB179">
        <v>0</v>
      </c>
      <c r="DC179">
        <v>-17868</v>
      </c>
      <c r="DD179">
        <v>-30227</v>
      </c>
      <c r="DE179">
        <v>0</v>
      </c>
      <c r="DF179">
        <v>-30227</v>
      </c>
      <c r="DG179">
        <v>-5000</v>
      </c>
      <c r="DH179">
        <v>0</v>
      </c>
      <c r="DI179">
        <v>-5000</v>
      </c>
      <c r="DJ179">
        <v>-820856</v>
      </c>
      <c r="DK179">
        <v>0</v>
      </c>
      <c r="DL179">
        <v>-820856</v>
      </c>
      <c r="DM179">
        <v>-873951</v>
      </c>
      <c r="DN179">
        <v>0</v>
      </c>
      <c r="DO179">
        <v>0</v>
      </c>
      <c r="DP179">
        <v>0</v>
      </c>
      <c r="DQ179">
        <v>-873951</v>
      </c>
      <c r="DR179">
        <v>0</v>
      </c>
      <c r="DS179">
        <v>-873951</v>
      </c>
      <c r="DT179">
        <v>45129170</v>
      </c>
      <c r="DU179">
        <v>0</v>
      </c>
      <c r="DV179" s="661">
        <v>45129170</v>
      </c>
      <c r="DW179" t="s">
        <v>1830</v>
      </c>
    </row>
    <row r="180" spans="1:127" ht="12.75" x14ac:dyDescent="0.2">
      <c r="A180" s="605">
        <v>173</v>
      </c>
      <c r="B180" s="606" t="s">
        <v>229</v>
      </c>
      <c r="C180" s="607" t="s">
        <v>1192</v>
      </c>
      <c r="D180" s="608" t="s">
        <v>1197</v>
      </c>
      <c r="E180" s="609" t="s">
        <v>860</v>
      </c>
      <c r="G180">
        <v>357039659</v>
      </c>
      <c r="H180">
        <v>19639630</v>
      </c>
      <c r="I180">
        <v>376679289</v>
      </c>
      <c r="J180">
        <v>49.9</v>
      </c>
      <c r="K180">
        <v>178162790</v>
      </c>
      <c r="L180">
        <v>9800175</v>
      </c>
      <c r="M180">
        <v>-5135730</v>
      </c>
      <c r="N180">
        <v>0</v>
      </c>
      <c r="O180">
        <v>173027060</v>
      </c>
      <c r="P180">
        <v>9800175</v>
      </c>
      <c r="Q180">
        <v>182827235</v>
      </c>
      <c r="R180">
        <v>-629366</v>
      </c>
      <c r="S180">
        <v>-2524</v>
      </c>
      <c r="T180">
        <v>-631890</v>
      </c>
      <c r="U180">
        <v>2997091</v>
      </c>
      <c r="V180">
        <v>231984</v>
      </c>
      <c r="W180">
        <v>3229075</v>
      </c>
      <c r="X180">
        <v>2367725</v>
      </c>
      <c r="Y180">
        <v>229460</v>
      </c>
      <c r="Z180">
        <v>0</v>
      </c>
      <c r="AA180">
        <v>0</v>
      </c>
      <c r="AB180">
        <v>2367725</v>
      </c>
      <c r="AC180">
        <v>229460</v>
      </c>
      <c r="AD180">
        <v>2597185</v>
      </c>
      <c r="AE180">
        <v>-2367725</v>
      </c>
      <c r="AF180">
        <v>-229460</v>
      </c>
      <c r="AG180">
        <v>-2597185</v>
      </c>
      <c r="AH180">
        <v>-10022380</v>
      </c>
      <c r="AI180">
        <v>-57593</v>
      </c>
      <c r="AJ180">
        <v>-10079973</v>
      </c>
      <c r="AK180">
        <v>0</v>
      </c>
      <c r="AL180">
        <v>0</v>
      </c>
      <c r="AM180">
        <v>0</v>
      </c>
      <c r="AN180">
        <v>3686526</v>
      </c>
      <c r="AO180">
        <v>205810</v>
      </c>
      <c r="AP180">
        <v>3892336</v>
      </c>
      <c r="AQ180">
        <v>-6335854</v>
      </c>
      <c r="AR180">
        <v>148217</v>
      </c>
      <c r="AS180">
        <v>-6187637</v>
      </c>
      <c r="AT180">
        <v>-16075198</v>
      </c>
      <c r="AU180">
        <v>-1135183</v>
      </c>
      <c r="AV180">
        <v>-17210381</v>
      </c>
      <c r="AW180">
        <v>-147026</v>
      </c>
      <c r="AX180">
        <v>0</v>
      </c>
      <c r="AY180">
        <v>-147026</v>
      </c>
      <c r="AZ180">
        <v>-1572</v>
      </c>
      <c r="BA180">
        <v>0</v>
      </c>
      <c r="BB180">
        <v>-1572</v>
      </c>
      <c r="BC180">
        <v>0</v>
      </c>
      <c r="BD180">
        <v>0</v>
      </c>
      <c r="BE180">
        <v>0</v>
      </c>
      <c r="BF180">
        <v>-22559650</v>
      </c>
      <c r="BG180">
        <v>-986966</v>
      </c>
      <c r="BH180">
        <v>0</v>
      </c>
      <c r="BI180">
        <v>0</v>
      </c>
      <c r="BJ180">
        <v>-22559650</v>
      </c>
      <c r="BK180">
        <v>-986966</v>
      </c>
      <c r="BL180">
        <v>-23546616</v>
      </c>
      <c r="BM180">
        <v>-450000</v>
      </c>
      <c r="BN180">
        <v>0</v>
      </c>
      <c r="BO180">
        <v>-450000</v>
      </c>
      <c r="BP180">
        <v>-7172327</v>
      </c>
      <c r="BQ180">
        <v>-565072</v>
      </c>
      <c r="BR180">
        <v>-7737399</v>
      </c>
      <c r="BS180">
        <v>-7622327</v>
      </c>
      <c r="BT180">
        <v>-565072</v>
      </c>
      <c r="BU180">
        <v>0</v>
      </c>
      <c r="BV180">
        <v>0</v>
      </c>
      <c r="BW180">
        <v>-7622327</v>
      </c>
      <c r="BX180">
        <v>-565072</v>
      </c>
      <c r="BY180">
        <v>-8187399</v>
      </c>
      <c r="BZ180">
        <v>-521163</v>
      </c>
      <c r="CA180">
        <v>0</v>
      </c>
      <c r="CB180">
        <v>-521163</v>
      </c>
      <c r="CC180">
        <v>-81738</v>
      </c>
      <c r="CD180">
        <v>-479</v>
      </c>
      <c r="CE180">
        <v>-82217</v>
      </c>
      <c r="CF180">
        <v>0</v>
      </c>
      <c r="CG180">
        <v>0</v>
      </c>
      <c r="CH180">
        <v>0</v>
      </c>
      <c r="CI180">
        <v>0</v>
      </c>
      <c r="CJ180">
        <v>0</v>
      </c>
      <c r="CK180">
        <v>0</v>
      </c>
      <c r="CL180">
        <v>0</v>
      </c>
      <c r="CM180">
        <v>0</v>
      </c>
      <c r="CN180">
        <v>0</v>
      </c>
      <c r="CO180">
        <v>0</v>
      </c>
      <c r="CP180">
        <v>0</v>
      </c>
      <c r="CQ180">
        <v>0</v>
      </c>
      <c r="CR180">
        <v>0</v>
      </c>
      <c r="CS180">
        <v>0</v>
      </c>
      <c r="CT180">
        <v>-602901</v>
      </c>
      <c r="CU180">
        <v>-479</v>
      </c>
      <c r="CV180">
        <v>0</v>
      </c>
      <c r="CW180">
        <v>0</v>
      </c>
      <c r="CX180">
        <v>-602901</v>
      </c>
      <c r="CY180">
        <v>-479</v>
      </c>
      <c r="CZ180">
        <v>-603380</v>
      </c>
      <c r="DA180">
        <v>0</v>
      </c>
      <c r="DB180">
        <v>0</v>
      </c>
      <c r="DC180">
        <v>0</v>
      </c>
      <c r="DD180">
        <v>-47626</v>
      </c>
      <c r="DE180">
        <v>0</v>
      </c>
      <c r="DF180">
        <v>-47626</v>
      </c>
      <c r="DG180">
        <v>-17092</v>
      </c>
      <c r="DH180">
        <v>-1908</v>
      </c>
      <c r="DI180">
        <v>-19000</v>
      </c>
      <c r="DJ180">
        <v>-2033900</v>
      </c>
      <c r="DK180">
        <v>-51888</v>
      </c>
      <c r="DL180">
        <v>-2085788</v>
      </c>
      <c r="DM180">
        <v>-2098618</v>
      </c>
      <c r="DN180">
        <v>-53796</v>
      </c>
      <c r="DO180">
        <v>0</v>
      </c>
      <c r="DP180">
        <v>0</v>
      </c>
      <c r="DQ180">
        <v>-2098618</v>
      </c>
      <c r="DR180">
        <v>-53796</v>
      </c>
      <c r="DS180">
        <v>-2152414</v>
      </c>
      <c r="DT180">
        <v>142511289</v>
      </c>
      <c r="DU180">
        <v>8423322</v>
      </c>
      <c r="DV180" s="661">
        <v>150934611</v>
      </c>
      <c r="DW180" t="s">
        <v>1831</v>
      </c>
    </row>
    <row r="181" spans="1:127" ht="12.75" x14ac:dyDescent="0.2">
      <c r="A181" s="605">
        <v>174</v>
      </c>
      <c r="B181" s="606" t="s">
        <v>231</v>
      </c>
      <c r="C181" s="607" t="s">
        <v>1185</v>
      </c>
      <c r="D181" s="608" t="s">
        <v>1195</v>
      </c>
      <c r="E181" s="609" t="s">
        <v>230</v>
      </c>
      <c r="G181">
        <v>90939552</v>
      </c>
      <c r="H181">
        <v>0</v>
      </c>
      <c r="I181">
        <v>90939552</v>
      </c>
      <c r="J181">
        <v>49.9</v>
      </c>
      <c r="K181">
        <v>45378836</v>
      </c>
      <c r="L181">
        <v>0</v>
      </c>
      <c r="M181">
        <v>0</v>
      </c>
      <c r="N181">
        <v>0</v>
      </c>
      <c r="O181">
        <v>45378836</v>
      </c>
      <c r="P181">
        <v>0</v>
      </c>
      <c r="Q181">
        <v>45378836</v>
      </c>
      <c r="R181">
        <v>-231840</v>
      </c>
      <c r="S181">
        <v>0</v>
      </c>
      <c r="T181">
        <v>-231840</v>
      </c>
      <c r="U181">
        <v>234580</v>
      </c>
      <c r="V181">
        <v>0</v>
      </c>
      <c r="W181">
        <v>234580</v>
      </c>
      <c r="X181">
        <v>2740</v>
      </c>
      <c r="Y181">
        <v>0</v>
      </c>
      <c r="Z181">
        <v>0</v>
      </c>
      <c r="AA181">
        <v>0</v>
      </c>
      <c r="AB181">
        <v>2740</v>
      </c>
      <c r="AC181">
        <v>0</v>
      </c>
      <c r="AD181">
        <v>2740</v>
      </c>
      <c r="AE181">
        <v>-2740</v>
      </c>
      <c r="AF181">
        <v>0</v>
      </c>
      <c r="AG181">
        <v>-2740</v>
      </c>
      <c r="AH181">
        <v>-3871862</v>
      </c>
      <c r="AI181">
        <v>0</v>
      </c>
      <c r="AJ181">
        <v>-3871862</v>
      </c>
      <c r="AK181">
        <v>0</v>
      </c>
      <c r="AL181">
        <v>0</v>
      </c>
      <c r="AM181">
        <v>0</v>
      </c>
      <c r="AN181">
        <v>828827</v>
      </c>
      <c r="AO181">
        <v>0</v>
      </c>
      <c r="AP181">
        <v>828827</v>
      </c>
      <c r="AQ181">
        <v>-3043035</v>
      </c>
      <c r="AR181">
        <v>0</v>
      </c>
      <c r="AS181">
        <v>-3043035</v>
      </c>
      <c r="AT181">
        <v>-3926909</v>
      </c>
      <c r="AU181">
        <v>0</v>
      </c>
      <c r="AV181">
        <v>-3926909</v>
      </c>
      <c r="AW181">
        <v>-26917</v>
      </c>
      <c r="AX181">
        <v>0</v>
      </c>
      <c r="AY181">
        <v>-26917</v>
      </c>
      <c r="AZ181">
        <v>-23990</v>
      </c>
      <c r="BA181">
        <v>0</v>
      </c>
      <c r="BB181">
        <v>-23990</v>
      </c>
      <c r="BC181">
        <v>0</v>
      </c>
      <c r="BD181">
        <v>0</v>
      </c>
      <c r="BE181">
        <v>0</v>
      </c>
      <c r="BF181">
        <v>-7020851</v>
      </c>
      <c r="BG181">
        <v>0</v>
      </c>
      <c r="BH181">
        <v>0</v>
      </c>
      <c r="BI181">
        <v>0</v>
      </c>
      <c r="BJ181">
        <v>-7020851</v>
      </c>
      <c r="BK181">
        <v>0</v>
      </c>
      <c r="BL181">
        <v>-7020851</v>
      </c>
      <c r="BM181">
        <v>0</v>
      </c>
      <c r="BN181">
        <v>0</v>
      </c>
      <c r="BO181">
        <v>0</v>
      </c>
      <c r="BP181">
        <v>-305390</v>
      </c>
      <c r="BQ181">
        <v>0</v>
      </c>
      <c r="BR181">
        <v>-305390</v>
      </c>
      <c r="BS181">
        <v>-305390</v>
      </c>
      <c r="BT181">
        <v>0</v>
      </c>
      <c r="BU181">
        <v>0</v>
      </c>
      <c r="BV181">
        <v>0</v>
      </c>
      <c r="BW181">
        <v>-305390</v>
      </c>
      <c r="BX181">
        <v>0</v>
      </c>
      <c r="BY181">
        <v>-305390</v>
      </c>
      <c r="BZ181">
        <v>-14244</v>
      </c>
      <c r="CA181">
        <v>0</v>
      </c>
      <c r="CB181">
        <v>-14244</v>
      </c>
      <c r="CC181">
        <v>-22605</v>
      </c>
      <c r="CD181">
        <v>0</v>
      </c>
      <c r="CE181">
        <v>-22605</v>
      </c>
      <c r="CF181">
        <v>-78</v>
      </c>
      <c r="CG181">
        <v>0</v>
      </c>
      <c r="CH181">
        <v>-78</v>
      </c>
      <c r="CI181">
        <v>-27094</v>
      </c>
      <c r="CJ181">
        <v>0</v>
      </c>
      <c r="CK181">
        <v>-27094</v>
      </c>
      <c r="CL181">
        <v>0</v>
      </c>
      <c r="CM181">
        <v>0</v>
      </c>
      <c r="CN181">
        <v>0</v>
      </c>
      <c r="CO181">
        <v>0</v>
      </c>
      <c r="CP181">
        <v>0</v>
      </c>
      <c r="CQ181">
        <v>0</v>
      </c>
      <c r="CR181">
        <v>0</v>
      </c>
      <c r="CS181">
        <v>0</v>
      </c>
      <c r="CT181">
        <v>-64021</v>
      </c>
      <c r="CU181">
        <v>0</v>
      </c>
      <c r="CV181">
        <v>0</v>
      </c>
      <c r="CW181">
        <v>0</v>
      </c>
      <c r="CX181">
        <v>-64021</v>
      </c>
      <c r="CY181">
        <v>0</v>
      </c>
      <c r="CZ181">
        <v>-64021</v>
      </c>
      <c r="DA181">
        <v>-27094</v>
      </c>
      <c r="DB181">
        <v>0</v>
      </c>
      <c r="DC181">
        <v>-27094</v>
      </c>
      <c r="DD181">
        <v>-21491</v>
      </c>
      <c r="DE181">
        <v>0</v>
      </c>
      <c r="DF181">
        <v>-21491</v>
      </c>
      <c r="DG181">
        <v>-7788</v>
      </c>
      <c r="DH181">
        <v>0</v>
      </c>
      <c r="DI181">
        <v>-7788</v>
      </c>
      <c r="DJ181">
        <v>-1039303</v>
      </c>
      <c r="DK181">
        <v>0</v>
      </c>
      <c r="DL181">
        <v>-1039303</v>
      </c>
      <c r="DM181">
        <v>-1095676</v>
      </c>
      <c r="DN181">
        <v>0</v>
      </c>
      <c r="DO181">
        <v>0</v>
      </c>
      <c r="DP181">
        <v>0</v>
      </c>
      <c r="DQ181">
        <v>-1095676</v>
      </c>
      <c r="DR181">
        <v>0</v>
      </c>
      <c r="DS181">
        <v>-1095676</v>
      </c>
      <c r="DT181">
        <v>36895638</v>
      </c>
      <c r="DU181">
        <v>0</v>
      </c>
      <c r="DV181" s="661">
        <v>36895638</v>
      </c>
      <c r="DW181" t="s">
        <v>1832</v>
      </c>
    </row>
    <row r="182" spans="1:127" ht="12.75" x14ac:dyDescent="0.2">
      <c r="A182" s="605">
        <v>175</v>
      </c>
      <c r="B182" s="606" t="s">
        <v>233</v>
      </c>
      <c r="C182" s="607" t="s">
        <v>1190</v>
      </c>
      <c r="D182" s="608" t="s">
        <v>1191</v>
      </c>
      <c r="E182" s="609" t="s">
        <v>232</v>
      </c>
      <c r="G182">
        <v>389627424</v>
      </c>
      <c r="H182">
        <v>5229450</v>
      </c>
      <c r="I182">
        <v>394856874</v>
      </c>
      <c r="J182">
        <v>49.9</v>
      </c>
      <c r="K182">
        <v>194424085</v>
      </c>
      <c r="L182">
        <v>2609496</v>
      </c>
      <c r="M182">
        <v>0</v>
      </c>
      <c r="N182">
        <v>0</v>
      </c>
      <c r="O182">
        <v>194424085</v>
      </c>
      <c r="P182">
        <v>2609496</v>
      </c>
      <c r="Q182">
        <v>197033581</v>
      </c>
      <c r="R182">
        <v>-616907</v>
      </c>
      <c r="S182">
        <v>-5268</v>
      </c>
      <c r="T182">
        <v>-622175</v>
      </c>
      <c r="U182">
        <v>652200</v>
      </c>
      <c r="V182">
        <v>0</v>
      </c>
      <c r="W182">
        <v>652200</v>
      </c>
      <c r="X182">
        <v>35293</v>
      </c>
      <c r="Y182">
        <v>-5268</v>
      </c>
      <c r="Z182">
        <v>0</v>
      </c>
      <c r="AA182">
        <v>0</v>
      </c>
      <c r="AB182">
        <v>35293</v>
      </c>
      <c r="AC182">
        <v>-5268</v>
      </c>
      <c r="AD182">
        <v>30025</v>
      </c>
      <c r="AE182">
        <v>-35293</v>
      </c>
      <c r="AF182">
        <v>5268</v>
      </c>
      <c r="AG182">
        <v>-30025</v>
      </c>
      <c r="AH182">
        <v>-9666158</v>
      </c>
      <c r="AI182">
        <v>-16276</v>
      </c>
      <c r="AJ182">
        <v>-9682434</v>
      </c>
      <c r="AK182">
        <v>0</v>
      </c>
      <c r="AL182">
        <v>0</v>
      </c>
      <c r="AM182">
        <v>0</v>
      </c>
      <c r="AN182">
        <v>4186373</v>
      </c>
      <c r="AO182">
        <v>65016</v>
      </c>
      <c r="AP182">
        <v>4251389</v>
      </c>
      <c r="AQ182">
        <v>-5479785</v>
      </c>
      <c r="AR182">
        <v>48740</v>
      </c>
      <c r="AS182">
        <v>-5431045</v>
      </c>
      <c r="AT182">
        <v>-14634831</v>
      </c>
      <c r="AU182">
        <v>-114074</v>
      </c>
      <c r="AV182">
        <v>-14748905</v>
      </c>
      <c r="AW182">
        <v>0</v>
      </c>
      <c r="AX182">
        <v>0</v>
      </c>
      <c r="AY182">
        <v>0</v>
      </c>
      <c r="AZ182">
        <v>0</v>
      </c>
      <c r="BA182">
        <v>0</v>
      </c>
      <c r="BB182">
        <v>0</v>
      </c>
      <c r="BC182">
        <v>0</v>
      </c>
      <c r="BD182">
        <v>0</v>
      </c>
      <c r="BE182">
        <v>0</v>
      </c>
      <c r="BF182">
        <v>-20114616</v>
      </c>
      <c r="BG182">
        <v>-65334</v>
      </c>
      <c r="BH182">
        <v>0</v>
      </c>
      <c r="BI182">
        <v>0</v>
      </c>
      <c r="BJ182">
        <v>-20114616</v>
      </c>
      <c r="BK182">
        <v>-65334</v>
      </c>
      <c r="BL182">
        <v>-20179950</v>
      </c>
      <c r="BM182">
        <v>0</v>
      </c>
      <c r="BN182">
        <v>0</v>
      </c>
      <c r="BO182">
        <v>0</v>
      </c>
      <c r="BP182">
        <v>-3799695</v>
      </c>
      <c r="BQ182">
        <v>-101124</v>
      </c>
      <c r="BR182">
        <v>-3900819</v>
      </c>
      <c r="BS182">
        <v>-3799695</v>
      </c>
      <c r="BT182">
        <v>-101124</v>
      </c>
      <c r="BU182">
        <v>0</v>
      </c>
      <c r="BV182">
        <v>0</v>
      </c>
      <c r="BW182">
        <v>-3799695</v>
      </c>
      <c r="BX182">
        <v>-101124</v>
      </c>
      <c r="BY182">
        <v>-3900819</v>
      </c>
      <c r="BZ182">
        <v>0</v>
      </c>
      <c r="CA182">
        <v>0</v>
      </c>
      <c r="CB182">
        <v>0</v>
      </c>
      <c r="CC182">
        <v>0</v>
      </c>
      <c r="CD182">
        <v>0</v>
      </c>
      <c r="CE182">
        <v>0</v>
      </c>
      <c r="CF182">
        <v>0</v>
      </c>
      <c r="CG182">
        <v>0</v>
      </c>
      <c r="CH182">
        <v>0</v>
      </c>
      <c r="CI182">
        <v>0</v>
      </c>
      <c r="CJ182">
        <v>0</v>
      </c>
      <c r="CK182">
        <v>0</v>
      </c>
      <c r="CL182">
        <v>0</v>
      </c>
      <c r="CM182">
        <v>0</v>
      </c>
      <c r="CN182">
        <v>0</v>
      </c>
      <c r="CO182">
        <v>0</v>
      </c>
      <c r="CP182">
        <v>-331425</v>
      </c>
      <c r="CQ182">
        <v>-331425</v>
      </c>
      <c r="CR182">
        <v>-331425</v>
      </c>
      <c r="CS182">
        <v>0</v>
      </c>
      <c r="CT182">
        <v>0</v>
      </c>
      <c r="CU182">
        <v>-331425</v>
      </c>
      <c r="CV182">
        <v>0</v>
      </c>
      <c r="CW182">
        <v>0</v>
      </c>
      <c r="CX182">
        <v>0</v>
      </c>
      <c r="CY182">
        <v>-331425</v>
      </c>
      <c r="CZ182">
        <v>-331425</v>
      </c>
      <c r="DA182">
        <v>0</v>
      </c>
      <c r="DB182">
        <v>0</v>
      </c>
      <c r="DC182">
        <v>0</v>
      </c>
      <c r="DD182">
        <v>-54399</v>
      </c>
      <c r="DE182">
        <v>0</v>
      </c>
      <c r="DF182">
        <v>-54399</v>
      </c>
      <c r="DG182">
        <v>-43665</v>
      </c>
      <c r="DH182">
        <v>0</v>
      </c>
      <c r="DI182">
        <v>-43665</v>
      </c>
      <c r="DJ182">
        <v>-4789089</v>
      </c>
      <c r="DK182">
        <v>-13321</v>
      </c>
      <c r="DL182">
        <v>-4802410</v>
      </c>
      <c r="DM182">
        <v>-4887153</v>
      </c>
      <c r="DN182">
        <v>-13321</v>
      </c>
      <c r="DO182">
        <v>0</v>
      </c>
      <c r="DP182">
        <v>0</v>
      </c>
      <c r="DQ182">
        <v>-4887153</v>
      </c>
      <c r="DR182">
        <v>-13321</v>
      </c>
      <c r="DS182">
        <v>-4900474</v>
      </c>
      <c r="DT182">
        <v>165657914</v>
      </c>
      <c r="DU182">
        <v>2093024</v>
      </c>
      <c r="DV182" s="661">
        <v>167750938</v>
      </c>
      <c r="DW182" t="s">
        <v>1833</v>
      </c>
    </row>
    <row r="183" spans="1:127" ht="12.75" x14ac:dyDescent="0.2">
      <c r="A183" s="605">
        <v>176</v>
      </c>
      <c r="B183" s="606" t="s">
        <v>235</v>
      </c>
      <c r="C183" s="607" t="s">
        <v>1185</v>
      </c>
      <c r="D183" s="608" t="s">
        <v>1194</v>
      </c>
      <c r="E183" s="609" t="s">
        <v>234</v>
      </c>
      <c r="G183">
        <v>92035184</v>
      </c>
      <c r="H183">
        <v>0</v>
      </c>
      <c r="I183">
        <v>92035184</v>
      </c>
      <c r="J183">
        <v>49.9</v>
      </c>
      <c r="K183">
        <v>45925557</v>
      </c>
      <c r="L183">
        <v>0</v>
      </c>
      <c r="M183">
        <v>597032</v>
      </c>
      <c r="N183">
        <v>0</v>
      </c>
      <c r="O183">
        <v>46522589</v>
      </c>
      <c r="P183">
        <v>0</v>
      </c>
      <c r="Q183">
        <v>46522589</v>
      </c>
      <c r="R183">
        <v>-327633</v>
      </c>
      <c r="S183">
        <v>0</v>
      </c>
      <c r="T183">
        <v>-327633</v>
      </c>
      <c r="U183">
        <v>666950</v>
      </c>
      <c r="V183">
        <v>0</v>
      </c>
      <c r="W183">
        <v>666950</v>
      </c>
      <c r="X183">
        <v>339317</v>
      </c>
      <c r="Y183">
        <v>0</v>
      </c>
      <c r="Z183">
        <v>0</v>
      </c>
      <c r="AA183">
        <v>0</v>
      </c>
      <c r="AB183">
        <v>339317</v>
      </c>
      <c r="AC183">
        <v>0</v>
      </c>
      <c r="AD183">
        <v>339317</v>
      </c>
      <c r="AE183">
        <v>-339317</v>
      </c>
      <c r="AF183">
        <v>0</v>
      </c>
      <c r="AG183">
        <v>-339317</v>
      </c>
      <c r="AH183">
        <v>-8261635</v>
      </c>
      <c r="AI183">
        <v>0</v>
      </c>
      <c r="AJ183">
        <v>-8261635</v>
      </c>
      <c r="AK183">
        <v>-17127</v>
      </c>
      <c r="AL183">
        <v>0</v>
      </c>
      <c r="AM183">
        <v>-17127</v>
      </c>
      <c r="AN183">
        <v>656897</v>
      </c>
      <c r="AO183">
        <v>0</v>
      </c>
      <c r="AP183">
        <v>656897</v>
      </c>
      <c r="AQ183">
        <v>-7604738</v>
      </c>
      <c r="AR183">
        <v>0</v>
      </c>
      <c r="AS183">
        <v>-7604738</v>
      </c>
      <c r="AT183">
        <v>-3125204</v>
      </c>
      <c r="AU183">
        <v>0</v>
      </c>
      <c r="AV183">
        <v>-3125204</v>
      </c>
      <c r="AW183">
        <v>-131219</v>
      </c>
      <c r="AX183">
        <v>0</v>
      </c>
      <c r="AY183">
        <v>-131219</v>
      </c>
      <c r="AZ183">
        <v>-28226</v>
      </c>
      <c r="BA183">
        <v>0</v>
      </c>
      <c r="BB183">
        <v>-28226</v>
      </c>
      <c r="BC183">
        <v>0</v>
      </c>
      <c r="BD183">
        <v>0</v>
      </c>
      <c r="BE183">
        <v>0</v>
      </c>
      <c r="BF183">
        <v>-10889387</v>
      </c>
      <c r="BG183">
        <v>0</v>
      </c>
      <c r="BH183">
        <v>-788726</v>
      </c>
      <c r="BI183">
        <v>0</v>
      </c>
      <c r="BJ183">
        <v>-11678113</v>
      </c>
      <c r="BK183">
        <v>0</v>
      </c>
      <c r="BL183">
        <v>-11678113</v>
      </c>
      <c r="BM183">
        <v>-11000</v>
      </c>
      <c r="BN183">
        <v>0</v>
      </c>
      <c r="BO183">
        <v>-11000</v>
      </c>
      <c r="BP183">
        <v>-554471</v>
      </c>
      <c r="BQ183">
        <v>0</v>
      </c>
      <c r="BR183">
        <v>-554471</v>
      </c>
      <c r="BS183">
        <v>-565471</v>
      </c>
      <c r="BT183">
        <v>0</v>
      </c>
      <c r="BU183">
        <v>-67857</v>
      </c>
      <c r="BV183">
        <v>0</v>
      </c>
      <c r="BW183">
        <v>-633328</v>
      </c>
      <c r="BX183">
        <v>0</v>
      </c>
      <c r="BY183">
        <v>-633328</v>
      </c>
      <c r="BZ183">
        <v>-125114</v>
      </c>
      <c r="CA183">
        <v>0</v>
      </c>
      <c r="CB183">
        <v>-125114</v>
      </c>
      <c r="CC183">
        <v>-32728</v>
      </c>
      <c r="CD183">
        <v>0</v>
      </c>
      <c r="CE183">
        <v>-32728</v>
      </c>
      <c r="CF183">
        <v>-9598</v>
      </c>
      <c r="CG183">
        <v>0</v>
      </c>
      <c r="CH183">
        <v>-9598</v>
      </c>
      <c r="CI183">
        <v>0</v>
      </c>
      <c r="CJ183">
        <v>0</v>
      </c>
      <c r="CK183">
        <v>0</v>
      </c>
      <c r="CL183">
        <v>-9368</v>
      </c>
      <c r="CM183">
        <v>0</v>
      </c>
      <c r="CN183">
        <v>-9368</v>
      </c>
      <c r="CO183">
        <v>0</v>
      </c>
      <c r="CP183">
        <v>0</v>
      </c>
      <c r="CQ183">
        <v>0</v>
      </c>
      <c r="CR183">
        <v>0</v>
      </c>
      <c r="CS183">
        <v>0</v>
      </c>
      <c r="CT183">
        <v>-176808</v>
      </c>
      <c r="CU183">
        <v>0</v>
      </c>
      <c r="CV183">
        <v>0</v>
      </c>
      <c r="CW183">
        <v>0</v>
      </c>
      <c r="CX183">
        <v>-176808</v>
      </c>
      <c r="CY183">
        <v>0</v>
      </c>
      <c r="CZ183">
        <v>-176808</v>
      </c>
      <c r="DA183">
        <v>-28226</v>
      </c>
      <c r="DB183">
        <v>0</v>
      </c>
      <c r="DC183">
        <v>-28226</v>
      </c>
      <c r="DD183">
        <v>-25878</v>
      </c>
      <c r="DE183">
        <v>0</v>
      </c>
      <c r="DF183">
        <v>-25878</v>
      </c>
      <c r="DG183">
        <v>-7000</v>
      </c>
      <c r="DH183">
        <v>0</v>
      </c>
      <c r="DI183">
        <v>-7000</v>
      </c>
      <c r="DJ183">
        <v>-850064</v>
      </c>
      <c r="DK183">
        <v>0</v>
      </c>
      <c r="DL183">
        <v>-850064</v>
      </c>
      <c r="DM183">
        <v>-911168</v>
      </c>
      <c r="DN183">
        <v>0</v>
      </c>
      <c r="DO183">
        <v>0</v>
      </c>
      <c r="DP183">
        <v>0</v>
      </c>
      <c r="DQ183">
        <v>-911168</v>
      </c>
      <c r="DR183">
        <v>0</v>
      </c>
      <c r="DS183">
        <v>-911168</v>
      </c>
      <c r="DT183">
        <v>33462489</v>
      </c>
      <c r="DU183">
        <v>0</v>
      </c>
      <c r="DV183" s="661">
        <v>33462489</v>
      </c>
      <c r="DW183" t="s">
        <v>1834</v>
      </c>
    </row>
    <row r="184" spans="1:127" ht="12.75" x14ac:dyDescent="0.2">
      <c r="A184" s="605">
        <v>177</v>
      </c>
      <c r="B184" s="606" t="s">
        <v>237</v>
      </c>
      <c r="C184" s="607" t="s">
        <v>1185</v>
      </c>
      <c r="D184" s="608" t="s">
        <v>1188</v>
      </c>
      <c r="E184" s="609" t="s">
        <v>236</v>
      </c>
      <c r="G184">
        <v>47077241</v>
      </c>
      <c r="H184">
        <v>0</v>
      </c>
      <c r="I184">
        <v>47077241</v>
      </c>
      <c r="J184">
        <v>49.9</v>
      </c>
      <c r="K184">
        <v>23491543</v>
      </c>
      <c r="L184">
        <v>0</v>
      </c>
      <c r="M184">
        <v>0</v>
      </c>
      <c r="N184">
        <v>0</v>
      </c>
      <c r="O184">
        <v>23491543</v>
      </c>
      <c r="P184">
        <v>0</v>
      </c>
      <c r="Q184">
        <v>23491543</v>
      </c>
      <c r="R184">
        <v>-231317</v>
      </c>
      <c r="S184">
        <v>0</v>
      </c>
      <c r="T184">
        <v>-231317</v>
      </c>
      <c r="U184">
        <v>11001</v>
      </c>
      <c r="V184">
        <v>0</v>
      </c>
      <c r="W184">
        <v>11001</v>
      </c>
      <c r="X184">
        <v>-220316</v>
      </c>
      <c r="Y184">
        <v>0</v>
      </c>
      <c r="Z184">
        <v>0</v>
      </c>
      <c r="AA184">
        <v>0</v>
      </c>
      <c r="AB184">
        <v>-220316</v>
      </c>
      <c r="AC184">
        <v>0</v>
      </c>
      <c r="AD184">
        <v>-220316</v>
      </c>
      <c r="AE184">
        <v>220316</v>
      </c>
      <c r="AF184">
        <v>0</v>
      </c>
      <c r="AG184">
        <v>220316</v>
      </c>
      <c r="AH184">
        <v>-3207496</v>
      </c>
      <c r="AI184">
        <v>0</v>
      </c>
      <c r="AJ184">
        <v>-3207496</v>
      </c>
      <c r="AK184">
        <v>-3842</v>
      </c>
      <c r="AL184">
        <v>0</v>
      </c>
      <c r="AM184">
        <v>-3842</v>
      </c>
      <c r="AN184">
        <v>342452</v>
      </c>
      <c r="AO184">
        <v>0</v>
      </c>
      <c r="AP184">
        <v>342452</v>
      </c>
      <c r="AQ184">
        <v>-2865044</v>
      </c>
      <c r="AR184">
        <v>0</v>
      </c>
      <c r="AS184">
        <v>-2865044</v>
      </c>
      <c r="AT184">
        <v>-920764</v>
      </c>
      <c r="AU184">
        <v>0</v>
      </c>
      <c r="AV184">
        <v>-920764</v>
      </c>
      <c r="AW184">
        <v>-19272</v>
      </c>
      <c r="AX184">
        <v>0</v>
      </c>
      <c r="AY184">
        <v>-19272</v>
      </c>
      <c r="AZ184">
        <v>-1210</v>
      </c>
      <c r="BA184">
        <v>0</v>
      </c>
      <c r="BB184">
        <v>-1210</v>
      </c>
      <c r="BC184">
        <v>0</v>
      </c>
      <c r="BD184">
        <v>0</v>
      </c>
      <c r="BE184">
        <v>0</v>
      </c>
      <c r="BF184">
        <v>-3806290</v>
      </c>
      <c r="BG184">
        <v>0</v>
      </c>
      <c r="BH184">
        <v>0</v>
      </c>
      <c r="BI184">
        <v>0</v>
      </c>
      <c r="BJ184">
        <v>-3806290</v>
      </c>
      <c r="BK184">
        <v>0</v>
      </c>
      <c r="BL184">
        <v>-3806290</v>
      </c>
      <c r="BM184">
        <v>0</v>
      </c>
      <c r="BN184">
        <v>0</v>
      </c>
      <c r="BO184">
        <v>0</v>
      </c>
      <c r="BP184">
        <v>-506475</v>
      </c>
      <c r="BQ184">
        <v>0</v>
      </c>
      <c r="BR184">
        <v>-506475</v>
      </c>
      <c r="BS184">
        <v>-506475</v>
      </c>
      <c r="BT184">
        <v>0</v>
      </c>
      <c r="BU184">
        <v>0</v>
      </c>
      <c r="BV184">
        <v>0</v>
      </c>
      <c r="BW184">
        <v>-506475</v>
      </c>
      <c r="BX184">
        <v>0</v>
      </c>
      <c r="BY184">
        <v>-506475</v>
      </c>
      <c r="BZ184">
        <v>-37128</v>
      </c>
      <c r="CA184">
        <v>0</v>
      </c>
      <c r="CB184">
        <v>-37128</v>
      </c>
      <c r="CC184">
        <v>-7811</v>
      </c>
      <c r="CD184">
        <v>0</v>
      </c>
      <c r="CE184">
        <v>-7811</v>
      </c>
      <c r="CF184">
        <v>-236</v>
      </c>
      <c r="CG184">
        <v>0</v>
      </c>
      <c r="CH184">
        <v>-236</v>
      </c>
      <c r="CI184">
        <v>0</v>
      </c>
      <c r="CJ184">
        <v>0</v>
      </c>
      <c r="CK184">
        <v>0</v>
      </c>
      <c r="CL184">
        <v>0</v>
      </c>
      <c r="CM184">
        <v>0</v>
      </c>
      <c r="CN184">
        <v>0</v>
      </c>
      <c r="CO184">
        <v>0</v>
      </c>
      <c r="CP184">
        <v>0</v>
      </c>
      <c r="CQ184">
        <v>0</v>
      </c>
      <c r="CR184">
        <v>0</v>
      </c>
      <c r="CS184">
        <v>0</v>
      </c>
      <c r="CT184">
        <v>-45175</v>
      </c>
      <c r="CU184">
        <v>0</v>
      </c>
      <c r="CV184">
        <v>0</v>
      </c>
      <c r="CW184">
        <v>0</v>
      </c>
      <c r="CX184">
        <v>-45175</v>
      </c>
      <c r="CY184">
        <v>0</v>
      </c>
      <c r="CZ184">
        <v>-45175</v>
      </c>
      <c r="DA184">
        <v>-1210</v>
      </c>
      <c r="DB184">
        <v>0</v>
      </c>
      <c r="DC184">
        <v>-1210</v>
      </c>
      <c r="DD184">
        <v>-18445</v>
      </c>
      <c r="DE184">
        <v>0</v>
      </c>
      <c r="DF184">
        <v>-18445</v>
      </c>
      <c r="DG184">
        <v>-4484</v>
      </c>
      <c r="DH184">
        <v>0</v>
      </c>
      <c r="DI184">
        <v>-4484</v>
      </c>
      <c r="DJ184">
        <v>-663553</v>
      </c>
      <c r="DK184">
        <v>0</v>
      </c>
      <c r="DL184">
        <v>-663553</v>
      </c>
      <c r="DM184">
        <v>-687692</v>
      </c>
      <c r="DN184">
        <v>0</v>
      </c>
      <c r="DO184">
        <v>0</v>
      </c>
      <c r="DP184">
        <v>0</v>
      </c>
      <c r="DQ184">
        <v>-687692</v>
      </c>
      <c r="DR184">
        <v>0</v>
      </c>
      <c r="DS184">
        <v>-687692</v>
      </c>
      <c r="DT184">
        <v>18225595</v>
      </c>
      <c r="DU184">
        <v>0</v>
      </c>
      <c r="DV184" s="661">
        <v>18225595</v>
      </c>
      <c r="DW184" t="s">
        <v>1835</v>
      </c>
    </row>
    <row r="185" spans="1:127" ht="12.75" x14ac:dyDescent="0.2">
      <c r="A185" s="605">
        <v>178</v>
      </c>
      <c r="B185" s="606" t="s">
        <v>239</v>
      </c>
      <c r="C185" s="607" t="s">
        <v>524</v>
      </c>
      <c r="D185" s="608" t="s">
        <v>1193</v>
      </c>
      <c r="E185" s="609" t="s">
        <v>582</v>
      </c>
      <c r="G185">
        <v>153285332</v>
      </c>
      <c r="H185">
        <v>338250</v>
      </c>
      <c r="I185">
        <v>153623582</v>
      </c>
      <c r="J185">
        <v>49.9</v>
      </c>
      <c r="K185">
        <v>76489381</v>
      </c>
      <c r="L185">
        <v>168787</v>
      </c>
      <c r="M185">
        <v>400000</v>
      </c>
      <c r="N185">
        <v>0</v>
      </c>
      <c r="O185">
        <v>76889381</v>
      </c>
      <c r="P185">
        <v>168787</v>
      </c>
      <c r="Q185">
        <v>77058168</v>
      </c>
      <c r="R185">
        <v>-518682</v>
      </c>
      <c r="S185">
        <v>0</v>
      </c>
      <c r="T185">
        <v>-518682</v>
      </c>
      <c r="U185">
        <v>2632168</v>
      </c>
      <c r="V185">
        <v>0</v>
      </c>
      <c r="W185">
        <v>2632168</v>
      </c>
      <c r="X185">
        <v>2113486</v>
      </c>
      <c r="Y185">
        <v>0</v>
      </c>
      <c r="Z185">
        <v>0</v>
      </c>
      <c r="AA185">
        <v>0</v>
      </c>
      <c r="AB185">
        <v>2113486</v>
      </c>
      <c r="AC185">
        <v>0</v>
      </c>
      <c r="AD185">
        <v>2113486</v>
      </c>
      <c r="AE185">
        <v>-2113486</v>
      </c>
      <c r="AF185">
        <v>0</v>
      </c>
      <c r="AG185">
        <v>-2113486</v>
      </c>
      <c r="AH185">
        <v>-5483401</v>
      </c>
      <c r="AI185">
        <v>0</v>
      </c>
      <c r="AJ185">
        <v>-5483401</v>
      </c>
      <c r="AK185">
        <v>-38571</v>
      </c>
      <c r="AL185">
        <v>0</v>
      </c>
      <c r="AM185">
        <v>-38571</v>
      </c>
      <c r="AN185">
        <v>1502262</v>
      </c>
      <c r="AO185">
        <v>2203</v>
      </c>
      <c r="AP185">
        <v>1504465</v>
      </c>
      <c r="AQ185">
        <v>-3981139</v>
      </c>
      <c r="AR185">
        <v>2203</v>
      </c>
      <c r="AS185">
        <v>-3978936</v>
      </c>
      <c r="AT185">
        <v>-4442868</v>
      </c>
      <c r="AU185">
        <v>0</v>
      </c>
      <c r="AV185">
        <v>-4442868</v>
      </c>
      <c r="AW185">
        <v>-83585</v>
      </c>
      <c r="AX185">
        <v>0</v>
      </c>
      <c r="AY185">
        <v>-83585</v>
      </c>
      <c r="AZ185">
        <v>0</v>
      </c>
      <c r="BA185">
        <v>0</v>
      </c>
      <c r="BB185">
        <v>0</v>
      </c>
      <c r="BC185">
        <v>0</v>
      </c>
      <c r="BD185">
        <v>0</v>
      </c>
      <c r="BE185">
        <v>0</v>
      </c>
      <c r="BF185">
        <v>-8507592</v>
      </c>
      <c r="BG185">
        <v>2203</v>
      </c>
      <c r="BH185">
        <v>0</v>
      </c>
      <c r="BI185">
        <v>0</v>
      </c>
      <c r="BJ185">
        <v>-8507592</v>
      </c>
      <c r="BK185">
        <v>2203</v>
      </c>
      <c r="BL185">
        <v>-8505389</v>
      </c>
      <c r="BM185">
        <v>0</v>
      </c>
      <c r="BN185">
        <v>0</v>
      </c>
      <c r="BO185">
        <v>0</v>
      </c>
      <c r="BP185">
        <v>-1847284</v>
      </c>
      <c r="BQ185">
        <v>-16384</v>
      </c>
      <c r="BR185">
        <v>-1863668</v>
      </c>
      <c r="BS185">
        <v>-1847284</v>
      </c>
      <c r="BT185">
        <v>-16384</v>
      </c>
      <c r="BU185">
        <v>0</v>
      </c>
      <c r="BV185">
        <v>0</v>
      </c>
      <c r="BW185">
        <v>-1847284</v>
      </c>
      <c r="BX185">
        <v>-16384</v>
      </c>
      <c r="BY185">
        <v>-1863668</v>
      </c>
      <c r="BZ185">
        <v>-161219</v>
      </c>
      <c r="CA185">
        <v>0</v>
      </c>
      <c r="CB185">
        <v>-161219</v>
      </c>
      <c r="CC185">
        <v>-184740</v>
      </c>
      <c r="CD185">
        <v>0</v>
      </c>
      <c r="CE185">
        <v>-184740</v>
      </c>
      <c r="CF185">
        <v>-10926</v>
      </c>
      <c r="CG185">
        <v>0</v>
      </c>
      <c r="CH185">
        <v>-10926</v>
      </c>
      <c r="CI185">
        <v>0</v>
      </c>
      <c r="CJ185">
        <v>0</v>
      </c>
      <c r="CK185">
        <v>0</v>
      </c>
      <c r="CL185">
        <v>0</v>
      </c>
      <c r="CM185">
        <v>0</v>
      </c>
      <c r="CN185">
        <v>0</v>
      </c>
      <c r="CO185">
        <v>-55821</v>
      </c>
      <c r="CP185">
        <v>-103310</v>
      </c>
      <c r="CQ185">
        <v>-159131</v>
      </c>
      <c r="CR185">
        <v>-103310</v>
      </c>
      <c r="CS185">
        <v>0</v>
      </c>
      <c r="CT185">
        <v>-412706</v>
      </c>
      <c r="CU185">
        <v>-103310</v>
      </c>
      <c r="CV185">
        <v>0</v>
      </c>
      <c r="CW185">
        <v>0</v>
      </c>
      <c r="CX185">
        <v>-412706</v>
      </c>
      <c r="CY185">
        <v>-103310</v>
      </c>
      <c r="CZ185">
        <v>-516016</v>
      </c>
      <c r="DA185">
        <v>0</v>
      </c>
      <c r="DB185">
        <v>0</v>
      </c>
      <c r="DC185">
        <v>0</v>
      </c>
      <c r="DD185">
        <v>-17336</v>
      </c>
      <c r="DE185">
        <v>0</v>
      </c>
      <c r="DF185">
        <v>-17336</v>
      </c>
      <c r="DG185">
        <v>-7979</v>
      </c>
      <c r="DH185">
        <v>0</v>
      </c>
      <c r="DI185">
        <v>-7979</v>
      </c>
      <c r="DJ185">
        <v>-732037</v>
      </c>
      <c r="DK185">
        <v>0</v>
      </c>
      <c r="DL185">
        <v>-732037</v>
      </c>
      <c r="DM185">
        <v>-757352</v>
      </c>
      <c r="DN185">
        <v>0</v>
      </c>
      <c r="DO185">
        <v>0</v>
      </c>
      <c r="DP185">
        <v>0</v>
      </c>
      <c r="DQ185">
        <v>-757352</v>
      </c>
      <c r="DR185">
        <v>0</v>
      </c>
      <c r="DS185">
        <v>-757352</v>
      </c>
      <c r="DT185">
        <v>67477933</v>
      </c>
      <c r="DU185">
        <v>51296</v>
      </c>
      <c r="DV185" s="661">
        <v>67529229</v>
      </c>
      <c r="DW185" t="s">
        <v>1836</v>
      </c>
    </row>
    <row r="186" spans="1:127" ht="12.75" x14ac:dyDescent="0.2">
      <c r="A186" s="605">
        <v>179</v>
      </c>
      <c r="B186" s="606" t="s">
        <v>241</v>
      </c>
      <c r="C186" s="607" t="s">
        <v>1185</v>
      </c>
      <c r="D186" s="608" t="s">
        <v>1189</v>
      </c>
      <c r="E186" s="609" t="s">
        <v>240</v>
      </c>
      <c r="G186">
        <v>102891408</v>
      </c>
      <c r="H186">
        <v>0</v>
      </c>
      <c r="I186">
        <v>102891408</v>
      </c>
      <c r="J186">
        <v>49.9</v>
      </c>
      <c r="K186">
        <v>51342813</v>
      </c>
      <c r="L186">
        <v>0</v>
      </c>
      <c r="M186">
        <v>-100000</v>
      </c>
      <c r="N186">
        <v>0</v>
      </c>
      <c r="O186">
        <v>51242813</v>
      </c>
      <c r="P186">
        <v>0</v>
      </c>
      <c r="Q186">
        <v>51242813</v>
      </c>
      <c r="R186">
        <v>-275376</v>
      </c>
      <c r="S186">
        <v>0</v>
      </c>
      <c r="T186">
        <v>-275376</v>
      </c>
      <c r="U186">
        <v>87075</v>
      </c>
      <c r="V186">
        <v>0</v>
      </c>
      <c r="W186">
        <v>87075</v>
      </c>
      <c r="X186">
        <v>-188301</v>
      </c>
      <c r="Y186">
        <v>0</v>
      </c>
      <c r="Z186">
        <v>0</v>
      </c>
      <c r="AA186">
        <v>0</v>
      </c>
      <c r="AB186">
        <v>-188301</v>
      </c>
      <c r="AC186">
        <v>0</v>
      </c>
      <c r="AD186">
        <v>-188301</v>
      </c>
      <c r="AE186">
        <v>188301</v>
      </c>
      <c r="AF186">
        <v>0</v>
      </c>
      <c r="AG186">
        <v>188301</v>
      </c>
      <c r="AH186">
        <v>-4952494</v>
      </c>
      <c r="AI186">
        <v>0</v>
      </c>
      <c r="AJ186">
        <v>-4952494</v>
      </c>
      <c r="AK186">
        <v>0</v>
      </c>
      <c r="AL186">
        <v>0</v>
      </c>
      <c r="AM186">
        <v>0</v>
      </c>
      <c r="AN186">
        <v>772784</v>
      </c>
      <c r="AO186">
        <v>0</v>
      </c>
      <c r="AP186">
        <v>772784</v>
      </c>
      <c r="AQ186">
        <v>-4179710</v>
      </c>
      <c r="AR186">
        <v>0</v>
      </c>
      <c r="AS186">
        <v>-4179710</v>
      </c>
      <c r="AT186">
        <v>-3446568</v>
      </c>
      <c r="AU186">
        <v>0</v>
      </c>
      <c r="AV186">
        <v>-3446568</v>
      </c>
      <c r="AW186">
        <v>-50758</v>
      </c>
      <c r="AX186">
        <v>0</v>
      </c>
      <c r="AY186">
        <v>-50758</v>
      </c>
      <c r="AZ186">
        <v>-15269</v>
      </c>
      <c r="BA186">
        <v>0</v>
      </c>
      <c r="BB186">
        <v>-15269</v>
      </c>
      <c r="BC186">
        <v>0</v>
      </c>
      <c r="BD186">
        <v>0</v>
      </c>
      <c r="BE186">
        <v>0</v>
      </c>
      <c r="BF186">
        <v>-7692305</v>
      </c>
      <c r="BG186">
        <v>0</v>
      </c>
      <c r="BH186">
        <v>0</v>
      </c>
      <c r="BI186">
        <v>0</v>
      </c>
      <c r="BJ186">
        <v>-7692305</v>
      </c>
      <c r="BK186">
        <v>0</v>
      </c>
      <c r="BL186">
        <v>-7692305</v>
      </c>
      <c r="BM186">
        <v>-20000</v>
      </c>
      <c r="BN186">
        <v>0</v>
      </c>
      <c r="BO186">
        <v>-20000</v>
      </c>
      <c r="BP186">
        <v>-938996</v>
      </c>
      <c r="BQ186">
        <v>0</v>
      </c>
      <c r="BR186">
        <v>-938996</v>
      </c>
      <c r="BS186">
        <v>-958996</v>
      </c>
      <c r="BT186">
        <v>0</v>
      </c>
      <c r="BU186">
        <v>0</v>
      </c>
      <c r="BV186">
        <v>0</v>
      </c>
      <c r="BW186">
        <v>-958996</v>
      </c>
      <c r="BX186">
        <v>0</v>
      </c>
      <c r="BY186">
        <v>-958996</v>
      </c>
      <c r="BZ186">
        <v>-189501</v>
      </c>
      <c r="CA186">
        <v>0</v>
      </c>
      <c r="CB186">
        <v>-189501</v>
      </c>
      <c r="CC186">
        <v>-108264</v>
      </c>
      <c r="CD186">
        <v>0</v>
      </c>
      <c r="CE186">
        <v>-108264</v>
      </c>
      <c r="CF186">
        <v>-11098</v>
      </c>
      <c r="CG186">
        <v>0</v>
      </c>
      <c r="CH186">
        <v>-11098</v>
      </c>
      <c r="CI186">
        <v>0</v>
      </c>
      <c r="CJ186">
        <v>0</v>
      </c>
      <c r="CK186">
        <v>0</v>
      </c>
      <c r="CL186">
        <v>0</v>
      </c>
      <c r="CM186">
        <v>0</v>
      </c>
      <c r="CN186">
        <v>0</v>
      </c>
      <c r="CO186">
        <v>0</v>
      </c>
      <c r="CP186">
        <v>0</v>
      </c>
      <c r="CQ186">
        <v>0</v>
      </c>
      <c r="CR186">
        <v>0</v>
      </c>
      <c r="CS186">
        <v>0</v>
      </c>
      <c r="CT186">
        <v>-308863</v>
      </c>
      <c r="CU186">
        <v>0</v>
      </c>
      <c r="CV186">
        <v>0</v>
      </c>
      <c r="CW186">
        <v>0</v>
      </c>
      <c r="CX186">
        <v>-308863</v>
      </c>
      <c r="CY186">
        <v>0</v>
      </c>
      <c r="CZ186">
        <v>-308863</v>
      </c>
      <c r="DA186">
        <v>-1217</v>
      </c>
      <c r="DB186">
        <v>0</v>
      </c>
      <c r="DC186">
        <v>-1217</v>
      </c>
      <c r="DD186">
        <v>-10869</v>
      </c>
      <c r="DE186">
        <v>0</v>
      </c>
      <c r="DF186">
        <v>-10869</v>
      </c>
      <c r="DG186">
        <v>-9000</v>
      </c>
      <c r="DH186">
        <v>0</v>
      </c>
      <c r="DI186">
        <v>-9000</v>
      </c>
      <c r="DJ186">
        <v>-1260000</v>
      </c>
      <c r="DK186">
        <v>0</v>
      </c>
      <c r="DL186">
        <v>-1260000</v>
      </c>
      <c r="DM186">
        <v>-1281086</v>
      </c>
      <c r="DN186">
        <v>0</v>
      </c>
      <c r="DO186">
        <v>0</v>
      </c>
      <c r="DP186">
        <v>0</v>
      </c>
      <c r="DQ186">
        <v>-1281086</v>
      </c>
      <c r="DR186">
        <v>0</v>
      </c>
      <c r="DS186">
        <v>-1281086</v>
      </c>
      <c r="DT186">
        <v>40813262</v>
      </c>
      <c r="DU186">
        <v>0</v>
      </c>
      <c r="DV186" s="661">
        <v>40813262</v>
      </c>
      <c r="DW186" t="s">
        <v>1837</v>
      </c>
    </row>
    <row r="187" spans="1:127" ht="12.75" x14ac:dyDescent="0.2">
      <c r="A187" s="605">
        <v>180</v>
      </c>
      <c r="B187" s="606" t="s">
        <v>243</v>
      </c>
      <c r="C187" s="607" t="s">
        <v>1185</v>
      </c>
      <c r="D187" s="608" t="s">
        <v>1188</v>
      </c>
      <c r="E187" s="609" t="s">
        <v>242</v>
      </c>
      <c r="G187">
        <v>73445882</v>
      </c>
      <c r="H187">
        <v>0</v>
      </c>
      <c r="I187">
        <v>73445882</v>
      </c>
      <c r="J187">
        <v>49.9</v>
      </c>
      <c r="K187">
        <v>36649495</v>
      </c>
      <c r="L187">
        <v>0</v>
      </c>
      <c r="M187">
        <v>283116</v>
      </c>
      <c r="N187">
        <v>0</v>
      </c>
      <c r="O187">
        <v>36932611</v>
      </c>
      <c r="P187">
        <v>0</v>
      </c>
      <c r="Q187">
        <v>36932611</v>
      </c>
      <c r="R187">
        <v>-374058</v>
      </c>
      <c r="S187">
        <v>0</v>
      </c>
      <c r="T187">
        <v>-374058</v>
      </c>
      <c r="U187">
        <v>30977</v>
      </c>
      <c r="V187">
        <v>0</v>
      </c>
      <c r="W187">
        <v>30977</v>
      </c>
      <c r="X187">
        <v>-343081</v>
      </c>
      <c r="Y187">
        <v>0</v>
      </c>
      <c r="Z187">
        <v>-7605</v>
      </c>
      <c r="AA187">
        <v>0</v>
      </c>
      <c r="AB187">
        <v>-350686</v>
      </c>
      <c r="AC187">
        <v>0</v>
      </c>
      <c r="AD187">
        <v>-350686</v>
      </c>
      <c r="AE187">
        <v>350686</v>
      </c>
      <c r="AF187">
        <v>0</v>
      </c>
      <c r="AG187">
        <v>350686</v>
      </c>
      <c r="AH187">
        <v>-3725682</v>
      </c>
      <c r="AI187">
        <v>0</v>
      </c>
      <c r="AJ187">
        <v>-3725682</v>
      </c>
      <c r="AK187">
        <v>-14571</v>
      </c>
      <c r="AL187">
        <v>0</v>
      </c>
      <c r="AM187">
        <v>-14571</v>
      </c>
      <c r="AN187">
        <v>632376</v>
      </c>
      <c r="AO187">
        <v>0</v>
      </c>
      <c r="AP187">
        <v>632376</v>
      </c>
      <c r="AQ187">
        <v>-3093306</v>
      </c>
      <c r="AR187">
        <v>0</v>
      </c>
      <c r="AS187">
        <v>-3093306</v>
      </c>
      <c r="AT187">
        <v>-2195450</v>
      </c>
      <c r="AU187">
        <v>0</v>
      </c>
      <c r="AV187">
        <v>-2195450</v>
      </c>
      <c r="AW187">
        <v>-34767</v>
      </c>
      <c r="AX187">
        <v>0</v>
      </c>
      <c r="AY187">
        <v>-34767</v>
      </c>
      <c r="AZ187">
        <v>-22040</v>
      </c>
      <c r="BA187">
        <v>0</v>
      </c>
      <c r="BB187">
        <v>-22040</v>
      </c>
      <c r="BC187">
        <v>0</v>
      </c>
      <c r="BD187">
        <v>0</v>
      </c>
      <c r="BE187">
        <v>0</v>
      </c>
      <c r="BF187">
        <v>-5345563</v>
      </c>
      <c r="BG187">
        <v>0</v>
      </c>
      <c r="BH187">
        <v>79917</v>
      </c>
      <c r="BI187">
        <v>0</v>
      </c>
      <c r="BJ187">
        <v>-5265646</v>
      </c>
      <c r="BK187">
        <v>0</v>
      </c>
      <c r="BL187">
        <v>-5265646</v>
      </c>
      <c r="BM187">
        <v>0</v>
      </c>
      <c r="BN187">
        <v>0</v>
      </c>
      <c r="BO187">
        <v>0</v>
      </c>
      <c r="BP187">
        <v>-596428</v>
      </c>
      <c r="BQ187">
        <v>0</v>
      </c>
      <c r="BR187">
        <v>-596428</v>
      </c>
      <c r="BS187">
        <v>-596428</v>
      </c>
      <c r="BT187">
        <v>0</v>
      </c>
      <c r="BU187">
        <v>-298314</v>
      </c>
      <c r="BV187">
        <v>0</v>
      </c>
      <c r="BW187">
        <v>-894742</v>
      </c>
      <c r="BX187">
        <v>0</v>
      </c>
      <c r="BY187">
        <v>-894742</v>
      </c>
      <c r="BZ187">
        <v>-127672</v>
      </c>
      <c r="CA187">
        <v>0</v>
      </c>
      <c r="CB187">
        <v>-127672</v>
      </c>
      <c r="CC187">
        <v>-16941</v>
      </c>
      <c r="CD187">
        <v>0</v>
      </c>
      <c r="CE187">
        <v>-16941</v>
      </c>
      <c r="CF187">
        <v>-100</v>
      </c>
      <c r="CG187">
        <v>0</v>
      </c>
      <c r="CH187">
        <v>-100</v>
      </c>
      <c r="CI187">
        <v>0</v>
      </c>
      <c r="CJ187">
        <v>0</v>
      </c>
      <c r="CK187">
        <v>0</v>
      </c>
      <c r="CL187">
        <v>-22040</v>
      </c>
      <c r="CM187">
        <v>0</v>
      </c>
      <c r="CN187">
        <v>-22040</v>
      </c>
      <c r="CO187">
        <v>-92591</v>
      </c>
      <c r="CP187">
        <v>0</v>
      </c>
      <c r="CQ187">
        <v>-92591</v>
      </c>
      <c r="CR187">
        <v>0</v>
      </c>
      <c r="CS187">
        <v>0</v>
      </c>
      <c r="CT187">
        <v>-259344</v>
      </c>
      <c r="CU187">
        <v>0</v>
      </c>
      <c r="CV187">
        <v>0</v>
      </c>
      <c r="CW187">
        <v>0</v>
      </c>
      <c r="CX187">
        <v>-259344</v>
      </c>
      <c r="CY187">
        <v>0</v>
      </c>
      <c r="CZ187">
        <v>-259344</v>
      </c>
      <c r="DA187">
        <v>-22040</v>
      </c>
      <c r="DB187">
        <v>0</v>
      </c>
      <c r="DC187">
        <v>-22040</v>
      </c>
      <c r="DD187">
        <v>-21016</v>
      </c>
      <c r="DE187">
        <v>0</v>
      </c>
      <c r="DF187">
        <v>-21016</v>
      </c>
      <c r="DG187">
        <v>-5000</v>
      </c>
      <c r="DH187">
        <v>0</v>
      </c>
      <c r="DI187">
        <v>-5000</v>
      </c>
      <c r="DJ187">
        <v>-333769</v>
      </c>
      <c r="DK187">
        <v>0</v>
      </c>
      <c r="DL187">
        <v>-333769</v>
      </c>
      <c r="DM187">
        <v>-381825</v>
      </c>
      <c r="DN187">
        <v>0</v>
      </c>
      <c r="DO187">
        <v>0</v>
      </c>
      <c r="DP187">
        <v>0</v>
      </c>
      <c r="DQ187">
        <v>-381825</v>
      </c>
      <c r="DR187">
        <v>0</v>
      </c>
      <c r="DS187">
        <v>-381825</v>
      </c>
      <c r="DT187">
        <v>29780368</v>
      </c>
      <c r="DU187">
        <v>0</v>
      </c>
      <c r="DV187" s="661">
        <v>29780368</v>
      </c>
      <c r="DW187" t="s">
        <v>1838</v>
      </c>
    </row>
    <row r="188" spans="1:127" ht="12.75" x14ac:dyDescent="0.2">
      <c r="A188" s="605">
        <v>181</v>
      </c>
      <c r="B188" s="606" t="s">
        <v>245</v>
      </c>
      <c r="C188" s="607" t="s">
        <v>524</v>
      </c>
      <c r="D188" s="608" t="s">
        <v>1193</v>
      </c>
      <c r="E188" s="609" t="s">
        <v>583</v>
      </c>
      <c r="G188">
        <v>187928324</v>
      </c>
      <c r="H188">
        <v>6991700</v>
      </c>
      <c r="I188">
        <v>194920024</v>
      </c>
      <c r="J188">
        <v>49.9</v>
      </c>
      <c r="K188">
        <v>93776234</v>
      </c>
      <c r="L188">
        <v>3488858</v>
      </c>
      <c r="M188">
        <v>501495</v>
      </c>
      <c r="N188">
        <v>-61527</v>
      </c>
      <c r="O188">
        <v>94277729</v>
      </c>
      <c r="P188">
        <v>3427331</v>
      </c>
      <c r="Q188">
        <v>97705060</v>
      </c>
      <c r="R188">
        <v>-294841</v>
      </c>
      <c r="S188">
        <v>-63</v>
      </c>
      <c r="T188">
        <v>-294904</v>
      </c>
      <c r="U188">
        <v>2720996</v>
      </c>
      <c r="V188">
        <v>0</v>
      </c>
      <c r="W188">
        <v>2720996</v>
      </c>
      <c r="X188">
        <v>2426155</v>
      </c>
      <c r="Y188">
        <v>-63</v>
      </c>
      <c r="Z188">
        <v>0</v>
      </c>
      <c r="AA188">
        <v>0</v>
      </c>
      <c r="AB188">
        <v>2426155</v>
      </c>
      <c r="AC188">
        <v>-63</v>
      </c>
      <c r="AD188">
        <v>2426092</v>
      </c>
      <c r="AE188">
        <v>-2426155</v>
      </c>
      <c r="AF188">
        <v>63</v>
      </c>
      <c r="AG188">
        <v>-2426092</v>
      </c>
      <c r="AH188">
        <v>-6140907</v>
      </c>
      <c r="AI188">
        <v>-9556</v>
      </c>
      <c r="AJ188">
        <v>-6150463</v>
      </c>
      <c r="AK188">
        <v>-22394</v>
      </c>
      <c r="AL188">
        <v>0</v>
      </c>
      <c r="AM188">
        <v>-22394</v>
      </c>
      <c r="AN188">
        <v>1913974</v>
      </c>
      <c r="AO188">
        <v>84754</v>
      </c>
      <c r="AP188">
        <v>1998728</v>
      </c>
      <c r="AQ188">
        <v>-4226933</v>
      </c>
      <c r="AR188">
        <v>75198</v>
      </c>
      <c r="AS188">
        <v>-4151735</v>
      </c>
      <c r="AT188">
        <v>-2686996</v>
      </c>
      <c r="AU188">
        <v>0</v>
      </c>
      <c r="AV188">
        <v>-2686996</v>
      </c>
      <c r="AW188">
        <v>-48876</v>
      </c>
      <c r="AX188">
        <v>0</v>
      </c>
      <c r="AY188">
        <v>-48876</v>
      </c>
      <c r="AZ188">
        <v>-11097</v>
      </c>
      <c r="BA188">
        <v>0</v>
      </c>
      <c r="BB188">
        <v>-11097</v>
      </c>
      <c r="BC188">
        <v>0</v>
      </c>
      <c r="BD188">
        <v>0</v>
      </c>
      <c r="BE188">
        <v>0</v>
      </c>
      <c r="BF188">
        <v>-6973902</v>
      </c>
      <c r="BG188">
        <v>75198</v>
      </c>
      <c r="BH188">
        <v>0</v>
      </c>
      <c r="BI188">
        <v>-1603</v>
      </c>
      <c r="BJ188">
        <v>-6973902</v>
      </c>
      <c r="BK188">
        <v>73595</v>
      </c>
      <c r="BL188">
        <v>-6900307</v>
      </c>
      <c r="BM188">
        <v>0</v>
      </c>
      <c r="BN188">
        <v>0</v>
      </c>
      <c r="BO188">
        <v>0</v>
      </c>
      <c r="BP188">
        <v>-1631448</v>
      </c>
      <c r="BQ188">
        <v>-437760</v>
      </c>
      <c r="BR188">
        <v>-2069208</v>
      </c>
      <c r="BS188">
        <v>-1631448</v>
      </c>
      <c r="BT188">
        <v>-437760</v>
      </c>
      <c r="BU188">
        <v>-861944</v>
      </c>
      <c r="BV188">
        <v>0</v>
      </c>
      <c r="BW188">
        <v>-2493392</v>
      </c>
      <c r="BX188">
        <v>-437760</v>
      </c>
      <c r="BY188">
        <v>-2931152</v>
      </c>
      <c r="BZ188">
        <v>-99850</v>
      </c>
      <c r="CA188">
        <v>0</v>
      </c>
      <c r="CB188">
        <v>-99850</v>
      </c>
      <c r="CC188">
        <v>-104926</v>
      </c>
      <c r="CD188">
        <v>0</v>
      </c>
      <c r="CE188">
        <v>-104926</v>
      </c>
      <c r="CF188">
        <v>-7229</v>
      </c>
      <c r="CG188">
        <v>0</v>
      </c>
      <c r="CH188">
        <v>-7229</v>
      </c>
      <c r="CI188">
        <v>0</v>
      </c>
      <c r="CJ188">
        <v>0</v>
      </c>
      <c r="CK188">
        <v>0</v>
      </c>
      <c r="CL188">
        <v>0</v>
      </c>
      <c r="CM188">
        <v>0</v>
      </c>
      <c r="CN188">
        <v>0</v>
      </c>
      <c r="CO188">
        <v>0</v>
      </c>
      <c r="CP188">
        <v>-85950</v>
      </c>
      <c r="CQ188">
        <v>-85950</v>
      </c>
      <c r="CR188">
        <v>-85950</v>
      </c>
      <c r="CS188">
        <v>0</v>
      </c>
      <c r="CT188">
        <v>-212005</v>
      </c>
      <c r="CU188">
        <v>-85950</v>
      </c>
      <c r="CV188">
        <v>0</v>
      </c>
      <c r="CW188">
        <v>0</v>
      </c>
      <c r="CX188">
        <v>-212005</v>
      </c>
      <c r="CY188">
        <v>-85950</v>
      </c>
      <c r="CZ188">
        <v>-297955</v>
      </c>
      <c r="DA188">
        <v>-11098</v>
      </c>
      <c r="DB188">
        <v>0</v>
      </c>
      <c r="DC188">
        <v>-11098</v>
      </c>
      <c r="DD188">
        <v>-37471</v>
      </c>
      <c r="DE188">
        <v>0</v>
      </c>
      <c r="DF188">
        <v>-37471</v>
      </c>
      <c r="DG188">
        <v>-8000</v>
      </c>
      <c r="DH188">
        <v>0</v>
      </c>
      <c r="DI188">
        <v>-8000</v>
      </c>
      <c r="DJ188">
        <v>-713344</v>
      </c>
      <c r="DK188">
        <v>0</v>
      </c>
      <c r="DL188">
        <v>-713344</v>
      </c>
      <c r="DM188">
        <v>-769913</v>
      </c>
      <c r="DN188">
        <v>0</v>
      </c>
      <c r="DO188">
        <v>0</v>
      </c>
      <c r="DP188">
        <v>0</v>
      </c>
      <c r="DQ188">
        <v>-769913</v>
      </c>
      <c r="DR188">
        <v>0</v>
      </c>
      <c r="DS188">
        <v>-769913</v>
      </c>
      <c r="DT188">
        <v>86254672</v>
      </c>
      <c r="DU188">
        <v>2977153</v>
      </c>
      <c r="DV188" s="661">
        <v>89231825</v>
      </c>
      <c r="DW188" t="s">
        <v>1839</v>
      </c>
    </row>
    <row r="189" spans="1:127" ht="12.75" x14ac:dyDescent="0.2">
      <c r="A189" s="605">
        <v>182</v>
      </c>
      <c r="B189" s="606" t="s">
        <v>247</v>
      </c>
      <c r="C189" s="607" t="s">
        <v>1185</v>
      </c>
      <c r="D189" s="608" t="s">
        <v>1189</v>
      </c>
      <c r="E189" s="609" t="s">
        <v>246</v>
      </c>
      <c r="G189">
        <v>82125239</v>
      </c>
      <c r="H189">
        <v>738355</v>
      </c>
      <c r="I189">
        <v>82863594</v>
      </c>
      <c r="J189">
        <v>49.9</v>
      </c>
      <c r="K189">
        <v>40980494</v>
      </c>
      <c r="L189">
        <v>368439</v>
      </c>
      <c r="M189">
        <v>-760078</v>
      </c>
      <c r="N189">
        <v>0</v>
      </c>
      <c r="O189">
        <v>40220416</v>
      </c>
      <c r="P189">
        <v>368439</v>
      </c>
      <c r="Q189">
        <v>40588855</v>
      </c>
      <c r="R189">
        <v>-722411</v>
      </c>
      <c r="S189">
        <v>0</v>
      </c>
      <c r="T189">
        <v>-722411</v>
      </c>
      <c r="U189">
        <v>26532</v>
      </c>
      <c r="V189">
        <v>0</v>
      </c>
      <c r="W189">
        <v>26532</v>
      </c>
      <c r="X189">
        <v>-695879</v>
      </c>
      <c r="Y189">
        <v>0</v>
      </c>
      <c r="Z189">
        <v>0</v>
      </c>
      <c r="AA189">
        <v>0</v>
      </c>
      <c r="AB189">
        <v>-695879</v>
      </c>
      <c r="AC189">
        <v>0</v>
      </c>
      <c r="AD189">
        <v>-695879</v>
      </c>
      <c r="AE189">
        <v>695879</v>
      </c>
      <c r="AF189">
        <v>0</v>
      </c>
      <c r="AG189">
        <v>695879</v>
      </c>
      <c r="AH189">
        <v>-8129337</v>
      </c>
      <c r="AI189">
        <v>-58296</v>
      </c>
      <c r="AJ189">
        <v>-8187633</v>
      </c>
      <c r="AK189">
        <v>0</v>
      </c>
      <c r="AL189">
        <v>0</v>
      </c>
      <c r="AM189">
        <v>0</v>
      </c>
      <c r="AN189">
        <v>546579</v>
      </c>
      <c r="AO189">
        <v>5223</v>
      </c>
      <c r="AP189">
        <v>551802</v>
      </c>
      <c r="AQ189">
        <v>-7582758</v>
      </c>
      <c r="AR189">
        <v>-53073</v>
      </c>
      <c r="AS189">
        <v>-7635831</v>
      </c>
      <c r="AT189">
        <v>-2571791</v>
      </c>
      <c r="AU189">
        <v>0</v>
      </c>
      <c r="AV189">
        <v>-2571791</v>
      </c>
      <c r="AW189">
        <v>-41116</v>
      </c>
      <c r="AX189">
        <v>0</v>
      </c>
      <c r="AY189">
        <v>-41116</v>
      </c>
      <c r="AZ189">
        <v>-80951</v>
      </c>
      <c r="BA189">
        <v>0</v>
      </c>
      <c r="BB189">
        <v>-80951</v>
      </c>
      <c r="BC189">
        <v>0</v>
      </c>
      <c r="BD189">
        <v>0</v>
      </c>
      <c r="BE189">
        <v>0</v>
      </c>
      <c r="BF189">
        <v>-10276616</v>
      </c>
      <c r="BG189">
        <v>-53073</v>
      </c>
      <c r="BH189">
        <v>0</v>
      </c>
      <c r="BI189">
        <v>0</v>
      </c>
      <c r="BJ189">
        <v>-10276616</v>
      </c>
      <c r="BK189">
        <v>-53073</v>
      </c>
      <c r="BL189">
        <v>-10329689</v>
      </c>
      <c r="BM189">
        <v>0</v>
      </c>
      <c r="BN189">
        <v>0</v>
      </c>
      <c r="BO189">
        <v>0</v>
      </c>
      <c r="BP189">
        <v>-337046</v>
      </c>
      <c r="BQ189">
        <v>-778</v>
      </c>
      <c r="BR189">
        <v>-337824</v>
      </c>
      <c r="BS189">
        <v>-337046</v>
      </c>
      <c r="BT189">
        <v>-778</v>
      </c>
      <c r="BU189">
        <v>11797</v>
      </c>
      <c r="BV189">
        <v>0</v>
      </c>
      <c r="BW189">
        <v>-325249</v>
      </c>
      <c r="BX189">
        <v>-778</v>
      </c>
      <c r="BY189">
        <v>-326027</v>
      </c>
      <c r="BZ189">
        <v>-11934</v>
      </c>
      <c r="CA189">
        <v>0</v>
      </c>
      <c r="CB189">
        <v>-11934</v>
      </c>
      <c r="CC189">
        <v>-5190</v>
      </c>
      <c r="CD189">
        <v>0</v>
      </c>
      <c r="CE189">
        <v>-5190</v>
      </c>
      <c r="CF189">
        <v>0</v>
      </c>
      <c r="CG189">
        <v>0</v>
      </c>
      <c r="CH189">
        <v>0</v>
      </c>
      <c r="CI189">
        <v>0</v>
      </c>
      <c r="CJ189">
        <v>0</v>
      </c>
      <c r="CK189">
        <v>0</v>
      </c>
      <c r="CL189">
        <v>0</v>
      </c>
      <c r="CM189">
        <v>0</v>
      </c>
      <c r="CN189">
        <v>0</v>
      </c>
      <c r="CO189">
        <v>0</v>
      </c>
      <c r="CP189">
        <v>-314588</v>
      </c>
      <c r="CQ189">
        <v>-314588</v>
      </c>
      <c r="CR189">
        <v>-314588</v>
      </c>
      <c r="CS189">
        <v>0</v>
      </c>
      <c r="CT189">
        <v>-17124</v>
      </c>
      <c r="CU189">
        <v>-314588</v>
      </c>
      <c r="CV189">
        <v>0</v>
      </c>
      <c r="CW189">
        <v>0</v>
      </c>
      <c r="CX189">
        <v>-17124</v>
      </c>
      <c r="CY189">
        <v>-314588</v>
      </c>
      <c r="CZ189">
        <v>-331712</v>
      </c>
      <c r="DA189">
        <v>-81885</v>
      </c>
      <c r="DB189">
        <v>0</v>
      </c>
      <c r="DC189">
        <v>-81885</v>
      </c>
      <c r="DD189">
        <v>-75747</v>
      </c>
      <c r="DE189">
        <v>0</v>
      </c>
      <c r="DF189">
        <v>-75747</v>
      </c>
      <c r="DG189">
        <v>-15070</v>
      </c>
      <c r="DH189">
        <v>0</v>
      </c>
      <c r="DI189">
        <v>-15070</v>
      </c>
      <c r="DJ189">
        <v>-1247175</v>
      </c>
      <c r="DK189">
        <v>0</v>
      </c>
      <c r="DL189">
        <v>-1247175</v>
      </c>
      <c r="DM189">
        <v>-1419877</v>
      </c>
      <c r="DN189">
        <v>0</v>
      </c>
      <c r="DO189">
        <v>0</v>
      </c>
      <c r="DP189">
        <v>0</v>
      </c>
      <c r="DQ189">
        <v>-1419877</v>
      </c>
      <c r="DR189">
        <v>0</v>
      </c>
      <c r="DS189">
        <v>-1419877</v>
      </c>
      <c r="DT189">
        <v>27485671</v>
      </c>
      <c r="DU189">
        <v>0</v>
      </c>
      <c r="DV189" s="661">
        <v>27485671</v>
      </c>
      <c r="DW189" t="s">
        <v>1840</v>
      </c>
    </row>
    <row r="190" spans="1:127" ht="12.75" x14ac:dyDescent="0.2">
      <c r="A190" s="605">
        <v>183</v>
      </c>
      <c r="B190" s="606" t="s">
        <v>249</v>
      </c>
      <c r="C190" s="607" t="s">
        <v>524</v>
      </c>
      <c r="D190" s="608" t="s">
        <v>1194</v>
      </c>
      <c r="E190" s="609" t="s">
        <v>528</v>
      </c>
      <c r="G190">
        <v>160617365</v>
      </c>
      <c r="H190">
        <v>2632810</v>
      </c>
      <c r="I190">
        <v>163250175</v>
      </c>
      <c r="J190">
        <v>49.9</v>
      </c>
      <c r="K190">
        <v>80148065</v>
      </c>
      <c r="L190">
        <v>1313772</v>
      </c>
      <c r="M190">
        <v>-1704833</v>
      </c>
      <c r="N190">
        <v>74822</v>
      </c>
      <c r="O190">
        <v>78443232</v>
      </c>
      <c r="P190">
        <v>1388594</v>
      </c>
      <c r="Q190">
        <v>79831826</v>
      </c>
      <c r="R190">
        <v>-210229</v>
      </c>
      <c r="S190">
        <v>0</v>
      </c>
      <c r="T190">
        <v>-210229</v>
      </c>
      <c r="U190">
        <v>306195</v>
      </c>
      <c r="V190">
        <v>42318</v>
      </c>
      <c r="W190">
        <v>348513</v>
      </c>
      <c r="X190">
        <v>95966</v>
      </c>
      <c r="Y190">
        <v>42318</v>
      </c>
      <c r="Z190">
        <v>0</v>
      </c>
      <c r="AA190">
        <v>0</v>
      </c>
      <c r="AB190">
        <v>95966</v>
      </c>
      <c r="AC190">
        <v>42318</v>
      </c>
      <c r="AD190">
        <v>138284</v>
      </c>
      <c r="AE190">
        <v>-95966</v>
      </c>
      <c r="AF190">
        <v>-42318</v>
      </c>
      <c r="AG190">
        <v>-138284</v>
      </c>
      <c r="AH190">
        <v>-6977669</v>
      </c>
      <c r="AI190">
        <v>-74648</v>
      </c>
      <c r="AJ190">
        <v>-7052317</v>
      </c>
      <c r="AK190">
        <v>-20559</v>
      </c>
      <c r="AL190">
        <v>0</v>
      </c>
      <c r="AM190">
        <v>-20559</v>
      </c>
      <c r="AN190">
        <v>1445517</v>
      </c>
      <c r="AO190">
        <v>25443</v>
      </c>
      <c r="AP190">
        <v>1470960</v>
      </c>
      <c r="AQ190">
        <v>-5532152</v>
      </c>
      <c r="AR190">
        <v>-49205</v>
      </c>
      <c r="AS190">
        <v>-5581357</v>
      </c>
      <c r="AT190">
        <v>-5926481</v>
      </c>
      <c r="AU190">
        <v>-396025</v>
      </c>
      <c r="AV190">
        <v>-6322506</v>
      </c>
      <c r="AW190">
        <v>-108898</v>
      </c>
      <c r="AX190">
        <v>0</v>
      </c>
      <c r="AY190">
        <v>-108898</v>
      </c>
      <c r="AZ190">
        <v>-9677</v>
      </c>
      <c r="BA190">
        <v>0</v>
      </c>
      <c r="BB190">
        <v>-9677</v>
      </c>
      <c r="BC190">
        <v>0</v>
      </c>
      <c r="BD190">
        <v>0</v>
      </c>
      <c r="BE190">
        <v>0</v>
      </c>
      <c r="BF190">
        <v>-11577208</v>
      </c>
      <c r="BG190">
        <v>-445230</v>
      </c>
      <c r="BH190">
        <v>0</v>
      </c>
      <c r="BI190">
        <v>0</v>
      </c>
      <c r="BJ190">
        <v>-11577208</v>
      </c>
      <c r="BK190">
        <v>-445230</v>
      </c>
      <c r="BL190">
        <v>-12022438</v>
      </c>
      <c r="BM190">
        <v>-50000</v>
      </c>
      <c r="BN190">
        <v>0</v>
      </c>
      <c r="BO190">
        <v>-50000</v>
      </c>
      <c r="BP190">
        <v>-1628176</v>
      </c>
      <c r="BQ190">
        <v>-8984</v>
      </c>
      <c r="BR190">
        <v>-1637160</v>
      </c>
      <c r="BS190">
        <v>-1678176</v>
      </c>
      <c r="BT190">
        <v>-8984</v>
      </c>
      <c r="BU190">
        <v>0</v>
      </c>
      <c r="BV190">
        <v>0</v>
      </c>
      <c r="BW190">
        <v>-1678176</v>
      </c>
      <c r="BX190">
        <v>-8984</v>
      </c>
      <c r="BY190">
        <v>-1687160</v>
      </c>
      <c r="BZ190">
        <v>-74255</v>
      </c>
      <c r="CA190">
        <v>0</v>
      </c>
      <c r="CB190">
        <v>-74255</v>
      </c>
      <c r="CC190">
        <v>-326711</v>
      </c>
      <c r="CD190">
        <v>0</v>
      </c>
      <c r="CE190">
        <v>-326711</v>
      </c>
      <c r="CF190">
        <v>0</v>
      </c>
      <c r="CG190">
        <v>0</v>
      </c>
      <c r="CH190">
        <v>0</v>
      </c>
      <c r="CI190">
        <v>0</v>
      </c>
      <c r="CJ190">
        <v>0</v>
      </c>
      <c r="CK190">
        <v>0</v>
      </c>
      <c r="CL190">
        <v>0</v>
      </c>
      <c r="CM190">
        <v>0</v>
      </c>
      <c r="CN190">
        <v>0</v>
      </c>
      <c r="CO190">
        <v>0</v>
      </c>
      <c r="CP190">
        <v>0</v>
      </c>
      <c r="CQ190">
        <v>0</v>
      </c>
      <c r="CR190">
        <v>0</v>
      </c>
      <c r="CS190">
        <v>0</v>
      </c>
      <c r="CT190">
        <v>-400966</v>
      </c>
      <c r="CU190">
        <v>0</v>
      </c>
      <c r="CV190">
        <v>0</v>
      </c>
      <c r="CW190">
        <v>0</v>
      </c>
      <c r="CX190">
        <v>-400966</v>
      </c>
      <c r="CY190">
        <v>0</v>
      </c>
      <c r="CZ190">
        <v>-400966</v>
      </c>
      <c r="DA190">
        <v>-9526</v>
      </c>
      <c r="DB190">
        <v>0</v>
      </c>
      <c r="DC190">
        <v>-9526</v>
      </c>
      <c r="DD190">
        <v>-31379</v>
      </c>
      <c r="DE190">
        <v>0</v>
      </c>
      <c r="DF190">
        <v>-31379</v>
      </c>
      <c r="DG190">
        <v>-8000</v>
      </c>
      <c r="DH190">
        <v>0</v>
      </c>
      <c r="DI190">
        <v>-8000</v>
      </c>
      <c r="DJ190">
        <v>-1941117</v>
      </c>
      <c r="DK190">
        <v>-7805</v>
      </c>
      <c r="DL190">
        <v>-1948922</v>
      </c>
      <c r="DM190">
        <v>-1990022</v>
      </c>
      <c r="DN190">
        <v>-7805</v>
      </c>
      <c r="DO190">
        <v>0</v>
      </c>
      <c r="DP190">
        <v>0</v>
      </c>
      <c r="DQ190">
        <v>-1990022</v>
      </c>
      <c r="DR190">
        <v>-7805</v>
      </c>
      <c r="DS190">
        <v>-1997827</v>
      </c>
      <c r="DT190">
        <v>62892826</v>
      </c>
      <c r="DU190">
        <v>968893</v>
      </c>
      <c r="DV190" s="661">
        <v>63861719</v>
      </c>
      <c r="DW190" t="s">
        <v>1841</v>
      </c>
    </row>
    <row r="191" spans="1:127" ht="12.75" x14ac:dyDescent="0.2">
      <c r="A191" s="605">
        <v>184</v>
      </c>
      <c r="B191" s="606" t="s">
        <v>251</v>
      </c>
      <c r="C191" s="607" t="s">
        <v>1192</v>
      </c>
      <c r="D191" s="608" t="s">
        <v>1197</v>
      </c>
      <c r="E191" s="609" t="s">
        <v>250</v>
      </c>
      <c r="G191">
        <v>148515375</v>
      </c>
      <c r="H191">
        <v>1533310</v>
      </c>
      <c r="I191">
        <v>150048685</v>
      </c>
      <c r="J191">
        <v>49.9</v>
      </c>
      <c r="K191">
        <v>74109172</v>
      </c>
      <c r="L191">
        <v>765122</v>
      </c>
      <c r="M191">
        <v>0</v>
      </c>
      <c r="N191">
        <v>33000</v>
      </c>
      <c r="O191">
        <v>74109172</v>
      </c>
      <c r="P191">
        <v>798122</v>
      </c>
      <c r="Q191">
        <v>74907294</v>
      </c>
      <c r="R191">
        <v>-552082</v>
      </c>
      <c r="S191">
        <v>-9735</v>
      </c>
      <c r="T191">
        <v>-561817</v>
      </c>
      <c r="U191">
        <v>613721</v>
      </c>
      <c r="V191">
        <v>0</v>
      </c>
      <c r="W191">
        <v>613721</v>
      </c>
      <c r="X191">
        <v>61639</v>
      </c>
      <c r="Y191">
        <v>-9735</v>
      </c>
      <c r="Z191">
        <v>0</v>
      </c>
      <c r="AA191">
        <v>0</v>
      </c>
      <c r="AB191">
        <v>61639</v>
      </c>
      <c r="AC191">
        <v>-9735</v>
      </c>
      <c r="AD191">
        <v>51904</v>
      </c>
      <c r="AE191">
        <v>-61639</v>
      </c>
      <c r="AF191">
        <v>9735</v>
      </c>
      <c r="AG191">
        <v>-51904</v>
      </c>
      <c r="AH191">
        <v>-6641213</v>
      </c>
      <c r="AI191">
        <v>-16410</v>
      </c>
      <c r="AJ191">
        <v>-6657623</v>
      </c>
      <c r="AK191">
        <v>-14679</v>
      </c>
      <c r="AL191">
        <v>0</v>
      </c>
      <c r="AM191">
        <v>-14679</v>
      </c>
      <c r="AN191">
        <v>1399681</v>
      </c>
      <c r="AO191">
        <v>17958</v>
      </c>
      <c r="AP191">
        <v>1417639</v>
      </c>
      <c r="AQ191">
        <v>-5241532</v>
      </c>
      <c r="AR191">
        <v>1548</v>
      </c>
      <c r="AS191">
        <v>-5239984</v>
      </c>
      <c r="AT191">
        <v>-4613124</v>
      </c>
      <c r="AU191">
        <v>0</v>
      </c>
      <c r="AV191">
        <v>-4613124</v>
      </c>
      <c r="AW191">
        <v>-68218</v>
      </c>
      <c r="AX191">
        <v>0</v>
      </c>
      <c r="AY191">
        <v>-68218</v>
      </c>
      <c r="AZ191">
        <v>0</v>
      </c>
      <c r="BA191">
        <v>0</v>
      </c>
      <c r="BB191">
        <v>0</v>
      </c>
      <c r="BC191">
        <v>0</v>
      </c>
      <c r="BD191">
        <v>0</v>
      </c>
      <c r="BE191">
        <v>0</v>
      </c>
      <c r="BF191">
        <v>-9922874</v>
      </c>
      <c r="BG191">
        <v>1548</v>
      </c>
      <c r="BH191">
        <v>0</v>
      </c>
      <c r="BI191">
        <v>0</v>
      </c>
      <c r="BJ191">
        <v>-9922874</v>
      </c>
      <c r="BK191">
        <v>1548</v>
      </c>
      <c r="BL191">
        <v>-9921326</v>
      </c>
      <c r="BM191">
        <v>0</v>
      </c>
      <c r="BN191">
        <v>0</v>
      </c>
      <c r="BO191">
        <v>0</v>
      </c>
      <c r="BP191">
        <v>-3000000</v>
      </c>
      <c r="BQ191">
        <v>-3537</v>
      </c>
      <c r="BR191">
        <v>-3003537</v>
      </c>
      <c r="BS191">
        <v>-3000000</v>
      </c>
      <c r="BT191">
        <v>-3537</v>
      </c>
      <c r="BU191">
        <v>0</v>
      </c>
      <c r="BV191">
        <v>0</v>
      </c>
      <c r="BW191">
        <v>-3000000</v>
      </c>
      <c r="BX191">
        <v>-3537</v>
      </c>
      <c r="BY191">
        <v>-3003537</v>
      </c>
      <c r="BZ191">
        <v>-343417</v>
      </c>
      <c r="CA191">
        <v>0</v>
      </c>
      <c r="CB191">
        <v>-343417</v>
      </c>
      <c r="CC191">
        <v>-22796</v>
      </c>
      <c r="CD191">
        <v>0</v>
      </c>
      <c r="CE191">
        <v>-22796</v>
      </c>
      <c r="CF191">
        <v>-17055</v>
      </c>
      <c r="CG191">
        <v>0</v>
      </c>
      <c r="CH191">
        <v>-17055</v>
      </c>
      <c r="CI191">
        <v>0</v>
      </c>
      <c r="CJ191">
        <v>0</v>
      </c>
      <c r="CK191">
        <v>0</v>
      </c>
      <c r="CL191">
        <v>0</v>
      </c>
      <c r="CM191">
        <v>0</v>
      </c>
      <c r="CN191">
        <v>0</v>
      </c>
      <c r="CO191">
        <v>-24446</v>
      </c>
      <c r="CP191">
        <v>-17000</v>
      </c>
      <c r="CQ191">
        <v>-41446</v>
      </c>
      <c r="CR191">
        <v>-17000</v>
      </c>
      <c r="CS191">
        <v>0</v>
      </c>
      <c r="CT191">
        <v>-407714</v>
      </c>
      <c r="CU191">
        <v>-17000</v>
      </c>
      <c r="CV191">
        <v>0</v>
      </c>
      <c r="CW191">
        <v>0</v>
      </c>
      <c r="CX191">
        <v>-407714</v>
      </c>
      <c r="CY191">
        <v>-17000</v>
      </c>
      <c r="CZ191">
        <v>-424714</v>
      </c>
      <c r="DA191">
        <v>0</v>
      </c>
      <c r="DB191">
        <v>0</v>
      </c>
      <c r="DC191">
        <v>0</v>
      </c>
      <c r="DD191">
        <v>-40810</v>
      </c>
      <c r="DE191">
        <v>0</v>
      </c>
      <c r="DF191">
        <v>-40810</v>
      </c>
      <c r="DG191">
        <v>-8855</v>
      </c>
      <c r="DH191">
        <v>0</v>
      </c>
      <c r="DI191">
        <v>-8855</v>
      </c>
      <c r="DJ191">
        <v>-918911</v>
      </c>
      <c r="DK191">
        <v>0</v>
      </c>
      <c r="DL191">
        <v>-918911</v>
      </c>
      <c r="DM191">
        <v>-968576</v>
      </c>
      <c r="DN191">
        <v>0</v>
      </c>
      <c r="DO191">
        <v>0</v>
      </c>
      <c r="DP191">
        <v>0</v>
      </c>
      <c r="DQ191">
        <v>-968576</v>
      </c>
      <c r="DR191">
        <v>0</v>
      </c>
      <c r="DS191">
        <v>-968576</v>
      </c>
      <c r="DT191">
        <v>59871647</v>
      </c>
      <c r="DU191">
        <v>769398</v>
      </c>
      <c r="DV191" s="661">
        <v>60641045</v>
      </c>
      <c r="DW191" t="s">
        <v>1842</v>
      </c>
    </row>
    <row r="192" spans="1:127" ht="12.75" x14ac:dyDescent="0.2">
      <c r="A192" s="605">
        <v>185</v>
      </c>
      <c r="B192" s="606" t="s">
        <v>253</v>
      </c>
      <c r="C192" s="607" t="s">
        <v>1185</v>
      </c>
      <c r="D192" s="608" t="s">
        <v>1195</v>
      </c>
      <c r="E192" s="609" t="s">
        <v>252</v>
      </c>
      <c r="G192">
        <v>118659417</v>
      </c>
      <c r="H192">
        <v>0</v>
      </c>
      <c r="I192">
        <v>118659417</v>
      </c>
      <c r="J192">
        <v>49.9</v>
      </c>
      <c r="K192">
        <v>59211049</v>
      </c>
      <c r="L192">
        <v>0</v>
      </c>
      <c r="M192">
        <v>617997</v>
      </c>
      <c r="N192">
        <v>0</v>
      </c>
      <c r="O192">
        <v>59829046</v>
      </c>
      <c r="P192">
        <v>0</v>
      </c>
      <c r="Q192">
        <v>59829046</v>
      </c>
      <c r="R192">
        <v>-214417</v>
      </c>
      <c r="S192">
        <v>0</v>
      </c>
      <c r="T192">
        <v>-214417</v>
      </c>
      <c r="U192">
        <v>144963</v>
      </c>
      <c r="V192">
        <v>0</v>
      </c>
      <c r="W192">
        <v>144963</v>
      </c>
      <c r="X192">
        <v>-69454</v>
      </c>
      <c r="Y192">
        <v>0</v>
      </c>
      <c r="Z192">
        <v>0</v>
      </c>
      <c r="AA192">
        <v>0</v>
      </c>
      <c r="AB192">
        <v>-69454</v>
      </c>
      <c r="AC192">
        <v>0</v>
      </c>
      <c r="AD192">
        <v>-69454</v>
      </c>
      <c r="AE192">
        <v>69454</v>
      </c>
      <c r="AF192">
        <v>0</v>
      </c>
      <c r="AG192">
        <v>69454</v>
      </c>
      <c r="AH192">
        <v>-2664210</v>
      </c>
      <c r="AI192">
        <v>0</v>
      </c>
      <c r="AJ192">
        <v>-2664210</v>
      </c>
      <c r="AK192">
        <v>0</v>
      </c>
      <c r="AL192">
        <v>0</v>
      </c>
      <c r="AM192">
        <v>0</v>
      </c>
      <c r="AN192">
        <v>1300401</v>
      </c>
      <c r="AO192">
        <v>0</v>
      </c>
      <c r="AP192">
        <v>1300401</v>
      </c>
      <c r="AQ192">
        <v>-1363809</v>
      </c>
      <c r="AR192">
        <v>0</v>
      </c>
      <c r="AS192">
        <v>-1363809</v>
      </c>
      <c r="AT192">
        <v>-1300401</v>
      </c>
      <c r="AU192">
        <v>0</v>
      </c>
      <c r="AV192">
        <v>-1300401</v>
      </c>
      <c r="AW192">
        <v>-33064</v>
      </c>
      <c r="AX192">
        <v>0</v>
      </c>
      <c r="AY192">
        <v>-33064</v>
      </c>
      <c r="AZ192">
        <v>-13187</v>
      </c>
      <c r="BA192">
        <v>0</v>
      </c>
      <c r="BB192">
        <v>-13187</v>
      </c>
      <c r="BC192">
        <v>0</v>
      </c>
      <c r="BD192">
        <v>0</v>
      </c>
      <c r="BE192">
        <v>0</v>
      </c>
      <c r="BF192">
        <v>-2710461</v>
      </c>
      <c r="BG192">
        <v>0</v>
      </c>
      <c r="BH192">
        <v>0</v>
      </c>
      <c r="BI192">
        <v>0</v>
      </c>
      <c r="BJ192">
        <v>-2710461</v>
      </c>
      <c r="BK192">
        <v>0</v>
      </c>
      <c r="BL192">
        <v>-2710461</v>
      </c>
      <c r="BM192">
        <v>0</v>
      </c>
      <c r="BN192">
        <v>0</v>
      </c>
      <c r="BO192">
        <v>0</v>
      </c>
      <c r="BP192">
        <v>-1300000</v>
      </c>
      <c r="BQ192">
        <v>0</v>
      </c>
      <c r="BR192">
        <v>-1300000</v>
      </c>
      <c r="BS192">
        <v>-1300000</v>
      </c>
      <c r="BT192">
        <v>0</v>
      </c>
      <c r="BU192">
        <v>0</v>
      </c>
      <c r="BV192">
        <v>0</v>
      </c>
      <c r="BW192">
        <v>-1300000</v>
      </c>
      <c r="BX192">
        <v>0</v>
      </c>
      <c r="BY192">
        <v>-1300000</v>
      </c>
      <c r="BZ192">
        <v>-9592</v>
      </c>
      <c r="CA192">
        <v>0</v>
      </c>
      <c r="CB192">
        <v>-9592</v>
      </c>
      <c r="CC192">
        <v>-9772</v>
      </c>
      <c r="CD192">
        <v>0</v>
      </c>
      <c r="CE192">
        <v>-9772</v>
      </c>
      <c r="CF192">
        <v>-926</v>
      </c>
      <c r="CG192">
        <v>0</v>
      </c>
      <c r="CH192">
        <v>-926</v>
      </c>
      <c r="CI192">
        <v>0</v>
      </c>
      <c r="CJ192">
        <v>0</v>
      </c>
      <c r="CK192">
        <v>0</v>
      </c>
      <c r="CL192">
        <v>0</v>
      </c>
      <c r="CM192">
        <v>0</v>
      </c>
      <c r="CN192">
        <v>0</v>
      </c>
      <c r="CO192">
        <v>0</v>
      </c>
      <c r="CP192">
        <v>0</v>
      </c>
      <c r="CQ192">
        <v>0</v>
      </c>
      <c r="CR192">
        <v>0</v>
      </c>
      <c r="CS192">
        <v>0</v>
      </c>
      <c r="CT192">
        <v>-20290</v>
      </c>
      <c r="CU192">
        <v>0</v>
      </c>
      <c r="CV192">
        <v>0</v>
      </c>
      <c r="CW192">
        <v>0</v>
      </c>
      <c r="CX192">
        <v>-20290</v>
      </c>
      <c r="CY192">
        <v>0</v>
      </c>
      <c r="CZ192">
        <v>-20290</v>
      </c>
      <c r="DA192">
        <v>-13187</v>
      </c>
      <c r="DB192">
        <v>0</v>
      </c>
      <c r="DC192">
        <v>-13187</v>
      </c>
      <c r="DD192">
        <v>-14701</v>
      </c>
      <c r="DE192">
        <v>0</v>
      </c>
      <c r="DF192">
        <v>-14701</v>
      </c>
      <c r="DG192">
        <v>-4000</v>
      </c>
      <c r="DH192">
        <v>0</v>
      </c>
      <c r="DI192">
        <v>-4000</v>
      </c>
      <c r="DJ192">
        <v>-361972</v>
      </c>
      <c r="DK192">
        <v>0</v>
      </c>
      <c r="DL192">
        <v>-361972</v>
      </c>
      <c r="DM192">
        <v>-393860</v>
      </c>
      <c r="DN192">
        <v>0</v>
      </c>
      <c r="DO192">
        <v>0</v>
      </c>
      <c r="DP192">
        <v>0</v>
      </c>
      <c r="DQ192">
        <v>-393860</v>
      </c>
      <c r="DR192">
        <v>0</v>
      </c>
      <c r="DS192">
        <v>-393860</v>
      </c>
      <c r="DT192">
        <v>55334981</v>
      </c>
      <c r="DU192">
        <v>0</v>
      </c>
      <c r="DV192" s="661">
        <v>55334981</v>
      </c>
      <c r="DW192" t="s">
        <v>1843</v>
      </c>
    </row>
    <row r="193" spans="1:127" ht="12.75" x14ac:dyDescent="0.2">
      <c r="A193" s="605">
        <v>186</v>
      </c>
      <c r="B193" s="606" t="s">
        <v>259</v>
      </c>
      <c r="C193" s="607" t="s">
        <v>1185</v>
      </c>
      <c r="D193" s="608" t="s">
        <v>1188</v>
      </c>
      <c r="E193" s="609" t="s">
        <v>258</v>
      </c>
      <c r="G193">
        <v>143617855</v>
      </c>
      <c r="H193">
        <v>0</v>
      </c>
      <c r="I193">
        <v>143617855</v>
      </c>
      <c r="J193">
        <v>49.9</v>
      </c>
      <c r="K193">
        <v>71665310</v>
      </c>
      <c r="L193">
        <v>0</v>
      </c>
      <c r="M193">
        <v>7177464</v>
      </c>
      <c r="N193">
        <v>0</v>
      </c>
      <c r="O193">
        <v>78842774</v>
      </c>
      <c r="P193">
        <v>0</v>
      </c>
      <c r="Q193">
        <v>78842774</v>
      </c>
      <c r="R193">
        <v>-297805</v>
      </c>
      <c r="S193">
        <v>0</v>
      </c>
      <c r="T193">
        <v>-297805</v>
      </c>
      <c r="U193">
        <v>37200</v>
      </c>
      <c r="V193">
        <v>0</v>
      </c>
      <c r="W193">
        <v>37200</v>
      </c>
      <c r="X193">
        <v>-260605</v>
      </c>
      <c r="Y193">
        <v>0</v>
      </c>
      <c r="Z193">
        <v>0</v>
      </c>
      <c r="AA193">
        <v>0</v>
      </c>
      <c r="AB193">
        <v>-260605</v>
      </c>
      <c r="AC193">
        <v>0</v>
      </c>
      <c r="AD193">
        <v>-260605</v>
      </c>
      <c r="AE193">
        <v>260605</v>
      </c>
      <c r="AF193">
        <v>0</v>
      </c>
      <c r="AG193">
        <v>260605</v>
      </c>
      <c r="AH193">
        <v>-3461247</v>
      </c>
      <c r="AI193">
        <v>0</v>
      </c>
      <c r="AJ193">
        <v>-3461247</v>
      </c>
      <c r="AK193">
        <v>0</v>
      </c>
      <c r="AL193">
        <v>0</v>
      </c>
      <c r="AM193">
        <v>0</v>
      </c>
      <c r="AN193">
        <v>1491360</v>
      </c>
      <c r="AO193">
        <v>0</v>
      </c>
      <c r="AP193">
        <v>1491360</v>
      </c>
      <c r="AQ193">
        <v>-1969887</v>
      </c>
      <c r="AR193">
        <v>0</v>
      </c>
      <c r="AS193">
        <v>-1969887</v>
      </c>
      <c r="AT193">
        <v>-1998533</v>
      </c>
      <c r="AU193">
        <v>0</v>
      </c>
      <c r="AV193">
        <v>-1998533</v>
      </c>
      <c r="AW193">
        <v>-24934</v>
      </c>
      <c r="AX193">
        <v>0</v>
      </c>
      <c r="AY193">
        <v>-24934</v>
      </c>
      <c r="AZ193">
        <v>-7216</v>
      </c>
      <c r="BA193">
        <v>0</v>
      </c>
      <c r="BB193">
        <v>-7216</v>
      </c>
      <c r="BC193">
        <v>0</v>
      </c>
      <c r="BD193">
        <v>0</v>
      </c>
      <c r="BE193">
        <v>0</v>
      </c>
      <c r="BF193">
        <v>-4000570</v>
      </c>
      <c r="BG193">
        <v>0</v>
      </c>
      <c r="BH193">
        <v>0</v>
      </c>
      <c r="BI193">
        <v>0</v>
      </c>
      <c r="BJ193">
        <v>-4000570</v>
      </c>
      <c r="BK193">
        <v>0</v>
      </c>
      <c r="BL193">
        <v>-4000570</v>
      </c>
      <c r="BM193">
        <v>-3028480</v>
      </c>
      <c r="BN193">
        <v>0</v>
      </c>
      <c r="BO193">
        <v>-3028480</v>
      </c>
      <c r="BP193">
        <v>-1042722</v>
      </c>
      <c r="BQ193">
        <v>0</v>
      </c>
      <c r="BR193">
        <v>-1042722</v>
      </c>
      <c r="BS193">
        <v>-4071202</v>
      </c>
      <c r="BT193">
        <v>0</v>
      </c>
      <c r="BU193">
        <v>0</v>
      </c>
      <c r="BV193">
        <v>0</v>
      </c>
      <c r="BW193">
        <v>-4071202</v>
      </c>
      <c r="BX193">
        <v>0</v>
      </c>
      <c r="BY193">
        <v>-4071202</v>
      </c>
      <c r="BZ193">
        <v>-71660</v>
      </c>
      <c r="CA193">
        <v>0</v>
      </c>
      <c r="CB193">
        <v>-71660</v>
      </c>
      <c r="CC193">
        <v>-96932</v>
      </c>
      <c r="CD193">
        <v>0</v>
      </c>
      <c r="CE193">
        <v>-96932</v>
      </c>
      <c r="CF193">
        <v>-1724</v>
      </c>
      <c r="CG193">
        <v>0</v>
      </c>
      <c r="CH193">
        <v>-1724</v>
      </c>
      <c r="CI193">
        <v>0</v>
      </c>
      <c r="CJ193">
        <v>0</v>
      </c>
      <c r="CK193">
        <v>0</v>
      </c>
      <c r="CL193">
        <v>0</v>
      </c>
      <c r="CM193">
        <v>0</v>
      </c>
      <c r="CN193">
        <v>0</v>
      </c>
      <c r="CO193">
        <v>0</v>
      </c>
      <c r="CP193">
        <v>0</v>
      </c>
      <c r="CQ193">
        <v>0</v>
      </c>
      <c r="CR193">
        <v>0</v>
      </c>
      <c r="CS193">
        <v>0</v>
      </c>
      <c r="CT193">
        <v>-170316</v>
      </c>
      <c r="CU193">
        <v>0</v>
      </c>
      <c r="CV193">
        <v>0</v>
      </c>
      <c r="CW193">
        <v>0</v>
      </c>
      <c r="CX193">
        <v>-170316</v>
      </c>
      <c r="CY193">
        <v>0</v>
      </c>
      <c r="CZ193">
        <v>-170316</v>
      </c>
      <c r="DA193">
        <v>-7216</v>
      </c>
      <c r="DB193">
        <v>0</v>
      </c>
      <c r="DC193">
        <v>-7216</v>
      </c>
      <c r="DD193">
        <v>-32247</v>
      </c>
      <c r="DE193">
        <v>0</v>
      </c>
      <c r="DF193">
        <v>-32247</v>
      </c>
      <c r="DG193">
        <v>-8382</v>
      </c>
      <c r="DH193">
        <v>0</v>
      </c>
      <c r="DI193">
        <v>-8382</v>
      </c>
      <c r="DJ193">
        <v>-346617</v>
      </c>
      <c r="DK193">
        <v>0</v>
      </c>
      <c r="DL193">
        <v>-346617</v>
      </c>
      <c r="DM193">
        <v>-394462</v>
      </c>
      <c r="DN193">
        <v>0</v>
      </c>
      <c r="DO193">
        <v>0</v>
      </c>
      <c r="DP193">
        <v>0</v>
      </c>
      <c r="DQ193">
        <v>-394462</v>
      </c>
      <c r="DR193">
        <v>0</v>
      </c>
      <c r="DS193">
        <v>-394462</v>
      </c>
      <c r="DT193">
        <v>69945619</v>
      </c>
      <c r="DU193">
        <v>0</v>
      </c>
      <c r="DV193" s="661">
        <v>69945619</v>
      </c>
      <c r="DW193" t="s">
        <v>1844</v>
      </c>
    </row>
    <row r="194" spans="1:127" ht="12.75" x14ac:dyDescent="0.2">
      <c r="A194" s="605">
        <v>187</v>
      </c>
      <c r="B194" s="606" t="s">
        <v>261</v>
      </c>
      <c r="C194" s="607" t="s">
        <v>1185</v>
      </c>
      <c r="D194" s="608" t="s">
        <v>1188</v>
      </c>
      <c r="E194" s="609" t="s">
        <v>260</v>
      </c>
      <c r="G194">
        <v>238339205</v>
      </c>
      <c r="H194">
        <v>11415530</v>
      </c>
      <c r="I194">
        <v>249754735</v>
      </c>
      <c r="J194">
        <v>49.9</v>
      </c>
      <c r="K194">
        <v>118931263</v>
      </c>
      <c r="L194">
        <v>5696349</v>
      </c>
      <c r="M194">
        <v>0</v>
      </c>
      <c r="N194">
        <v>0</v>
      </c>
      <c r="O194">
        <v>118931263</v>
      </c>
      <c r="P194">
        <v>5696349</v>
      </c>
      <c r="Q194">
        <v>124627612</v>
      </c>
      <c r="R194">
        <v>-143584</v>
      </c>
      <c r="S194">
        <v>-14</v>
      </c>
      <c r="T194">
        <v>-143598</v>
      </c>
      <c r="U194">
        <v>350786</v>
      </c>
      <c r="V194">
        <v>28608</v>
      </c>
      <c r="W194">
        <v>379394</v>
      </c>
      <c r="X194">
        <v>207202</v>
      </c>
      <c r="Y194">
        <v>28594</v>
      </c>
      <c r="Z194">
        <v>0</v>
      </c>
      <c r="AA194">
        <v>0</v>
      </c>
      <c r="AB194">
        <v>207202</v>
      </c>
      <c r="AC194">
        <v>28594</v>
      </c>
      <c r="AD194">
        <v>235796</v>
      </c>
      <c r="AE194">
        <v>-207202</v>
      </c>
      <c r="AF194">
        <v>-28594</v>
      </c>
      <c r="AG194">
        <v>-235796</v>
      </c>
      <c r="AH194">
        <v>-5829673</v>
      </c>
      <c r="AI194">
        <v>-127895</v>
      </c>
      <c r="AJ194">
        <v>-5957568</v>
      </c>
      <c r="AK194">
        <v>0</v>
      </c>
      <c r="AL194">
        <v>0</v>
      </c>
      <c r="AM194">
        <v>0</v>
      </c>
      <c r="AN194">
        <v>2413217</v>
      </c>
      <c r="AO194">
        <v>117253</v>
      </c>
      <c r="AP194">
        <v>2530470</v>
      </c>
      <c r="AQ194">
        <v>-3416456</v>
      </c>
      <c r="AR194">
        <v>-10642</v>
      </c>
      <c r="AS194">
        <v>-3427098</v>
      </c>
      <c r="AT194">
        <v>-9081732</v>
      </c>
      <c r="AU194">
        <v>-60315</v>
      </c>
      <c r="AV194">
        <v>-9142047</v>
      </c>
      <c r="AW194">
        <v>-17295</v>
      </c>
      <c r="AX194">
        <v>0</v>
      </c>
      <c r="AY194">
        <v>-17295</v>
      </c>
      <c r="AZ194">
        <v>0</v>
      </c>
      <c r="BA194">
        <v>0</v>
      </c>
      <c r="BB194">
        <v>0</v>
      </c>
      <c r="BC194">
        <v>0</v>
      </c>
      <c r="BD194">
        <v>0</v>
      </c>
      <c r="BE194">
        <v>0</v>
      </c>
      <c r="BF194">
        <v>-12515483</v>
      </c>
      <c r="BG194">
        <v>-70957</v>
      </c>
      <c r="BH194">
        <v>0</v>
      </c>
      <c r="BI194">
        <v>0</v>
      </c>
      <c r="BJ194">
        <v>-12515483</v>
      </c>
      <c r="BK194">
        <v>-70957</v>
      </c>
      <c r="BL194">
        <v>-12586440</v>
      </c>
      <c r="BM194">
        <v>-150000</v>
      </c>
      <c r="BN194">
        <v>0</v>
      </c>
      <c r="BO194">
        <v>-150000</v>
      </c>
      <c r="BP194">
        <v>-1163645</v>
      </c>
      <c r="BQ194">
        <v>-33562</v>
      </c>
      <c r="BR194">
        <v>-1197207</v>
      </c>
      <c r="BS194">
        <v>-1313645</v>
      </c>
      <c r="BT194">
        <v>-33562</v>
      </c>
      <c r="BU194">
        <v>0</v>
      </c>
      <c r="BV194">
        <v>0</v>
      </c>
      <c r="BW194">
        <v>-1313645</v>
      </c>
      <c r="BX194">
        <v>-33562</v>
      </c>
      <c r="BY194">
        <v>-1347207</v>
      </c>
      <c r="BZ194">
        <v>-281501</v>
      </c>
      <c r="CA194">
        <v>-2285</v>
      </c>
      <c r="CB194">
        <v>-283786</v>
      </c>
      <c r="CC194">
        <v>-187544</v>
      </c>
      <c r="CD194">
        <v>0</v>
      </c>
      <c r="CE194">
        <v>-187544</v>
      </c>
      <c r="CF194">
        <v>-3300</v>
      </c>
      <c r="CG194">
        <v>0</v>
      </c>
      <c r="CH194">
        <v>-3300</v>
      </c>
      <c r="CI194">
        <v>0</v>
      </c>
      <c r="CJ194">
        <v>0</v>
      </c>
      <c r="CK194">
        <v>0</v>
      </c>
      <c r="CL194">
        <v>0</v>
      </c>
      <c r="CM194">
        <v>0</v>
      </c>
      <c r="CN194">
        <v>0</v>
      </c>
      <c r="CO194">
        <v>0</v>
      </c>
      <c r="CP194">
        <v>-388828</v>
      </c>
      <c r="CQ194">
        <v>-388828</v>
      </c>
      <c r="CR194">
        <v>-388828</v>
      </c>
      <c r="CS194">
        <v>0</v>
      </c>
      <c r="CT194">
        <v>-472345</v>
      </c>
      <c r="CU194">
        <v>-391113</v>
      </c>
      <c r="CV194">
        <v>0</v>
      </c>
      <c r="CW194">
        <v>0</v>
      </c>
      <c r="CX194">
        <v>-472345</v>
      </c>
      <c r="CY194">
        <v>-391113</v>
      </c>
      <c r="CZ194">
        <v>-863458</v>
      </c>
      <c r="DA194">
        <v>0</v>
      </c>
      <c r="DB194">
        <v>0</v>
      </c>
      <c r="DC194">
        <v>0</v>
      </c>
      <c r="DD194">
        <v>-8995</v>
      </c>
      <c r="DE194">
        <v>0</v>
      </c>
      <c r="DF194">
        <v>-8995</v>
      </c>
      <c r="DG194">
        <v>-5000</v>
      </c>
      <c r="DH194">
        <v>0</v>
      </c>
      <c r="DI194">
        <v>-5000</v>
      </c>
      <c r="DJ194">
        <v>-1570267</v>
      </c>
      <c r="DK194">
        <v>-38781</v>
      </c>
      <c r="DL194">
        <v>-1609048</v>
      </c>
      <c r="DM194">
        <v>-1584262</v>
      </c>
      <c r="DN194">
        <v>-38781</v>
      </c>
      <c r="DO194">
        <v>0</v>
      </c>
      <c r="DP194">
        <v>0</v>
      </c>
      <c r="DQ194">
        <v>-1584262</v>
      </c>
      <c r="DR194">
        <v>-38781</v>
      </c>
      <c r="DS194">
        <v>-1623043</v>
      </c>
      <c r="DT194">
        <v>103252730</v>
      </c>
      <c r="DU194">
        <v>5190530</v>
      </c>
      <c r="DV194" s="661">
        <v>108443260</v>
      </c>
      <c r="DW194" t="s">
        <v>1845</v>
      </c>
    </row>
    <row r="195" spans="1:127" ht="12.75" x14ac:dyDescent="0.2">
      <c r="A195" s="605">
        <v>188</v>
      </c>
      <c r="B195" s="606" t="s">
        <v>263</v>
      </c>
      <c r="C195" s="607" t="s">
        <v>524</v>
      </c>
      <c r="D195" s="608" t="s">
        <v>1197</v>
      </c>
      <c r="E195" s="609" t="s">
        <v>262</v>
      </c>
      <c r="G195">
        <v>229257796</v>
      </c>
      <c r="H195">
        <v>819150</v>
      </c>
      <c r="I195">
        <v>230076946</v>
      </c>
      <c r="J195">
        <v>49.9</v>
      </c>
      <c r="K195">
        <v>114399640</v>
      </c>
      <c r="L195">
        <v>408756</v>
      </c>
      <c r="M195">
        <v>628511</v>
      </c>
      <c r="N195">
        <v>11090</v>
      </c>
      <c r="O195">
        <v>115028151</v>
      </c>
      <c r="P195">
        <v>419846</v>
      </c>
      <c r="Q195">
        <v>115447997</v>
      </c>
      <c r="R195">
        <v>-1816673</v>
      </c>
      <c r="S195">
        <v>-57</v>
      </c>
      <c r="T195">
        <v>-1816730</v>
      </c>
      <c r="U195">
        <v>528229</v>
      </c>
      <c r="V195">
        <v>0</v>
      </c>
      <c r="W195">
        <v>528229</v>
      </c>
      <c r="X195">
        <v>-1288444</v>
      </c>
      <c r="Y195">
        <v>-57</v>
      </c>
      <c r="Z195">
        <v>0</v>
      </c>
      <c r="AA195">
        <v>0</v>
      </c>
      <c r="AB195">
        <v>-1288444</v>
      </c>
      <c r="AC195">
        <v>-57</v>
      </c>
      <c r="AD195">
        <v>-1288501</v>
      </c>
      <c r="AE195">
        <v>1288444</v>
      </c>
      <c r="AF195">
        <v>57</v>
      </c>
      <c r="AG195">
        <v>1288501</v>
      </c>
      <c r="AH195">
        <v>-14103791</v>
      </c>
      <c r="AI195">
        <v>-31723</v>
      </c>
      <c r="AJ195">
        <v>-14135514</v>
      </c>
      <c r="AK195">
        <v>-49882</v>
      </c>
      <c r="AL195">
        <v>0</v>
      </c>
      <c r="AM195">
        <v>-49882</v>
      </c>
      <c r="AN195">
        <v>1822721</v>
      </c>
      <c r="AO195">
        <v>5426</v>
      </c>
      <c r="AP195">
        <v>1828147</v>
      </c>
      <c r="AQ195">
        <v>-12281070</v>
      </c>
      <c r="AR195">
        <v>-26297</v>
      </c>
      <c r="AS195">
        <v>-12307367</v>
      </c>
      <c r="AT195">
        <v>-7690068</v>
      </c>
      <c r="AU195">
        <v>-1638</v>
      </c>
      <c r="AV195">
        <v>-7691706</v>
      </c>
      <c r="AW195">
        <v>-154717</v>
      </c>
      <c r="AX195">
        <v>0</v>
      </c>
      <c r="AY195">
        <v>-154717</v>
      </c>
      <c r="AZ195">
        <v>-74729</v>
      </c>
      <c r="BA195">
        <v>0</v>
      </c>
      <c r="BB195">
        <v>-74729</v>
      </c>
      <c r="BC195">
        <v>0</v>
      </c>
      <c r="BD195">
        <v>0</v>
      </c>
      <c r="BE195">
        <v>0</v>
      </c>
      <c r="BF195">
        <v>-20200584</v>
      </c>
      <c r="BG195">
        <v>-27935</v>
      </c>
      <c r="BH195">
        <v>16485</v>
      </c>
      <c r="BI195">
        <v>0</v>
      </c>
      <c r="BJ195">
        <v>-20184099</v>
      </c>
      <c r="BK195">
        <v>-27935</v>
      </c>
      <c r="BL195">
        <v>-20212034</v>
      </c>
      <c r="BM195">
        <v>-100000</v>
      </c>
      <c r="BN195">
        <v>0</v>
      </c>
      <c r="BO195">
        <v>-100000</v>
      </c>
      <c r="BP195">
        <v>-2451722</v>
      </c>
      <c r="BQ195">
        <v>-9939</v>
      </c>
      <c r="BR195">
        <v>-2461661</v>
      </c>
      <c r="BS195">
        <v>-2551722</v>
      </c>
      <c r="BT195">
        <v>-9939</v>
      </c>
      <c r="BU195">
        <v>0</v>
      </c>
      <c r="BV195">
        <v>0</v>
      </c>
      <c r="BW195">
        <v>-2551722</v>
      </c>
      <c r="BX195">
        <v>-9939</v>
      </c>
      <c r="BY195">
        <v>-2561661</v>
      </c>
      <c r="BZ195">
        <v>-663737</v>
      </c>
      <c r="CA195">
        <v>0</v>
      </c>
      <c r="CB195">
        <v>-663737</v>
      </c>
      <c r="CC195">
        <v>-468514</v>
      </c>
      <c r="CD195">
        <v>0</v>
      </c>
      <c r="CE195">
        <v>-468514</v>
      </c>
      <c r="CF195">
        <v>-21305</v>
      </c>
      <c r="CG195">
        <v>0</v>
      </c>
      <c r="CH195">
        <v>-21305</v>
      </c>
      <c r="CI195">
        <v>0</v>
      </c>
      <c r="CJ195">
        <v>0</v>
      </c>
      <c r="CK195">
        <v>0</v>
      </c>
      <c r="CL195">
        <v>-56018</v>
      </c>
      <c r="CM195">
        <v>0</v>
      </c>
      <c r="CN195">
        <v>-56018</v>
      </c>
      <c r="CO195">
        <v>-500000</v>
      </c>
      <c r="CP195">
        <v>-83715</v>
      </c>
      <c r="CQ195">
        <v>-583715</v>
      </c>
      <c r="CR195">
        <v>-83715</v>
      </c>
      <c r="CS195">
        <v>0</v>
      </c>
      <c r="CT195">
        <v>-1709574</v>
      </c>
      <c r="CU195">
        <v>-83715</v>
      </c>
      <c r="CV195">
        <v>-92672</v>
      </c>
      <c r="CW195">
        <v>-11090</v>
      </c>
      <c r="CX195">
        <v>-1802246</v>
      </c>
      <c r="CY195">
        <v>-94805</v>
      </c>
      <c r="CZ195">
        <v>-1897051</v>
      </c>
      <c r="DA195">
        <v>-74729</v>
      </c>
      <c r="DB195">
        <v>0</v>
      </c>
      <c r="DC195">
        <v>-74729</v>
      </c>
      <c r="DD195">
        <v>-103205</v>
      </c>
      <c r="DE195">
        <v>0</v>
      </c>
      <c r="DF195">
        <v>-103205</v>
      </c>
      <c r="DG195">
        <v>-27511</v>
      </c>
      <c r="DH195">
        <v>0</v>
      </c>
      <c r="DI195">
        <v>-27511</v>
      </c>
      <c r="DJ195">
        <v>-2025465</v>
      </c>
      <c r="DK195">
        <v>0</v>
      </c>
      <c r="DL195">
        <v>-2025465</v>
      </c>
      <c r="DM195">
        <v>-2230910</v>
      </c>
      <c r="DN195">
        <v>0</v>
      </c>
      <c r="DO195">
        <v>0</v>
      </c>
      <c r="DP195">
        <v>0</v>
      </c>
      <c r="DQ195">
        <v>-2230910</v>
      </c>
      <c r="DR195">
        <v>0</v>
      </c>
      <c r="DS195">
        <v>-2230910</v>
      </c>
      <c r="DT195">
        <v>86970730</v>
      </c>
      <c r="DU195">
        <v>287110</v>
      </c>
      <c r="DV195" s="661">
        <v>87257840</v>
      </c>
      <c r="DW195" t="s">
        <v>1846</v>
      </c>
    </row>
    <row r="196" spans="1:127" ht="12.75" x14ac:dyDescent="0.2">
      <c r="A196" s="605">
        <v>189</v>
      </c>
      <c r="B196" s="606" t="s">
        <v>265</v>
      </c>
      <c r="C196" s="607" t="s">
        <v>1185</v>
      </c>
      <c r="D196" s="608" t="s">
        <v>1189</v>
      </c>
      <c r="E196" s="609" t="s">
        <v>264</v>
      </c>
      <c r="G196">
        <v>199799718</v>
      </c>
      <c r="H196">
        <v>0</v>
      </c>
      <c r="I196">
        <v>199799718</v>
      </c>
      <c r="J196">
        <v>49.9</v>
      </c>
      <c r="K196">
        <v>99700059</v>
      </c>
      <c r="L196">
        <v>0</v>
      </c>
      <c r="M196">
        <v>-1994001</v>
      </c>
      <c r="N196">
        <v>0</v>
      </c>
      <c r="O196">
        <v>97706058</v>
      </c>
      <c r="P196">
        <v>0</v>
      </c>
      <c r="Q196">
        <v>97706058</v>
      </c>
      <c r="R196">
        <v>-321063</v>
      </c>
      <c r="S196">
        <v>0</v>
      </c>
      <c r="T196">
        <v>-321063</v>
      </c>
      <c r="U196">
        <v>611313</v>
      </c>
      <c r="V196">
        <v>0</v>
      </c>
      <c r="W196">
        <v>611313</v>
      </c>
      <c r="X196">
        <v>290250</v>
      </c>
      <c r="Y196">
        <v>0</v>
      </c>
      <c r="Z196">
        <v>0</v>
      </c>
      <c r="AA196">
        <v>0</v>
      </c>
      <c r="AB196">
        <v>290250</v>
      </c>
      <c r="AC196">
        <v>0</v>
      </c>
      <c r="AD196">
        <v>290250</v>
      </c>
      <c r="AE196">
        <v>-290250</v>
      </c>
      <c r="AF196">
        <v>0</v>
      </c>
      <c r="AG196">
        <v>-290250</v>
      </c>
      <c r="AH196">
        <v>-6820746</v>
      </c>
      <c r="AI196">
        <v>0</v>
      </c>
      <c r="AJ196">
        <v>-6820746</v>
      </c>
      <c r="AK196">
        <v>-23203</v>
      </c>
      <c r="AL196">
        <v>0</v>
      </c>
      <c r="AM196">
        <v>-23203</v>
      </c>
      <c r="AN196">
        <v>1911654</v>
      </c>
      <c r="AO196">
        <v>0</v>
      </c>
      <c r="AP196">
        <v>1911654</v>
      </c>
      <c r="AQ196">
        <v>-4909092</v>
      </c>
      <c r="AR196">
        <v>0</v>
      </c>
      <c r="AS196">
        <v>-4909092</v>
      </c>
      <c r="AT196">
        <v>-7875437</v>
      </c>
      <c r="AU196">
        <v>0</v>
      </c>
      <c r="AV196">
        <v>-7875437</v>
      </c>
      <c r="AW196">
        <v>-25693</v>
      </c>
      <c r="AX196">
        <v>0</v>
      </c>
      <c r="AY196">
        <v>-25693</v>
      </c>
      <c r="AZ196">
        <v>0</v>
      </c>
      <c r="BA196">
        <v>0</v>
      </c>
      <c r="BB196">
        <v>0</v>
      </c>
      <c r="BC196">
        <v>0</v>
      </c>
      <c r="BD196">
        <v>0</v>
      </c>
      <c r="BE196">
        <v>0</v>
      </c>
      <c r="BF196">
        <v>-12810222</v>
      </c>
      <c r="BG196">
        <v>0</v>
      </c>
      <c r="BH196">
        <v>0</v>
      </c>
      <c r="BI196">
        <v>0</v>
      </c>
      <c r="BJ196">
        <v>-12810222</v>
      </c>
      <c r="BK196">
        <v>0</v>
      </c>
      <c r="BL196">
        <v>-12810222</v>
      </c>
      <c r="BM196">
        <v>-75000</v>
      </c>
      <c r="BN196">
        <v>0</v>
      </c>
      <c r="BO196">
        <v>-75000</v>
      </c>
      <c r="BP196">
        <v>-4760361</v>
      </c>
      <c r="BQ196">
        <v>0</v>
      </c>
      <c r="BR196">
        <v>-4760361</v>
      </c>
      <c r="BS196">
        <v>-4835361</v>
      </c>
      <c r="BT196">
        <v>0</v>
      </c>
      <c r="BU196">
        <v>0</v>
      </c>
      <c r="BV196">
        <v>0</v>
      </c>
      <c r="BW196">
        <v>-4835361</v>
      </c>
      <c r="BX196">
        <v>0</v>
      </c>
      <c r="BY196">
        <v>-4835361</v>
      </c>
      <c r="BZ196">
        <v>-127037</v>
      </c>
      <c r="CA196">
        <v>0</v>
      </c>
      <c r="CB196">
        <v>-127037</v>
      </c>
      <c r="CC196">
        <v>-101629</v>
      </c>
      <c r="CD196">
        <v>0</v>
      </c>
      <c r="CE196">
        <v>-101629</v>
      </c>
      <c r="CF196">
        <v>0</v>
      </c>
      <c r="CG196">
        <v>0</v>
      </c>
      <c r="CH196">
        <v>0</v>
      </c>
      <c r="CI196">
        <v>0</v>
      </c>
      <c r="CJ196">
        <v>0</v>
      </c>
      <c r="CK196">
        <v>0</v>
      </c>
      <c r="CL196">
        <v>0</v>
      </c>
      <c r="CM196">
        <v>0</v>
      </c>
      <c r="CN196">
        <v>0</v>
      </c>
      <c r="CO196">
        <v>0</v>
      </c>
      <c r="CP196">
        <v>0</v>
      </c>
      <c r="CQ196">
        <v>0</v>
      </c>
      <c r="CR196">
        <v>0</v>
      </c>
      <c r="CS196">
        <v>0</v>
      </c>
      <c r="CT196">
        <v>-228666</v>
      </c>
      <c r="CU196">
        <v>0</v>
      </c>
      <c r="CV196">
        <v>0</v>
      </c>
      <c r="CW196">
        <v>0</v>
      </c>
      <c r="CX196">
        <v>-228666</v>
      </c>
      <c r="CY196">
        <v>0</v>
      </c>
      <c r="CZ196">
        <v>-228666</v>
      </c>
      <c r="DA196">
        <v>0</v>
      </c>
      <c r="DB196">
        <v>0</v>
      </c>
      <c r="DC196">
        <v>0</v>
      </c>
      <c r="DD196">
        <v>-25000</v>
      </c>
      <c r="DE196">
        <v>0</v>
      </c>
      <c r="DF196">
        <v>-25000</v>
      </c>
      <c r="DG196">
        <v>-13828</v>
      </c>
      <c r="DH196">
        <v>0</v>
      </c>
      <c r="DI196">
        <v>-13828</v>
      </c>
      <c r="DJ196">
        <v>-1900468</v>
      </c>
      <c r="DK196">
        <v>0</v>
      </c>
      <c r="DL196">
        <v>-1900468</v>
      </c>
      <c r="DM196">
        <v>-1939296</v>
      </c>
      <c r="DN196">
        <v>0</v>
      </c>
      <c r="DO196">
        <v>0</v>
      </c>
      <c r="DP196">
        <v>0</v>
      </c>
      <c r="DQ196">
        <v>-1939296</v>
      </c>
      <c r="DR196">
        <v>0</v>
      </c>
      <c r="DS196">
        <v>-1939296</v>
      </c>
      <c r="DT196">
        <v>78182763</v>
      </c>
      <c r="DU196">
        <v>0</v>
      </c>
      <c r="DV196" s="661">
        <v>78182763</v>
      </c>
      <c r="DW196" t="s">
        <v>1847</v>
      </c>
    </row>
    <row r="197" spans="1:127" ht="12.75" x14ac:dyDescent="0.2">
      <c r="A197" s="605">
        <v>190</v>
      </c>
      <c r="B197" s="606" t="s">
        <v>267</v>
      </c>
      <c r="C197" s="607" t="s">
        <v>524</v>
      </c>
      <c r="D197" s="608" t="s">
        <v>1188</v>
      </c>
      <c r="E197" s="609" t="s">
        <v>601</v>
      </c>
      <c r="G197">
        <v>336092713</v>
      </c>
      <c r="H197">
        <v>26428363</v>
      </c>
      <c r="I197">
        <v>362521076</v>
      </c>
      <c r="J197">
        <v>49.9</v>
      </c>
      <c r="K197">
        <v>167710264</v>
      </c>
      <c r="L197">
        <v>13187753</v>
      </c>
      <c r="M197">
        <v>0</v>
      </c>
      <c r="N197">
        <v>0</v>
      </c>
      <c r="O197">
        <v>167710264</v>
      </c>
      <c r="P197">
        <v>13187753</v>
      </c>
      <c r="Q197">
        <v>180898017</v>
      </c>
      <c r="R197">
        <v>-1916858</v>
      </c>
      <c r="S197">
        <v>-47991</v>
      </c>
      <c r="T197">
        <v>-1964849</v>
      </c>
      <c r="U197">
        <v>404886</v>
      </c>
      <c r="V197">
        <v>1163</v>
      </c>
      <c r="W197">
        <v>406049</v>
      </c>
      <c r="X197">
        <v>-1511972</v>
      </c>
      <c r="Y197">
        <v>-46828</v>
      </c>
      <c r="Z197">
        <v>0</v>
      </c>
      <c r="AA197">
        <v>0</v>
      </c>
      <c r="AB197">
        <v>-1511972</v>
      </c>
      <c r="AC197">
        <v>-46828</v>
      </c>
      <c r="AD197">
        <v>-1558800</v>
      </c>
      <c r="AE197">
        <v>1511972</v>
      </c>
      <c r="AF197">
        <v>46828</v>
      </c>
      <c r="AG197">
        <v>1558800</v>
      </c>
      <c r="AH197">
        <v>-9273600</v>
      </c>
      <c r="AI197">
        <v>-641891</v>
      </c>
      <c r="AJ197">
        <v>-9915491</v>
      </c>
      <c r="AK197">
        <v>-33806</v>
      </c>
      <c r="AL197">
        <v>-5988</v>
      </c>
      <c r="AM197">
        <v>-39794</v>
      </c>
      <c r="AN197">
        <v>3440595</v>
      </c>
      <c r="AO197">
        <v>258969</v>
      </c>
      <c r="AP197">
        <v>3699564</v>
      </c>
      <c r="AQ197">
        <v>-5833005</v>
      </c>
      <c r="AR197">
        <v>-382922</v>
      </c>
      <c r="AS197">
        <v>-6215927</v>
      </c>
      <c r="AT197">
        <v>-16617110</v>
      </c>
      <c r="AU197">
        <v>-838277</v>
      </c>
      <c r="AV197">
        <v>-17455387</v>
      </c>
      <c r="AW197">
        <v>-70245</v>
      </c>
      <c r="AX197">
        <v>0</v>
      </c>
      <c r="AY197">
        <v>-70245</v>
      </c>
      <c r="AZ197">
        <v>0</v>
      </c>
      <c r="BA197">
        <v>0</v>
      </c>
      <c r="BB197">
        <v>0</v>
      </c>
      <c r="BC197">
        <v>0</v>
      </c>
      <c r="BD197">
        <v>0</v>
      </c>
      <c r="BE197">
        <v>0</v>
      </c>
      <c r="BF197">
        <v>-22520360</v>
      </c>
      <c r="BG197">
        <v>-1221199</v>
      </c>
      <c r="BH197">
        <v>0</v>
      </c>
      <c r="BI197">
        <v>0</v>
      </c>
      <c r="BJ197">
        <v>-22520360</v>
      </c>
      <c r="BK197">
        <v>-1221199</v>
      </c>
      <c r="BL197">
        <v>-23741559</v>
      </c>
      <c r="BM197">
        <v>-372000</v>
      </c>
      <c r="BN197">
        <v>-28000</v>
      </c>
      <c r="BO197">
        <v>-400000</v>
      </c>
      <c r="BP197">
        <v>-7100155</v>
      </c>
      <c r="BQ197">
        <v>-542803</v>
      </c>
      <c r="BR197">
        <v>-7642958</v>
      </c>
      <c r="BS197">
        <v>-7472155</v>
      </c>
      <c r="BT197">
        <v>-570803</v>
      </c>
      <c r="BU197">
        <v>0</v>
      </c>
      <c r="BV197">
        <v>0</v>
      </c>
      <c r="BW197">
        <v>-7472155</v>
      </c>
      <c r="BX197">
        <v>-570803</v>
      </c>
      <c r="BY197">
        <v>-8042958</v>
      </c>
      <c r="BZ197">
        <v>-183010</v>
      </c>
      <c r="CA197">
        <v>-1100</v>
      </c>
      <c r="CB197">
        <v>-184110</v>
      </c>
      <c r="CC197">
        <v>-288663</v>
      </c>
      <c r="CD197">
        <v>-14908</v>
      </c>
      <c r="CE197">
        <v>-303571</v>
      </c>
      <c r="CF197">
        <v>-883</v>
      </c>
      <c r="CG197">
        <v>0</v>
      </c>
      <c r="CH197">
        <v>-883</v>
      </c>
      <c r="CI197">
        <v>0</v>
      </c>
      <c r="CJ197">
        <v>0</v>
      </c>
      <c r="CK197">
        <v>0</v>
      </c>
      <c r="CL197">
        <v>0</v>
      </c>
      <c r="CM197">
        <v>0</v>
      </c>
      <c r="CN197">
        <v>0</v>
      </c>
      <c r="CO197">
        <v>0</v>
      </c>
      <c r="CP197">
        <v>0</v>
      </c>
      <c r="CQ197">
        <v>0</v>
      </c>
      <c r="CR197">
        <v>0</v>
      </c>
      <c r="CS197">
        <v>0</v>
      </c>
      <c r="CT197">
        <v>-472556</v>
      </c>
      <c r="CU197">
        <v>-16008</v>
      </c>
      <c r="CV197">
        <v>0</v>
      </c>
      <c r="CW197">
        <v>0</v>
      </c>
      <c r="CX197">
        <v>-472556</v>
      </c>
      <c r="CY197">
        <v>-16008</v>
      </c>
      <c r="CZ197">
        <v>-488564</v>
      </c>
      <c r="DA197">
        <v>0</v>
      </c>
      <c r="DB197">
        <v>0</v>
      </c>
      <c r="DC197">
        <v>0</v>
      </c>
      <c r="DD197">
        <v>-72135</v>
      </c>
      <c r="DE197">
        <v>-9692</v>
      </c>
      <c r="DF197">
        <v>-81827</v>
      </c>
      <c r="DG197">
        <v>-28830</v>
      </c>
      <c r="DH197">
        <v>-2170</v>
      </c>
      <c r="DI197">
        <v>-31000</v>
      </c>
      <c r="DJ197">
        <v>-2276995</v>
      </c>
      <c r="DK197">
        <v>-229584</v>
      </c>
      <c r="DL197">
        <v>-2506579</v>
      </c>
      <c r="DM197">
        <v>-2377960</v>
      </c>
      <c r="DN197">
        <v>-241446</v>
      </c>
      <c r="DO197">
        <v>0</v>
      </c>
      <c r="DP197">
        <v>0</v>
      </c>
      <c r="DQ197">
        <v>-2377960</v>
      </c>
      <c r="DR197">
        <v>-241446</v>
      </c>
      <c r="DS197">
        <v>-2619406</v>
      </c>
      <c r="DT197">
        <v>133355261</v>
      </c>
      <c r="DU197">
        <v>11091469</v>
      </c>
      <c r="DV197" s="661">
        <v>144446730</v>
      </c>
      <c r="DW197" t="s">
        <v>1848</v>
      </c>
    </row>
    <row r="198" spans="1:127" ht="12.75" x14ac:dyDescent="0.2">
      <c r="A198" s="605">
        <v>191</v>
      </c>
      <c r="B198" s="606" t="s">
        <v>269</v>
      </c>
      <c r="C198" s="607" t="s">
        <v>1185</v>
      </c>
      <c r="D198" s="608" t="s">
        <v>1195</v>
      </c>
      <c r="E198" s="609" t="s">
        <v>268</v>
      </c>
      <c r="G198">
        <v>88007741</v>
      </c>
      <c r="H198">
        <v>0</v>
      </c>
      <c r="I198">
        <v>88007741</v>
      </c>
      <c r="J198">
        <v>49.9</v>
      </c>
      <c r="K198">
        <v>43915863</v>
      </c>
      <c r="L198">
        <v>0</v>
      </c>
      <c r="M198">
        <v>351888</v>
      </c>
      <c r="N198">
        <v>0</v>
      </c>
      <c r="O198">
        <v>44267751</v>
      </c>
      <c r="P198">
        <v>0</v>
      </c>
      <c r="Q198">
        <v>44267751</v>
      </c>
      <c r="R198">
        <v>-81354</v>
      </c>
      <c r="S198">
        <v>0</v>
      </c>
      <c r="T198">
        <v>-81354</v>
      </c>
      <c r="U198">
        <v>165017</v>
      </c>
      <c r="V198">
        <v>0</v>
      </c>
      <c r="W198">
        <v>165017</v>
      </c>
      <c r="X198">
        <v>83663</v>
      </c>
      <c r="Y198">
        <v>0</v>
      </c>
      <c r="Z198">
        <v>0</v>
      </c>
      <c r="AA198">
        <v>0</v>
      </c>
      <c r="AB198">
        <v>83663</v>
      </c>
      <c r="AC198">
        <v>0</v>
      </c>
      <c r="AD198">
        <v>83663</v>
      </c>
      <c r="AE198">
        <v>-83663</v>
      </c>
      <c r="AF198">
        <v>0</v>
      </c>
      <c r="AG198">
        <v>-83663</v>
      </c>
      <c r="AH198">
        <v>-3730155</v>
      </c>
      <c r="AI198">
        <v>0</v>
      </c>
      <c r="AJ198">
        <v>-3730155</v>
      </c>
      <c r="AK198">
        <v>0</v>
      </c>
      <c r="AL198">
        <v>0</v>
      </c>
      <c r="AM198">
        <v>0</v>
      </c>
      <c r="AN198">
        <v>764838</v>
      </c>
      <c r="AO198">
        <v>0</v>
      </c>
      <c r="AP198">
        <v>764838</v>
      </c>
      <c r="AQ198">
        <v>-2965317</v>
      </c>
      <c r="AR198">
        <v>0</v>
      </c>
      <c r="AS198">
        <v>-2965317</v>
      </c>
      <c r="AT198">
        <v>-2304085</v>
      </c>
      <c r="AU198">
        <v>0</v>
      </c>
      <c r="AV198">
        <v>-2304085</v>
      </c>
      <c r="AW198">
        <v>-17039</v>
      </c>
      <c r="AX198">
        <v>0</v>
      </c>
      <c r="AY198">
        <v>-17039</v>
      </c>
      <c r="AZ198">
        <v>0</v>
      </c>
      <c r="BA198">
        <v>0</v>
      </c>
      <c r="BB198">
        <v>0</v>
      </c>
      <c r="BC198">
        <v>0</v>
      </c>
      <c r="BD198">
        <v>0</v>
      </c>
      <c r="BE198">
        <v>0</v>
      </c>
      <c r="BF198">
        <v>-5286441</v>
      </c>
      <c r="BG198">
        <v>0</v>
      </c>
      <c r="BH198">
        <v>0</v>
      </c>
      <c r="BI198">
        <v>0</v>
      </c>
      <c r="BJ198">
        <v>-5286441</v>
      </c>
      <c r="BK198">
        <v>0</v>
      </c>
      <c r="BL198">
        <v>-5286441</v>
      </c>
      <c r="BM198">
        <v>0</v>
      </c>
      <c r="BN198">
        <v>0</v>
      </c>
      <c r="BO198">
        <v>0</v>
      </c>
      <c r="BP198">
        <v>-1100000</v>
      </c>
      <c r="BQ198">
        <v>0</v>
      </c>
      <c r="BR198">
        <v>-1100000</v>
      </c>
      <c r="BS198">
        <v>-1100000</v>
      </c>
      <c r="BT198">
        <v>0</v>
      </c>
      <c r="BU198">
        <v>0</v>
      </c>
      <c r="BV198">
        <v>0</v>
      </c>
      <c r="BW198">
        <v>-1100000</v>
      </c>
      <c r="BX198">
        <v>0</v>
      </c>
      <c r="BY198">
        <v>-1100000</v>
      </c>
      <c r="BZ198">
        <v>-12533</v>
      </c>
      <c r="CA198">
        <v>0</v>
      </c>
      <c r="CB198">
        <v>-12533</v>
      </c>
      <c r="CC198">
        <v>-23952</v>
      </c>
      <c r="CD198">
        <v>0</v>
      </c>
      <c r="CE198">
        <v>-23952</v>
      </c>
      <c r="CF198">
        <v>0</v>
      </c>
      <c r="CG198">
        <v>0</v>
      </c>
      <c r="CH198">
        <v>0</v>
      </c>
      <c r="CI198">
        <v>0</v>
      </c>
      <c r="CJ198">
        <v>0</v>
      </c>
      <c r="CK198">
        <v>0</v>
      </c>
      <c r="CL198">
        <v>0</v>
      </c>
      <c r="CM198">
        <v>0</v>
      </c>
      <c r="CN198">
        <v>0</v>
      </c>
      <c r="CO198">
        <v>0</v>
      </c>
      <c r="CP198">
        <v>0</v>
      </c>
      <c r="CQ198">
        <v>0</v>
      </c>
      <c r="CR198">
        <v>0</v>
      </c>
      <c r="CS198">
        <v>0</v>
      </c>
      <c r="CT198">
        <v>-36485</v>
      </c>
      <c r="CU198">
        <v>0</v>
      </c>
      <c r="CV198">
        <v>0</v>
      </c>
      <c r="CW198">
        <v>0</v>
      </c>
      <c r="CX198">
        <v>-36485</v>
      </c>
      <c r="CY198">
        <v>0</v>
      </c>
      <c r="CZ198">
        <v>-36485</v>
      </c>
      <c r="DA198">
        <v>0</v>
      </c>
      <c r="DB198">
        <v>0</v>
      </c>
      <c r="DC198">
        <v>0</v>
      </c>
      <c r="DD198">
        <v>-7932</v>
      </c>
      <c r="DE198">
        <v>0</v>
      </c>
      <c r="DF198">
        <v>-7932</v>
      </c>
      <c r="DG198">
        <v>-4000</v>
      </c>
      <c r="DH198">
        <v>0</v>
      </c>
      <c r="DI198">
        <v>-4000</v>
      </c>
      <c r="DJ198">
        <v>-1181496</v>
      </c>
      <c r="DK198">
        <v>0</v>
      </c>
      <c r="DL198">
        <v>-1181496</v>
      </c>
      <c r="DM198">
        <v>-1193428</v>
      </c>
      <c r="DN198">
        <v>0</v>
      </c>
      <c r="DO198">
        <v>0</v>
      </c>
      <c r="DP198">
        <v>0</v>
      </c>
      <c r="DQ198">
        <v>-1193428</v>
      </c>
      <c r="DR198">
        <v>0</v>
      </c>
      <c r="DS198">
        <v>-1193428</v>
      </c>
      <c r="DT198">
        <v>36735060</v>
      </c>
      <c r="DU198">
        <v>0</v>
      </c>
      <c r="DV198" s="661">
        <v>36735060</v>
      </c>
      <c r="DW198" t="s">
        <v>1849</v>
      </c>
    </row>
    <row r="199" spans="1:127" ht="12.75" x14ac:dyDescent="0.2">
      <c r="A199" s="605">
        <v>192</v>
      </c>
      <c r="B199" s="606" t="s">
        <v>271</v>
      </c>
      <c r="C199" s="607" t="s">
        <v>1185</v>
      </c>
      <c r="D199" s="608" t="s">
        <v>1188</v>
      </c>
      <c r="E199" s="609" t="s">
        <v>270</v>
      </c>
      <c r="G199">
        <v>34928012</v>
      </c>
      <c r="H199">
        <v>0</v>
      </c>
      <c r="I199">
        <v>34928012</v>
      </c>
      <c r="J199">
        <v>49.9</v>
      </c>
      <c r="K199">
        <v>17429078</v>
      </c>
      <c r="L199">
        <v>0</v>
      </c>
      <c r="M199">
        <v>60000</v>
      </c>
      <c r="N199">
        <v>0</v>
      </c>
      <c r="O199">
        <v>17489078</v>
      </c>
      <c r="P199">
        <v>0</v>
      </c>
      <c r="Q199">
        <v>17489078</v>
      </c>
      <c r="R199">
        <v>-68019</v>
      </c>
      <c r="S199">
        <v>0</v>
      </c>
      <c r="T199">
        <v>-68019</v>
      </c>
      <c r="U199">
        <v>1500</v>
      </c>
      <c r="V199">
        <v>0</v>
      </c>
      <c r="W199">
        <v>1500</v>
      </c>
      <c r="X199">
        <v>-66519</v>
      </c>
      <c r="Y199">
        <v>0</v>
      </c>
      <c r="Z199">
        <v>0</v>
      </c>
      <c r="AA199">
        <v>0</v>
      </c>
      <c r="AB199">
        <v>-66519</v>
      </c>
      <c r="AC199">
        <v>0</v>
      </c>
      <c r="AD199">
        <v>-66519</v>
      </c>
      <c r="AE199">
        <v>66519</v>
      </c>
      <c r="AF199">
        <v>0</v>
      </c>
      <c r="AG199">
        <v>66519</v>
      </c>
      <c r="AH199">
        <v>-1904217</v>
      </c>
      <c r="AI199">
        <v>0</v>
      </c>
      <c r="AJ199">
        <v>-1904217</v>
      </c>
      <c r="AK199">
        <v>-15040</v>
      </c>
      <c r="AL199">
        <v>0</v>
      </c>
      <c r="AM199">
        <v>-15040</v>
      </c>
      <c r="AN199">
        <v>285523</v>
      </c>
      <c r="AO199">
        <v>0</v>
      </c>
      <c r="AP199">
        <v>285523</v>
      </c>
      <c r="AQ199">
        <v>-1618694</v>
      </c>
      <c r="AR199">
        <v>0</v>
      </c>
      <c r="AS199">
        <v>-1618694</v>
      </c>
      <c r="AT199">
        <v>-1956249</v>
      </c>
      <c r="AU199">
        <v>0</v>
      </c>
      <c r="AV199">
        <v>-1956249</v>
      </c>
      <c r="AW199">
        <v>0</v>
      </c>
      <c r="AX199">
        <v>0</v>
      </c>
      <c r="AY199">
        <v>0</v>
      </c>
      <c r="AZ199">
        <v>0</v>
      </c>
      <c r="BA199">
        <v>0</v>
      </c>
      <c r="BB199">
        <v>0</v>
      </c>
      <c r="BC199">
        <v>0</v>
      </c>
      <c r="BD199">
        <v>0</v>
      </c>
      <c r="BE199">
        <v>0</v>
      </c>
      <c r="BF199">
        <v>-3574943</v>
      </c>
      <c r="BG199">
        <v>0</v>
      </c>
      <c r="BH199">
        <v>5000</v>
      </c>
      <c r="BI199">
        <v>0</v>
      </c>
      <c r="BJ199">
        <v>-3569943</v>
      </c>
      <c r="BK199">
        <v>0</v>
      </c>
      <c r="BL199">
        <v>-3569943</v>
      </c>
      <c r="BM199">
        <v>0</v>
      </c>
      <c r="BN199">
        <v>0</v>
      </c>
      <c r="BO199">
        <v>0</v>
      </c>
      <c r="BP199">
        <v>-82451</v>
      </c>
      <c r="BQ199">
        <v>0</v>
      </c>
      <c r="BR199">
        <v>-82451</v>
      </c>
      <c r="BS199">
        <v>-82451</v>
      </c>
      <c r="BT199">
        <v>0</v>
      </c>
      <c r="BU199">
        <v>-70000</v>
      </c>
      <c r="BV199">
        <v>0</v>
      </c>
      <c r="BW199">
        <v>-152451</v>
      </c>
      <c r="BX199">
        <v>0</v>
      </c>
      <c r="BY199">
        <v>-152451</v>
      </c>
      <c r="BZ199">
        <v>-104940</v>
      </c>
      <c r="CA199">
        <v>0</v>
      </c>
      <c r="CB199">
        <v>-104940</v>
      </c>
      <c r="CC199">
        <v>-14052</v>
      </c>
      <c r="CD199">
        <v>0</v>
      </c>
      <c r="CE199">
        <v>-14052</v>
      </c>
      <c r="CF199">
        <v>0</v>
      </c>
      <c r="CG199">
        <v>0</v>
      </c>
      <c r="CH199">
        <v>0</v>
      </c>
      <c r="CI199">
        <v>0</v>
      </c>
      <c r="CJ199">
        <v>0</v>
      </c>
      <c r="CK199">
        <v>0</v>
      </c>
      <c r="CL199">
        <v>0</v>
      </c>
      <c r="CM199">
        <v>0</v>
      </c>
      <c r="CN199">
        <v>0</v>
      </c>
      <c r="CO199">
        <v>0</v>
      </c>
      <c r="CP199">
        <v>0</v>
      </c>
      <c r="CQ199">
        <v>0</v>
      </c>
      <c r="CR199">
        <v>0</v>
      </c>
      <c r="CS199">
        <v>0</v>
      </c>
      <c r="CT199">
        <v>-118992</v>
      </c>
      <c r="CU199">
        <v>0</v>
      </c>
      <c r="CV199">
        <v>0</v>
      </c>
      <c r="CW199">
        <v>0</v>
      </c>
      <c r="CX199">
        <v>-118992</v>
      </c>
      <c r="CY199">
        <v>0</v>
      </c>
      <c r="CZ199">
        <v>-118992</v>
      </c>
      <c r="DA199">
        <v>0</v>
      </c>
      <c r="DB199">
        <v>0</v>
      </c>
      <c r="DC199">
        <v>0</v>
      </c>
      <c r="DD199">
        <v>-2452</v>
      </c>
      <c r="DE199">
        <v>0</v>
      </c>
      <c r="DF199">
        <v>-2452</v>
      </c>
      <c r="DG199">
        <v>0</v>
      </c>
      <c r="DH199">
        <v>0</v>
      </c>
      <c r="DI199">
        <v>0</v>
      </c>
      <c r="DJ199">
        <v>-372479</v>
      </c>
      <c r="DK199">
        <v>0</v>
      </c>
      <c r="DL199">
        <v>-372479</v>
      </c>
      <c r="DM199">
        <v>-374931</v>
      </c>
      <c r="DN199">
        <v>0</v>
      </c>
      <c r="DO199">
        <v>0</v>
      </c>
      <c r="DP199">
        <v>0</v>
      </c>
      <c r="DQ199">
        <v>-374931</v>
      </c>
      <c r="DR199">
        <v>0</v>
      </c>
      <c r="DS199">
        <v>-374931</v>
      </c>
      <c r="DT199">
        <v>13206242</v>
      </c>
      <c r="DU199">
        <v>0</v>
      </c>
      <c r="DV199" s="661">
        <v>13206242</v>
      </c>
      <c r="DW199" t="s">
        <v>1850</v>
      </c>
    </row>
    <row r="200" spans="1:127" ht="12.75" x14ac:dyDescent="0.2">
      <c r="A200" s="605">
        <v>193</v>
      </c>
      <c r="B200" s="606" t="s">
        <v>273</v>
      </c>
      <c r="C200" s="607" t="s">
        <v>1192</v>
      </c>
      <c r="D200" s="608" t="s">
        <v>1187</v>
      </c>
      <c r="E200" s="609" t="s">
        <v>272</v>
      </c>
      <c r="G200">
        <v>157140541</v>
      </c>
      <c r="H200">
        <v>0</v>
      </c>
      <c r="I200">
        <v>157140541</v>
      </c>
      <c r="J200">
        <v>49.9</v>
      </c>
      <c r="K200">
        <v>78413130</v>
      </c>
      <c r="L200">
        <v>0</v>
      </c>
      <c r="M200">
        <v>-1780710</v>
      </c>
      <c r="N200">
        <v>0</v>
      </c>
      <c r="O200">
        <v>76632420</v>
      </c>
      <c r="P200">
        <v>0</v>
      </c>
      <c r="Q200">
        <v>76632420</v>
      </c>
      <c r="R200">
        <v>-229781</v>
      </c>
      <c r="S200">
        <v>0</v>
      </c>
      <c r="T200">
        <v>-229781</v>
      </c>
      <c r="U200">
        <v>670617</v>
      </c>
      <c r="V200">
        <v>0</v>
      </c>
      <c r="W200">
        <v>670617</v>
      </c>
      <c r="X200">
        <v>440836</v>
      </c>
      <c r="Y200">
        <v>0</v>
      </c>
      <c r="Z200">
        <v>0</v>
      </c>
      <c r="AA200">
        <v>0</v>
      </c>
      <c r="AB200">
        <v>440836</v>
      </c>
      <c r="AC200">
        <v>0</v>
      </c>
      <c r="AD200">
        <v>440836</v>
      </c>
      <c r="AE200">
        <v>-440836</v>
      </c>
      <c r="AF200">
        <v>0</v>
      </c>
      <c r="AG200">
        <v>-440836</v>
      </c>
      <c r="AH200">
        <v>-10570431</v>
      </c>
      <c r="AI200">
        <v>0</v>
      </c>
      <c r="AJ200">
        <v>-10570431</v>
      </c>
      <c r="AK200">
        <v>0</v>
      </c>
      <c r="AL200">
        <v>0</v>
      </c>
      <c r="AM200">
        <v>0</v>
      </c>
      <c r="AN200">
        <v>1332608</v>
      </c>
      <c r="AO200">
        <v>0</v>
      </c>
      <c r="AP200">
        <v>1332608</v>
      </c>
      <c r="AQ200">
        <v>-9237823</v>
      </c>
      <c r="AR200">
        <v>0</v>
      </c>
      <c r="AS200">
        <v>-9237823</v>
      </c>
      <c r="AT200">
        <v>-6576828</v>
      </c>
      <c r="AU200">
        <v>0</v>
      </c>
      <c r="AV200">
        <v>-6576828</v>
      </c>
      <c r="AW200">
        <v>-93481</v>
      </c>
      <c r="AX200">
        <v>0</v>
      </c>
      <c r="AY200">
        <v>-93481</v>
      </c>
      <c r="AZ200">
        <v>-2560</v>
      </c>
      <c r="BA200">
        <v>0</v>
      </c>
      <c r="BB200">
        <v>-2560</v>
      </c>
      <c r="BC200">
        <v>0</v>
      </c>
      <c r="BD200">
        <v>0</v>
      </c>
      <c r="BE200">
        <v>0</v>
      </c>
      <c r="BF200">
        <v>-15910692</v>
      </c>
      <c r="BG200">
        <v>0</v>
      </c>
      <c r="BH200">
        <v>0</v>
      </c>
      <c r="BI200">
        <v>0</v>
      </c>
      <c r="BJ200">
        <v>-15910692</v>
      </c>
      <c r="BK200">
        <v>0</v>
      </c>
      <c r="BL200">
        <v>-15910692</v>
      </c>
      <c r="BM200">
        <v>0</v>
      </c>
      <c r="BN200">
        <v>0</v>
      </c>
      <c r="BO200">
        <v>0</v>
      </c>
      <c r="BP200">
        <v>-1940103</v>
      </c>
      <c r="BQ200">
        <v>0</v>
      </c>
      <c r="BR200">
        <v>-1940103</v>
      </c>
      <c r="BS200">
        <v>-1940103</v>
      </c>
      <c r="BT200">
        <v>0</v>
      </c>
      <c r="BU200">
        <v>0</v>
      </c>
      <c r="BV200">
        <v>0</v>
      </c>
      <c r="BW200">
        <v>-1940103</v>
      </c>
      <c r="BX200">
        <v>0</v>
      </c>
      <c r="BY200">
        <v>-1940103</v>
      </c>
      <c r="BZ200">
        <v>-277240</v>
      </c>
      <c r="CA200">
        <v>0</v>
      </c>
      <c r="CB200">
        <v>-277240</v>
      </c>
      <c r="CC200">
        <v>-119529</v>
      </c>
      <c r="CD200">
        <v>0</v>
      </c>
      <c r="CE200">
        <v>-119529</v>
      </c>
      <c r="CF200">
        <v>-1257</v>
      </c>
      <c r="CG200">
        <v>0</v>
      </c>
      <c r="CH200">
        <v>-1257</v>
      </c>
      <c r="CI200">
        <v>-922</v>
      </c>
      <c r="CJ200">
        <v>0</v>
      </c>
      <c r="CK200">
        <v>-922</v>
      </c>
      <c r="CL200">
        <v>0</v>
      </c>
      <c r="CM200">
        <v>0</v>
      </c>
      <c r="CN200">
        <v>0</v>
      </c>
      <c r="CO200">
        <v>0</v>
      </c>
      <c r="CP200">
        <v>0</v>
      </c>
      <c r="CQ200">
        <v>0</v>
      </c>
      <c r="CR200">
        <v>0</v>
      </c>
      <c r="CS200">
        <v>0</v>
      </c>
      <c r="CT200">
        <v>-398948</v>
      </c>
      <c r="CU200">
        <v>0</v>
      </c>
      <c r="CV200">
        <v>0</v>
      </c>
      <c r="CW200">
        <v>0</v>
      </c>
      <c r="CX200">
        <v>-398948</v>
      </c>
      <c r="CY200">
        <v>0</v>
      </c>
      <c r="CZ200">
        <v>-398948</v>
      </c>
      <c r="DA200">
        <v>0</v>
      </c>
      <c r="DB200">
        <v>0</v>
      </c>
      <c r="DC200">
        <v>0</v>
      </c>
      <c r="DD200">
        <v>-13892</v>
      </c>
      <c r="DE200">
        <v>0</v>
      </c>
      <c r="DF200">
        <v>-13892</v>
      </c>
      <c r="DG200">
        <v>-8595</v>
      </c>
      <c r="DH200">
        <v>0</v>
      </c>
      <c r="DI200">
        <v>-8595</v>
      </c>
      <c r="DJ200">
        <v>-1245374</v>
      </c>
      <c r="DK200">
        <v>0</v>
      </c>
      <c r="DL200">
        <v>-1245374</v>
      </c>
      <c r="DM200">
        <v>-1267861</v>
      </c>
      <c r="DN200">
        <v>0</v>
      </c>
      <c r="DO200">
        <v>0</v>
      </c>
      <c r="DP200">
        <v>0</v>
      </c>
      <c r="DQ200">
        <v>-1267861</v>
      </c>
      <c r="DR200">
        <v>0</v>
      </c>
      <c r="DS200">
        <v>-1267861</v>
      </c>
      <c r="DT200">
        <v>57555652</v>
      </c>
      <c r="DU200">
        <v>0</v>
      </c>
      <c r="DV200" s="661">
        <v>57555652</v>
      </c>
      <c r="DW200" t="s">
        <v>1851</v>
      </c>
    </row>
    <row r="201" spans="1:127" ht="12.75" x14ac:dyDescent="0.2">
      <c r="A201" s="605">
        <v>194</v>
      </c>
      <c r="B201" s="606" t="s">
        <v>275</v>
      </c>
      <c r="C201" s="607" t="s">
        <v>1185</v>
      </c>
      <c r="D201" s="608" t="s">
        <v>1186</v>
      </c>
      <c r="E201" s="609" t="s">
        <v>274</v>
      </c>
      <c r="G201">
        <v>283272735</v>
      </c>
      <c r="H201">
        <v>0</v>
      </c>
      <c r="I201">
        <v>283272735</v>
      </c>
      <c r="J201">
        <v>49.9</v>
      </c>
      <c r="K201">
        <v>141353095</v>
      </c>
      <c r="L201">
        <v>0</v>
      </c>
      <c r="M201">
        <v>0</v>
      </c>
      <c r="N201">
        <v>0</v>
      </c>
      <c r="O201">
        <v>141353095</v>
      </c>
      <c r="P201">
        <v>0</v>
      </c>
      <c r="Q201">
        <v>141353095</v>
      </c>
      <c r="R201">
        <v>-272331</v>
      </c>
      <c r="S201">
        <v>0</v>
      </c>
      <c r="T201">
        <v>-272331</v>
      </c>
      <c r="U201">
        <v>303071</v>
      </c>
      <c r="V201">
        <v>0</v>
      </c>
      <c r="W201">
        <v>303071</v>
      </c>
      <c r="X201">
        <v>30740</v>
      </c>
      <c r="Y201">
        <v>0</v>
      </c>
      <c r="Z201">
        <v>0</v>
      </c>
      <c r="AA201">
        <v>0</v>
      </c>
      <c r="AB201">
        <v>30740</v>
      </c>
      <c r="AC201">
        <v>0</v>
      </c>
      <c r="AD201">
        <v>30740</v>
      </c>
      <c r="AE201">
        <v>-30740</v>
      </c>
      <c r="AF201">
        <v>0</v>
      </c>
      <c r="AG201">
        <v>-30740</v>
      </c>
      <c r="AH201">
        <v>-2557179</v>
      </c>
      <c r="AI201">
        <v>0</v>
      </c>
      <c r="AJ201">
        <v>-2557179</v>
      </c>
      <c r="AK201">
        <v>-3792</v>
      </c>
      <c r="AL201">
        <v>0</v>
      </c>
      <c r="AM201">
        <v>-3792</v>
      </c>
      <c r="AN201">
        <v>3132976</v>
      </c>
      <c r="AO201">
        <v>0</v>
      </c>
      <c r="AP201">
        <v>3132976</v>
      </c>
      <c r="AQ201">
        <v>575797</v>
      </c>
      <c r="AR201">
        <v>0</v>
      </c>
      <c r="AS201">
        <v>575797</v>
      </c>
      <c r="AT201">
        <v>-28641866</v>
      </c>
      <c r="AU201">
        <v>0</v>
      </c>
      <c r="AV201">
        <v>-28641866</v>
      </c>
      <c r="AW201">
        <v>-31867</v>
      </c>
      <c r="AX201">
        <v>0</v>
      </c>
      <c r="AY201">
        <v>-31867</v>
      </c>
      <c r="AZ201">
        <v>0</v>
      </c>
      <c r="BA201">
        <v>0</v>
      </c>
      <c r="BB201">
        <v>0</v>
      </c>
      <c r="BC201">
        <v>-138240</v>
      </c>
      <c r="BD201">
        <v>0</v>
      </c>
      <c r="BE201">
        <v>-138240</v>
      </c>
      <c r="BF201">
        <v>-28236176</v>
      </c>
      <c r="BG201">
        <v>0</v>
      </c>
      <c r="BH201">
        <v>0</v>
      </c>
      <c r="BI201">
        <v>0</v>
      </c>
      <c r="BJ201">
        <v>-28236176</v>
      </c>
      <c r="BK201">
        <v>0</v>
      </c>
      <c r="BL201">
        <v>-28236176</v>
      </c>
      <c r="BM201">
        <v>-100000</v>
      </c>
      <c r="BN201">
        <v>0</v>
      </c>
      <c r="BO201">
        <v>-100000</v>
      </c>
      <c r="BP201">
        <v>-2437396</v>
      </c>
      <c r="BQ201">
        <v>0</v>
      </c>
      <c r="BR201">
        <v>-2437396</v>
      </c>
      <c r="BS201">
        <v>-2537396</v>
      </c>
      <c r="BT201">
        <v>0</v>
      </c>
      <c r="BU201">
        <v>0</v>
      </c>
      <c r="BV201">
        <v>0</v>
      </c>
      <c r="BW201">
        <v>-2537396</v>
      </c>
      <c r="BX201">
        <v>0</v>
      </c>
      <c r="BY201">
        <v>-2537396</v>
      </c>
      <c r="BZ201">
        <v>0</v>
      </c>
      <c r="CA201">
        <v>0</v>
      </c>
      <c r="CB201">
        <v>0</v>
      </c>
      <c r="CC201">
        <v>-40209</v>
      </c>
      <c r="CD201">
        <v>0</v>
      </c>
      <c r="CE201">
        <v>-40209</v>
      </c>
      <c r="CF201">
        <v>0</v>
      </c>
      <c r="CG201">
        <v>0</v>
      </c>
      <c r="CH201">
        <v>0</v>
      </c>
      <c r="CI201">
        <v>0</v>
      </c>
      <c r="CJ201">
        <v>0</v>
      </c>
      <c r="CK201">
        <v>0</v>
      </c>
      <c r="CL201">
        <v>0</v>
      </c>
      <c r="CM201">
        <v>0</v>
      </c>
      <c r="CN201">
        <v>0</v>
      </c>
      <c r="CO201">
        <v>0</v>
      </c>
      <c r="CP201">
        <v>0</v>
      </c>
      <c r="CQ201">
        <v>0</v>
      </c>
      <c r="CR201">
        <v>0</v>
      </c>
      <c r="CS201">
        <v>0</v>
      </c>
      <c r="CT201">
        <v>-40209</v>
      </c>
      <c r="CU201">
        <v>0</v>
      </c>
      <c r="CV201">
        <v>0</v>
      </c>
      <c r="CW201">
        <v>0</v>
      </c>
      <c r="CX201">
        <v>-40209</v>
      </c>
      <c r="CY201">
        <v>0</v>
      </c>
      <c r="CZ201">
        <v>-40209</v>
      </c>
      <c r="DA201">
        <v>0</v>
      </c>
      <c r="DB201">
        <v>0</v>
      </c>
      <c r="DC201">
        <v>0</v>
      </c>
      <c r="DD201">
        <v>-2708</v>
      </c>
      <c r="DE201">
        <v>0</v>
      </c>
      <c r="DF201">
        <v>-2708</v>
      </c>
      <c r="DG201">
        <v>-14000</v>
      </c>
      <c r="DH201">
        <v>0</v>
      </c>
      <c r="DI201">
        <v>-14000</v>
      </c>
      <c r="DJ201">
        <v>-2602447</v>
      </c>
      <c r="DK201">
        <v>0</v>
      </c>
      <c r="DL201">
        <v>-2602447</v>
      </c>
      <c r="DM201">
        <v>-2619155</v>
      </c>
      <c r="DN201">
        <v>0</v>
      </c>
      <c r="DO201">
        <v>0</v>
      </c>
      <c r="DP201">
        <v>0</v>
      </c>
      <c r="DQ201">
        <v>-2619155</v>
      </c>
      <c r="DR201">
        <v>0</v>
      </c>
      <c r="DS201">
        <v>-2619155</v>
      </c>
      <c r="DT201">
        <v>107950899</v>
      </c>
      <c r="DU201">
        <v>0</v>
      </c>
      <c r="DV201" s="661">
        <v>107950899</v>
      </c>
      <c r="DW201" t="s">
        <v>1852</v>
      </c>
    </row>
    <row r="202" spans="1:127" ht="12.75" x14ac:dyDescent="0.2">
      <c r="A202" s="605">
        <v>195</v>
      </c>
      <c r="B202" s="606" t="s">
        <v>277</v>
      </c>
      <c r="C202" s="607" t="s">
        <v>1185</v>
      </c>
      <c r="D202" s="608" t="s">
        <v>1187</v>
      </c>
      <c r="E202" s="609" t="s">
        <v>276</v>
      </c>
      <c r="G202">
        <v>52852413</v>
      </c>
      <c r="H202">
        <v>0</v>
      </c>
      <c r="I202">
        <v>52852413</v>
      </c>
      <c r="J202">
        <v>49.9</v>
      </c>
      <c r="K202">
        <v>26373354</v>
      </c>
      <c r="L202">
        <v>0</v>
      </c>
      <c r="M202">
        <v>-263734</v>
      </c>
      <c r="N202">
        <v>0</v>
      </c>
      <c r="O202">
        <v>26109620</v>
      </c>
      <c r="P202">
        <v>0</v>
      </c>
      <c r="Q202">
        <v>26109620</v>
      </c>
      <c r="R202">
        <v>-97378</v>
      </c>
      <c r="S202">
        <v>0</v>
      </c>
      <c r="T202">
        <v>-97378</v>
      </c>
      <c r="U202">
        <v>48904</v>
      </c>
      <c r="V202">
        <v>0</v>
      </c>
      <c r="W202">
        <v>48904</v>
      </c>
      <c r="X202">
        <v>-48474</v>
      </c>
      <c r="Y202">
        <v>0</v>
      </c>
      <c r="Z202">
        <v>0</v>
      </c>
      <c r="AA202">
        <v>0</v>
      </c>
      <c r="AB202">
        <v>-48474</v>
      </c>
      <c r="AC202">
        <v>0</v>
      </c>
      <c r="AD202">
        <v>-48474</v>
      </c>
      <c r="AE202">
        <v>48474</v>
      </c>
      <c r="AF202">
        <v>0</v>
      </c>
      <c r="AG202">
        <v>48474</v>
      </c>
      <c r="AH202">
        <v>-3977753</v>
      </c>
      <c r="AI202">
        <v>0</v>
      </c>
      <c r="AJ202">
        <v>-3977753</v>
      </c>
      <c r="AK202">
        <v>0</v>
      </c>
      <c r="AL202">
        <v>0</v>
      </c>
      <c r="AM202">
        <v>0</v>
      </c>
      <c r="AN202">
        <v>417459</v>
      </c>
      <c r="AO202">
        <v>0</v>
      </c>
      <c r="AP202">
        <v>417459</v>
      </c>
      <c r="AQ202">
        <v>-3560294</v>
      </c>
      <c r="AR202">
        <v>0</v>
      </c>
      <c r="AS202">
        <v>-3560294</v>
      </c>
      <c r="AT202">
        <v>-1439883</v>
      </c>
      <c r="AU202">
        <v>0</v>
      </c>
      <c r="AV202">
        <v>-1439883</v>
      </c>
      <c r="AW202">
        <v>-1352</v>
      </c>
      <c r="AX202">
        <v>0</v>
      </c>
      <c r="AY202">
        <v>-1352</v>
      </c>
      <c r="AZ202">
        <v>0</v>
      </c>
      <c r="BA202">
        <v>0</v>
      </c>
      <c r="BB202">
        <v>0</v>
      </c>
      <c r="BC202">
        <v>0</v>
      </c>
      <c r="BD202">
        <v>0</v>
      </c>
      <c r="BE202">
        <v>0</v>
      </c>
      <c r="BF202">
        <v>-5001529</v>
      </c>
      <c r="BG202">
        <v>0</v>
      </c>
      <c r="BH202">
        <v>-150046</v>
      </c>
      <c r="BI202">
        <v>0</v>
      </c>
      <c r="BJ202">
        <v>-5151575</v>
      </c>
      <c r="BK202">
        <v>0</v>
      </c>
      <c r="BL202">
        <v>-5151575</v>
      </c>
      <c r="BM202">
        <v>0</v>
      </c>
      <c r="BN202">
        <v>0</v>
      </c>
      <c r="BO202">
        <v>0</v>
      </c>
      <c r="BP202">
        <v>-578032</v>
      </c>
      <c r="BQ202">
        <v>0</v>
      </c>
      <c r="BR202">
        <v>-578032</v>
      </c>
      <c r="BS202">
        <v>-578032</v>
      </c>
      <c r="BT202">
        <v>0</v>
      </c>
      <c r="BU202">
        <v>-57803</v>
      </c>
      <c r="BV202">
        <v>0</v>
      </c>
      <c r="BW202">
        <v>-635835</v>
      </c>
      <c r="BX202">
        <v>0</v>
      </c>
      <c r="BY202">
        <v>-635835</v>
      </c>
      <c r="BZ202">
        <v>-147068</v>
      </c>
      <c r="CA202">
        <v>0</v>
      </c>
      <c r="CB202">
        <v>-147068</v>
      </c>
      <c r="CC202">
        <v>-75795</v>
      </c>
      <c r="CD202">
        <v>0</v>
      </c>
      <c r="CE202">
        <v>-75795</v>
      </c>
      <c r="CF202">
        <v>0</v>
      </c>
      <c r="CG202">
        <v>0</v>
      </c>
      <c r="CH202">
        <v>0</v>
      </c>
      <c r="CI202">
        <v>0</v>
      </c>
      <c r="CJ202">
        <v>0</v>
      </c>
      <c r="CK202">
        <v>0</v>
      </c>
      <c r="CL202">
        <v>0</v>
      </c>
      <c r="CM202">
        <v>0</v>
      </c>
      <c r="CN202">
        <v>0</v>
      </c>
      <c r="CO202">
        <v>0</v>
      </c>
      <c r="CP202">
        <v>0</v>
      </c>
      <c r="CQ202">
        <v>0</v>
      </c>
      <c r="CR202">
        <v>0</v>
      </c>
      <c r="CS202">
        <v>0</v>
      </c>
      <c r="CT202">
        <v>-222863</v>
      </c>
      <c r="CU202">
        <v>0</v>
      </c>
      <c r="CV202">
        <v>-60000</v>
      </c>
      <c r="CW202">
        <v>0</v>
      </c>
      <c r="CX202">
        <v>-282863</v>
      </c>
      <c r="CY202">
        <v>0</v>
      </c>
      <c r="CZ202">
        <v>-282863</v>
      </c>
      <c r="DA202">
        <v>0</v>
      </c>
      <c r="DB202">
        <v>0</v>
      </c>
      <c r="DC202">
        <v>0</v>
      </c>
      <c r="DD202">
        <v>-9751</v>
      </c>
      <c r="DE202">
        <v>0</v>
      </c>
      <c r="DF202">
        <v>-9751</v>
      </c>
      <c r="DG202">
        <v>-2825</v>
      </c>
      <c r="DH202">
        <v>0</v>
      </c>
      <c r="DI202">
        <v>-2825</v>
      </c>
      <c r="DJ202">
        <v>-249269</v>
      </c>
      <c r="DK202">
        <v>0</v>
      </c>
      <c r="DL202">
        <v>-249269</v>
      </c>
      <c r="DM202">
        <v>-261845</v>
      </c>
      <c r="DN202">
        <v>0</v>
      </c>
      <c r="DO202">
        <v>-26200</v>
      </c>
      <c r="DP202">
        <v>0</v>
      </c>
      <c r="DQ202">
        <v>-288045</v>
      </c>
      <c r="DR202">
        <v>0</v>
      </c>
      <c r="DS202">
        <v>-288045</v>
      </c>
      <c r="DT202">
        <v>19702828</v>
      </c>
      <c r="DU202">
        <v>0</v>
      </c>
      <c r="DV202" s="661">
        <v>19702828</v>
      </c>
      <c r="DW202" t="s">
        <v>1853</v>
      </c>
    </row>
    <row r="203" spans="1:127" ht="12.75" x14ac:dyDescent="0.2">
      <c r="A203" s="605">
        <v>196</v>
      </c>
      <c r="B203" s="606" t="s">
        <v>279</v>
      </c>
      <c r="C203" s="607" t="s">
        <v>524</v>
      </c>
      <c r="D203" s="608" t="s">
        <v>1189</v>
      </c>
      <c r="E203" s="609" t="s">
        <v>540</v>
      </c>
      <c r="G203">
        <v>236797654</v>
      </c>
      <c r="H203">
        <v>0</v>
      </c>
      <c r="I203">
        <v>236797654</v>
      </c>
      <c r="J203">
        <v>49.9</v>
      </c>
      <c r="K203">
        <v>118162029</v>
      </c>
      <c r="L203">
        <v>0</v>
      </c>
      <c r="M203">
        <v>1518000</v>
      </c>
      <c r="N203">
        <v>0</v>
      </c>
      <c r="O203">
        <v>119680029</v>
      </c>
      <c r="P203">
        <v>0</v>
      </c>
      <c r="Q203">
        <v>119680029</v>
      </c>
      <c r="R203">
        <v>-128686</v>
      </c>
      <c r="S203">
        <v>0</v>
      </c>
      <c r="T203">
        <v>-128686</v>
      </c>
      <c r="U203">
        <v>944369</v>
      </c>
      <c r="V203">
        <v>0</v>
      </c>
      <c r="W203">
        <v>944369</v>
      </c>
      <c r="X203">
        <v>815683</v>
      </c>
      <c r="Y203">
        <v>0</v>
      </c>
      <c r="Z203">
        <v>0</v>
      </c>
      <c r="AA203">
        <v>0</v>
      </c>
      <c r="AB203">
        <v>815683</v>
      </c>
      <c r="AC203">
        <v>0</v>
      </c>
      <c r="AD203">
        <v>815683</v>
      </c>
      <c r="AE203">
        <v>-815683</v>
      </c>
      <c r="AF203">
        <v>0</v>
      </c>
      <c r="AG203">
        <v>-815683</v>
      </c>
      <c r="AH203">
        <v>-6504916</v>
      </c>
      <c r="AI203">
        <v>0</v>
      </c>
      <c r="AJ203">
        <v>-6504916</v>
      </c>
      <c r="AK203">
        <v>-9207</v>
      </c>
      <c r="AL203">
        <v>0</v>
      </c>
      <c r="AM203">
        <v>-9207</v>
      </c>
      <c r="AN203">
        <v>2376754</v>
      </c>
      <c r="AO203">
        <v>0</v>
      </c>
      <c r="AP203">
        <v>2376754</v>
      </c>
      <c r="AQ203">
        <v>-4128162</v>
      </c>
      <c r="AR203">
        <v>0</v>
      </c>
      <c r="AS203">
        <v>-4128162</v>
      </c>
      <c r="AT203">
        <v>-7496346</v>
      </c>
      <c r="AU203">
        <v>0</v>
      </c>
      <c r="AV203">
        <v>-7496346</v>
      </c>
      <c r="AW203">
        <v>-67000</v>
      </c>
      <c r="AX203">
        <v>0</v>
      </c>
      <c r="AY203">
        <v>-67000</v>
      </c>
      <c r="AZ203">
        <v>-14942</v>
      </c>
      <c r="BA203">
        <v>0</v>
      </c>
      <c r="BB203">
        <v>-14942</v>
      </c>
      <c r="BC203">
        <v>0</v>
      </c>
      <c r="BD203">
        <v>0</v>
      </c>
      <c r="BE203">
        <v>0</v>
      </c>
      <c r="BF203">
        <v>-11706450</v>
      </c>
      <c r="BG203">
        <v>0</v>
      </c>
      <c r="BH203">
        <v>-547000</v>
      </c>
      <c r="BI203">
        <v>0</v>
      </c>
      <c r="BJ203">
        <v>-12253450</v>
      </c>
      <c r="BK203">
        <v>0</v>
      </c>
      <c r="BL203">
        <v>-12253450</v>
      </c>
      <c r="BM203">
        <v>0</v>
      </c>
      <c r="BN203">
        <v>0</v>
      </c>
      <c r="BO203">
        <v>0</v>
      </c>
      <c r="BP203">
        <v>-1664613</v>
      </c>
      <c r="BQ203">
        <v>0</v>
      </c>
      <c r="BR203">
        <v>-1664613</v>
      </c>
      <c r="BS203">
        <v>-1664613</v>
      </c>
      <c r="BT203">
        <v>0</v>
      </c>
      <c r="BU203">
        <v>-1139387</v>
      </c>
      <c r="BV203">
        <v>0</v>
      </c>
      <c r="BW203">
        <v>-2804000</v>
      </c>
      <c r="BX203">
        <v>0</v>
      </c>
      <c r="BY203">
        <v>-2804000</v>
      </c>
      <c r="BZ203">
        <v>-242412</v>
      </c>
      <c r="CA203">
        <v>0</v>
      </c>
      <c r="CB203">
        <v>-242412</v>
      </c>
      <c r="CC203">
        <v>-22380</v>
      </c>
      <c r="CD203">
        <v>0</v>
      </c>
      <c r="CE203">
        <v>-22380</v>
      </c>
      <c r="CF203">
        <v>0</v>
      </c>
      <c r="CG203">
        <v>0</v>
      </c>
      <c r="CH203">
        <v>0</v>
      </c>
      <c r="CI203">
        <v>0</v>
      </c>
      <c r="CJ203">
        <v>0</v>
      </c>
      <c r="CK203">
        <v>0</v>
      </c>
      <c r="CL203">
        <v>0</v>
      </c>
      <c r="CM203">
        <v>0</v>
      </c>
      <c r="CN203">
        <v>0</v>
      </c>
      <c r="CO203">
        <v>0</v>
      </c>
      <c r="CP203">
        <v>0</v>
      </c>
      <c r="CQ203">
        <v>0</v>
      </c>
      <c r="CR203">
        <v>0</v>
      </c>
      <c r="CS203">
        <v>0</v>
      </c>
      <c r="CT203">
        <v>-264792</v>
      </c>
      <c r="CU203">
        <v>0</v>
      </c>
      <c r="CV203">
        <v>-127000</v>
      </c>
      <c r="CW203">
        <v>0</v>
      </c>
      <c r="CX203">
        <v>-391792</v>
      </c>
      <c r="CY203">
        <v>0</v>
      </c>
      <c r="CZ203">
        <v>-391792</v>
      </c>
      <c r="DA203">
        <v>-14942</v>
      </c>
      <c r="DB203">
        <v>0</v>
      </c>
      <c r="DC203">
        <v>-14942</v>
      </c>
      <c r="DD203">
        <v>-14000</v>
      </c>
      <c r="DE203">
        <v>0</v>
      </c>
      <c r="DF203">
        <v>-14000</v>
      </c>
      <c r="DG203">
        <v>-7781</v>
      </c>
      <c r="DH203">
        <v>0</v>
      </c>
      <c r="DI203">
        <v>-7781</v>
      </c>
      <c r="DJ203">
        <v>-1107189</v>
      </c>
      <c r="DK203">
        <v>0</v>
      </c>
      <c r="DL203">
        <v>-1107189</v>
      </c>
      <c r="DM203">
        <v>-1143912</v>
      </c>
      <c r="DN203">
        <v>0</v>
      </c>
      <c r="DO203">
        <v>0</v>
      </c>
      <c r="DP203">
        <v>0</v>
      </c>
      <c r="DQ203">
        <v>-1143912</v>
      </c>
      <c r="DR203">
        <v>0</v>
      </c>
      <c r="DS203">
        <v>-1143912</v>
      </c>
      <c r="DT203">
        <v>103902558</v>
      </c>
      <c r="DU203">
        <v>0</v>
      </c>
      <c r="DV203" s="661">
        <v>103902558</v>
      </c>
      <c r="DW203" t="s">
        <v>1854</v>
      </c>
    </row>
    <row r="204" spans="1:127" ht="12.75" x14ac:dyDescent="0.2">
      <c r="A204" s="605">
        <v>197</v>
      </c>
      <c r="B204" s="606" t="s">
        <v>281</v>
      </c>
      <c r="C204" s="607" t="s">
        <v>524</v>
      </c>
      <c r="D204" s="608" t="s">
        <v>1194</v>
      </c>
      <c r="E204" s="609" t="s">
        <v>557</v>
      </c>
      <c r="G204">
        <v>230663909</v>
      </c>
      <c r="H204">
        <v>32250</v>
      </c>
      <c r="I204">
        <v>230696159</v>
      </c>
      <c r="J204">
        <v>49.9</v>
      </c>
      <c r="K204">
        <v>115101291</v>
      </c>
      <c r="L204">
        <v>16093</v>
      </c>
      <c r="M204">
        <v>1143270</v>
      </c>
      <c r="N204">
        <v>80830</v>
      </c>
      <c r="O204">
        <v>116244561</v>
      </c>
      <c r="P204">
        <v>96923</v>
      </c>
      <c r="Q204">
        <v>116341484</v>
      </c>
      <c r="R204">
        <v>-289451</v>
      </c>
      <c r="S204">
        <v>0</v>
      </c>
      <c r="T204">
        <v>-289451</v>
      </c>
      <c r="U204">
        <v>1268590</v>
      </c>
      <c r="V204">
        <v>0</v>
      </c>
      <c r="W204">
        <v>1268590</v>
      </c>
      <c r="X204">
        <v>979139</v>
      </c>
      <c r="Y204">
        <v>0</v>
      </c>
      <c r="Z204">
        <v>0</v>
      </c>
      <c r="AA204">
        <v>0</v>
      </c>
      <c r="AB204">
        <v>979139</v>
      </c>
      <c r="AC204">
        <v>0</v>
      </c>
      <c r="AD204">
        <v>979139</v>
      </c>
      <c r="AE204">
        <v>-979139</v>
      </c>
      <c r="AF204">
        <v>0</v>
      </c>
      <c r="AG204">
        <v>-979139</v>
      </c>
      <c r="AH204">
        <v>-8460560</v>
      </c>
      <c r="AI204">
        <v>0</v>
      </c>
      <c r="AJ204">
        <v>-8460560</v>
      </c>
      <c r="AK204">
        <v>-11263</v>
      </c>
      <c r="AL204">
        <v>0</v>
      </c>
      <c r="AM204">
        <v>-11263</v>
      </c>
      <c r="AN204">
        <v>2206975</v>
      </c>
      <c r="AO204">
        <v>0</v>
      </c>
      <c r="AP204">
        <v>2206975</v>
      </c>
      <c r="AQ204">
        <v>-6253585</v>
      </c>
      <c r="AR204">
        <v>0</v>
      </c>
      <c r="AS204">
        <v>-6253585</v>
      </c>
      <c r="AT204">
        <v>-11995406</v>
      </c>
      <c r="AU204">
        <v>0</v>
      </c>
      <c r="AV204">
        <v>-11995406</v>
      </c>
      <c r="AW204">
        <v>-12746</v>
      </c>
      <c r="AX204">
        <v>0</v>
      </c>
      <c r="AY204">
        <v>-12746</v>
      </c>
      <c r="AZ204">
        <v>0</v>
      </c>
      <c r="BA204">
        <v>0</v>
      </c>
      <c r="BB204">
        <v>0</v>
      </c>
      <c r="BC204">
        <v>0</v>
      </c>
      <c r="BD204">
        <v>0</v>
      </c>
      <c r="BE204">
        <v>0</v>
      </c>
      <c r="BF204">
        <v>-18261737</v>
      </c>
      <c r="BG204">
        <v>0</v>
      </c>
      <c r="BH204">
        <v>0</v>
      </c>
      <c r="BI204">
        <v>0</v>
      </c>
      <c r="BJ204">
        <v>-18261737</v>
      </c>
      <c r="BK204">
        <v>0</v>
      </c>
      <c r="BL204">
        <v>-18261737</v>
      </c>
      <c r="BM204">
        <v>0</v>
      </c>
      <c r="BN204">
        <v>0</v>
      </c>
      <c r="BO204">
        <v>0</v>
      </c>
      <c r="BP204">
        <v>-1783972</v>
      </c>
      <c r="BQ204">
        <v>0</v>
      </c>
      <c r="BR204">
        <v>-1783972</v>
      </c>
      <c r="BS204">
        <v>-1783972</v>
      </c>
      <c r="BT204">
        <v>0</v>
      </c>
      <c r="BU204">
        <v>-1120002</v>
      </c>
      <c r="BV204">
        <v>0</v>
      </c>
      <c r="BW204">
        <v>-2903974</v>
      </c>
      <c r="BX204">
        <v>0</v>
      </c>
      <c r="BY204">
        <v>-2903974</v>
      </c>
      <c r="BZ204">
        <v>0</v>
      </c>
      <c r="CA204">
        <v>0</v>
      </c>
      <c r="CB204">
        <v>0</v>
      </c>
      <c r="CC204">
        <v>0</v>
      </c>
      <c r="CD204">
        <v>0</v>
      </c>
      <c r="CE204">
        <v>0</v>
      </c>
      <c r="CF204">
        <v>0</v>
      </c>
      <c r="CG204">
        <v>0</v>
      </c>
      <c r="CH204">
        <v>0</v>
      </c>
      <c r="CI204">
        <v>0</v>
      </c>
      <c r="CJ204">
        <v>0</v>
      </c>
      <c r="CK204">
        <v>0</v>
      </c>
      <c r="CL204">
        <v>0</v>
      </c>
      <c r="CM204">
        <v>0</v>
      </c>
      <c r="CN204">
        <v>0</v>
      </c>
      <c r="CO204">
        <v>-50836</v>
      </c>
      <c r="CP204">
        <v>-10854</v>
      </c>
      <c r="CQ204">
        <v>-61690</v>
      </c>
      <c r="CR204">
        <v>-10854</v>
      </c>
      <c r="CS204">
        <v>0</v>
      </c>
      <c r="CT204">
        <v>-50836</v>
      </c>
      <c r="CU204">
        <v>-10854</v>
      </c>
      <c r="CV204">
        <v>0</v>
      </c>
      <c r="CW204">
        <v>-75851</v>
      </c>
      <c r="CX204">
        <v>-50836</v>
      </c>
      <c r="CY204">
        <v>-86705</v>
      </c>
      <c r="CZ204">
        <v>-137541</v>
      </c>
      <c r="DA204">
        <v>0</v>
      </c>
      <c r="DB204">
        <v>0</v>
      </c>
      <c r="DC204">
        <v>0</v>
      </c>
      <c r="DD204">
        <v>-12918</v>
      </c>
      <c r="DE204">
        <v>0</v>
      </c>
      <c r="DF204">
        <v>-12918</v>
      </c>
      <c r="DG204">
        <v>-12671</v>
      </c>
      <c r="DH204">
        <v>0</v>
      </c>
      <c r="DI204">
        <v>-12671</v>
      </c>
      <c r="DJ204">
        <v>-1900823</v>
      </c>
      <c r="DK204">
        <v>0</v>
      </c>
      <c r="DL204">
        <v>-1900823</v>
      </c>
      <c r="DM204">
        <v>-1926412</v>
      </c>
      <c r="DN204">
        <v>0</v>
      </c>
      <c r="DO204">
        <v>0</v>
      </c>
      <c r="DP204">
        <v>0</v>
      </c>
      <c r="DQ204">
        <v>-1926412</v>
      </c>
      <c r="DR204">
        <v>0</v>
      </c>
      <c r="DS204">
        <v>-1926412</v>
      </c>
      <c r="DT204">
        <v>94080741</v>
      </c>
      <c r="DU204">
        <v>10218</v>
      </c>
      <c r="DV204" s="661">
        <v>94090959</v>
      </c>
      <c r="DW204" t="s">
        <v>1855</v>
      </c>
    </row>
    <row r="205" spans="1:127" ht="12.75" x14ac:dyDescent="0.2">
      <c r="A205" s="605">
        <v>198</v>
      </c>
      <c r="B205" s="606" t="s">
        <v>283</v>
      </c>
      <c r="C205" s="607" t="s">
        <v>524</v>
      </c>
      <c r="D205" s="608" t="s">
        <v>1186</v>
      </c>
      <c r="E205" s="609" t="s">
        <v>572</v>
      </c>
      <c r="G205">
        <v>218033203</v>
      </c>
      <c r="H205">
        <v>0</v>
      </c>
      <c r="I205">
        <v>218033203</v>
      </c>
      <c r="J205">
        <v>49.9</v>
      </c>
      <c r="K205">
        <v>108798568</v>
      </c>
      <c r="L205">
        <v>0</v>
      </c>
      <c r="M205">
        <v>-675000</v>
      </c>
      <c r="N205">
        <v>0</v>
      </c>
      <c r="O205">
        <v>108123568</v>
      </c>
      <c r="P205">
        <v>0</v>
      </c>
      <c r="Q205">
        <v>108123568</v>
      </c>
      <c r="R205">
        <v>0</v>
      </c>
      <c r="S205">
        <v>0</v>
      </c>
      <c r="T205">
        <v>0</v>
      </c>
      <c r="U205">
        <v>0</v>
      </c>
      <c r="V205">
        <v>0</v>
      </c>
      <c r="W205">
        <v>0</v>
      </c>
      <c r="X205">
        <v>0</v>
      </c>
      <c r="Y205">
        <v>0</v>
      </c>
      <c r="Z205">
        <v>0</v>
      </c>
      <c r="AA205">
        <v>0</v>
      </c>
      <c r="AB205">
        <v>0</v>
      </c>
      <c r="AC205">
        <v>0</v>
      </c>
      <c r="AD205">
        <v>0</v>
      </c>
      <c r="AE205">
        <v>0</v>
      </c>
      <c r="AF205">
        <v>0</v>
      </c>
      <c r="AG205">
        <v>0</v>
      </c>
      <c r="AH205">
        <v>-6681200</v>
      </c>
      <c r="AI205">
        <v>0</v>
      </c>
      <c r="AJ205">
        <v>-6681200</v>
      </c>
      <c r="AK205">
        <v>0</v>
      </c>
      <c r="AL205">
        <v>0</v>
      </c>
      <c r="AM205">
        <v>0</v>
      </c>
      <c r="AN205">
        <v>2180500</v>
      </c>
      <c r="AO205">
        <v>0</v>
      </c>
      <c r="AP205">
        <v>2180500</v>
      </c>
      <c r="AQ205">
        <v>-4500700</v>
      </c>
      <c r="AR205">
        <v>0</v>
      </c>
      <c r="AS205">
        <v>-4500700</v>
      </c>
      <c r="AT205">
        <v>-8701400</v>
      </c>
      <c r="AU205">
        <v>0</v>
      </c>
      <c r="AV205">
        <v>-8701400</v>
      </c>
      <c r="AW205">
        <v>-37500</v>
      </c>
      <c r="AX205">
        <v>0</v>
      </c>
      <c r="AY205">
        <v>-37500</v>
      </c>
      <c r="AZ205">
        <v>0</v>
      </c>
      <c r="BA205">
        <v>0</v>
      </c>
      <c r="BB205">
        <v>0</v>
      </c>
      <c r="BC205">
        <v>0</v>
      </c>
      <c r="BD205">
        <v>0</v>
      </c>
      <c r="BE205">
        <v>0</v>
      </c>
      <c r="BF205">
        <v>-13239600</v>
      </c>
      <c r="BG205">
        <v>0</v>
      </c>
      <c r="BH205">
        <v>0</v>
      </c>
      <c r="BI205">
        <v>0</v>
      </c>
      <c r="BJ205">
        <v>-13239600</v>
      </c>
      <c r="BK205">
        <v>0</v>
      </c>
      <c r="BL205">
        <v>-13239600</v>
      </c>
      <c r="BM205">
        <v>-32100</v>
      </c>
      <c r="BN205">
        <v>0</v>
      </c>
      <c r="BO205">
        <v>-32100</v>
      </c>
      <c r="BP205">
        <v>-2540700</v>
      </c>
      <c r="BQ205">
        <v>0</v>
      </c>
      <c r="BR205">
        <v>-2540700</v>
      </c>
      <c r="BS205">
        <v>-2572800</v>
      </c>
      <c r="BT205">
        <v>0</v>
      </c>
      <c r="BU205">
        <v>0</v>
      </c>
      <c r="BV205">
        <v>0</v>
      </c>
      <c r="BW205">
        <v>-2572800</v>
      </c>
      <c r="BX205">
        <v>0</v>
      </c>
      <c r="BY205">
        <v>-2572800</v>
      </c>
      <c r="BZ205">
        <v>-214800</v>
      </c>
      <c r="CA205">
        <v>0</v>
      </c>
      <c r="CB205">
        <v>-214800</v>
      </c>
      <c r="CC205">
        <v>0</v>
      </c>
      <c r="CD205">
        <v>0</v>
      </c>
      <c r="CE205">
        <v>0</v>
      </c>
      <c r="CF205">
        <v>0</v>
      </c>
      <c r="CG205">
        <v>0</v>
      </c>
      <c r="CH205">
        <v>0</v>
      </c>
      <c r="CI205">
        <v>0</v>
      </c>
      <c r="CJ205">
        <v>0</v>
      </c>
      <c r="CK205">
        <v>0</v>
      </c>
      <c r="CL205">
        <v>0</v>
      </c>
      <c r="CM205">
        <v>0</v>
      </c>
      <c r="CN205">
        <v>0</v>
      </c>
      <c r="CO205">
        <v>0</v>
      </c>
      <c r="CP205">
        <v>0</v>
      </c>
      <c r="CQ205">
        <v>0</v>
      </c>
      <c r="CR205">
        <v>0</v>
      </c>
      <c r="CS205">
        <v>0</v>
      </c>
      <c r="CT205">
        <v>-214800</v>
      </c>
      <c r="CU205">
        <v>0</v>
      </c>
      <c r="CV205">
        <v>0</v>
      </c>
      <c r="CW205">
        <v>0</v>
      </c>
      <c r="CX205">
        <v>-214800</v>
      </c>
      <c r="CY205">
        <v>0</v>
      </c>
      <c r="CZ205">
        <v>-214800</v>
      </c>
      <c r="DA205">
        <v>0</v>
      </c>
      <c r="DB205">
        <v>0</v>
      </c>
      <c r="DC205">
        <v>0</v>
      </c>
      <c r="DD205">
        <v>-15000</v>
      </c>
      <c r="DE205">
        <v>0</v>
      </c>
      <c r="DF205">
        <v>-15000</v>
      </c>
      <c r="DG205">
        <v>-14900</v>
      </c>
      <c r="DH205">
        <v>0</v>
      </c>
      <c r="DI205">
        <v>-14900</v>
      </c>
      <c r="DJ205">
        <v>-1829300</v>
      </c>
      <c r="DK205">
        <v>0</v>
      </c>
      <c r="DL205">
        <v>-1829300</v>
      </c>
      <c r="DM205">
        <v>-1859200</v>
      </c>
      <c r="DN205">
        <v>0</v>
      </c>
      <c r="DO205">
        <v>0</v>
      </c>
      <c r="DP205">
        <v>0</v>
      </c>
      <c r="DQ205">
        <v>-1859200</v>
      </c>
      <c r="DR205">
        <v>0</v>
      </c>
      <c r="DS205">
        <v>-1859200</v>
      </c>
      <c r="DT205">
        <v>90237168</v>
      </c>
      <c r="DU205">
        <v>0</v>
      </c>
      <c r="DV205" s="661">
        <v>90237168</v>
      </c>
      <c r="DW205" t="s">
        <v>1856</v>
      </c>
    </row>
    <row r="206" spans="1:127" ht="12.75" x14ac:dyDescent="0.2">
      <c r="A206" s="605">
        <v>199</v>
      </c>
      <c r="B206" s="606" t="s">
        <v>285</v>
      </c>
      <c r="C206" s="607" t="s">
        <v>1185</v>
      </c>
      <c r="D206" s="608" t="s">
        <v>1187</v>
      </c>
      <c r="E206" s="609" t="s">
        <v>284</v>
      </c>
      <c r="G206">
        <v>150463886</v>
      </c>
      <c r="H206">
        <v>0</v>
      </c>
      <c r="I206">
        <v>150463886</v>
      </c>
      <c r="J206">
        <v>49.9</v>
      </c>
      <c r="K206">
        <v>75081479</v>
      </c>
      <c r="L206">
        <v>0</v>
      </c>
      <c r="M206">
        <v>0</v>
      </c>
      <c r="N206">
        <v>0</v>
      </c>
      <c r="O206">
        <v>75081479</v>
      </c>
      <c r="P206">
        <v>0</v>
      </c>
      <c r="Q206">
        <v>75081479</v>
      </c>
      <c r="R206">
        <v>-116516</v>
      </c>
      <c r="S206">
        <v>0</v>
      </c>
      <c r="T206">
        <v>-116516</v>
      </c>
      <c r="U206">
        <v>2363246</v>
      </c>
      <c r="V206">
        <v>0</v>
      </c>
      <c r="W206">
        <v>2363246</v>
      </c>
      <c r="X206">
        <v>2246730</v>
      </c>
      <c r="Y206">
        <v>0</v>
      </c>
      <c r="Z206">
        <v>0</v>
      </c>
      <c r="AA206">
        <v>0</v>
      </c>
      <c r="AB206">
        <v>2246730</v>
      </c>
      <c r="AC206">
        <v>0</v>
      </c>
      <c r="AD206">
        <v>2246730</v>
      </c>
      <c r="AE206">
        <v>-2246730</v>
      </c>
      <c r="AF206">
        <v>0</v>
      </c>
      <c r="AG206">
        <v>-2246730</v>
      </c>
      <c r="AH206">
        <v>-5785851</v>
      </c>
      <c r="AI206">
        <v>0</v>
      </c>
      <c r="AJ206">
        <v>-5785851</v>
      </c>
      <c r="AK206">
        <v>0</v>
      </c>
      <c r="AL206">
        <v>0</v>
      </c>
      <c r="AM206">
        <v>0</v>
      </c>
      <c r="AN206">
        <v>1433053</v>
      </c>
      <c r="AO206">
        <v>0</v>
      </c>
      <c r="AP206">
        <v>1433053</v>
      </c>
      <c r="AQ206">
        <v>-4352798</v>
      </c>
      <c r="AR206">
        <v>0</v>
      </c>
      <c r="AS206">
        <v>-4352798</v>
      </c>
      <c r="AT206">
        <v>-5819349</v>
      </c>
      <c r="AU206">
        <v>0</v>
      </c>
      <c r="AV206">
        <v>-5819349</v>
      </c>
      <c r="AW206">
        <v>-57704</v>
      </c>
      <c r="AX206">
        <v>0</v>
      </c>
      <c r="AY206">
        <v>-57704</v>
      </c>
      <c r="AZ206">
        <v>-5184</v>
      </c>
      <c r="BA206">
        <v>0</v>
      </c>
      <c r="BB206">
        <v>-5184</v>
      </c>
      <c r="BC206">
        <v>0</v>
      </c>
      <c r="BD206">
        <v>0</v>
      </c>
      <c r="BE206">
        <v>0</v>
      </c>
      <c r="BF206">
        <v>-10235035</v>
      </c>
      <c r="BG206">
        <v>0</v>
      </c>
      <c r="BH206">
        <v>0</v>
      </c>
      <c r="BI206">
        <v>0</v>
      </c>
      <c r="BJ206">
        <v>-10235035</v>
      </c>
      <c r="BK206">
        <v>0</v>
      </c>
      <c r="BL206">
        <v>-10235035</v>
      </c>
      <c r="BM206">
        <v>0</v>
      </c>
      <c r="BN206">
        <v>0</v>
      </c>
      <c r="BO206">
        <v>0</v>
      </c>
      <c r="BP206">
        <v>-1785019</v>
      </c>
      <c r="BQ206">
        <v>0</v>
      </c>
      <c r="BR206">
        <v>-1785019</v>
      </c>
      <c r="BS206">
        <v>-1785019</v>
      </c>
      <c r="BT206">
        <v>0</v>
      </c>
      <c r="BU206">
        <v>-1500000</v>
      </c>
      <c r="BV206">
        <v>0</v>
      </c>
      <c r="BW206">
        <v>-3285019</v>
      </c>
      <c r="BX206">
        <v>0</v>
      </c>
      <c r="BY206">
        <v>-3285019</v>
      </c>
      <c r="BZ206">
        <v>-89407</v>
      </c>
      <c r="CA206">
        <v>0</v>
      </c>
      <c r="CB206">
        <v>-89407</v>
      </c>
      <c r="CC206">
        <v>-24626</v>
      </c>
      <c r="CD206">
        <v>0</v>
      </c>
      <c r="CE206">
        <v>-24626</v>
      </c>
      <c r="CF206">
        <v>-317</v>
      </c>
      <c r="CG206">
        <v>0</v>
      </c>
      <c r="CH206">
        <v>-317</v>
      </c>
      <c r="CI206">
        <v>0</v>
      </c>
      <c r="CJ206">
        <v>0</v>
      </c>
      <c r="CK206">
        <v>0</v>
      </c>
      <c r="CL206">
        <v>0</v>
      </c>
      <c r="CM206">
        <v>0</v>
      </c>
      <c r="CN206">
        <v>0</v>
      </c>
      <c r="CO206">
        <v>0</v>
      </c>
      <c r="CP206">
        <v>0</v>
      </c>
      <c r="CQ206">
        <v>0</v>
      </c>
      <c r="CR206">
        <v>0</v>
      </c>
      <c r="CS206">
        <v>0</v>
      </c>
      <c r="CT206">
        <v>-114350</v>
      </c>
      <c r="CU206">
        <v>0</v>
      </c>
      <c r="CV206">
        <v>0</v>
      </c>
      <c r="CW206">
        <v>0</v>
      </c>
      <c r="CX206">
        <v>-114350</v>
      </c>
      <c r="CY206">
        <v>0</v>
      </c>
      <c r="CZ206">
        <v>-114350</v>
      </c>
      <c r="DA206">
        <v>-5036</v>
      </c>
      <c r="DB206">
        <v>0</v>
      </c>
      <c r="DC206">
        <v>-5036</v>
      </c>
      <c r="DD206">
        <v>-3170</v>
      </c>
      <c r="DE206">
        <v>0</v>
      </c>
      <c r="DF206">
        <v>-3170</v>
      </c>
      <c r="DG206">
        <v>-2872</v>
      </c>
      <c r="DH206">
        <v>0</v>
      </c>
      <c r="DI206">
        <v>-2872</v>
      </c>
      <c r="DJ206">
        <v>-2177615</v>
      </c>
      <c r="DK206">
        <v>0</v>
      </c>
      <c r="DL206">
        <v>-2177615</v>
      </c>
      <c r="DM206">
        <v>-2188693</v>
      </c>
      <c r="DN206">
        <v>0</v>
      </c>
      <c r="DO206">
        <v>-320000</v>
      </c>
      <c r="DP206">
        <v>0</v>
      </c>
      <c r="DQ206">
        <v>-2508693</v>
      </c>
      <c r="DR206">
        <v>0</v>
      </c>
      <c r="DS206">
        <v>-2508693</v>
      </c>
      <c r="DT206">
        <v>61185112</v>
      </c>
      <c r="DU206">
        <v>0</v>
      </c>
      <c r="DV206" s="661">
        <v>61185112</v>
      </c>
      <c r="DW206" t="s">
        <v>1857</v>
      </c>
    </row>
    <row r="207" spans="1:127" ht="12.75" x14ac:dyDescent="0.2">
      <c r="A207" s="605">
        <v>200</v>
      </c>
      <c r="B207" s="606" t="s">
        <v>287</v>
      </c>
      <c r="C207" s="607" t="s">
        <v>524</v>
      </c>
      <c r="D207" s="608" t="s">
        <v>1186</v>
      </c>
      <c r="E207" s="609" t="s">
        <v>534</v>
      </c>
      <c r="G207">
        <v>317675513</v>
      </c>
      <c r="H207">
        <v>0</v>
      </c>
      <c r="I207">
        <v>317675513</v>
      </c>
      <c r="J207">
        <v>49.9</v>
      </c>
      <c r="K207">
        <v>158520081</v>
      </c>
      <c r="L207">
        <v>0</v>
      </c>
      <c r="M207">
        <v>0</v>
      </c>
      <c r="N207">
        <v>0</v>
      </c>
      <c r="O207">
        <v>158520081</v>
      </c>
      <c r="P207">
        <v>0</v>
      </c>
      <c r="Q207">
        <v>158520081</v>
      </c>
      <c r="R207">
        <v>-664373</v>
      </c>
      <c r="S207">
        <v>0</v>
      </c>
      <c r="T207">
        <v>-664373</v>
      </c>
      <c r="U207">
        <v>548284</v>
      </c>
      <c r="V207">
        <v>0</v>
      </c>
      <c r="W207">
        <v>548284</v>
      </c>
      <c r="X207">
        <v>-116089</v>
      </c>
      <c r="Y207">
        <v>0</v>
      </c>
      <c r="Z207">
        <v>0</v>
      </c>
      <c r="AA207">
        <v>0</v>
      </c>
      <c r="AB207">
        <v>-116089</v>
      </c>
      <c r="AC207">
        <v>0</v>
      </c>
      <c r="AD207">
        <v>-116089</v>
      </c>
      <c r="AE207">
        <v>116089</v>
      </c>
      <c r="AF207">
        <v>0</v>
      </c>
      <c r="AG207">
        <v>116089</v>
      </c>
      <c r="AH207">
        <v>-3863993</v>
      </c>
      <c r="AI207">
        <v>0</v>
      </c>
      <c r="AJ207">
        <v>-3863993</v>
      </c>
      <c r="AK207">
        <v>-6088</v>
      </c>
      <c r="AL207">
        <v>0</v>
      </c>
      <c r="AM207">
        <v>-6088</v>
      </c>
      <c r="AN207">
        <v>3528537</v>
      </c>
      <c r="AO207">
        <v>0</v>
      </c>
      <c r="AP207">
        <v>3528537</v>
      </c>
      <c r="AQ207">
        <v>-335456</v>
      </c>
      <c r="AR207">
        <v>0</v>
      </c>
      <c r="AS207">
        <v>-335456</v>
      </c>
      <c r="AT207">
        <v>-5411534</v>
      </c>
      <c r="AU207">
        <v>0</v>
      </c>
      <c r="AV207">
        <v>-5411534</v>
      </c>
      <c r="AW207">
        <v>-6902</v>
      </c>
      <c r="AX207">
        <v>0</v>
      </c>
      <c r="AY207">
        <v>-6902</v>
      </c>
      <c r="AZ207">
        <v>0</v>
      </c>
      <c r="BA207">
        <v>0</v>
      </c>
      <c r="BB207">
        <v>0</v>
      </c>
      <c r="BC207">
        <v>0</v>
      </c>
      <c r="BD207">
        <v>0</v>
      </c>
      <c r="BE207">
        <v>0</v>
      </c>
      <c r="BF207">
        <v>-5753892</v>
      </c>
      <c r="BG207">
        <v>0</v>
      </c>
      <c r="BH207">
        <v>0</v>
      </c>
      <c r="BI207">
        <v>0</v>
      </c>
      <c r="BJ207">
        <v>-5753892</v>
      </c>
      <c r="BK207">
        <v>0</v>
      </c>
      <c r="BL207">
        <v>-5753892</v>
      </c>
      <c r="BM207">
        <v>0</v>
      </c>
      <c r="BN207">
        <v>0</v>
      </c>
      <c r="BO207">
        <v>0</v>
      </c>
      <c r="BP207">
        <v>-5380816</v>
      </c>
      <c r="BQ207">
        <v>0</v>
      </c>
      <c r="BR207">
        <v>-5380816</v>
      </c>
      <c r="BS207">
        <v>-5380816</v>
      </c>
      <c r="BT207">
        <v>0</v>
      </c>
      <c r="BU207">
        <v>0</v>
      </c>
      <c r="BV207">
        <v>0</v>
      </c>
      <c r="BW207">
        <v>-5380816</v>
      </c>
      <c r="BX207">
        <v>0</v>
      </c>
      <c r="BY207">
        <v>-5380816</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-55497</v>
      </c>
      <c r="DE207">
        <v>0</v>
      </c>
      <c r="DF207">
        <v>-55497</v>
      </c>
      <c r="DG207">
        <v>-28969</v>
      </c>
      <c r="DH207">
        <v>0</v>
      </c>
      <c r="DI207">
        <v>-28969</v>
      </c>
      <c r="DJ207">
        <v>-1540051</v>
      </c>
      <c r="DK207">
        <v>0</v>
      </c>
      <c r="DL207">
        <v>-1540051</v>
      </c>
      <c r="DM207">
        <v>-1624517</v>
      </c>
      <c r="DN207">
        <v>0</v>
      </c>
      <c r="DO207">
        <v>0</v>
      </c>
      <c r="DP207">
        <v>0</v>
      </c>
      <c r="DQ207">
        <v>-1624517</v>
      </c>
      <c r="DR207">
        <v>0</v>
      </c>
      <c r="DS207">
        <v>-1624517</v>
      </c>
      <c r="DT207">
        <v>145644767</v>
      </c>
      <c r="DU207">
        <v>0</v>
      </c>
      <c r="DV207" s="661">
        <v>145644767</v>
      </c>
      <c r="DW207" t="s">
        <v>1858</v>
      </c>
    </row>
    <row r="208" spans="1:127" ht="12.75" x14ac:dyDescent="0.2">
      <c r="A208" s="605">
        <v>201</v>
      </c>
      <c r="B208" s="606" t="s">
        <v>289</v>
      </c>
      <c r="C208" s="607" t="s">
        <v>1190</v>
      </c>
      <c r="D208" s="608" t="s">
        <v>1191</v>
      </c>
      <c r="E208" s="609" t="s">
        <v>288</v>
      </c>
      <c r="G208">
        <v>154451250</v>
      </c>
      <c r="H208">
        <v>0</v>
      </c>
      <c r="I208">
        <v>154451250</v>
      </c>
      <c r="J208">
        <v>49.9</v>
      </c>
      <c r="K208">
        <v>77071174</v>
      </c>
      <c r="L208">
        <v>0</v>
      </c>
      <c r="M208">
        <v>0</v>
      </c>
      <c r="N208">
        <v>0</v>
      </c>
      <c r="O208">
        <v>77071174</v>
      </c>
      <c r="P208">
        <v>0</v>
      </c>
      <c r="Q208">
        <v>77071174</v>
      </c>
      <c r="R208">
        <v>-997351</v>
      </c>
      <c r="S208">
        <v>0</v>
      </c>
      <c r="T208">
        <v>-997351</v>
      </c>
      <c r="U208">
        <v>166837</v>
      </c>
      <c r="V208">
        <v>0</v>
      </c>
      <c r="W208">
        <v>166837</v>
      </c>
      <c r="X208">
        <v>-830514</v>
      </c>
      <c r="Y208">
        <v>0</v>
      </c>
      <c r="Z208">
        <v>0</v>
      </c>
      <c r="AA208">
        <v>0</v>
      </c>
      <c r="AB208">
        <v>-830514</v>
      </c>
      <c r="AC208">
        <v>0</v>
      </c>
      <c r="AD208">
        <v>-830514</v>
      </c>
      <c r="AE208">
        <v>830514</v>
      </c>
      <c r="AF208">
        <v>0</v>
      </c>
      <c r="AG208">
        <v>830514</v>
      </c>
      <c r="AH208">
        <v>-7904527</v>
      </c>
      <c r="AI208">
        <v>0</v>
      </c>
      <c r="AJ208">
        <v>-7904527</v>
      </c>
      <c r="AK208">
        <v>-19873</v>
      </c>
      <c r="AL208">
        <v>0</v>
      </c>
      <c r="AM208">
        <v>-19873</v>
      </c>
      <c r="AN208">
        <v>1173845</v>
      </c>
      <c r="AO208">
        <v>0</v>
      </c>
      <c r="AP208">
        <v>1173845</v>
      </c>
      <c r="AQ208">
        <v>-6730682</v>
      </c>
      <c r="AR208">
        <v>0</v>
      </c>
      <c r="AS208">
        <v>-6730682</v>
      </c>
      <c r="AT208">
        <v>-5807732</v>
      </c>
      <c r="AU208">
        <v>0</v>
      </c>
      <c r="AV208">
        <v>-5807732</v>
      </c>
      <c r="AW208">
        <v>-136561</v>
      </c>
      <c r="AX208">
        <v>0</v>
      </c>
      <c r="AY208">
        <v>-136561</v>
      </c>
      <c r="AZ208">
        <v>0</v>
      </c>
      <c r="BA208">
        <v>0</v>
      </c>
      <c r="BB208">
        <v>0</v>
      </c>
      <c r="BC208">
        <v>0</v>
      </c>
      <c r="BD208">
        <v>0</v>
      </c>
      <c r="BE208">
        <v>0</v>
      </c>
      <c r="BF208">
        <v>-12674975</v>
      </c>
      <c r="BG208">
        <v>0</v>
      </c>
      <c r="BH208">
        <v>0</v>
      </c>
      <c r="BI208">
        <v>0</v>
      </c>
      <c r="BJ208">
        <v>-12674975</v>
      </c>
      <c r="BK208">
        <v>0</v>
      </c>
      <c r="BL208">
        <v>-12674975</v>
      </c>
      <c r="BM208">
        <v>0</v>
      </c>
      <c r="BN208">
        <v>0</v>
      </c>
      <c r="BO208">
        <v>0</v>
      </c>
      <c r="BP208">
        <v>-1572788</v>
      </c>
      <c r="BQ208">
        <v>0</v>
      </c>
      <c r="BR208">
        <v>-1572788</v>
      </c>
      <c r="BS208">
        <v>-1572788</v>
      </c>
      <c r="BT208">
        <v>0</v>
      </c>
      <c r="BU208">
        <v>0</v>
      </c>
      <c r="BV208">
        <v>0</v>
      </c>
      <c r="BW208">
        <v>-1572788</v>
      </c>
      <c r="BX208">
        <v>0</v>
      </c>
      <c r="BY208">
        <v>-1572788</v>
      </c>
      <c r="BZ208">
        <v>-179767</v>
      </c>
      <c r="CA208">
        <v>0</v>
      </c>
      <c r="CB208">
        <v>-179767</v>
      </c>
      <c r="CC208">
        <v>-13458</v>
      </c>
      <c r="CD208">
        <v>0</v>
      </c>
      <c r="CE208">
        <v>-13458</v>
      </c>
      <c r="CF208">
        <v>0</v>
      </c>
      <c r="CG208">
        <v>0</v>
      </c>
      <c r="CH208">
        <v>0</v>
      </c>
      <c r="CI208">
        <v>0</v>
      </c>
      <c r="CJ208">
        <v>0</v>
      </c>
      <c r="CK208">
        <v>0</v>
      </c>
      <c r="CL208">
        <v>0</v>
      </c>
      <c r="CM208">
        <v>0</v>
      </c>
      <c r="CN208">
        <v>0</v>
      </c>
      <c r="CO208">
        <v>0</v>
      </c>
      <c r="CP208">
        <v>0</v>
      </c>
      <c r="CQ208">
        <v>0</v>
      </c>
      <c r="CR208">
        <v>0</v>
      </c>
      <c r="CS208">
        <v>0</v>
      </c>
      <c r="CT208">
        <v>-193225</v>
      </c>
      <c r="CU208">
        <v>0</v>
      </c>
      <c r="CV208">
        <v>0</v>
      </c>
      <c r="CW208">
        <v>0</v>
      </c>
      <c r="CX208">
        <v>-193225</v>
      </c>
      <c r="CY208">
        <v>0</v>
      </c>
      <c r="CZ208">
        <v>-193225</v>
      </c>
      <c r="DA208">
        <v>0</v>
      </c>
      <c r="DB208">
        <v>0</v>
      </c>
      <c r="DC208">
        <v>0</v>
      </c>
      <c r="DD208">
        <v>-164497</v>
      </c>
      <c r="DE208">
        <v>0</v>
      </c>
      <c r="DF208">
        <v>-164497</v>
      </c>
      <c r="DG208">
        <v>-24000</v>
      </c>
      <c r="DH208">
        <v>0</v>
      </c>
      <c r="DI208">
        <v>-24000</v>
      </c>
      <c r="DJ208">
        <v>-2886323</v>
      </c>
      <c r="DK208">
        <v>0</v>
      </c>
      <c r="DL208">
        <v>-2886323</v>
      </c>
      <c r="DM208">
        <v>-3074820</v>
      </c>
      <c r="DN208">
        <v>0</v>
      </c>
      <c r="DO208">
        <v>0</v>
      </c>
      <c r="DP208">
        <v>0</v>
      </c>
      <c r="DQ208">
        <v>-3074820</v>
      </c>
      <c r="DR208">
        <v>0</v>
      </c>
      <c r="DS208">
        <v>-3074820</v>
      </c>
      <c r="DT208">
        <v>58724852</v>
      </c>
      <c r="DU208">
        <v>0</v>
      </c>
      <c r="DV208" s="661">
        <v>58724852</v>
      </c>
      <c r="DW208" t="s">
        <v>1859</v>
      </c>
    </row>
    <row r="209" spans="1:127" ht="12.75" x14ac:dyDescent="0.2">
      <c r="A209" s="605">
        <v>202</v>
      </c>
      <c r="B209" s="606" t="s">
        <v>291</v>
      </c>
      <c r="C209" s="607" t="s">
        <v>524</v>
      </c>
      <c r="D209" s="608" t="s">
        <v>1197</v>
      </c>
      <c r="E209" s="609" t="s">
        <v>910</v>
      </c>
      <c r="G209">
        <v>94467542</v>
      </c>
      <c r="H209">
        <v>3576500</v>
      </c>
      <c r="I209">
        <v>98044042</v>
      </c>
      <c r="J209">
        <v>49.9</v>
      </c>
      <c r="K209">
        <v>47139303</v>
      </c>
      <c r="L209">
        <v>1784674</v>
      </c>
      <c r="M209">
        <v>408163</v>
      </c>
      <c r="N209">
        <v>0</v>
      </c>
      <c r="O209">
        <v>47547466</v>
      </c>
      <c r="P209">
        <v>1784674</v>
      </c>
      <c r="Q209">
        <v>49332140</v>
      </c>
      <c r="R209">
        <v>-253543</v>
      </c>
      <c r="S209">
        <v>0</v>
      </c>
      <c r="T209">
        <v>-253543</v>
      </c>
      <c r="U209">
        <v>772399</v>
      </c>
      <c r="V209">
        <v>0</v>
      </c>
      <c r="W209">
        <v>772399</v>
      </c>
      <c r="X209">
        <v>518856</v>
      </c>
      <c r="Y209">
        <v>0</v>
      </c>
      <c r="Z209">
        <v>0</v>
      </c>
      <c r="AA209">
        <v>0</v>
      </c>
      <c r="AB209">
        <v>518856</v>
      </c>
      <c r="AC209">
        <v>0</v>
      </c>
      <c r="AD209">
        <v>518856</v>
      </c>
      <c r="AE209">
        <v>-518856</v>
      </c>
      <c r="AF209">
        <v>0</v>
      </c>
      <c r="AG209">
        <v>-518856</v>
      </c>
      <c r="AH209">
        <v>-4221933</v>
      </c>
      <c r="AI209">
        <v>0</v>
      </c>
      <c r="AJ209">
        <v>-4221933</v>
      </c>
      <c r="AK209">
        <v>-15979</v>
      </c>
      <c r="AL209">
        <v>0</v>
      </c>
      <c r="AM209">
        <v>-15979</v>
      </c>
      <c r="AN209">
        <v>908268</v>
      </c>
      <c r="AO209">
        <v>45955</v>
      </c>
      <c r="AP209">
        <v>954223</v>
      </c>
      <c r="AQ209">
        <v>-3313665</v>
      </c>
      <c r="AR209">
        <v>45955</v>
      </c>
      <c r="AS209">
        <v>-3267710</v>
      </c>
      <c r="AT209">
        <v>-3615409</v>
      </c>
      <c r="AU209">
        <v>-20709</v>
      </c>
      <c r="AV209">
        <v>-3636118</v>
      </c>
      <c r="AW209">
        <v>-60592</v>
      </c>
      <c r="AX209">
        <v>0</v>
      </c>
      <c r="AY209">
        <v>-60592</v>
      </c>
      <c r="AZ209">
        <v>-4111</v>
      </c>
      <c r="BA209">
        <v>0</v>
      </c>
      <c r="BB209">
        <v>-4111</v>
      </c>
      <c r="BC209">
        <v>0</v>
      </c>
      <c r="BD209">
        <v>0</v>
      </c>
      <c r="BE209">
        <v>0</v>
      </c>
      <c r="BF209">
        <v>-6993777</v>
      </c>
      <c r="BG209">
        <v>25246</v>
      </c>
      <c r="BH209">
        <v>0</v>
      </c>
      <c r="BI209">
        <v>0</v>
      </c>
      <c r="BJ209">
        <v>-6993777</v>
      </c>
      <c r="BK209">
        <v>25246</v>
      </c>
      <c r="BL209">
        <v>-6968531</v>
      </c>
      <c r="BM209">
        <v>0</v>
      </c>
      <c r="BN209">
        <v>0</v>
      </c>
      <c r="BO209">
        <v>0</v>
      </c>
      <c r="BP209">
        <v>-641734</v>
      </c>
      <c r="BQ209">
        <v>0</v>
      </c>
      <c r="BR209">
        <v>-641734</v>
      </c>
      <c r="BS209">
        <v>-641734</v>
      </c>
      <c r="BT209">
        <v>0</v>
      </c>
      <c r="BU209">
        <v>0</v>
      </c>
      <c r="BV209">
        <v>0</v>
      </c>
      <c r="BW209">
        <v>-641734</v>
      </c>
      <c r="BX209">
        <v>0</v>
      </c>
      <c r="BY209">
        <v>-641734</v>
      </c>
      <c r="BZ209">
        <v>-119822</v>
      </c>
      <c r="CA209">
        <v>0</v>
      </c>
      <c r="CB209">
        <v>-119822</v>
      </c>
      <c r="CC209">
        <v>-51821</v>
      </c>
      <c r="CD209">
        <v>0</v>
      </c>
      <c r="CE209">
        <v>-51821</v>
      </c>
      <c r="CF209">
        <v>0</v>
      </c>
      <c r="CG209">
        <v>0</v>
      </c>
      <c r="CH209">
        <v>0</v>
      </c>
      <c r="CI209">
        <v>-1221</v>
      </c>
      <c r="CJ209">
        <v>0</v>
      </c>
      <c r="CK209">
        <v>-1221</v>
      </c>
      <c r="CL209">
        <v>0</v>
      </c>
      <c r="CM209">
        <v>0</v>
      </c>
      <c r="CN209">
        <v>0</v>
      </c>
      <c r="CO209">
        <v>0</v>
      </c>
      <c r="CP209">
        <v>0</v>
      </c>
      <c r="CQ209">
        <v>0</v>
      </c>
      <c r="CR209">
        <v>0</v>
      </c>
      <c r="CS209">
        <v>0</v>
      </c>
      <c r="CT209">
        <v>-172864</v>
      </c>
      <c r="CU209">
        <v>0</v>
      </c>
      <c r="CV209">
        <v>0</v>
      </c>
      <c r="CW209">
        <v>0</v>
      </c>
      <c r="CX209">
        <v>-172864</v>
      </c>
      <c r="CY209">
        <v>0</v>
      </c>
      <c r="CZ209">
        <v>-172864</v>
      </c>
      <c r="DA209">
        <v>-2500</v>
      </c>
      <c r="DB209">
        <v>0</v>
      </c>
      <c r="DC209">
        <v>-2500</v>
      </c>
      <c r="DD209">
        <v>-18646</v>
      </c>
      <c r="DE209">
        <v>0</v>
      </c>
      <c r="DF209">
        <v>-18646</v>
      </c>
      <c r="DG209">
        <v>-5000</v>
      </c>
      <c r="DH209">
        <v>0</v>
      </c>
      <c r="DI209">
        <v>-5000</v>
      </c>
      <c r="DJ209">
        <v>-506141</v>
      </c>
      <c r="DK209">
        <v>0</v>
      </c>
      <c r="DL209">
        <v>-506141</v>
      </c>
      <c r="DM209">
        <v>-532287</v>
      </c>
      <c r="DN209">
        <v>0</v>
      </c>
      <c r="DO209">
        <v>0</v>
      </c>
      <c r="DP209">
        <v>0</v>
      </c>
      <c r="DQ209">
        <v>-532287</v>
      </c>
      <c r="DR209">
        <v>0</v>
      </c>
      <c r="DS209">
        <v>-532287</v>
      </c>
      <c r="DT209">
        <v>39725660</v>
      </c>
      <c r="DU209">
        <v>1809920</v>
      </c>
      <c r="DV209" s="661">
        <v>41535580</v>
      </c>
      <c r="DW209" t="s">
        <v>1860</v>
      </c>
    </row>
    <row r="210" spans="1:127" ht="12.75" x14ac:dyDescent="0.2">
      <c r="A210" s="605">
        <v>203</v>
      </c>
      <c r="B210" s="606" t="s">
        <v>293</v>
      </c>
      <c r="C210" s="607" t="s">
        <v>1185</v>
      </c>
      <c r="D210" s="608" t="s">
        <v>1195</v>
      </c>
      <c r="E210" s="609" t="s">
        <v>292</v>
      </c>
      <c r="G210">
        <v>81534785</v>
      </c>
      <c r="H210">
        <v>0</v>
      </c>
      <c r="I210">
        <v>81534785</v>
      </c>
      <c r="J210">
        <v>49.9</v>
      </c>
      <c r="K210">
        <v>40685858</v>
      </c>
      <c r="L210">
        <v>0</v>
      </c>
      <c r="M210">
        <v>0</v>
      </c>
      <c r="N210">
        <v>0</v>
      </c>
      <c r="O210">
        <v>40685858</v>
      </c>
      <c r="P210">
        <v>0</v>
      </c>
      <c r="Q210">
        <v>40685858</v>
      </c>
      <c r="R210">
        <v>-52334</v>
      </c>
      <c r="S210">
        <v>0</v>
      </c>
      <c r="T210">
        <v>-52334</v>
      </c>
      <c r="U210">
        <v>371919</v>
      </c>
      <c r="V210">
        <v>0</v>
      </c>
      <c r="W210">
        <v>371919</v>
      </c>
      <c r="X210">
        <v>319585</v>
      </c>
      <c r="Y210">
        <v>0</v>
      </c>
      <c r="Z210">
        <v>0</v>
      </c>
      <c r="AA210">
        <v>0</v>
      </c>
      <c r="AB210">
        <v>319585</v>
      </c>
      <c r="AC210">
        <v>0</v>
      </c>
      <c r="AD210">
        <v>319585</v>
      </c>
      <c r="AE210">
        <v>-319585</v>
      </c>
      <c r="AF210">
        <v>0</v>
      </c>
      <c r="AG210">
        <v>-319585</v>
      </c>
      <c r="AH210">
        <v>-2859020</v>
      </c>
      <c r="AI210">
        <v>0</v>
      </c>
      <c r="AJ210">
        <v>-2859020</v>
      </c>
      <c r="AK210">
        <v>0</v>
      </c>
      <c r="AL210">
        <v>0</v>
      </c>
      <c r="AM210">
        <v>0</v>
      </c>
      <c r="AN210">
        <v>760341</v>
      </c>
      <c r="AO210">
        <v>0</v>
      </c>
      <c r="AP210">
        <v>760341</v>
      </c>
      <c r="AQ210">
        <v>-2098679</v>
      </c>
      <c r="AR210">
        <v>0</v>
      </c>
      <c r="AS210">
        <v>-2098679</v>
      </c>
      <c r="AT210">
        <v>-1453814</v>
      </c>
      <c r="AU210">
        <v>0</v>
      </c>
      <c r="AV210">
        <v>-1453814</v>
      </c>
      <c r="AW210">
        <v>-14715</v>
      </c>
      <c r="AX210">
        <v>0</v>
      </c>
      <c r="AY210">
        <v>-14715</v>
      </c>
      <c r="AZ210">
        <v>-1690</v>
      </c>
      <c r="BA210">
        <v>0</v>
      </c>
      <c r="BB210">
        <v>-1690</v>
      </c>
      <c r="BC210">
        <v>0</v>
      </c>
      <c r="BD210">
        <v>0</v>
      </c>
      <c r="BE210">
        <v>0</v>
      </c>
      <c r="BF210">
        <v>-3568898</v>
      </c>
      <c r="BG210">
        <v>0</v>
      </c>
      <c r="BH210">
        <v>0</v>
      </c>
      <c r="BI210">
        <v>0</v>
      </c>
      <c r="BJ210">
        <v>-3568898</v>
      </c>
      <c r="BK210">
        <v>0</v>
      </c>
      <c r="BL210">
        <v>-3568898</v>
      </c>
      <c r="BM210">
        <v>0</v>
      </c>
      <c r="BN210">
        <v>0</v>
      </c>
      <c r="BO210">
        <v>0</v>
      </c>
      <c r="BP210">
        <v>-858709</v>
      </c>
      <c r="BQ210">
        <v>0</v>
      </c>
      <c r="BR210">
        <v>-858709</v>
      </c>
      <c r="BS210">
        <v>-858709</v>
      </c>
      <c r="BT210">
        <v>0</v>
      </c>
      <c r="BU210">
        <v>-250000</v>
      </c>
      <c r="BV210">
        <v>0</v>
      </c>
      <c r="BW210">
        <v>-1108709</v>
      </c>
      <c r="BX210">
        <v>0</v>
      </c>
      <c r="BY210">
        <v>-1108709</v>
      </c>
      <c r="BZ210">
        <v>-27712</v>
      </c>
      <c r="CA210">
        <v>0</v>
      </c>
      <c r="CB210">
        <v>-27712</v>
      </c>
      <c r="CC210">
        <v>-319242</v>
      </c>
      <c r="CD210">
        <v>0</v>
      </c>
      <c r="CE210">
        <v>-319242</v>
      </c>
      <c r="CF210">
        <v>0</v>
      </c>
      <c r="CG210">
        <v>0</v>
      </c>
      <c r="CH210">
        <v>0</v>
      </c>
      <c r="CI210">
        <v>0</v>
      </c>
      <c r="CJ210">
        <v>0</v>
      </c>
      <c r="CK210">
        <v>0</v>
      </c>
      <c r="CL210">
        <v>0</v>
      </c>
      <c r="CM210">
        <v>0</v>
      </c>
      <c r="CN210">
        <v>0</v>
      </c>
      <c r="CO210">
        <v>0</v>
      </c>
      <c r="CP210">
        <v>0</v>
      </c>
      <c r="CQ210">
        <v>0</v>
      </c>
      <c r="CR210">
        <v>0</v>
      </c>
      <c r="CS210">
        <v>0</v>
      </c>
      <c r="CT210">
        <v>-346954</v>
      </c>
      <c r="CU210">
        <v>0</v>
      </c>
      <c r="CV210">
        <v>0</v>
      </c>
      <c r="CW210">
        <v>0</v>
      </c>
      <c r="CX210">
        <v>-346954</v>
      </c>
      <c r="CY210">
        <v>0</v>
      </c>
      <c r="CZ210">
        <v>-346954</v>
      </c>
      <c r="DA210">
        <v>-1690</v>
      </c>
      <c r="DB210">
        <v>0</v>
      </c>
      <c r="DC210">
        <v>-1690</v>
      </c>
      <c r="DD210">
        <v>-7605</v>
      </c>
      <c r="DE210">
        <v>0</v>
      </c>
      <c r="DF210">
        <v>-7605</v>
      </c>
      <c r="DG210">
        <v>-4000</v>
      </c>
      <c r="DH210">
        <v>0</v>
      </c>
      <c r="DI210">
        <v>-4000</v>
      </c>
      <c r="DJ210">
        <v>-694343</v>
      </c>
      <c r="DK210">
        <v>0</v>
      </c>
      <c r="DL210">
        <v>-694343</v>
      </c>
      <c r="DM210">
        <v>-707638</v>
      </c>
      <c r="DN210">
        <v>0</v>
      </c>
      <c r="DO210">
        <v>0</v>
      </c>
      <c r="DP210">
        <v>0</v>
      </c>
      <c r="DQ210">
        <v>-707638</v>
      </c>
      <c r="DR210">
        <v>0</v>
      </c>
      <c r="DS210">
        <v>-707638</v>
      </c>
      <c r="DT210">
        <v>35273244</v>
      </c>
      <c r="DU210">
        <v>0</v>
      </c>
      <c r="DV210" s="661">
        <v>35273244</v>
      </c>
      <c r="DW210" t="s">
        <v>1861</v>
      </c>
    </row>
    <row r="211" spans="1:127" ht="12.75" x14ac:dyDescent="0.2">
      <c r="A211" s="605">
        <v>204</v>
      </c>
      <c r="B211" s="606" t="s">
        <v>295</v>
      </c>
      <c r="C211" s="607" t="s">
        <v>1185</v>
      </c>
      <c r="D211" s="608" t="s">
        <v>1186</v>
      </c>
      <c r="E211" s="609" t="s">
        <v>294</v>
      </c>
      <c r="G211">
        <v>131494856</v>
      </c>
      <c r="H211">
        <v>0</v>
      </c>
      <c r="I211">
        <v>131494856</v>
      </c>
      <c r="J211">
        <v>49.9</v>
      </c>
      <c r="K211">
        <v>65615933</v>
      </c>
      <c r="L211">
        <v>0</v>
      </c>
      <c r="M211">
        <v>-900000</v>
      </c>
      <c r="N211">
        <v>0</v>
      </c>
      <c r="O211">
        <v>64715933</v>
      </c>
      <c r="P211">
        <v>0</v>
      </c>
      <c r="Q211">
        <v>64715933</v>
      </c>
      <c r="R211">
        <v>-198123</v>
      </c>
      <c r="S211">
        <v>0</v>
      </c>
      <c r="T211">
        <v>-198123</v>
      </c>
      <c r="U211">
        <v>122293</v>
      </c>
      <c r="V211">
        <v>0</v>
      </c>
      <c r="W211">
        <v>122293</v>
      </c>
      <c r="X211">
        <v>-75830</v>
      </c>
      <c r="Y211">
        <v>0</v>
      </c>
      <c r="Z211">
        <v>0</v>
      </c>
      <c r="AA211">
        <v>0</v>
      </c>
      <c r="AB211">
        <v>-75830</v>
      </c>
      <c r="AC211">
        <v>0</v>
      </c>
      <c r="AD211">
        <v>-75830</v>
      </c>
      <c r="AE211">
        <v>75830</v>
      </c>
      <c r="AF211">
        <v>0</v>
      </c>
      <c r="AG211">
        <v>75830</v>
      </c>
      <c r="AH211">
        <v>-3535186</v>
      </c>
      <c r="AI211">
        <v>0</v>
      </c>
      <c r="AJ211">
        <v>-3535186</v>
      </c>
      <c r="AK211">
        <v>-7799</v>
      </c>
      <c r="AL211">
        <v>0</v>
      </c>
      <c r="AM211">
        <v>-7799</v>
      </c>
      <c r="AN211">
        <v>1258838</v>
      </c>
      <c r="AO211">
        <v>0</v>
      </c>
      <c r="AP211">
        <v>1258838</v>
      </c>
      <c r="AQ211">
        <v>-2276348</v>
      </c>
      <c r="AR211">
        <v>0</v>
      </c>
      <c r="AS211">
        <v>-2276348</v>
      </c>
      <c r="AT211">
        <v>-4315321</v>
      </c>
      <c r="AU211">
        <v>0</v>
      </c>
      <c r="AV211">
        <v>-4315321</v>
      </c>
      <c r="AW211">
        <v>-59545</v>
      </c>
      <c r="AX211">
        <v>0</v>
      </c>
      <c r="AY211">
        <v>-59545</v>
      </c>
      <c r="AZ211">
        <v>0</v>
      </c>
      <c r="BA211">
        <v>0</v>
      </c>
      <c r="BB211">
        <v>0</v>
      </c>
      <c r="BC211">
        <v>0</v>
      </c>
      <c r="BD211">
        <v>0</v>
      </c>
      <c r="BE211">
        <v>0</v>
      </c>
      <c r="BF211">
        <v>-6651214</v>
      </c>
      <c r="BG211">
        <v>0</v>
      </c>
      <c r="BH211">
        <v>0</v>
      </c>
      <c r="BI211">
        <v>0</v>
      </c>
      <c r="BJ211">
        <v>-6651214</v>
      </c>
      <c r="BK211">
        <v>0</v>
      </c>
      <c r="BL211">
        <v>-6651214</v>
      </c>
      <c r="BM211">
        <v>-150000</v>
      </c>
      <c r="BN211">
        <v>0</v>
      </c>
      <c r="BO211">
        <v>-150000</v>
      </c>
      <c r="BP211">
        <v>-2621183</v>
      </c>
      <c r="BQ211">
        <v>0</v>
      </c>
      <c r="BR211">
        <v>-2621183</v>
      </c>
      <c r="BS211">
        <v>-2771183</v>
      </c>
      <c r="BT211">
        <v>0</v>
      </c>
      <c r="BU211">
        <v>0</v>
      </c>
      <c r="BV211">
        <v>0</v>
      </c>
      <c r="BW211">
        <v>-2771183</v>
      </c>
      <c r="BX211">
        <v>0</v>
      </c>
      <c r="BY211">
        <v>-2771183</v>
      </c>
      <c r="BZ211">
        <v>-68000</v>
      </c>
      <c r="CA211">
        <v>0</v>
      </c>
      <c r="CB211">
        <v>-68000</v>
      </c>
      <c r="CC211">
        <v>-27697</v>
      </c>
      <c r="CD211">
        <v>0</v>
      </c>
      <c r="CE211">
        <v>-27697</v>
      </c>
      <c r="CF211">
        <v>-500</v>
      </c>
      <c r="CG211">
        <v>0</v>
      </c>
      <c r="CH211">
        <v>-500</v>
      </c>
      <c r="CI211">
        <v>0</v>
      </c>
      <c r="CJ211">
        <v>0</v>
      </c>
      <c r="CK211">
        <v>0</v>
      </c>
      <c r="CL211">
        <v>0</v>
      </c>
      <c r="CM211">
        <v>0</v>
      </c>
      <c r="CN211">
        <v>0</v>
      </c>
      <c r="CO211">
        <v>0</v>
      </c>
      <c r="CP211">
        <v>0</v>
      </c>
      <c r="CQ211">
        <v>0</v>
      </c>
      <c r="CR211">
        <v>0</v>
      </c>
      <c r="CS211">
        <v>0</v>
      </c>
      <c r="CT211">
        <v>-96197</v>
      </c>
      <c r="CU211">
        <v>0</v>
      </c>
      <c r="CV211">
        <v>0</v>
      </c>
      <c r="CW211">
        <v>0</v>
      </c>
      <c r="CX211">
        <v>-96197</v>
      </c>
      <c r="CY211">
        <v>0</v>
      </c>
      <c r="CZ211">
        <v>-96197</v>
      </c>
      <c r="DA211">
        <v>0</v>
      </c>
      <c r="DB211">
        <v>0</v>
      </c>
      <c r="DC211">
        <v>0</v>
      </c>
      <c r="DD211">
        <v>-34360</v>
      </c>
      <c r="DE211">
        <v>0</v>
      </c>
      <c r="DF211">
        <v>-34360</v>
      </c>
      <c r="DG211">
        <v>0</v>
      </c>
      <c r="DH211">
        <v>0</v>
      </c>
      <c r="DI211">
        <v>0</v>
      </c>
      <c r="DJ211">
        <v>-878240</v>
      </c>
      <c r="DK211">
        <v>0</v>
      </c>
      <c r="DL211">
        <v>-878240</v>
      </c>
      <c r="DM211">
        <v>-912600</v>
      </c>
      <c r="DN211">
        <v>0</v>
      </c>
      <c r="DO211">
        <v>0</v>
      </c>
      <c r="DP211">
        <v>0</v>
      </c>
      <c r="DQ211">
        <v>-912600</v>
      </c>
      <c r="DR211">
        <v>0</v>
      </c>
      <c r="DS211">
        <v>-912600</v>
      </c>
      <c r="DT211">
        <v>54208909</v>
      </c>
      <c r="DU211">
        <v>0</v>
      </c>
      <c r="DV211" s="661">
        <v>54208909</v>
      </c>
      <c r="DW211" t="s">
        <v>1862</v>
      </c>
    </row>
    <row r="212" spans="1:127" ht="12.75" x14ac:dyDescent="0.2">
      <c r="A212" s="605">
        <v>205</v>
      </c>
      <c r="B212" s="606" t="s">
        <v>297</v>
      </c>
      <c r="C212" s="607" t="s">
        <v>1185</v>
      </c>
      <c r="D212" s="608" t="s">
        <v>1187</v>
      </c>
      <c r="E212" s="609" t="s">
        <v>296</v>
      </c>
      <c r="G212">
        <v>38550028</v>
      </c>
      <c r="H212">
        <v>4360000</v>
      </c>
      <c r="I212">
        <v>42910028</v>
      </c>
      <c r="J212">
        <v>49.9</v>
      </c>
      <c r="K212">
        <v>19236464</v>
      </c>
      <c r="L212">
        <v>2175640</v>
      </c>
      <c r="M212">
        <v>0</v>
      </c>
      <c r="N212">
        <v>0</v>
      </c>
      <c r="O212">
        <v>19236464</v>
      </c>
      <c r="P212">
        <v>2175640</v>
      </c>
      <c r="Q212">
        <v>21412104</v>
      </c>
      <c r="R212">
        <v>-118783</v>
      </c>
      <c r="S212">
        <v>0</v>
      </c>
      <c r="T212">
        <v>-118783</v>
      </c>
      <c r="U212">
        <v>14863</v>
      </c>
      <c r="V212">
        <v>0</v>
      </c>
      <c r="W212">
        <v>14863</v>
      </c>
      <c r="X212">
        <v>-103920</v>
      </c>
      <c r="Y212">
        <v>0</v>
      </c>
      <c r="Z212">
        <v>0</v>
      </c>
      <c r="AA212">
        <v>0</v>
      </c>
      <c r="AB212">
        <v>-103920</v>
      </c>
      <c r="AC212">
        <v>0</v>
      </c>
      <c r="AD212">
        <v>-103920</v>
      </c>
      <c r="AE212">
        <v>103920</v>
      </c>
      <c r="AF212">
        <v>0</v>
      </c>
      <c r="AG212">
        <v>103920</v>
      </c>
      <c r="AH212">
        <v>-3345644</v>
      </c>
      <c r="AI212">
        <v>0</v>
      </c>
      <c r="AJ212">
        <v>-3345644</v>
      </c>
      <c r="AK212">
        <v>-9479</v>
      </c>
      <c r="AL212">
        <v>0</v>
      </c>
      <c r="AM212">
        <v>-9479</v>
      </c>
      <c r="AN212">
        <v>287491</v>
      </c>
      <c r="AO212">
        <v>56680</v>
      </c>
      <c r="AP212">
        <v>344171</v>
      </c>
      <c r="AQ212">
        <v>-3058153</v>
      </c>
      <c r="AR212">
        <v>56680</v>
      </c>
      <c r="AS212">
        <v>-3001473</v>
      </c>
      <c r="AT212">
        <v>-1135183</v>
      </c>
      <c r="AU212">
        <v>0</v>
      </c>
      <c r="AV212">
        <v>-1135183</v>
      </c>
      <c r="AW212">
        <v>-44860</v>
      </c>
      <c r="AX212">
        <v>0</v>
      </c>
      <c r="AY212">
        <v>-44860</v>
      </c>
      <c r="AZ212">
        <v>-20514</v>
      </c>
      <c r="BA212">
        <v>0</v>
      </c>
      <c r="BB212">
        <v>-20514</v>
      </c>
      <c r="BC212">
        <v>0</v>
      </c>
      <c r="BD212">
        <v>0</v>
      </c>
      <c r="BE212">
        <v>0</v>
      </c>
      <c r="BF212">
        <v>-4258710</v>
      </c>
      <c r="BG212">
        <v>56680</v>
      </c>
      <c r="BH212">
        <v>0</v>
      </c>
      <c r="BI212">
        <v>0</v>
      </c>
      <c r="BJ212">
        <v>-4258710</v>
      </c>
      <c r="BK212">
        <v>56680</v>
      </c>
      <c r="BL212">
        <v>-4202030</v>
      </c>
      <c r="BM212">
        <v>0</v>
      </c>
      <c r="BN212">
        <v>0</v>
      </c>
      <c r="BO212">
        <v>0</v>
      </c>
      <c r="BP212">
        <v>-418953</v>
      </c>
      <c r="BQ212">
        <v>0</v>
      </c>
      <c r="BR212">
        <v>-418953</v>
      </c>
      <c r="BS212">
        <v>-418953</v>
      </c>
      <c r="BT212">
        <v>0</v>
      </c>
      <c r="BU212">
        <v>0</v>
      </c>
      <c r="BV212">
        <v>0</v>
      </c>
      <c r="BW212">
        <v>-418953</v>
      </c>
      <c r="BX212">
        <v>0</v>
      </c>
      <c r="BY212">
        <v>-418953</v>
      </c>
      <c r="BZ212">
        <v>-33775</v>
      </c>
      <c r="CA212">
        <v>0</v>
      </c>
      <c r="CB212">
        <v>-33775</v>
      </c>
      <c r="CC212">
        <v>0</v>
      </c>
      <c r="CD212">
        <v>0</v>
      </c>
      <c r="CE212">
        <v>0</v>
      </c>
      <c r="CF212">
        <v>0</v>
      </c>
      <c r="CG212">
        <v>0</v>
      </c>
      <c r="CH212">
        <v>0</v>
      </c>
      <c r="CI212">
        <v>0</v>
      </c>
      <c r="CJ212">
        <v>0</v>
      </c>
      <c r="CK212">
        <v>0</v>
      </c>
      <c r="CL212">
        <v>-1996</v>
      </c>
      <c r="CM212">
        <v>0</v>
      </c>
      <c r="CN212">
        <v>-1996</v>
      </c>
      <c r="CO212">
        <v>0</v>
      </c>
      <c r="CP212">
        <v>0</v>
      </c>
      <c r="CQ212">
        <v>0</v>
      </c>
      <c r="CR212">
        <v>0</v>
      </c>
      <c r="CS212">
        <v>0</v>
      </c>
      <c r="CT212">
        <v>-35771</v>
      </c>
      <c r="CU212">
        <v>0</v>
      </c>
      <c r="CV212">
        <v>0</v>
      </c>
      <c r="CW212">
        <v>0</v>
      </c>
      <c r="CX212">
        <v>-35771</v>
      </c>
      <c r="CY212">
        <v>0</v>
      </c>
      <c r="CZ212">
        <v>-35771</v>
      </c>
      <c r="DA212">
        <v>-20514</v>
      </c>
      <c r="DB212">
        <v>0</v>
      </c>
      <c r="DC212">
        <v>-20514</v>
      </c>
      <c r="DD212">
        <v>-19926</v>
      </c>
      <c r="DE212">
        <v>0</v>
      </c>
      <c r="DF212">
        <v>-19926</v>
      </c>
      <c r="DG212">
        <v>-2975</v>
      </c>
      <c r="DH212">
        <v>0</v>
      </c>
      <c r="DI212">
        <v>-2975</v>
      </c>
      <c r="DJ212">
        <v>-473700</v>
      </c>
      <c r="DK212">
        <v>0</v>
      </c>
      <c r="DL212">
        <v>-473700</v>
      </c>
      <c r="DM212">
        <v>-517115</v>
      </c>
      <c r="DN212">
        <v>0</v>
      </c>
      <c r="DO212">
        <v>0</v>
      </c>
      <c r="DP212">
        <v>0</v>
      </c>
      <c r="DQ212">
        <v>-517115</v>
      </c>
      <c r="DR212">
        <v>0</v>
      </c>
      <c r="DS212">
        <v>-517115</v>
      </c>
      <c r="DT212">
        <v>13901995</v>
      </c>
      <c r="DU212">
        <v>2232320</v>
      </c>
      <c r="DV212" s="661">
        <v>16134315</v>
      </c>
      <c r="DW212" t="s">
        <v>1863</v>
      </c>
    </row>
    <row r="213" spans="1:127" ht="12.75" x14ac:dyDescent="0.2">
      <c r="A213" s="605">
        <v>206</v>
      </c>
      <c r="B213" s="606" t="s">
        <v>299</v>
      </c>
      <c r="C213" s="607" t="s">
        <v>1190</v>
      </c>
      <c r="D213" s="608" t="s">
        <v>1191</v>
      </c>
      <c r="E213" s="609" t="s">
        <v>298</v>
      </c>
      <c r="G213">
        <v>223998097</v>
      </c>
      <c r="H213">
        <v>0</v>
      </c>
      <c r="I213">
        <v>223998097</v>
      </c>
      <c r="J213">
        <v>49.9</v>
      </c>
      <c r="K213">
        <v>111775050</v>
      </c>
      <c r="L213">
        <v>0</v>
      </c>
      <c r="M213">
        <v>0</v>
      </c>
      <c r="N213">
        <v>0</v>
      </c>
      <c r="O213">
        <v>111775050</v>
      </c>
      <c r="P213">
        <v>0</v>
      </c>
      <c r="Q213">
        <v>111775050</v>
      </c>
      <c r="R213">
        <v>-291926</v>
      </c>
      <c r="S213">
        <v>0</v>
      </c>
      <c r="T213">
        <v>-291926</v>
      </c>
      <c r="U213">
        <v>100789</v>
      </c>
      <c r="V213">
        <v>0</v>
      </c>
      <c r="W213">
        <v>100789</v>
      </c>
      <c r="X213">
        <v>-191137</v>
      </c>
      <c r="Y213">
        <v>0</v>
      </c>
      <c r="Z213">
        <v>0</v>
      </c>
      <c r="AA213">
        <v>0</v>
      </c>
      <c r="AB213">
        <v>-191137</v>
      </c>
      <c r="AC213">
        <v>0</v>
      </c>
      <c r="AD213">
        <v>-191137</v>
      </c>
      <c r="AE213">
        <v>191137</v>
      </c>
      <c r="AF213">
        <v>0</v>
      </c>
      <c r="AG213">
        <v>191137</v>
      </c>
      <c r="AH213">
        <v>-5259160</v>
      </c>
      <c r="AI213">
        <v>0</v>
      </c>
      <c r="AJ213">
        <v>-5259160</v>
      </c>
      <c r="AK213">
        <v>0</v>
      </c>
      <c r="AL213">
        <v>0</v>
      </c>
      <c r="AM213">
        <v>0</v>
      </c>
      <c r="AN213">
        <v>2105481</v>
      </c>
      <c r="AO213">
        <v>0</v>
      </c>
      <c r="AP213">
        <v>2105481</v>
      </c>
      <c r="AQ213">
        <v>-3153679</v>
      </c>
      <c r="AR213">
        <v>0</v>
      </c>
      <c r="AS213">
        <v>-3153679</v>
      </c>
      <c r="AT213">
        <v>-11608777</v>
      </c>
      <c r="AU213">
        <v>0</v>
      </c>
      <c r="AV213">
        <v>-11608777</v>
      </c>
      <c r="AW213">
        <v>-71223</v>
      </c>
      <c r="AX213">
        <v>0</v>
      </c>
      <c r="AY213">
        <v>-71223</v>
      </c>
      <c r="AZ213">
        <v>0</v>
      </c>
      <c r="BA213">
        <v>0</v>
      </c>
      <c r="BB213">
        <v>0</v>
      </c>
      <c r="BC213">
        <v>0</v>
      </c>
      <c r="BD213">
        <v>0</v>
      </c>
      <c r="BE213">
        <v>0</v>
      </c>
      <c r="BF213">
        <v>-14833679</v>
      </c>
      <c r="BG213">
        <v>0</v>
      </c>
      <c r="BH213">
        <v>0</v>
      </c>
      <c r="BI213">
        <v>0</v>
      </c>
      <c r="BJ213">
        <v>-14833679</v>
      </c>
      <c r="BK213">
        <v>0</v>
      </c>
      <c r="BL213">
        <v>-14833679</v>
      </c>
      <c r="BM213">
        <v>0</v>
      </c>
      <c r="BN213">
        <v>0</v>
      </c>
      <c r="BO213">
        <v>0</v>
      </c>
      <c r="BP213">
        <v>-1127463</v>
      </c>
      <c r="BQ213">
        <v>0</v>
      </c>
      <c r="BR213">
        <v>-1127463</v>
      </c>
      <c r="BS213">
        <v>-1127463</v>
      </c>
      <c r="BT213">
        <v>0</v>
      </c>
      <c r="BU213">
        <v>0</v>
      </c>
      <c r="BV213">
        <v>0</v>
      </c>
      <c r="BW213">
        <v>-1127463</v>
      </c>
      <c r="BX213">
        <v>0</v>
      </c>
      <c r="BY213">
        <v>-1127463</v>
      </c>
      <c r="BZ213">
        <v>-127058</v>
      </c>
      <c r="CA213">
        <v>0</v>
      </c>
      <c r="CB213">
        <v>-127058</v>
      </c>
      <c r="CC213">
        <v>-71412</v>
      </c>
      <c r="CD213">
        <v>0</v>
      </c>
      <c r="CE213">
        <v>-71412</v>
      </c>
      <c r="CF213">
        <v>-7544</v>
      </c>
      <c r="CG213">
        <v>0</v>
      </c>
      <c r="CH213">
        <v>-7544</v>
      </c>
      <c r="CI213">
        <v>0</v>
      </c>
      <c r="CJ213">
        <v>0</v>
      </c>
      <c r="CK213">
        <v>0</v>
      </c>
      <c r="CL213">
        <v>0</v>
      </c>
      <c r="CM213">
        <v>0</v>
      </c>
      <c r="CN213">
        <v>0</v>
      </c>
      <c r="CO213">
        <v>0</v>
      </c>
      <c r="CP213">
        <v>0</v>
      </c>
      <c r="CQ213">
        <v>0</v>
      </c>
      <c r="CR213">
        <v>0</v>
      </c>
      <c r="CS213">
        <v>0</v>
      </c>
      <c r="CT213">
        <v>-206014</v>
      </c>
      <c r="CU213">
        <v>0</v>
      </c>
      <c r="CV213">
        <v>0</v>
      </c>
      <c r="CW213">
        <v>0</v>
      </c>
      <c r="CX213">
        <v>-206014</v>
      </c>
      <c r="CY213">
        <v>0</v>
      </c>
      <c r="CZ213">
        <v>-206014</v>
      </c>
      <c r="DA213">
        <v>0</v>
      </c>
      <c r="DB213">
        <v>0</v>
      </c>
      <c r="DC213">
        <v>0</v>
      </c>
      <c r="DD213">
        <v>-22872</v>
      </c>
      <c r="DE213">
        <v>0</v>
      </c>
      <c r="DF213">
        <v>-22872</v>
      </c>
      <c r="DG213">
        <v>-19000</v>
      </c>
      <c r="DH213">
        <v>0</v>
      </c>
      <c r="DI213">
        <v>-19000</v>
      </c>
      <c r="DJ213">
        <v>-3247529</v>
      </c>
      <c r="DK213">
        <v>0</v>
      </c>
      <c r="DL213">
        <v>-3247529</v>
      </c>
      <c r="DM213">
        <v>-3289401</v>
      </c>
      <c r="DN213">
        <v>0</v>
      </c>
      <c r="DO213">
        <v>0</v>
      </c>
      <c r="DP213">
        <v>0</v>
      </c>
      <c r="DQ213">
        <v>-3289401</v>
      </c>
      <c r="DR213">
        <v>0</v>
      </c>
      <c r="DS213">
        <v>-3289401</v>
      </c>
      <c r="DT213">
        <v>92127356</v>
      </c>
      <c r="DU213">
        <v>0</v>
      </c>
      <c r="DV213" s="661">
        <v>92127356</v>
      </c>
      <c r="DW213" t="s">
        <v>1864</v>
      </c>
    </row>
    <row r="214" spans="1:127" ht="12.75" x14ac:dyDescent="0.2">
      <c r="A214" s="605">
        <v>207</v>
      </c>
      <c r="B214" s="606" t="s">
        <v>301</v>
      </c>
      <c r="C214" s="607" t="s">
        <v>1185</v>
      </c>
      <c r="D214" s="608" t="s">
        <v>1193</v>
      </c>
      <c r="E214" s="609" t="s">
        <v>300</v>
      </c>
      <c r="G214">
        <v>38226681</v>
      </c>
      <c r="H214">
        <v>0</v>
      </c>
      <c r="I214">
        <v>38226681</v>
      </c>
      <c r="J214">
        <v>49.9</v>
      </c>
      <c r="K214">
        <v>19075114</v>
      </c>
      <c r="L214">
        <v>0</v>
      </c>
      <c r="M214">
        <v>0</v>
      </c>
      <c r="N214">
        <v>0</v>
      </c>
      <c r="O214">
        <v>19075114</v>
      </c>
      <c r="P214">
        <v>0</v>
      </c>
      <c r="Q214">
        <v>19075114</v>
      </c>
      <c r="R214">
        <v>-313950</v>
      </c>
      <c r="S214">
        <v>0</v>
      </c>
      <c r="T214">
        <v>-313950</v>
      </c>
      <c r="U214">
        <v>173070</v>
      </c>
      <c r="V214">
        <v>0</v>
      </c>
      <c r="W214">
        <v>173070</v>
      </c>
      <c r="X214">
        <v>-140880</v>
      </c>
      <c r="Y214">
        <v>0</v>
      </c>
      <c r="Z214">
        <v>0</v>
      </c>
      <c r="AA214">
        <v>0</v>
      </c>
      <c r="AB214">
        <v>-140880</v>
      </c>
      <c r="AC214">
        <v>0</v>
      </c>
      <c r="AD214">
        <v>-140880</v>
      </c>
      <c r="AE214">
        <v>140880</v>
      </c>
      <c r="AF214">
        <v>0</v>
      </c>
      <c r="AG214">
        <v>140880</v>
      </c>
      <c r="AH214">
        <v>-3486446</v>
      </c>
      <c r="AI214">
        <v>0</v>
      </c>
      <c r="AJ214">
        <v>-3486446</v>
      </c>
      <c r="AK214">
        <v>-105916</v>
      </c>
      <c r="AL214">
        <v>0</v>
      </c>
      <c r="AM214">
        <v>-105916</v>
      </c>
      <c r="AN214">
        <v>258196</v>
      </c>
      <c r="AO214">
        <v>0</v>
      </c>
      <c r="AP214">
        <v>258196</v>
      </c>
      <c r="AQ214">
        <v>-3228250</v>
      </c>
      <c r="AR214">
        <v>0</v>
      </c>
      <c r="AS214">
        <v>-3228250</v>
      </c>
      <c r="AT214">
        <v>-797196</v>
      </c>
      <c r="AU214">
        <v>0</v>
      </c>
      <c r="AV214">
        <v>-797196</v>
      </c>
      <c r="AW214">
        <v>-47288</v>
      </c>
      <c r="AX214">
        <v>0</v>
      </c>
      <c r="AY214">
        <v>-47288</v>
      </c>
      <c r="AZ214">
        <v>-44540</v>
      </c>
      <c r="BA214">
        <v>0</v>
      </c>
      <c r="BB214">
        <v>-44540</v>
      </c>
      <c r="BC214">
        <v>-13000</v>
      </c>
      <c r="BD214">
        <v>0</v>
      </c>
      <c r="BE214">
        <v>-13000</v>
      </c>
      <c r="BF214">
        <v>-4130274</v>
      </c>
      <c r="BG214">
        <v>0</v>
      </c>
      <c r="BH214">
        <v>0</v>
      </c>
      <c r="BI214">
        <v>0</v>
      </c>
      <c r="BJ214">
        <v>-4130274</v>
      </c>
      <c r="BK214">
        <v>0</v>
      </c>
      <c r="BL214">
        <v>-4130274</v>
      </c>
      <c r="BM214">
        <v>0</v>
      </c>
      <c r="BN214">
        <v>0</v>
      </c>
      <c r="BO214">
        <v>0</v>
      </c>
      <c r="BP214">
        <v>-234224</v>
      </c>
      <c r="BQ214">
        <v>0</v>
      </c>
      <c r="BR214">
        <v>-234224</v>
      </c>
      <c r="BS214">
        <v>-234224</v>
      </c>
      <c r="BT214">
        <v>0</v>
      </c>
      <c r="BU214">
        <v>0</v>
      </c>
      <c r="BV214">
        <v>0</v>
      </c>
      <c r="BW214">
        <v>-234224</v>
      </c>
      <c r="BX214">
        <v>0</v>
      </c>
      <c r="BY214">
        <v>-234224</v>
      </c>
      <c r="BZ214">
        <v>-67319</v>
      </c>
      <c r="CA214">
        <v>0</v>
      </c>
      <c r="CB214">
        <v>-67319</v>
      </c>
      <c r="CC214">
        <v>-54653</v>
      </c>
      <c r="CD214">
        <v>0</v>
      </c>
      <c r="CE214">
        <v>-54653</v>
      </c>
      <c r="CF214">
        <v>-1408</v>
      </c>
      <c r="CG214">
        <v>0</v>
      </c>
      <c r="CH214">
        <v>-1408</v>
      </c>
      <c r="CI214">
        <v>-44540</v>
      </c>
      <c r="CJ214">
        <v>0</v>
      </c>
      <c r="CK214">
        <v>-44540</v>
      </c>
      <c r="CL214">
        <v>0</v>
      </c>
      <c r="CM214">
        <v>0</v>
      </c>
      <c r="CN214">
        <v>0</v>
      </c>
      <c r="CO214">
        <v>0</v>
      </c>
      <c r="CP214">
        <v>0</v>
      </c>
      <c r="CQ214">
        <v>0</v>
      </c>
      <c r="CR214">
        <v>0</v>
      </c>
      <c r="CS214">
        <v>0</v>
      </c>
      <c r="CT214">
        <v>-167920</v>
      </c>
      <c r="CU214">
        <v>0</v>
      </c>
      <c r="CV214">
        <v>0</v>
      </c>
      <c r="CW214">
        <v>0</v>
      </c>
      <c r="CX214">
        <v>-167920</v>
      </c>
      <c r="CY214">
        <v>0</v>
      </c>
      <c r="CZ214">
        <v>-167920</v>
      </c>
      <c r="DA214">
        <v>-44540</v>
      </c>
      <c r="DB214">
        <v>0</v>
      </c>
      <c r="DC214">
        <v>-44540</v>
      </c>
      <c r="DD214">
        <v>-36766</v>
      </c>
      <c r="DE214">
        <v>0</v>
      </c>
      <c r="DF214">
        <v>-36766</v>
      </c>
      <c r="DG214">
        <v>-6291</v>
      </c>
      <c r="DH214">
        <v>0</v>
      </c>
      <c r="DI214">
        <v>-6291</v>
      </c>
      <c r="DJ214">
        <v>-636478</v>
      </c>
      <c r="DK214">
        <v>0</v>
      </c>
      <c r="DL214">
        <v>-636478</v>
      </c>
      <c r="DM214">
        <v>-724075</v>
      </c>
      <c r="DN214">
        <v>0</v>
      </c>
      <c r="DO214">
        <v>-10000</v>
      </c>
      <c r="DP214">
        <v>0</v>
      </c>
      <c r="DQ214">
        <v>-734075</v>
      </c>
      <c r="DR214">
        <v>0</v>
      </c>
      <c r="DS214">
        <v>-734075</v>
      </c>
      <c r="DT214">
        <v>13667741</v>
      </c>
      <c r="DU214">
        <v>0</v>
      </c>
      <c r="DV214" s="661">
        <v>13667741</v>
      </c>
      <c r="DW214" t="s">
        <v>1865</v>
      </c>
    </row>
    <row r="215" spans="1:127" ht="12.75" x14ac:dyDescent="0.2">
      <c r="A215" s="605">
        <v>208</v>
      </c>
      <c r="B215" s="606" t="s">
        <v>303</v>
      </c>
      <c r="C215" s="607" t="s">
        <v>1192</v>
      </c>
      <c r="D215" s="608" t="s">
        <v>1187</v>
      </c>
      <c r="E215" s="609" t="s">
        <v>302</v>
      </c>
      <c r="G215">
        <v>171591164</v>
      </c>
      <c r="H215">
        <v>0</v>
      </c>
      <c r="I215">
        <v>171591164</v>
      </c>
      <c r="J215">
        <v>49.9</v>
      </c>
      <c r="K215">
        <v>85623991</v>
      </c>
      <c r="L215">
        <v>0</v>
      </c>
      <c r="M215">
        <v>1565612</v>
      </c>
      <c r="N215">
        <v>0</v>
      </c>
      <c r="O215">
        <v>87189603</v>
      </c>
      <c r="P215">
        <v>0</v>
      </c>
      <c r="Q215">
        <v>87189603</v>
      </c>
      <c r="R215">
        <v>-280000</v>
      </c>
      <c r="S215">
        <v>0</v>
      </c>
      <c r="T215">
        <v>-280000</v>
      </c>
      <c r="U215">
        <v>345000</v>
      </c>
      <c r="V215">
        <v>0</v>
      </c>
      <c r="W215">
        <v>345000</v>
      </c>
      <c r="X215">
        <v>65000</v>
      </c>
      <c r="Y215">
        <v>0</v>
      </c>
      <c r="Z215">
        <v>0</v>
      </c>
      <c r="AA215">
        <v>0</v>
      </c>
      <c r="AB215">
        <v>65000</v>
      </c>
      <c r="AC215">
        <v>0</v>
      </c>
      <c r="AD215">
        <v>65000</v>
      </c>
      <c r="AE215">
        <v>-65000</v>
      </c>
      <c r="AF215">
        <v>0</v>
      </c>
      <c r="AG215">
        <v>-65000</v>
      </c>
      <c r="AH215">
        <v>-9252000</v>
      </c>
      <c r="AI215">
        <v>0</v>
      </c>
      <c r="AJ215">
        <v>-9252000</v>
      </c>
      <c r="AK215">
        <v>-2000</v>
      </c>
      <c r="AL215">
        <v>0</v>
      </c>
      <c r="AM215">
        <v>-2000</v>
      </c>
      <c r="AN215">
        <v>1570000</v>
      </c>
      <c r="AO215">
        <v>0</v>
      </c>
      <c r="AP215">
        <v>1570000</v>
      </c>
      <c r="AQ215">
        <v>-7682000</v>
      </c>
      <c r="AR215">
        <v>0</v>
      </c>
      <c r="AS215">
        <v>-7682000</v>
      </c>
      <c r="AT215">
        <v>-4300000</v>
      </c>
      <c r="AU215">
        <v>0</v>
      </c>
      <c r="AV215">
        <v>-4300000</v>
      </c>
      <c r="AW215">
        <v>-54000</v>
      </c>
      <c r="AX215">
        <v>0</v>
      </c>
      <c r="AY215">
        <v>-54000</v>
      </c>
      <c r="AZ215">
        <v>0</v>
      </c>
      <c r="BA215">
        <v>0</v>
      </c>
      <c r="BB215">
        <v>0</v>
      </c>
      <c r="BC215">
        <v>0</v>
      </c>
      <c r="BD215">
        <v>0</v>
      </c>
      <c r="BE215">
        <v>0</v>
      </c>
      <c r="BF215">
        <v>-12036000</v>
      </c>
      <c r="BG215">
        <v>0</v>
      </c>
      <c r="BH215">
        <v>0</v>
      </c>
      <c r="BI215">
        <v>0</v>
      </c>
      <c r="BJ215">
        <v>-12036000</v>
      </c>
      <c r="BK215">
        <v>0</v>
      </c>
      <c r="BL215">
        <v>-12036000</v>
      </c>
      <c r="BM215">
        <v>0</v>
      </c>
      <c r="BN215">
        <v>0</v>
      </c>
      <c r="BO215">
        <v>0</v>
      </c>
      <c r="BP215">
        <v>-3614414</v>
      </c>
      <c r="BQ215">
        <v>0</v>
      </c>
      <c r="BR215">
        <v>-3614414</v>
      </c>
      <c r="BS215">
        <v>-3614414</v>
      </c>
      <c r="BT215">
        <v>0</v>
      </c>
      <c r="BU215">
        <v>0</v>
      </c>
      <c r="BV215">
        <v>0</v>
      </c>
      <c r="BW215">
        <v>-3614414</v>
      </c>
      <c r="BX215">
        <v>0</v>
      </c>
      <c r="BY215">
        <v>-3614414</v>
      </c>
      <c r="BZ215">
        <v>-56000</v>
      </c>
      <c r="CA215">
        <v>0</v>
      </c>
      <c r="CB215">
        <v>-56000</v>
      </c>
      <c r="CC215">
        <v>-30000</v>
      </c>
      <c r="CD215">
        <v>0</v>
      </c>
      <c r="CE215">
        <v>-30000</v>
      </c>
      <c r="CF215">
        <v>-4000</v>
      </c>
      <c r="CG215">
        <v>0</v>
      </c>
      <c r="CH215">
        <v>-4000</v>
      </c>
      <c r="CI215">
        <v>0</v>
      </c>
      <c r="CJ215">
        <v>0</v>
      </c>
      <c r="CK215">
        <v>0</v>
      </c>
      <c r="CL215">
        <v>0</v>
      </c>
      <c r="CM215">
        <v>0</v>
      </c>
      <c r="CN215">
        <v>0</v>
      </c>
      <c r="CO215">
        <v>-1000000</v>
      </c>
      <c r="CP215">
        <v>0</v>
      </c>
      <c r="CQ215">
        <v>-1000000</v>
      </c>
      <c r="CR215">
        <v>0</v>
      </c>
      <c r="CS215">
        <v>0</v>
      </c>
      <c r="CT215">
        <v>-1090000</v>
      </c>
      <c r="CU215">
        <v>0</v>
      </c>
      <c r="CV215">
        <v>0</v>
      </c>
      <c r="CW215">
        <v>0</v>
      </c>
      <c r="CX215">
        <v>-1090000</v>
      </c>
      <c r="CY215">
        <v>0</v>
      </c>
      <c r="CZ215">
        <v>-1090000</v>
      </c>
      <c r="DA215">
        <v>0</v>
      </c>
      <c r="DB215">
        <v>0</v>
      </c>
      <c r="DC215">
        <v>0</v>
      </c>
      <c r="DD215">
        <v>-35000</v>
      </c>
      <c r="DE215">
        <v>0</v>
      </c>
      <c r="DF215">
        <v>-35000</v>
      </c>
      <c r="DG215">
        <v>-7395</v>
      </c>
      <c r="DH215">
        <v>0</v>
      </c>
      <c r="DI215">
        <v>-7395</v>
      </c>
      <c r="DJ215">
        <v>-850000</v>
      </c>
      <c r="DK215">
        <v>0</v>
      </c>
      <c r="DL215">
        <v>-850000</v>
      </c>
      <c r="DM215">
        <v>-892395</v>
      </c>
      <c r="DN215">
        <v>0</v>
      </c>
      <c r="DO215">
        <v>0</v>
      </c>
      <c r="DP215">
        <v>0</v>
      </c>
      <c r="DQ215">
        <v>-892395</v>
      </c>
      <c r="DR215">
        <v>0</v>
      </c>
      <c r="DS215">
        <v>-892395</v>
      </c>
      <c r="DT215">
        <v>69621794</v>
      </c>
      <c r="DU215">
        <v>0</v>
      </c>
      <c r="DV215" s="661">
        <v>69621794</v>
      </c>
      <c r="DW215" t="s">
        <v>1866</v>
      </c>
    </row>
    <row r="216" spans="1:127" ht="12.75" x14ac:dyDescent="0.2">
      <c r="A216" s="605">
        <v>209</v>
      </c>
      <c r="B216" s="606" t="s">
        <v>305</v>
      </c>
      <c r="C216" s="607" t="s">
        <v>1185</v>
      </c>
      <c r="D216" s="608" t="s">
        <v>1189</v>
      </c>
      <c r="E216" s="609" t="s">
        <v>304</v>
      </c>
      <c r="G216">
        <v>45930151</v>
      </c>
      <c r="H216">
        <v>0</v>
      </c>
      <c r="I216">
        <v>45930151</v>
      </c>
      <c r="J216">
        <v>49.9</v>
      </c>
      <c r="K216">
        <v>22919145</v>
      </c>
      <c r="L216">
        <v>0</v>
      </c>
      <c r="M216">
        <v>0</v>
      </c>
      <c r="N216">
        <v>0</v>
      </c>
      <c r="O216">
        <v>22919145</v>
      </c>
      <c r="P216">
        <v>0</v>
      </c>
      <c r="Q216">
        <v>22919145</v>
      </c>
      <c r="R216">
        <v>-87340</v>
      </c>
      <c r="S216">
        <v>0</v>
      </c>
      <c r="T216">
        <v>-87340</v>
      </c>
      <c r="U216">
        <v>19792</v>
      </c>
      <c r="V216">
        <v>0</v>
      </c>
      <c r="W216">
        <v>19792</v>
      </c>
      <c r="X216">
        <v>-67548</v>
      </c>
      <c r="Y216">
        <v>0</v>
      </c>
      <c r="Z216">
        <v>0</v>
      </c>
      <c r="AA216">
        <v>0</v>
      </c>
      <c r="AB216">
        <v>-67548</v>
      </c>
      <c r="AC216">
        <v>0</v>
      </c>
      <c r="AD216">
        <v>-67548</v>
      </c>
      <c r="AE216">
        <v>67548</v>
      </c>
      <c r="AF216">
        <v>0</v>
      </c>
      <c r="AG216">
        <v>67548</v>
      </c>
      <c r="AH216">
        <v>-3800108</v>
      </c>
      <c r="AI216">
        <v>0</v>
      </c>
      <c r="AJ216">
        <v>-3800108</v>
      </c>
      <c r="AK216">
        <v>0</v>
      </c>
      <c r="AL216">
        <v>0</v>
      </c>
      <c r="AM216">
        <v>0</v>
      </c>
      <c r="AN216">
        <v>318829</v>
      </c>
      <c r="AO216">
        <v>0</v>
      </c>
      <c r="AP216">
        <v>318829</v>
      </c>
      <c r="AQ216">
        <v>-3481279</v>
      </c>
      <c r="AR216">
        <v>0</v>
      </c>
      <c r="AS216">
        <v>-3481279</v>
      </c>
      <c r="AT216">
        <v>-1555322</v>
      </c>
      <c r="AU216">
        <v>0</v>
      </c>
      <c r="AV216">
        <v>-1555322</v>
      </c>
      <c r="AW216">
        <v>-6955</v>
      </c>
      <c r="AX216">
        <v>0</v>
      </c>
      <c r="AY216">
        <v>-6955</v>
      </c>
      <c r="AZ216">
        <v>0</v>
      </c>
      <c r="BA216">
        <v>0</v>
      </c>
      <c r="BB216">
        <v>0</v>
      </c>
      <c r="BC216">
        <v>0</v>
      </c>
      <c r="BD216">
        <v>0</v>
      </c>
      <c r="BE216">
        <v>0</v>
      </c>
      <c r="BF216">
        <v>-5043556</v>
      </c>
      <c r="BG216">
        <v>0</v>
      </c>
      <c r="BH216">
        <v>0</v>
      </c>
      <c r="BI216">
        <v>0</v>
      </c>
      <c r="BJ216">
        <v>-5043556</v>
      </c>
      <c r="BK216">
        <v>0</v>
      </c>
      <c r="BL216">
        <v>-5043556</v>
      </c>
      <c r="BM216">
        <v>0</v>
      </c>
      <c r="BN216">
        <v>0</v>
      </c>
      <c r="BO216">
        <v>0</v>
      </c>
      <c r="BP216">
        <v>-294679</v>
      </c>
      <c r="BQ216">
        <v>0</v>
      </c>
      <c r="BR216">
        <v>-294679</v>
      </c>
      <c r="BS216">
        <v>-294679</v>
      </c>
      <c r="BT216">
        <v>0</v>
      </c>
      <c r="BU216">
        <v>0</v>
      </c>
      <c r="BV216">
        <v>0</v>
      </c>
      <c r="BW216">
        <v>-294679</v>
      </c>
      <c r="BX216">
        <v>0</v>
      </c>
      <c r="BY216">
        <v>-294679</v>
      </c>
      <c r="BZ216">
        <v>-5864</v>
      </c>
      <c r="CA216">
        <v>0</v>
      </c>
      <c r="CB216">
        <v>-5864</v>
      </c>
      <c r="CC216">
        <v>0</v>
      </c>
      <c r="CD216">
        <v>0</v>
      </c>
      <c r="CE216">
        <v>0</v>
      </c>
      <c r="CF216">
        <v>0</v>
      </c>
      <c r="CG216">
        <v>0</v>
      </c>
      <c r="CH216">
        <v>0</v>
      </c>
      <c r="CI216">
        <v>0</v>
      </c>
      <c r="CJ216">
        <v>0</v>
      </c>
      <c r="CK216">
        <v>0</v>
      </c>
      <c r="CL216">
        <v>0</v>
      </c>
      <c r="CM216">
        <v>0</v>
      </c>
      <c r="CN216">
        <v>0</v>
      </c>
      <c r="CO216">
        <v>0</v>
      </c>
      <c r="CP216">
        <v>0</v>
      </c>
      <c r="CQ216">
        <v>0</v>
      </c>
      <c r="CR216">
        <v>0</v>
      </c>
      <c r="CS216">
        <v>0</v>
      </c>
      <c r="CT216">
        <v>-5864</v>
      </c>
      <c r="CU216">
        <v>0</v>
      </c>
      <c r="CV216">
        <v>0</v>
      </c>
      <c r="CW216">
        <v>0</v>
      </c>
      <c r="CX216">
        <v>-5864</v>
      </c>
      <c r="CY216">
        <v>0</v>
      </c>
      <c r="CZ216">
        <v>-5864</v>
      </c>
      <c r="DA216">
        <v>0</v>
      </c>
      <c r="DB216">
        <v>0</v>
      </c>
      <c r="DC216">
        <v>0</v>
      </c>
      <c r="DD216">
        <v>-3398</v>
      </c>
      <c r="DE216">
        <v>0</v>
      </c>
      <c r="DF216">
        <v>-3398</v>
      </c>
      <c r="DG216">
        <v>-3593</v>
      </c>
      <c r="DH216">
        <v>0</v>
      </c>
      <c r="DI216">
        <v>-3593</v>
      </c>
      <c r="DJ216">
        <v>-453040</v>
      </c>
      <c r="DK216">
        <v>0</v>
      </c>
      <c r="DL216">
        <v>-453040</v>
      </c>
      <c r="DM216">
        <v>-460031</v>
      </c>
      <c r="DN216">
        <v>0</v>
      </c>
      <c r="DO216">
        <v>0</v>
      </c>
      <c r="DP216">
        <v>0</v>
      </c>
      <c r="DQ216">
        <v>-460031</v>
      </c>
      <c r="DR216">
        <v>0</v>
      </c>
      <c r="DS216">
        <v>-460031</v>
      </c>
      <c r="DT216">
        <v>17047467</v>
      </c>
      <c r="DU216">
        <v>0</v>
      </c>
      <c r="DV216" s="661">
        <v>17047467</v>
      </c>
      <c r="DW216" t="s">
        <v>1867</v>
      </c>
    </row>
    <row r="217" spans="1:127" ht="12.75" x14ac:dyDescent="0.2">
      <c r="A217" s="605">
        <v>210</v>
      </c>
      <c r="B217" s="606" t="s">
        <v>307</v>
      </c>
      <c r="C217" s="607" t="s">
        <v>1185</v>
      </c>
      <c r="D217" s="608" t="s">
        <v>1187</v>
      </c>
      <c r="E217" s="609" t="s">
        <v>306</v>
      </c>
      <c r="G217">
        <v>36426313</v>
      </c>
      <c r="H217">
        <v>0</v>
      </c>
      <c r="I217">
        <v>36426313</v>
      </c>
      <c r="J217">
        <v>49.9</v>
      </c>
      <c r="K217">
        <v>18176730</v>
      </c>
      <c r="L217">
        <v>0</v>
      </c>
      <c r="M217">
        <v>0</v>
      </c>
      <c r="N217">
        <v>0</v>
      </c>
      <c r="O217">
        <v>18176730</v>
      </c>
      <c r="P217">
        <v>0</v>
      </c>
      <c r="Q217">
        <v>18176730</v>
      </c>
      <c r="R217">
        <v>-101221</v>
      </c>
      <c r="S217">
        <v>0</v>
      </c>
      <c r="T217">
        <v>-101221</v>
      </c>
      <c r="U217">
        <v>85966</v>
      </c>
      <c r="V217">
        <v>0</v>
      </c>
      <c r="W217">
        <v>85966</v>
      </c>
      <c r="X217">
        <v>-15255</v>
      </c>
      <c r="Y217">
        <v>0</v>
      </c>
      <c r="Z217">
        <v>0</v>
      </c>
      <c r="AA217">
        <v>0</v>
      </c>
      <c r="AB217">
        <v>-15255</v>
      </c>
      <c r="AC217">
        <v>0</v>
      </c>
      <c r="AD217">
        <v>-15255</v>
      </c>
      <c r="AE217">
        <v>15255</v>
      </c>
      <c r="AF217">
        <v>0</v>
      </c>
      <c r="AG217">
        <v>15255</v>
      </c>
      <c r="AH217">
        <v>-3292892</v>
      </c>
      <c r="AI217">
        <v>0</v>
      </c>
      <c r="AJ217">
        <v>-3292892</v>
      </c>
      <c r="AK217">
        <v>-4990</v>
      </c>
      <c r="AL217">
        <v>0</v>
      </c>
      <c r="AM217">
        <v>-4990</v>
      </c>
      <c r="AN217">
        <v>266479</v>
      </c>
      <c r="AO217">
        <v>0</v>
      </c>
      <c r="AP217">
        <v>266479</v>
      </c>
      <c r="AQ217">
        <v>-3026413</v>
      </c>
      <c r="AR217">
        <v>0</v>
      </c>
      <c r="AS217">
        <v>-3026413</v>
      </c>
      <c r="AT217">
        <v>-670413</v>
      </c>
      <c r="AU217">
        <v>0</v>
      </c>
      <c r="AV217">
        <v>-670413</v>
      </c>
      <c r="AW217">
        <v>-53909</v>
      </c>
      <c r="AX217">
        <v>0</v>
      </c>
      <c r="AY217">
        <v>-53909</v>
      </c>
      <c r="AZ217">
        <v>-1050</v>
      </c>
      <c r="BA217">
        <v>0</v>
      </c>
      <c r="BB217">
        <v>-1050</v>
      </c>
      <c r="BC217">
        <v>0</v>
      </c>
      <c r="BD217">
        <v>0</v>
      </c>
      <c r="BE217">
        <v>0</v>
      </c>
      <c r="BF217">
        <v>-3751785</v>
      </c>
      <c r="BG217">
        <v>0</v>
      </c>
      <c r="BH217">
        <v>0</v>
      </c>
      <c r="BI217">
        <v>0</v>
      </c>
      <c r="BJ217">
        <v>-3751785</v>
      </c>
      <c r="BK217">
        <v>0</v>
      </c>
      <c r="BL217">
        <v>-3751785</v>
      </c>
      <c r="BM217">
        <v>0</v>
      </c>
      <c r="BN217">
        <v>0</v>
      </c>
      <c r="BO217">
        <v>0</v>
      </c>
      <c r="BP217">
        <v>-527746</v>
      </c>
      <c r="BQ217">
        <v>0</v>
      </c>
      <c r="BR217">
        <v>-527746</v>
      </c>
      <c r="BS217">
        <v>-527746</v>
      </c>
      <c r="BT217">
        <v>0</v>
      </c>
      <c r="BU217">
        <v>0</v>
      </c>
      <c r="BV217">
        <v>0</v>
      </c>
      <c r="BW217">
        <v>-527746</v>
      </c>
      <c r="BX217">
        <v>0</v>
      </c>
      <c r="BY217">
        <v>-527746</v>
      </c>
      <c r="BZ217">
        <v>-65432</v>
      </c>
      <c r="CA217">
        <v>0</v>
      </c>
      <c r="CB217">
        <v>-65432</v>
      </c>
      <c r="CC217">
        <v>-22920</v>
      </c>
      <c r="CD217">
        <v>0</v>
      </c>
      <c r="CE217">
        <v>-22920</v>
      </c>
      <c r="CF217">
        <v>-3453</v>
      </c>
      <c r="CG217">
        <v>0</v>
      </c>
      <c r="CH217">
        <v>-3453</v>
      </c>
      <c r="CI217">
        <v>0</v>
      </c>
      <c r="CJ217">
        <v>0</v>
      </c>
      <c r="CK217">
        <v>0</v>
      </c>
      <c r="CL217">
        <v>0</v>
      </c>
      <c r="CM217">
        <v>0</v>
      </c>
      <c r="CN217">
        <v>0</v>
      </c>
      <c r="CO217">
        <v>0</v>
      </c>
      <c r="CP217">
        <v>0</v>
      </c>
      <c r="CQ217">
        <v>0</v>
      </c>
      <c r="CR217">
        <v>0</v>
      </c>
      <c r="CS217">
        <v>0</v>
      </c>
      <c r="CT217">
        <v>-91805</v>
      </c>
      <c r="CU217">
        <v>0</v>
      </c>
      <c r="CV217">
        <v>0</v>
      </c>
      <c r="CW217">
        <v>0</v>
      </c>
      <c r="CX217">
        <v>-91805</v>
      </c>
      <c r="CY217">
        <v>0</v>
      </c>
      <c r="CZ217">
        <v>-91805</v>
      </c>
      <c r="DA217">
        <v>-1050</v>
      </c>
      <c r="DB217">
        <v>0</v>
      </c>
      <c r="DC217">
        <v>-1050</v>
      </c>
      <c r="DD217">
        <v>-5595</v>
      </c>
      <c r="DE217">
        <v>0</v>
      </c>
      <c r="DF217">
        <v>-5595</v>
      </c>
      <c r="DG217">
        <v>-2</v>
      </c>
      <c r="DH217">
        <v>0</v>
      </c>
      <c r="DI217">
        <v>-2</v>
      </c>
      <c r="DJ217">
        <v>-463121</v>
      </c>
      <c r="DK217">
        <v>0</v>
      </c>
      <c r="DL217">
        <v>-463121</v>
      </c>
      <c r="DM217">
        <v>-469768</v>
      </c>
      <c r="DN217">
        <v>0</v>
      </c>
      <c r="DO217">
        <v>0</v>
      </c>
      <c r="DP217">
        <v>0</v>
      </c>
      <c r="DQ217">
        <v>-469768</v>
      </c>
      <c r="DR217">
        <v>0</v>
      </c>
      <c r="DS217">
        <v>-469768</v>
      </c>
      <c r="DT217">
        <v>13320371</v>
      </c>
      <c r="DU217">
        <v>0</v>
      </c>
      <c r="DV217" s="661">
        <v>13320371</v>
      </c>
      <c r="DW217" t="s">
        <v>1868</v>
      </c>
    </row>
    <row r="218" spans="1:127" ht="12.75" x14ac:dyDescent="0.2">
      <c r="A218" s="605">
        <v>211</v>
      </c>
      <c r="B218" s="606" t="s">
        <v>309</v>
      </c>
      <c r="C218" s="607" t="s">
        <v>1185</v>
      </c>
      <c r="D218" s="608" t="s">
        <v>1186</v>
      </c>
      <c r="E218" s="609" t="s">
        <v>308</v>
      </c>
      <c r="G218">
        <v>56002519</v>
      </c>
      <c r="H218">
        <v>0</v>
      </c>
      <c r="I218">
        <v>56002519</v>
      </c>
      <c r="J218">
        <v>49.9</v>
      </c>
      <c r="K218">
        <v>27945257</v>
      </c>
      <c r="L218">
        <v>0</v>
      </c>
      <c r="M218">
        <v>0</v>
      </c>
      <c r="N218">
        <v>0</v>
      </c>
      <c r="O218">
        <v>27945257</v>
      </c>
      <c r="P218">
        <v>0</v>
      </c>
      <c r="Q218">
        <v>27945257</v>
      </c>
      <c r="R218">
        <v>-315409</v>
      </c>
      <c r="S218">
        <v>0</v>
      </c>
      <c r="T218">
        <v>-315409</v>
      </c>
      <c r="U218">
        <v>85213</v>
      </c>
      <c r="V218">
        <v>0</v>
      </c>
      <c r="W218">
        <v>85213</v>
      </c>
      <c r="X218">
        <v>-230196</v>
      </c>
      <c r="Y218">
        <v>0</v>
      </c>
      <c r="Z218">
        <v>0</v>
      </c>
      <c r="AA218">
        <v>0</v>
      </c>
      <c r="AB218">
        <v>-230196</v>
      </c>
      <c r="AC218">
        <v>0</v>
      </c>
      <c r="AD218">
        <v>-230196</v>
      </c>
      <c r="AE218">
        <v>230196</v>
      </c>
      <c r="AF218">
        <v>0</v>
      </c>
      <c r="AG218">
        <v>230196</v>
      </c>
      <c r="AH218">
        <v>-5245989</v>
      </c>
      <c r="AI218">
        <v>0</v>
      </c>
      <c r="AJ218">
        <v>-5245989</v>
      </c>
      <c r="AK218">
        <v>0</v>
      </c>
      <c r="AL218">
        <v>0</v>
      </c>
      <c r="AM218">
        <v>0</v>
      </c>
      <c r="AN218">
        <v>390015</v>
      </c>
      <c r="AO218">
        <v>0</v>
      </c>
      <c r="AP218">
        <v>390015</v>
      </c>
      <c r="AQ218">
        <v>-4855974</v>
      </c>
      <c r="AR218">
        <v>0</v>
      </c>
      <c r="AS218">
        <v>-4855974</v>
      </c>
      <c r="AT218">
        <v>-2523717</v>
      </c>
      <c r="AU218">
        <v>0</v>
      </c>
      <c r="AV218">
        <v>-2523717</v>
      </c>
      <c r="AW218">
        <v>-85000</v>
      </c>
      <c r="AX218">
        <v>0</v>
      </c>
      <c r="AY218">
        <v>-85000</v>
      </c>
      <c r="AZ218">
        <v>-34760</v>
      </c>
      <c r="BA218">
        <v>0</v>
      </c>
      <c r="BB218">
        <v>-34760</v>
      </c>
      <c r="BC218">
        <v>0</v>
      </c>
      <c r="BD218">
        <v>0</v>
      </c>
      <c r="BE218">
        <v>0</v>
      </c>
      <c r="BF218">
        <v>-7499451</v>
      </c>
      <c r="BG218">
        <v>0</v>
      </c>
      <c r="BH218">
        <v>0</v>
      </c>
      <c r="BI218">
        <v>0</v>
      </c>
      <c r="BJ218">
        <v>-7499451</v>
      </c>
      <c r="BK218">
        <v>0</v>
      </c>
      <c r="BL218">
        <v>-7499451</v>
      </c>
      <c r="BM218">
        <v>0</v>
      </c>
      <c r="BN218">
        <v>0</v>
      </c>
      <c r="BO218">
        <v>0</v>
      </c>
      <c r="BP218">
        <v>-456217</v>
      </c>
      <c r="BQ218">
        <v>0</v>
      </c>
      <c r="BR218">
        <v>-456217</v>
      </c>
      <c r="BS218">
        <v>-456217</v>
      </c>
      <c r="BT218">
        <v>0</v>
      </c>
      <c r="BU218">
        <v>0</v>
      </c>
      <c r="BV218">
        <v>0</v>
      </c>
      <c r="BW218">
        <v>-456217</v>
      </c>
      <c r="BX218">
        <v>0</v>
      </c>
      <c r="BY218">
        <v>-456217</v>
      </c>
      <c r="BZ218">
        <v>-34000</v>
      </c>
      <c r="CA218">
        <v>0</v>
      </c>
      <c r="CB218">
        <v>-34000</v>
      </c>
      <c r="CC218">
        <v>0</v>
      </c>
      <c r="CD218">
        <v>0</v>
      </c>
      <c r="CE218">
        <v>0</v>
      </c>
      <c r="CF218">
        <v>-6000</v>
      </c>
      <c r="CG218">
        <v>0</v>
      </c>
      <c r="CH218">
        <v>-6000</v>
      </c>
      <c r="CI218">
        <v>0</v>
      </c>
      <c r="CJ218">
        <v>0</v>
      </c>
      <c r="CK218">
        <v>0</v>
      </c>
      <c r="CL218">
        <v>0</v>
      </c>
      <c r="CM218">
        <v>0</v>
      </c>
      <c r="CN218">
        <v>0</v>
      </c>
      <c r="CO218">
        <v>0</v>
      </c>
      <c r="CP218">
        <v>0</v>
      </c>
      <c r="CQ218">
        <v>0</v>
      </c>
      <c r="CR218">
        <v>0</v>
      </c>
      <c r="CS218">
        <v>0</v>
      </c>
      <c r="CT218">
        <v>-40000</v>
      </c>
      <c r="CU218">
        <v>0</v>
      </c>
      <c r="CV218">
        <v>0</v>
      </c>
      <c r="CW218">
        <v>0</v>
      </c>
      <c r="CX218">
        <v>-40000</v>
      </c>
      <c r="CY218">
        <v>0</v>
      </c>
      <c r="CZ218">
        <v>-40000</v>
      </c>
      <c r="DA218">
        <v>-34760</v>
      </c>
      <c r="DB218">
        <v>0</v>
      </c>
      <c r="DC218">
        <v>-34760</v>
      </c>
      <c r="DD218">
        <v>-47848</v>
      </c>
      <c r="DE218">
        <v>0</v>
      </c>
      <c r="DF218">
        <v>-47848</v>
      </c>
      <c r="DG218">
        <v>-346</v>
      </c>
      <c r="DH218">
        <v>0</v>
      </c>
      <c r="DI218">
        <v>-346</v>
      </c>
      <c r="DJ218">
        <v>-629853</v>
      </c>
      <c r="DK218">
        <v>0</v>
      </c>
      <c r="DL218">
        <v>-629853</v>
      </c>
      <c r="DM218">
        <v>-712807</v>
      </c>
      <c r="DN218">
        <v>0</v>
      </c>
      <c r="DO218">
        <v>0</v>
      </c>
      <c r="DP218">
        <v>0</v>
      </c>
      <c r="DQ218">
        <v>-712807</v>
      </c>
      <c r="DR218">
        <v>0</v>
      </c>
      <c r="DS218">
        <v>-712807</v>
      </c>
      <c r="DT218">
        <v>19006586</v>
      </c>
      <c r="DU218">
        <v>0</v>
      </c>
      <c r="DV218" s="661">
        <v>19006586</v>
      </c>
      <c r="DW218" t="s">
        <v>1869</v>
      </c>
    </row>
    <row r="219" spans="1:127" ht="12.75" x14ac:dyDescent="0.2">
      <c r="A219" s="605">
        <v>212</v>
      </c>
      <c r="B219" s="606" t="s">
        <v>311</v>
      </c>
      <c r="C219" s="607" t="s">
        <v>1192</v>
      </c>
      <c r="D219" s="608" t="s">
        <v>1193</v>
      </c>
      <c r="E219" s="609" t="s">
        <v>310</v>
      </c>
      <c r="G219">
        <v>188087785</v>
      </c>
      <c r="H219">
        <v>2413625</v>
      </c>
      <c r="I219">
        <v>190501410</v>
      </c>
      <c r="J219">
        <v>49.9</v>
      </c>
      <c r="K219">
        <v>93855805</v>
      </c>
      <c r="L219">
        <v>1204399</v>
      </c>
      <c r="M219">
        <v>1500000</v>
      </c>
      <c r="N219">
        <v>0</v>
      </c>
      <c r="O219">
        <v>95355805</v>
      </c>
      <c r="P219">
        <v>1204399</v>
      </c>
      <c r="Q219">
        <v>96560204</v>
      </c>
      <c r="R219">
        <v>-313242</v>
      </c>
      <c r="S219">
        <v>-5607</v>
      </c>
      <c r="T219">
        <v>-318849</v>
      </c>
      <c r="U219">
        <v>1622927</v>
      </c>
      <c r="V219">
        <v>0</v>
      </c>
      <c r="W219">
        <v>1622927</v>
      </c>
      <c r="X219">
        <v>1309685</v>
      </c>
      <c r="Y219">
        <v>-5607</v>
      </c>
      <c r="Z219">
        <v>0</v>
      </c>
      <c r="AA219">
        <v>0</v>
      </c>
      <c r="AB219">
        <v>1309685</v>
      </c>
      <c r="AC219">
        <v>-5607</v>
      </c>
      <c r="AD219">
        <v>1304078</v>
      </c>
      <c r="AE219">
        <v>-1309685</v>
      </c>
      <c r="AF219">
        <v>5607</v>
      </c>
      <c r="AG219">
        <v>-1304078</v>
      </c>
      <c r="AH219">
        <v>-9161879</v>
      </c>
      <c r="AI219">
        <v>-34780</v>
      </c>
      <c r="AJ219">
        <v>-9196659</v>
      </c>
      <c r="AK219">
        <v>-33713</v>
      </c>
      <c r="AL219">
        <v>0</v>
      </c>
      <c r="AM219">
        <v>-33713</v>
      </c>
      <c r="AN219">
        <v>1773009</v>
      </c>
      <c r="AO219">
        <v>14260</v>
      </c>
      <c r="AP219">
        <v>1787269</v>
      </c>
      <c r="AQ219">
        <v>-7388870</v>
      </c>
      <c r="AR219">
        <v>-20520</v>
      </c>
      <c r="AS219">
        <v>-7409390</v>
      </c>
      <c r="AT219">
        <v>-5690459</v>
      </c>
      <c r="AU219">
        <v>-121906</v>
      </c>
      <c r="AV219">
        <v>-5812365</v>
      </c>
      <c r="AW219">
        <v>-15581</v>
      </c>
      <c r="AX219">
        <v>0</v>
      </c>
      <c r="AY219">
        <v>-15581</v>
      </c>
      <c r="AZ219">
        <v>-12696</v>
      </c>
      <c r="BA219">
        <v>0</v>
      </c>
      <c r="BB219">
        <v>-12696</v>
      </c>
      <c r="BC219">
        <v>0</v>
      </c>
      <c r="BD219">
        <v>0</v>
      </c>
      <c r="BE219">
        <v>0</v>
      </c>
      <c r="BF219">
        <v>-13107606</v>
      </c>
      <c r="BG219">
        <v>-142426</v>
      </c>
      <c r="BH219">
        <v>0</v>
      </c>
      <c r="BI219">
        <v>0</v>
      </c>
      <c r="BJ219">
        <v>-13107606</v>
      </c>
      <c r="BK219">
        <v>-142426</v>
      </c>
      <c r="BL219">
        <v>-13250032</v>
      </c>
      <c r="BM219">
        <v>0</v>
      </c>
      <c r="BN219">
        <v>0</v>
      </c>
      <c r="BO219">
        <v>0</v>
      </c>
      <c r="BP219">
        <v>-2024592</v>
      </c>
      <c r="BQ219">
        <v>-37632</v>
      </c>
      <c r="BR219">
        <v>-2062224</v>
      </c>
      <c r="BS219">
        <v>-2024592</v>
      </c>
      <c r="BT219">
        <v>-37632</v>
      </c>
      <c r="BU219">
        <v>0</v>
      </c>
      <c r="BV219">
        <v>0</v>
      </c>
      <c r="BW219">
        <v>-2024592</v>
      </c>
      <c r="BX219">
        <v>-37632</v>
      </c>
      <c r="BY219">
        <v>-2062224</v>
      </c>
      <c r="BZ219">
        <v>-102217</v>
      </c>
      <c r="CA219">
        <v>0</v>
      </c>
      <c r="CB219">
        <v>-102217</v>
      </c>
      <c r="CC219">
        <v>-655779</v>
      </c>
      <c r="CD219">
        <v>0</v>
      </c>
      <c r="CE219">
        <v>-655779</v>
      </c>
      <c r="CF219">
        <v>-3895</v>
      </c>
      <c r="CG219">
        <v>0</v>
      </c>
      <c r="CH219">
        <v>-3895</v>
      </c>
      <c r="CI219">
        <v>0</v>
      </c>
      <c r="CJ219">
        <v>0</v>
      </c>
      <c r="CK219">
        <v>0</v>
      </c>
      <c r="CL219">
        <v>0</v>
      </c>
      <c r="CM219">
        <v>0</v>
      </c>
      <c r="CN219">
        <v>0</v>
      </c>
      <c r="CO219">
        <v>0</v>
      </c>
      <c r="CP219">
        <v>-157410</v>
      </c>
      <c r="CQ219">
        <v>-157410</v>
      </c>
      <c r="CR219">
        <v>-157410</v>
      </c>
      <c r="CS219">
        <v>0</v>
      </c>
      <c r="CT219">
        <v>-761891</v>
      </c>
      <c r="CU219">
        <v>-157410</v>
      </c>
      <c r="CV219">
        <v>0</v>
      </c>
      <c r="CW219">
        <v>0</v>
      </c>
      <c r="CX219">
        <v>-761891</v>
      </c>
      <c r="CY219">
        <v>-157410</v>
      </c>
      <c r="CZ219">
        <v>-919301</v>
      </c>
      <c r="DA219">
        <v>-12696</v>
      </c>
      <c r="DB219">
        <v>0</v>
      </c>
      <c r="DC219">
        <v>-12696</v>
      </c>
      <c r="DD219">
        <v>-23043</v>
      </c>
      <c r="DE219">
        <v>0</v>
      </c>
      <c r="DF219">
        <v>-23043</v>
      </c>
      <c r="DG219">
        <v>0</v>
      </c>
      <c r="DH219">
        <v>0</v>
      </c>
      <c r="DI219">
        <v>0</v>
      </c>
      <c r="DJ219">
        <v>-810818</v>
      </c>
      <c r="DK219">
        <v>0</v>
      </c>
      <c r="DL219">
        <v>-810818</v>
      </c>
      <c r="DM219">
        <v>-846557</v>
      </c>
      <c r="DN219">
        <v>0</v>
      </c>
      <c r="DO219">
        <v>0</v>
      </c>
      <c r="DP219">
        <v>0</v>
      </c>
      <c r="DQ219">
        <v>-846557</v>
      </c>
      <c r="DR219">
        <v>0</v>
      </c>
      <c r="DS219">
        <v>-846557</v>
      </c>
      <c r="DT219">
        <v>79924844</v>
      </c>
      <c r="DU219">
        <v>861324</v>
      </c>
      <c r="DV219" s="661">
        <v>80786168</v>
      </c>
      <c r="DW219" t="s">
        <v>1870</v>
      </c>
    </row>
    <row r="220" spans="1:127" ht="12.75" x14ac:dyDescent="0.2">
      <c r="A220" s="605">
        <v>213</v>
      </c>
      <c r="B220" s="606" t="s">
        <v>313</v>
      </c>
      <c r="C220" s="607" t="s">
        <v>1185</v>
      </c>
      <c r="D220" s="608" t="s">
        <v>1195</v>
      </c>
      <c r="E220" s="609" t="s">
        <v>312</v>
      </c>
      <c r="G220">
        <v>127177386</v>
      </c>
      <c r="H220">
        <v>0</v>
      </c>
      <c r="I220">
        <v>127177386</v>
      </c>
      <c r="J220">
        <v>49.9</v>
      </c>
      <c r="K220">
        <v>63461516</v>
      </c>
      <c r="L220">
        <v>0</v>
      </c>
      <c r="M220">
        <v>609215</v>
      </c>
      <c r="N220">
        <v>0</v>
      </c>
      <c r="O220">
        <v>64070731</v>
      </c>
      <c r="P220">
        <v>0</v>
      </c>
      <c r="Q220">
        <v>64070731</v>
      </c>
      <c r="R220">
        <v>-156513</v>
      </c>
      <c r="S220">
        <v>0</v>
      </c>
      <c r="T220">
        <v>-156513</v>
      </c>
      <c r="U220">
        <v>354598</v>
      </c>
      <c r="V220">
        <v>0</v>
      </c>
      <c r="W220">
        <v>354598</v>
      </c>
      <c r="X220">
        <v>198085</v>
      </c>
      <c r="Y220">
        <v>0</v>
      </c>
      <c r="Z220">
        <v>0</v>
      </c>
      <c r="AA220">
        <v>0</v>
      </c>
      <c r="AB220">
        <v>198085</v>
      </c>
      <c r="AC220">
        <v>0</v>
      </c>
      <c r="AD220">
        <v>198085</v>
      </c>
      <c r="AE220">
        <v>-198085</v>
      </c>
      <c r="AF220">
        <v>0</v>
      </c>
      <c r="AG220">
        <v>-198085</v>
      </c>
      <c r="AH220">
        <v>-3514212</v>
      </c>
      <c r="AI220">
        <v>0</v>
      </c>
      <c r="AJ220">
        <v>-3514212</v>
      </c>
      <c r="AK220">
        <v>0</v>
      </c>
      <c r="AL220">
        <v>0</v>
      </c>
      <c r="AM220">
        <v>0</v>
      </c>
      <c r="AN220">
        <v>1314451</v>
      </c>
      <c r="AO220">
        <v>0</v>
      </c>
      <c r="AP220">
        <v>1314451</v>
      </c>
      <c r="AQ220">
        <v>-2199761</v>
      </c>
      <c r="AR220">
        <v>0</v>
      </c>
      <c r="AS220">
        <v>-2199761</v>
      </c>
      <c r="AT220">
        <v>-3371113</v>
      </c>
      <c r="AU220">
        <v>0</v>
      </c>
      <c r="AV220">
        <v>-3371113</v>
      </c>
      <c r="AW220">
        <v>-75817</v>
      </c>
      <c r="AX220">
        <v>0</v>
      </c>
      <c r="AY220">
        <v>-75817</v>
      </c>
      <c r="AZ220">
        <v>-7955</v>
      </c>
      <c r="BA220">
        <v>0</v>
      </c>
      <c r="BB220">
        <v>-7955</v>
      </c>
      <c r="BC220">
        <v>0</v>
      </c>
      <c r="BD220">
        <v>0</v>
      </c>
      <c r="BE220">
        <v>0</v>
      </c>
      <c r="BF220">
        <v>-5654646</v>
      </c>
      <c r="BG220">
        <v>0</v>
      </c>
      <c r="BH220">
        <v>0</v>
      </c>
      <c r="BI220">
        <v>0</v>
      </c>
      <c r="BJ220">
        <v>-5654646</v>
      </c>
      <c r="BK220">
        <v>0</v>
      </c>
      <c r="BL220">
        <v>-5654646</v>
      </c>
      <c r="BM220">
        <v>-200000</v>
      </c>
      <c r="BN220">
        <v>0</v>
      </c>
      <c r="BO220">
        <v>-200000</v>
      </c>
      <c r="BP220">
        <v>-1244266</v>
      </c>
      <c r="BQ220">
        <v>0</v>
      </c>
      <c r="BR220">
        <v>-1244266</v>
      </c>
      <c r="BS220">
        <v>-1444266</v>
      </c>
      <c r="BT220">
        <v>0</v>
      </c>
      <c r="BU220">
        <v>0</v>
      </c>
      <c r="BV220">
        <v>0</v>
      </c>
      <c r="BW220">
        <v>-1444266</v>
      </c>
      <c r="BX220">
        <v>0</v>
      </c>
      <c r="BY220">
        <v>-1444266</v>
      </c>
      <c r="BZ220">
        <v>-110227</v>
      </c>
      <c r="CA220">
        <v>0</v>
      </c>
      <c r="CB220">
        <v>-110227</v>
      </c>
      <c r="CC220">
        <v>-7485</v>
      </c>
      <c r="CD220">
        <v>0</v>
      </c>
      <c r="CE220">
        <v>-7485</v>
      </c>
      <c r="CF220">
        <v>0</v>
      </c>
      <c r="CG220">
        <v>0</v>
      </c>
      <c r="CH220">
        <v>0</v>
      </c>
      <c r="CI220">
        <v>0</v>
      </c>
      <c r="CJ220">
        <v>0</v>
      </c>
      <c r="CK220">
        <v>0</v>
      </c>
      <c r="CL220">
        <v>0</v>
      </c>
      <c r="CM220">
        <v>0</v>
      </c>
      <c r="CN220">
        <v>0</v>
      </c>
      <c r="CO220">
        <v>0</v>
      </c>
      <c r="CP220">
        <v>0</v>
      </c>
      <c r="CQ220">
        <v>0</v>
      </c>
      <c r="CR220">
        <v>0</v>
      </c>
      <c r="CS220">
        <v>0</v>
      </c>
      <c r="CT220">
        <v>-117712</v>
      </c>
      <c r="CU220">
        <v>0</v>
      </c>
      <c r="CV220">
        <v>0</v>
      </c>
      <c r="CW220">
        <v>0</v>
      </c>
      <c r="CX220">
        <v>-117712</v>
      </c>
      <c r="CY220">
        <v>0</v>
      </c>
      <c r="CZ220">
        <v>-117712</v>
      </c>
      <c r="DA220">
        <v>-7955</v>
      </c>
      <c r="DB220">
        <v>0</v>
      </c>
      <c r="DC220">
        <v>-7955</v>
      </c>
      <c r="DD220">
        <v>-24504</v>
      </c>
      <c r="DE220">
        <v>0</v>
      </c>
      <c r="DF220">
        <v>-24504</v>
      </c>
      <c r="DG220">
        <v>-7949</v>
      </c>
      <c r="DH220">
        <v>0</v>
      </c>
      <c r="DI220">
        <v>-7949</v>
      </c>
      <c r="DJ220">
        <v>-728227</v>
      </c>
      <c r="DK220">
        <v>0</v>
      </c>
      <c r="DL220">
        <v>-728227</v>
      </c>
      <c r="DM220">
        <v>-768635</v>
      </c>
      <c r="DN220">
        <v>0</v>
      </c>
      <c r="DO220">
        <v>0</v>
      </c>
      <c r="DP220">
        <v>0</v>
      </c>
      <c r="DQ220">
        <v>-768635</v>
      </c>
      <c r="DR220">
        <v>0</v>
      </c>
      <c r="DS220">
        <v>-768635</v>
      </c>
      <c r="DT220">
        <v>56283557</v>
      </c>
      <c r="DU220">
        <v>0</v>
      </c>
      <c r="DV220" s="661">
        <v>56283557</v>
      </c>
      <c r="DW220" t="s">
        <v>1871</v>
      </c>
    </row>
    <row r="221" spans="1:127" ht="12.75" x14ac:dyDescent="0.2">
      <c r="A221" s="605">
        <v>214</v>
      </c>
      <c r="B221" s="606" t="s">
        <v>315</v>
      </c>
      <c r="C221" s="607" t="s">
        <v>1185</v>
      </c>
      <c r="D221" s="608" t="s">
        <v>1186</v>
      </c>
      <c r="E221" s="609" t="s">
        <v>314</v>
      </c>
      <c r="G221">
        <v>138568153</v>
      </c>
      <c r="H221">
        <v>1633500</v>
      </c>
      <c r="I221">
        <v>140201653</v>
      </c>
      <c r="J221">
        <v>49.9</v>
      </c>
      <c r="K221">
        <v>69145508</v>
      </c>
      <c r="L221">
        <v>815117</v>
      </c>
      <c r="M221">
        <v>-500000</v>
      </c>
      <c r="N221">
        <v>0</v>
      </c>
      <c r="O221">
        <v>68645508</v>
      </c>
      <c r="P221">
        <v>815117</v>
      </c>
      <c r="Q221">
        <v>69460625</v>
      </c>
      <c r="R221">
        <v>-406625</v>
      </c>
      <c r="S221">
        <v>-873</v>
      </c>
      <c r="T221">
        <v>-407498</v>
      </c>
      <c r="U221">
        <v>9913</v>
      </c>
      <c r="V221">
        <v>0</v>
      </c>
      <c r="W221">
        <v>9913</v>
      </c>
      <c r="X221">
        <v>-396712</v>
      </c>
      <c r="Y221">
        <v>-873</v>
      </c>
      <c r="Z221">
        <v>0</v>
      </c>
      <c r="AA221">
        <v>0</v>
      </c>
      <c r="AB221">
        <v>-396712</v>
      </c>
      <c r="AC221">
        <v>-873</v>
      </c>
      <c r="AD221">
        <v>-397585</v>
      </c>
      <c r="AE221">
        <v>396712</v>
      </c>
      <c r="AF221">
        <v>873</v>
      </c>
      <c r="AG221">
        <v>397585</v>
      </c>
      <c r="AH221">
        <v>-2405418</v>
      </c>
      <c r="AI221">
        <v>0</v>
      </c>
      <c r="AJ221">
        <v>-2405418</v>
      </c>
      <c r="AK221">
        <v>-6174</v>
      </c>
      <c r="AL221">
        <v>0</v>
      </c>
      <c r="AM221">
        <v>-6174</v>
      </c>
      <c r="AN221">
        <v>1520022</v>
      </c>
      <c r="AO221">
        <v>0</v>
      </c>
      <c r="AP221">
        <v>1520022</v>
      </c>
      <c r="AQ221">
        <v>-885396</v>
      </c>
      <c r="AR221">
        <v>0</v>
      </c>
      <c r="AS221">
        <v>-885396</v>
      </c>
      <c r="AT221">
        <v>-4791524</v>
      </c>
      <c r="AU221">
        <v>0</v>
      </c>
      <c r="AV221">
        <v>-4791524</v>
      </c>
      <c r="AW221">
        <v>-38403</v>
      </c>
      <c r="AX221">
        <v>0</v>
      </c>
      <c r="AY221">
        <v>-38403</v>
      </c>
      <c r="AZ221">
        <v>0</v>
      </c>
      <c r="BA221">
        <v>0</v>
      </c>
      <c r="BB221">
        <v>0</v>
      </c>
      <c r="BC221">
        <v>0</v>
      </c>
      <c r="BD221">
        <v>0</v>
      </c>
      <c r="BE221">
        <v>0</v>
      </c>
      <c r="BF221">
        <v>-5715323</v>
      </c>
      <c r="BG221">
        <v>0</v>
      </c>
      <c r="BH221">
        <v>0</v>
      </c>
      <c r="BI221">
        <v>0</v>
      </c>
      <c r="BJ221">
        <v>-5715323</v>
      </c>
      <c r="BK221">
        <v>0</v>
      </c>
      <c r="BL221">
        <v>-5715323</v>
      </c>
      <c r="BM221">
        <v>0</v>
      </c>
      <c r="BN221">
        <v>0</v>
      </c>
      <c r="BO221">
        <v>0</v>
      </c>
      <c r="BP221">
        <v>-2281428</v>
      </c>
      <c r="BQ221">
        <v>0</v>
      </c>
      <c r="BR221">
        <v>-2281428</v>
      </c>
      <c r="BS221">
        <v>-2281428</v>
      </c>
      <c r="BT221">
        <v>0</v>
      </c>
      <c r="BU221">
        <v>0</v>
      </c>
      <c r="BV221">
        <v>0</v>
      </c>
      <c r="BW221">
        <v>-2281428</v>
      </c>
      <c r="BX221">
        <v>0</v>
      </c>
      <c r="BY221">
        <v>-2281428</v>
      </c>
      <c r="BZ221">
        <v>-12352</v>
      </c>
      <c r="CA221">
        <v>0</v>
      </c>
      <c r="CB221">
        <v>-12352</v>
      </c>
      <c r="CC221">
        <v>0</v>
      </c>
      <c r="CD221">
        <v>0</v>
      </c>
      <c r="CE221">
        <v>0</v>
      </c>
      <c r="CF221">
        <v>-38406</v>
      </c>
      <c r="CG221">
        <v>0</v>
      </c>
      <c r="CH221">
        <v>-38406</v>
      </c>
      <c r="CI221">
        <v>0</v>
      </c>
      <c r="CJ221">
        <v>0</v>
      </c>
      <c r="CK221">
        <v>0</v>
      </c>
      <c r="CL221">
        <v>0</v>
      </c>
      <c r="CM221">
        <v>0</v>
      </c>
      <c r="CN221">
        <v>0</v>
      </c>
      <c r="CO221">
        <v>0</v>
      </c>
      <c r="CP221">
        <v>0</v>
      </c>
      <c r="CQ221">
        <v>0</v>
      </c>
      <c r="CR221">
        <v>0</v>
      </c>
      <c r="CS221">
        <v>0</v>
      </c>
      <c r="CT221">
        <v>-50758</v>
      </c>
      <c r="CU221">
        <v>0</v>
      </c>
      <c r="CV221">
        <v>0</v>
      </c>
      <c r="CW221">
        <v>0</v>
      </c>
      <c r="CX221">
        <v>-50758</v>
      </c>
      <c r="CY221">
        <v>0</v>
      </c>
      <c r="CZ221">
        <v>-50758</v>
      </c>
      <c r="DA221">
        <v>0</v>
      </c>
      <c r="DB221">
        <v>0</v>
      </c>
      <c r="DC221">
        <v>0</v>
      </c>
      <c r="DD221">
        <v>-32992</v>
      </c>
      <c r="DE221">
        <v>0</v>
      </c>
      <c r="DF221">
        <v>-32992</v>
      </c>
      <c r="DG221">
        <v>-63334</v>
      </c>
      <c r="DH221">
        <v>0</v>
      </c>
      <c r="DI221">
        <v>-63334</v>
      </c>
      <c r="DJ221">
        <v>-603561</v>
      </c>
      <c r="DK221">
        <v>0</v>
      </c>
      <c r="DL221">
        <v>-603561</v>
      </c>
      <c r="DM221">
        <v>-699887</v>
      </c>
      <c r="DN221">
        <v>0</v>
      </c>
      <c r="DO221">
        <v>0</v>
      </c>
      <c r="DP221">
        <v>0</v>
      </c>
      <c r="DQ221">
        <v>-699887</v>
      </c>
      <c r="DR221">
        <v>0</v>
      </c>
      <c r="DS221">
        <v>-699887</v>
      </c>
      <c r="DT221">
        <v>59501400</v>
      </c>
      <c r="DU221">
        <v>814244</v>
      </c>
      <c r="DV221" s="661">
        <v>60315644</v>
      </c>
      <c r="DW221" t="s">
        <v>1872</v>
      </c>
    </row>
    <row r="222" spans="1:127" ht="12.75" x14ac:dyDescent="0.2">
      <c r="A222" s="605">
        <v>215</v>
      </c>
      <c r="B222" s="606" t="s">
        <v>317</v>
      </c>
      <c r="C222" s="607" t="s">
        <v>1185</v>
      </c>
      <c r="D222" s="608" t="s">
        <v>1188</v>
      </c>
      <c r="E222" s="609" t="s">
        <v>316</v>
      </c>
      <c r="G222">
        <v>72000997</v>
      </c>
      <c r="H222">
        <v>0</v>
      </c>
      <c r="I222">
        <v>72000997</v>
      </c>
      <c r="J222">
        <v>49.9</v>
      </c>
      <c r="K222">
        <v>35928498</v>
      </c>
      <c r="L222">
        <v>0</v>
      </c>
      <c r="M222">
        <v>0</v>
      </c>
      <c r="N222">
        <v>0</v>
      </c>
      <c r="O222">
        <v>35928498</v>
      </c>
      <c r="P222">
        <v>0</v>
      </c>
      <c r="Q222">
        <v>35928498</v>
      </c>
      <c r="R222">
        <v>-254429</v>
      </c>
      <c r="S222">
        <v>0</v>
      </c>
      <c r="T222">
        <v>-254429</v>
      </c>
      <c r="U222">
        <v>2209406</v>
      </c>
      <c r="V222">
        <v>0</v>
      </c>
      <c r="W222">
        <v>2209406</v>
      </c>
      <c r="X222">
        <v>1954977</v>
      </c>
      <c r="Y222">
        <v>0</v>
      </c>
      <c r="Z222">
        <v>0</v>
      </c>
      <c r="AA222">
        <v>0</v>
      </c>
      <c r="AB222">
        <v>1954977</v>
      </c>
      <c r="AC222">
        <v>0</v>
      </c>
      <c r="AD222">
        <v>1954977</v>
      </c>
      <c r="AE222">
        <v>-1954977</v>
      </c>
      <c r="AF222">
        <v>0</v>
      </c>
      <c r="AG222">
        <v>-1954977</v>
      </c>
      <c r="AH222">
        <v>-3388989</v>
      </c>
      <c r="AI222">
        <v>0</v>
      </c>
      <c r="AJ222">
        <v>-3388989</v>
      </c>
      <c r="AK222">
        <v>-7672</v>
      </c>
      <c r="AL222">
        <v>0</v>
      </c>
      <c r="AM222">
        <v>-7672</v>
      </c>
      <c r="AN222">
        <v>638576</v>
      </c>
      <c r="AO222">
        <v>0</v>
      </c>
      <c r="AP222">
        <v>638576</v>
      </c>
      <c r="AQ222">
        <v>-2750413</v>
      </c>
      <c r="AR222">
        <v>0</v>
      </c>
      <c r="AS222">
        <v>-2750413</v>
      </c>
      <c r="AT222">
        <v>-3277259</v>
      </c>
      <c r="AU222">
        <v>0</v>
      </c>
      <c r="AV222">
        <v>-3277259</v>
      </c>
      <c r="AW222">
        <v>-83544</v>
      </c>
      <c r="AX222">
        <v>0</v>
      </c>
      <c r="AY222">
        <v>-83544</v>
      </c>
      <c r="AZ222">
        <v>-6870</v>
      </c>
      <c r="BA222">
        <v>0</v>
      </c>
      <c r="BB222">
        <v>-6870</v>
      </c>
      <c r="BC222">
        <v>0</v>
      </c>
      <c r="BD222">
        <v>0</v>
      </c>
      <c r="BE222">
        <v>0</v>
      </c>
      <c r="BF222">
        <v>-6118086</v>
      </c>
      <c r="BG222">
        <v>0</v>
      </c>
      <c r="BH222">
        <v>0</v>
      </c>
      <c r="BI222">
        <v>0</v>
      </c>
      <c r="BJ222">
        <v>-6118086</v>
      </c>
      <c r="BK222">
        <v>0</v>
      </c>
      <c r="BL222">
        <v>-6118086</v>
      </c>
      <c r="BM222">
        <v>0</v>
      </c>
      <c r="BN222">
        <v>0</v>
      </c>
      <c r="BO222">
        <v>0</v>
      </c>
      <c r="BP222">
        <v>-219403</v>
      </c>
      <c r="BQ222">
        <v>0</v>
      </c>
      <c r="BR222">
        <v>-219403</v>
      </c>
      <c r="BS222">
        <v>-219403</v>
      </c>
      <c r="BT222">
        <v>0</v>
      </c>
      <c r="BU222">
        <v>0</v>
      </c>
      <c r="BV222">
        <v>0</v>
      </c>
      <c r="BW222">
        <v>-219403</v>
      </c>
      <c r="BX222">
        <v>0</v>
      </c>
      <c r="BY222">
        <v>-219403</v>
      </c>
      <c r="BZ222">
        <v>-16234</v>
      </c>
      <c r="CA222">
        <v>0</v>
      </c>
      <c r="CB222">
        <v>-16234</v>
      </c>
      <c r="CC222">
        <v>-419062</v>
      </c>
      <c r="CD222">
        <v>0</v>
      </c>
      <c r="CE222">
        <v>-419062</v>
      </c>
      <c r="CF222">
        <v>0</v>
      </c>
      <c r="CG222">
        <v>0</v>
      </c>
      <c r="CH222">
        <v>0</v>
      </c>
      <c r="CI222">
        <v>0</v>
      </c>
      <c r="CJ222">
        <v>0</v>
      </c>
      <c r="CK222">
        <v>0</v>
      </c>
      <c r="CL222">
        <v>-1794</v>
      </c>
      <c r="CM222">
        <v>0</v>
      </c>
      <c r="CN222">
        <v>-1794</v>
      </c>
      <c r="CO222">
        <v>0</v>
      </c>
      <c r="CP222">
        <v>0</v>
      </c>
      <c r="CQ222">
        <v>0</v>
      </c>
      <c r="CR222">
        <v>0</v>
      </c>
      <c r="CS222">
        <v>0</v>
      </c>
      <c r="CT222">
        <v>-437090</v>
      </c>
      <c r="CU222">
        <v>0</v>
      </c>
      <c r="CV222">
        <v>0</v>
      </c>
      <c r="CW222">
        <v>0</v>
      </c>
      <c r="CX222">
        <v>-437090</v>
      </c>
      <c r="CY222">
        <v>0</v>
      </c>
      <c r="CZ222">
        <v>-437090</v>
      </c>
      <c r="DA222">
        <v>-6860</v>
      </c>
      <c r="DB222">
        <v>0</v>
      </c>
      <c r="DC222">
        <v>-6860</v>
      </c>
      <c r="DD222">
        <v>-33967</v>
      </c>
      <c r="DE222">
        <v>0</v>
      </c>
      <c r="DF222">
        <v>-33967</v>
      </c>
      <c r="DG222">
        <v>-7600</v>
      </c>
      <c r="DH222">
        <v>0</v>
      </c>
      <c r="DI222">
        <v>-7600</v>
      </c>
      <c r="DJ222">
        <v>-933478</v>
      </c>
      <c r="DK222">
        <v>0</v>
      </c>
      <c r="DL222">
        <v>-933478</v>
      </c>
      <c r="DM222">
        <v>-981905</v>
      </c>
      <c r="DN222">
        <v>0</v>
      </c>
      <c r="DO222">
        <v>0</v>
      </c>
      <c r="DP222">
        <v>0</v>
      </c>
      <c r="DQ222">
        <v>-981905</v>
      </c>
      <c r="DR222">
        <v>0</v>
      </c>
      <c r="DS222">
        <v>-981905</v>
      </c>
      <c r="DT222">
        <v>30126991</v>
      </c>
      <c r="DU222">
        <v>0</v>
      </c>
      <c r="DV222" s="661">
        <v>30126991</v>
      </c>
      <c r="DW222" t="s">
        <v>1873</v>
      </c>
    </row>
    <row r="223" spans="1:127" ht="12.75" x14ac:dyDescent="0.2">
      <c r="A223" s="605">
        <v>216</v>
      </c>
      <c r="B223" s="606" t="s">
        <v>319</v>
      </c>
      <c r="C223" s="607" t="s">
        <v>1185</v>
      </c>
      <c r="D223" s="608" t="s">
        <v>1186</v>
      </c>
      <c r="E223" s="609" t="s">
        <v>318</v>
      </c>
      <c r="G223">
        <v>121078294</v>
      </c>
      <c r="H223">
        <v>0</v>
      </c>
      <c r="I223">
        <v>121078294</v>
      </c>
      <c r="J223">
        <v>49.9</v>
      </c>
      <c r="K223">
        <v>60418069</v>
      </c>
      <c r="L223">
        <v>0</v>
      </c>
      <c r="M223">
        <v>-377673</v>
      </c>
      <c r="N223">
        <v>0</v>
      </c>
      <c r="O223">
        <v>60040396</v>
      </c>
      <c r="P223">
        <v>0</v>
      </c>
      <c r="Q223">
        <v>60040396</v>
      </c>
      <c r="R223">
        <v>-237106</v>
      </c>
      <c r="S223">
        <v>0</v>
      </c>
      <c r="T223">
        <v>-237106</v>
      </c>
      <c r="U223">
        <v>319176</v>
      </c>
      <c r="V223">
        <v>0</v>
      </c>
      <c r="W223">
        <v>319176</v>
      </c>
      <c r="X223">
        <v>82070</v>
      </c>
      <c r="Y223">
        <v>0</v>
      </c>
      <c r="Z223">
        <v>0</v>
      </c>
      <c r="AA223">
        <v>0</v>
      </c>
      <c r="AB223">
        <v>82070</v>
      </c>
      <c r="AC223">
        <v>0</v>
      </c>
      <c r="AD223">
        <v>82070</v>
      </c>
      <c r="AE223">
        <v>-82070</v>
      </c>
      <c r="AF223">
        <v>0</v>
      </c>
      <c r="AG223">
        <v>-82070</v>
      </c>
      <c r="AH223">
        <v>-2410008</v>
      </c>
      <c r="AI223">
        <v>0</v>
      </c>
      <c r="AJ223">
        <v>-2410008</v>
      </c>
      <c r="AK223">
        <v>-6362</v>
      </c>
      <c r="AL223">
        <v>0</v>
      </c>
      <c r="AM223">
        <v>-6362</v>
      </c>
      <c r="AN223">
        <v>1262529</v>
      </c>
      <c r="AO223">
        <v>0</v>
      </c>
      <c r="AP223">
        <v>1262529</v>
      </c>
      <c r="AQ223">
        <v>-1147479</v>
      </c>
      <c r="AR223">
        <v>0</v>
      </c>
      <c r="AS223">
        <v>-1147479</v>
      </c>
      <c r="AT223">
        <v>-2098819</v>
      </c>
      <c r="AU223">
        <v>0</v>
      </c>
      <c r="AV223">
        <v>-2098819</v>
      </c>
      <c r="AW223">
        <v>-21381</v>
      </c>
      <c r="AX223">
        <v>0</v>
      </c>
      <c r="AY223">
        <v>-21381</v>
      </c>
      <c r="AZ223">
        <v>0</v>
      </c>
      <c r="BA223">
        <v>0</v>
      </c>
      <c r="BB223">
        <v>0</v>
      </c>
      <c r="BC223">
        <v>0</v>
      </c>
      <c r="BD223">
        <v>0</v>
      </c>
      <c r="BE223">
        <v>0</v>
      </c>
      <c r="BF223">
        <v>-3267679</v>
      </c>
      <c r="BG223">
        <v>0</v>
      </c>
      <c r="BH223">
        <v>0</v>
      </c>
      <c r="BI223">
        <v>0</v>
      </c>
      <c r="BJ223">
        <v>-3267679</v>
      </c>
      <c r="BK223">
        <v>0</v>
      </c>
      <c r="BL223">
        <v>-3267679</v>
      </c>
      <c r="BM223">
        <v>-100000</v>
      </c>
      <c r="BN223">
        <v>0</v>
      </c>
      <c r="BO223">
        <v>-100000</v>
      </c>
      <c r="BP223">
        <v>-995858</v>
      </c>
      <c r="BQ223">
        <v>0</v>
      </c>
      <c r="BR223">
        <v>-995858</v>
      </c>
      <c r="BS223">
        <v>-1095858</v>
      </c>
      <c r="BT223">
        <v>0</v>
      </c>
      <c r="BU223">
        <v>-443985</v>
      </c>
      <c r="BV223">
        <v>0</v>
      </c>
      <c r="BW223">
        <v>-1539843</v>
      </c>
      <c r="BX223">
        <v>0</v>
      </c>
      <c r="BY223">
        <v>-1539843</v>
      </c>
      <c r="BZ223">
        <v>-55460</v>
      </c>
      <c r="CA223">
        <v>0</v>
      </c>
      <c r="CB223">
        <v>-55460</v>
      </c>
      <c r="CC223">
        <v>-318687</v>
      </c>
      <c r="CD223">
        <v>0</v>
      </c>
      <c r="CE223">
        <v>-318687</v>
      </c>
      <c r="CF223">
        <v>-5345</v>
      </c>
      <c r="CG223">
        <v>0</v>
      </c>
      <c r="CH223">
        <v>-5345</v>
      </c>
      <c r="CI223">
        <v>0</v>
      </c>
      <c r="CJ223">
        <v>0</v>
      </c>
      <c r="CK223">
        <v>0</v>
      </c>
      <c r="CL223">
        <v>0</v>
      </c>
      <c r="CM223">
        <v>0</v>
      </c>
      <c r="CN223">
        <v>0</v>
      </c>
      <c r="CO223">
        <v>-120000</v>
      </c>
      <c r="CP223">
        <v>0</v>
      </c>
      <c r="CQ223">
        <v>-120000</v>
      </c>
      <c r="CR223">
        <v>0</v>
      </c>
      <c r="CS223">
        <v>0</v>
      </c>
      <c r="CT223">
        <v>-499492</v>
      </c>
      <c r="CU223">
        <v>0</v>
      </c>
      <c r="CV223">
        <v>-60000</v>
      </c>
      <c r="CW223">
        <v>0</v>
      </c>
      <c r="CX223">
        <v>-559492</v>
      </c>
      <c r="CY223">
        <v>0</v>
      </c>
      <c r="CZ223">
        <v>-559492</v>
      </c>
      <c r="DA223">
        <v>0</v>
      </c>
      <c r="DB223">
        <v>0</v>
      </c>
      <c r="DC223">
        <v>0</v>
      </c>
      <c r="DD223">
        <v>-43147</v>
      </c>
      <c r="DE223">
        <v>0</v>
      </c>
      <c r="DF223">
        <v>-43147</v>
      </c>
      <c r="DG223">
        <v>-9000</v>
      </c>
      <c r="DH223">
        <v>0</v>
      </c>
      <c r="DI223">
        <v>-9000</v>
      </c>
      <c r="DJ223">
        <v>-631570</v>
      </c>
      <c r="DK223">
        <v>0</v>
      </c>
      <c r="DL223">
        <v>-631570</v>
      </c>
      <c r="DM223">
        <v>-683717</v>
      </c>
      <c r="DN223">
        <v>0</v>
      </c>
      <c r="DO223">
        <v>0</v>
      </c>
      <c r="DP223">
        <v>0</v>
      </c>
      <c r="DQ223">
        <v>-683717</v>
      </c>
      <c r="DR223">
        <v>0</v>
      </c>
      <c r="DS223">
        <v>-683717</v>
      </c>
      <c r="DT223">
        <v>54071735</v>
      </c>
      <c r="DU223">
        <v>0</v>
      </c>
      <c r="DV223" s="661">
        <v>54071735</v>
      </c>
      <c r="DW223" t="s">
        <v>1874</v>
      </c>
    </row>
    <row r="224" spans="1:127" ht="12.75" x14ac:dyDescent="0.2">
      <c r="A224" s="605">
        <v>217</v>
      </c>
      <c r="B224" s="606" t="s">
        <v>321</v>
      </c>
      <c r="C224" s="607" t="s">
        <v>524</v>
      </c>
      <c r="D224" s="608" t="s">
        <v>1188</v>
      </c>
      <c r="E224" s="609" t="s">
        <v>593</v>
      </c>
      <c r="G224">
        <v>32911307</v>
      </c>
      <c r="H224">
        <v>0</v>
      </c>
      <c r="I224">
        <v>32911307</v>
      </c>
      <c r="J224">
        <v>49.9</v>
      </c>
      <c r="K224">
        <v>16422742</v>
      </c>
      <c r="L224">
        <v>0</v>
      </c>
      <c r="M224">
        <v>0</v>
      </c>
      <c r="N224">
        <v>0</v>
      </c>
      <c r="O224">
        <v>16422742</v>
      </c>
      <c r="P224">
        <v>0</v>
      </c>
      <c r="Q224">
        <v>16422742</v>
      </c>
      <c r="R224">
        <v>-257168</v>
      </c>
      <c r="S224">
        <v>0</v>
      </c>
      <c r="T224">
        <v>-257168</v>
      </c>
      <c r="U224">
        <v>1061</v>
      </c>
      <c r="V224">
        <v>0</v>
      </c>
      <c r="W224">
        <v>1061</v>
      </c>
      <c r="X224">
        <v>-256107</v>
      </c>
      <c r="Y224">
        <v>0</v>
      </c>
      <c r="Z224">
        <v>0</v>
      </c>
      <c r="AA224">
        <v>0</v>
      </c>
      <c r="AB224">
        <v>-256107</v>
      </c>
      <c r="AC224">
        <v>0</v>
      </c>
      <c r="AD224">
        <v>-256107</v>
      </c>
      <c r="AE224">
        <v>256107</v>
      </c>
      <c r="AF224">
        <v>0</v>
      </c>
      <c r="AG224">
        <v>256107</v>
      </c>
      <c r="AH224">
        <v>-2079206</v>
      </c>
      <c r="AI224">
        <v>0</v>
      </c>
      <c r="AJ224">
        <v>-2079206</v>
      </c>
      <c r="AK224">
        <v>-3546</v>
      </c>
      <c r="AL224">
        <v>0</v>
      </c>
      <c r="AM224">
        <v>-3546</v>
      </c>
      <c r="AN224">
        <v>272384</v>
      </c>
      <c r="AO224">
        <v>0</v>
      </c>
      <c r="AP224">
        <v>272384</v>
      </c>
      <c r="AQ224">
        <v>-1806822</v>
      </c>
      <c r="AR224">
        <v>0</v>
      </c>
      <c r="AS224">
        <v>-1806822</v>
      </c>
      <c r="AT224">
        <v>-1749971</v>
      </c>
      <c r="AU224">
        <v>0</v>
      </c>
      <c r="AV224">
        <v>-1749971</v>
      </c>
      <c r="AW224">
        <v>-24022</v>
      </c>
      <c r="AX224">
        <v>0</v>
      </c>
      <c r="AY224">
        <v>-24022</v>
      </c>
      <c r="AZ224">
        <v>-11336</v>
      </c>
      <c r="BA224">
        <v>0</v>
      </c>
      <c r="BB224">
        <v>-11336</v>
      </c>
      <c r="BC224">
        <v>0</v>
      </c>
      <c r="BD224">
        <v>0</v>
      </c>
      <c r="BE224">
        <v>0</v>
      </c>
      <c r="BF224">
        <v>-3592151</v>
      </c>
      <c r="BG224">
        <v>0</v>
      </c>
      <c r="BH224">
        <v>0</v>
      </c>
      <c r="BI224">
        <v>0</v>
      </c>
      <c r="BJ224">
        <v>-3592151</v>
      </c>
      <c r="BK224">
        <v>0</v>
      </c>
      <c r="BL224">
        <v>-3592151</v>
      </c>
      <c r="BM224">
        <v>0</v>
      </c>
      <c r="BN224">
        <v>0</v>
      </c>
      <c r="BO224">
        <v>0</v>
      </c>
      <c r="BP224">
        <v>-149425</v>
      </c>
      <c r="BQ224">
        <v>0</v>
      </c>
      <c r="BR224">
        <v>-149425</v>
      </c>
      <c r="BS224">
        <v>-149425</v>
      </c>
      <c r="BT224">
        <v>0</v>
      </c>
      <c r="BU224">
        <v>0</v>
      </c>
      <c r="BV224">
        <v>0</v>
      </c>
      <c r="BW224">
        <v>-149425</v>
      </c>
      <c r="BX224">
        <v>0</v>
      </c>
      <c r="BY224">
        <v>-149425</v>
      </c>
      <c r="BZ224">
        <v>-61677</v>
      </c>
      <c r="CA224">
        <v>0</v>
      </c>
      <c r="CB224">
        <v>-61677</v>
      </c>
      <c r="CC224">
        <v>-22890</v>
      </c>
      <c r="CD224">
        <v>0</v>
      </c>
      <c r="CE224">
        <v>-22890</v>
      </c>
      <c r="CF224">
        <v>-2300</v>
      </c>
      <c r="CG224">
        <v>0</v>
      </c>
      <c r="CH224">
        <v>-2300</v>
      </c>
      <c r="CI224">
        <v>0</v>
      </c>
      <c r="CJ224">
        <v>0</v>
      </c>
      <c r="CK224">
        <v>0</v>
      </c>
      <c r="CL224">
        <v>0</v>
      </c>
      <c r="CM224">
        <v>0</v>
      </c>
      <c r="CN224">
        <v>0</v>
      </c>
      <c r="CO224">
        <v>0</v>
      </c>
      <c r="CP224">
        <v>0</v>
      </c>
      <c r="CQ224">
        <v>0</v>
      </c>
      <c r="CR224">
        <v>0</v>
      </c>
      <c r="CS224">
        <v>0</v>
      </c>
      <c r="CT224">
        <v>-86867</v>
      </c>
      <c r="CU224">
        <v>0</v>
      </c>
      <c r="CV224">
        <v>0</v>
      </c>
      <c r="CW224">
        <v>0</v>
      </c>
      <c r="CX224">
        <v>-86867</v>
      </c>
      <c r="CY224">
        <v>0</v>
      </c>
      <c r="CZ224">
        <v>-86867</v>
      </c>
      <c r="DA224">
        <v>-11336</v>
      </c>
      <c r="DB224">
        <v>0</v>
      </c>
      <c r="DC224">
        <v>-11336</v>
      </c>
      <c r="DD224">
        <v>-16720</v>
      </c>
      <c r="DE224">
        <v>0</v>
      </c>
      <c r="DF224">
        <v>-16720</v>
      </c>
      <c r="DG224">
        <v>-5000</v>
      </c>
      <c r="DH224">
        <v>0</v>
      </c>
      <c r="DI224">
        <v>-5000</v>
      </c>
      <c r="DJ224">
        <v>-323555</v>
      </c>
      <c r="DK224">
        <v>0</v>
      </c>
      <c r="DL224">
        <v>-323555</v>
      </c>
      <c r="DM224">
        <v>-356611</v>
      </c>
      <c r="DN224">
        <v>0</v>
      </c>
      <c r="DO224">
        <v>0</v>
      </c>
      <c r="DP224">
        <v>0</v>
      </c>
      <c r="DQ224">
        <v>-356611</v>
      </c>
      <c r="DR224">
        <v>0</v>
      </c>
      <c r="DS224">
        <v>-356611</v>
      </c>
      <c r="DT224">
        <v>11981581</v>
      </c>
      <c r="DU224">
        <v>0</v>
      </c>
      <c r="DV224" s="661">
        <v>11981581</v>
      </c>
      <c r="DW224" t="s">
        <v>1875</v>
      </c>
    </row>
    <row r="225" spans="1:127" ht="12.75" x14ac:dyDescent="0.2">
      <c r="A225" s="605">
        <v>218</v>
      </c>
      <c r="B225" s="606" t="s">
        <v>323</v>
      </c>
      <c r="C225" s="607" t="s">
        <v>1185</v>
      </c>
      <c r="D225" s="608" t="s">
        <v>1193</v>
      </c>
      <c r="E225" s="609" t="s">
        <v>322</v>
      </c>
      <c r="G225">
        <v>49097713</v>
      </c>
      <c r="H225">
        <v>0</v>
      </c>
      <c r="I225">
        <v>49097713</v>
      </c>
      <c r="J225">
        <v>49.9</v>
      </c>
      <c r="K225">
        <v>24499759</v>
      </c>
      <c r="L225">
        <v>0</v>
      </c>
      <c r="M225">
        <v>230000</v>
      </c>
      <c r="N225">
        <v>0</v>
      </c>
      <c r="O225">
        <v>24729759</v>
      </c>
      <c r="P225">
        <v>0</v>
      </c>
      <c r="Q225">
        <v>24729759</v>
      </c>
      <c r="R225">
        <v>-329000</v>
      </c>
      <c r="S225">
        <v>0</v>
      </c>
      <c r="T225">
        <v>-329000</v>
      </c>
      <c r="U225">
        <v>40250</v>
      </c>
      <c r="V225">
        <v>0</v>
      </c>
      <c r="W225">
        <v>40250</v>
      </c>
      <c r="X225">
        <v>-288750</v>
      </c>
      <c r="Y225">
        <v>0</v>
      </c>
      <c r="Z225">
        <v>-15000</v>
      </c>
      <c r="AA225">
        <v>0</v>
      </c>
      <c r="AB225">
        <v>-303750</v>
      </c>
      <c r="AC225">
        <v>0</v>
      </c>
      <c r="AD225">
        <v>-303750</v>
      </c>
      <c r="AE225">
        <v>303750</v>
      </c>
      <c r="AF225">
        <v>0</v>
      </c>
      <c r="AG225">
        <v>303750</v>
      </c>
      <c r="AH225">
        <v>-4040000</v>
      </c>
      <c r="AI225">
        <v>0</v>
      </c>
      <c r="AJ225">
        <v>-4040000</v>
      </c>
      <c r="AK225">
        <v>-18000</v>
      </c>
      <c r="AL225">
        <v>0</v>
      </c>
      <c r="AM225">
        <v>-18000</v>
      </c>
      <c r="AN225">
        <v>328000</v>
      </c>
      <c r="AO225">
        <v>0</v>
      </c>
      <c r="AP225">
        <v>328000</v>
      </c>
      <c r="AQ225">
        <v>-3712000</v>
      </c>
      <c r="AR225">
        <v>0</v>
      </c>
      <c r="AS225">
        <v>-3712000</v>
      </c>
      <c r="AT225">
        <v>-1065000</v>
      </c>
      <c r="AU225">
        <v>0</v>
      </c>
      <c r="AV225">
        <v>-1065000</v>
      </c>
      <c r="AW225">
        <v>-13413</v>
      </c>
      <c r="AX225">
        <v>0</v>
      </c>
      <c r="AY225">
        <v>-13413</v>
      </c>
      <c r="AZ225">
        <v>-33000</v>
      </c>
      <c r="BA225">
        <v>0</v>
      </c>
      <c r="BB225">
        <v>-33000</v>
      </c>
      <c r="BC225">
        <v>0</v>
      </c>
      <c r="BD225">
        <v>0</v>
      </c>
      <c r="BE225">
        <v>0</v>
      </c>
      <c r="BF225">
        <v>-4823413</v>
      </c>
      <c r="BG225">
        <v>0</v>
      </c>
      <c r="BH225">
        <v>0</v>
      </c>
      <c r="BI225">
        <v>0</v>
      </c>
      <c r="BJ225">
        <v>-4823413</v>
      </c>
      <c r="BK225">
        <v>0</v>
      </c>
      <c r="BL225">
        <v>-4823413</v>
      </c>
      <c r="BM225">
        <v>0</v>
      </c>
      <c r="BN225">
        <v>0</v>
      </c>
      <c r="BO225">
        <v>0</v>
      </c>
      <c r="BP225">
        <v>-370000</v>
      </c>
      <c r="BQ225">
        <v>0</v>
      </c>
      <c r="BR225">
        <v>-370000</v>
      </c>
      <c r="BS225">
        <v>-370000</v>
      </c>
      <c r="BT225">
        <v>0</v>
      </c>
      <c r="BU225">
        <v>0</v>
      </c>
      <c r="BV225">
        <v>0</v>
      </c>
      <c r="BW225">
        <v>-370000</v>
      </c>
      <c r="BX225">
        <v>0</v>
      </c>
      <c r="BY225">
        <v>-370000</v>
      </c>
      <c r="BZ225">
        <v>-107000</v>
      </c>
      <c r="CA225">
        <v>0</v>
      </c>
      <c r="CB225">
        <v>-107000</v>
      </c>
      <c r="CC225">
        <v>-56000</v>
      </c>
      <c r="CD225">
        <v>0</v>
      </c>
      <c r="CE225">
        <v>-56000</v>
      </c>
      <c r="CF225">
        <v>-3353</v>
      </c>
      <c r="CG225">
        <v>0</v>
      </c>
      <c r="CH225">
        <v>-3353</v>
      </c>
      <c r="CI225">
        <v>0</v>
      </c>
      <c r="CJ225">
        <v>0</v>
      </c>
      <c r="CK225">
        <v>0</v>
      </c>
      <c r="CL225">
        <v>0</v>
      </c>
      <c r="CM225">
        <v>0</v>
      </c>
      <c r="CN225">
        <v>0</v>
      </c>
      <c r="CO225">
        <v>0</v>
      </c>
      <c r="CP225">
        <v>0</v>
      </c>
      <c r="CQ225">
        <v>0</v>
      </c>
      <c r="CR225">
        <v>0</v>
      </c>
      <c r="CS225">
        <v>0</v>
      </c>
      <c r="CT225">
        <v>-166353</v>
      </c>
      <c r="CU225">
        <v>0</v>
      </c>
      <c r="CV225">
        <v>0</v>
      </c>
      <c r="CW225">
        <v>0</v>
      </c>
      <c r="CX225">
        <v>-166353</v>
      </c>
      <c r="CY225">
        <v>0</v>
      </c>
      <c r="CZ225">
        <v>-166353</v>
      </c>
      <c r="DA225">
        <v>-33000</v>
      </c>
      <c r="DB225">
        <v>0</v>
      </c>
      <c r="DC225">
        <v>-33000</v>
      </c>
      <c r="DD225">
        <v>-38730</v>
      </c>
      <c r="DE225">
        <v>0</v>
      </c>
      <c r="DF225">
        <v>-38730</v>
      </c>
      <c r="DG225">
        <v>-6600</v>
      </c>
      <c r="DH225">
        <v>0</v>
      </c>
      <c r="DI225">
        <v>-6600</v>
      </c>
      <c r="DJ225">
        <v>-670000</v>
      </c>
      <c r="DK225">
        <v>0</v>
      </c>
      <c r="DL225">
        <v>-670000</v>
      </c>
      <c r="DM225">
        <v>-748330</v>
      </c>
      <c r="DN225">
        <v>0</v>
      </c>
      <c r="DO225">
        <v>0</v>
      </c>
      <c r="DP225">
        <v>0</v>
      </c>
      <c r="DQ225">
        <v>-748330</v>
      </c>
      <c r="DR225">
        <v>0</v>
      </c>
      <c r="DS225">
        <v>-748330</v>
      </c>
      <c r="DT225">
        <v>18317913</v>
      </c>
      <c r="DU225">
        <v>0</v>
      </c>
      <c r="DV225" s="661">
        <v>18317913</v>
      </c>
      <c r="DW225" t="s">
        <v>1876</v>
      </c>
    </row>
    <row r="226" spans="1:127" ht="12.75" x14ac:dyDescent="0.2">
      <c r="A226" s="605">
        <v>219</v>
      </c>
      <c r="B226" s="606" t="s">
        <v>325</v>
      </c>
      <c r="C226" s="607" t="s">
        <v>1192</v>
      </c>
      <c r="D226" s="608" t="s">
        <v>1187</v>
      </c>
      <c r="E226" s="609" t="s">
        <v>324</v>
      </c>
      <c r="G226">
        <v>245998949</v>
      </c>
      <c r="H226">
        <v>0</v>
      </c>
      <c r="I226">
        <v>245998949</v>
      </c>
      <c r="J226">
        <v>49.9</v>
      </c>
      <c r="K226">
        <v>122753476</v>
      </c>
      <c r="L226">
        <v>0</v>
      </c>
      <c r="M226">
        <v>1447228</v>
      </c>
      <c r="N226">
        <v>0</v>
      </c>
      <c r="O226">
        <v>124200704</v>
      </c>
      <c r="P226">
        <v>0</v>
      </c>
      <c r="Q226">
        <v>124200704</v>
      </c>
      <c r="R226">
        <v>-753744</v>
      </c>
      <c r="S226">
        <v>0</v>
      </c>
      <c r="T226">
        <v>-753744</v>
      </c>
      <c r="U226">
        <v>1063727</v>
      </c>
      <c r="V226">
        <v>0</v>
      </c>
      <c r="W226">
        <v>1063727</v>
      </c>
      <c r="X226">
        <v>309983</v>
      </c>
      <c r="Y226">
        <v>0</v>
      </c>
      <c r="Z226">
        <v>0</v>
      </c>
      <c r="AA226">
        <v>0</v>
      </c>
      <c r="AB226">
        <v>309983</v>
      </c>
      <c r="AC226">
        <v>0</v>
      </c>
      <c r="AD226">
        <v>309983</v>
      </c>
      <c r="AE226">
        <v>-309983</v>
      </c>
      <c r="AF226">
        <v>0</v>
      </c>
      <c r="AG226">
        <v>-309983</v>
      </c>
      <c r="AH226">
        <v>-8975226</v>
      </c>
      <c r="AI226">
        <v>0</v>
      </c>
      <c r="AJ226">
        <v>-8975226</v>
      </c>
      <c r="AK226">
        <v>-8770</v>
      </c>
      <c r="AL226">
        <v>0</v>
      </c>
      <c r="AM226">
        <v>-8770</v>
      </c>
      <c r="AN226">
        <v>2341810</v>
      </c>
      <c r="AO226">
        <v>0</v>
      </c>
      <c r="AP226">
        <v>2341810</v>
      </c>
      <c r="AQ226">
        <v>-6633416</v>
      </c>
      <c r="AR226">
        <v>0</v>
      </c>
      <c r="AS226">
        <v>-6633416</v>
      </c>
      <c r="AT226">
        <v>-8661842</v>
      </c>
      <c r="AU226">
        <v>0</v>
      </c>
      <c r="AV226">
        <v>-8661842</v>
      </c>
      <c r="AW226">
        <v>-122790</v>
      </c>
      <c r="AX226">
        <v>0</v>
      </c>
      <c r="AY226">
        <v>-122790</v>
      </c>
      <c r="AZ226">
        <v>0</v>
      </c>
      <c r="BA226">
        <v>0</v>
      </c>
      <c r="BB226">
        <v>0</v>
      </c>
      <c r="BC226">
        <v>0</v>
      </c>
      <c r="BD226">
        <v>0</v>
      </c>
      <c r="BE226">
        <v>0</v>
      </c>
      <c r="BF226">
        <v>-15418048</v>
      </c>
      <c r="BG226">
        <v>0</v>
      </c>
      <c r="BH226">
        <v>-89809</v>
      </c>
      <c r="BI226">
        <v>0</v>
      </c>
      <c r="BJ226">
        <v>-15507857</v>
      </c>
      <c r="BK226">
        <v>0</v>
      </c>
      <c r="BL226">
        <v>-15507857</v>
      </c>
      <c r="BM226">
        <v>-65462</v>
      </c>
      <c r="BN226">
        <v>0</v>
      </c>
      <c r="BO226">
        <v>-65462</v>
      </c>
      <c r="BP226">
        <v>-5915103</v>
      </c>
      <c r="BQ226">
        <v>0</v>
      </c>
      <c r="BR226">
        <v>-5915103</v>
      </c>
      <c r="BS226">
        <v>-5980565</v>
      </c>
      <c r="BT226">
        <v>0</v>
      </c>
      <c r="BU226">
        <v>-433251</v>
      </c>
      <c r="BV226">
        <v>0</v>
      </c>
      <c r="BW226">
        <v>-6413816</v>
      </c>
      <c r="BX226">
        <v>0</v>
      </c>
      <c r="BY226">
        <v>-6413816</v>
      </c>
      <c r="BZ226">
        <v>-256867</v>
      </c>
      <c r="CA226">
        <v>0</v>
      </c>
      <c r="CB226">
        <v>-256867</v>
      </c>
      <c r="CC226">
        <v>-137239</v>
      </c>
      <c r="CD226">
        <v>0</v>
      </c>
      <c r="CE226">
        <v>-137239</v>
      </c>
      <c r="CF226">
        <v>-1002</v>
      </c>
      <c r="CG226">
        <v>0</v>
      </c>
      <c r="CH226">
        <v>-1002</v>
      </c>
      <c r="CI226">
        <v>0</v>
      </c>
      <c r="CJ226">
        <v>0</v>
      </c>
      <c r="CK226">
        <v>0</v>
      </c>
      <c r="CL226">
        <v>0</v>
      </c>
      <c r="CM226">
        <v>0</v>
      </c>
      <c r="CN226">
        <v>0</v>
      </c>
      <c r="CO226">
        <v>0</v>
      </c>
      <c r="CP226">
        <v>0</v>
      </c>
      <c r="CQ226">
        <v>0</v>
      </c>
      <c r="CR226">
        <v>0</v>
      </c>
      <c r="CS226">
        <v>0</v>
      </c>
      <c r="CT226">
        <v>-395108</v>
      </c>
      <c r="CU226">
        <v>0</v>
      </c>
      <c r="CV226">
        <v>0</v>
      </c>
      <c r="CW226">
        <v>0</v>
      </c>
      <c r="CX226">
        <v>-395108</v>
      </c>
      <c r="CY226">
        <v>0</v>
      </c>
      <c r="CZ226">
        <v>-395108</v>
      </c>
      <c r="DA226">
        <v>0</v>
      </c>
      <c r="DB226">
        <v>0</v>
      </c>
      <c r="DC226">
        <v>0</v>
      </c>
      <c r="DD226">
        <v>-6571</v>
      </c>
      <c r="DE226">
        <v>0</v>
      </c>
      <c r="DF226">
        <v>-6571</v>
      </c>
      <c r="DG226">
        <v>-6168</v>
      </c>
      <c r="DH226">
        <v>0</v>
      </c>
      <c r="DI226">
        <v>-6168</v>
      </c>
      <c r="DJ226">
        <v>-1343663</v>
      </c>
      <c r="DK226">
        <v>0</v>
      </c>
      <c r="DL226">
        <v>-1343663</v>
      </c>
      <c r="DM226">
        <v>-1356402</v>
      </c>
      <c r="DN226">
        <v>0</v>
      </c>
      <c r="DO226">
        <v>0</v>
      </c>
      <c r="DP226">
        <v>0</v>
      </c>
      <c r="DQ226">
        <v>-1356402</v>
      </c>
      <c r="DR226">
        <v>0</v>
      </c>
      <c r="DS226">
        <v>-1356402</v>
      </c>
      <c r="DT226">
        <v>100837504</v>
      </c>
      <c r="DU226">
        <v>0</v>
      </c>
      <c r="DV226" s="661">
        <v>100837504</v>
      </c>
      <c r="DW226" t="s">
        <v>1877</v>
      </c>
    </row>
    <row r="227" spans="1:127" ht="12.75" x14ac:dyDescent="0.2">
      <c r="A227" s="605">
        <v>220</v>
      </c>
      <c r="B227" s="606" t="s">
        <v>327</v>
      </c>
      <c r="C227" s="607" t="s">
        <v>1192</v>
      </c>
      <c r="D227" s="608" t="s">
        <v>1195</v>
      </c>
      <c r="E227" s="609" t="s">
        <v>326</v>
      </c>
      <c r="G227">
        <v>259403287</v>
      </c>
      <c r="H227">
        <v>0</v>
      </c>
      <c r="I227">
        <v>259403287</v>
      </c>
      <c r="J227">
        <v>49.9</v>
      </c>
      <c r="K227">
        <v>129442240</v>
      </c>
      <c r="L227">
        <v>0</v>
      </c>
      <c r="M227">
        <v>0</v>
      </c>
      <c r="N227">
        <v>0</v>
      </c>
      <c r="O227">
        <v>129442240</v>
      </c>
      <c r="P227">
        <v>0</v>
      </c>
      <c r="Q227">
        <v>129442240</v>
      </c>
      <c r="R227">
        <v>-400000</v>
      </c>
      <c r="S227">
        <v>0</v>
      </c>
      <c r="T227">
        <v>-400000</v>
      </c>
      <c r="U227">
        <v>560000</v>
      </c>
      <c r="V227">
        <v>0</v>
      </c>
      <c r="W227">
        <v>560000</v>
      </c>
      <c r="X227">
        <v>160000</v>
      </c>
      <c r="Y227">
        <v>0</v>
      </c>
      <c r="Z227">
        <v>0</v>
      </c>
      <c r="AA227">
        <v>0</v>
      </c>
      <c r="AB227">
        <v>160000</v>
      </c>
      <c r="AC227">
        <v>0</v>
      </c>
      <c r="AD227">
        <v>160000</v>
      </c>
      <c r="AE227">
        <v>-160000</v>
      </c>
      <c r="AF227">
        <v>0</v>
      </c>
      <c r="AG227">
        <v>-160000</v>
      </c>
      <c r="AH227">
        <v>-14750000</v>
      </c>
      <c r="AI227">
        <v>0</v>
      </c>
      <c r="AJ227">
        <v>-14750000</v>
      </c>
      <c r="AK227">
        <v>-29000</v>
      </c>
      <c r="AL227">
        <v>0</v>
      </c>
      <c r="AM227">
        <v>-29000</v>
      </c>
      <c r="AN227">
        <v>2294345</v>
      </c>
      <c r="AO227">
        <v>0</v>
      </c>
      <c r="AP227">
        <v>2294345</v>
      </c>
      <c r="AQ227">
        <v>-12455655</v>
      </c>
      <c r="AR227">
        <v>0</v>
      </c>
      <c r="AS227">
        <v>-12455655</v>
      </c>
      <c r="AT227">
        <v>-6600000</v>
      </c>
      <c r="AU227">
        <v>0</v>
      </c>
      <c r="AV227">
        <v>-6600000</v>
      </c>
      <c r="AW227">
        <v>-82273</v>
      </c>
      <c r="AX227">
        <v>0</v>
      </c>
      <c r="AY227">
        <v>-82273</v>
      </c>
      <c r="AZ227">
        <v>0</v>
      </c>
      <c r="BA227">
        <v>0</v>
      </c>
      <c r="BB227">
        <v>0</v>
      </c>
      <c r="BC227">
        <v>0</v>
      </c>
      <c r="BD227">
        <v>0</v>
      </c>
      <c r="BE227">
        <v>0</v>
      </c>
      <c r="BF227">
        <v>-19137928</v>
      </c>
      <c r="BG227">
        <v>0</v>
      </c>
      <c r="BH227">
        <v>0</v>
      </c>
      <c r="BI227">
        <v>0</v>
      </c>
      <c r="BJ227">
        <v>-19137928</v>
      </c>
      <c r="BK227">
        <v>0</v>
      </c>
      <c r="BL227">
        <v>-19137928</v>
      </c>
      <c r="BM227">
        <v>-187000</v>
      </c>
      <c r="BN227">
        <v>0</v>
      </c>
      <c r="BO227">
        <v>-187000</v>
      </c>
      <c r="BP227">
        <v>-3333000</v>
      </c>
      <c r="BQ227">
        <v>0</v>
      </c>
      <c r="BR227">
        <v>-3333000</v>
      </c>
      <c r="BS227">
        <v>-3520000</v>
      </c>
      <c r="BT227">
        <v>0</v>
      </c>
      <c r="BU227">
        <v>0</v>
      </c>
      <c r="BV227">
        <v>0</v>
      </c>
      <c r="BW227">
        <v>-3520000</v>
      </c>
      <c r="BX227">
        <v>0</v>
      </c>
      <c r="BY227">
        <v>-3520000</v>
      </c>
      <c r="BZ227">
        <v>-434000</v>
      </c>
      <c r="CA227">
        <v>0</v>
      </c>
      <c r="CB227">
        <v>-434000</v>
      </c>
      <c r="CC227">
        <v>-334000</v>
      </c>
      <c r="CD227">
        <v>0</v>
      </c>
      <c r="CE227">
        <v>-334000</v>
      </c>
      <c r="CF227">
        <v>-13000</v>
      </c>
      <c r="CG227">
        <v>0</v>
      </c>
      <c r="CH227">
        <v>-13000</v>
      </c>
      <c r="CI227">
        <v>0</v>
      </c>
      <c r="CJ227">
        <v>0</v>
      </c>
      <c r="CK227">
        <v>0</v>
      </c>
      <c r="CL227">
        <v>0</v>
      </c>
      <c r="CM227">
        <v>0</v>
      </c>
      <c r="CN227">
        <v>0</v>
      </c>
      <c r="CO227">
        <v>0</v>
      </c>
      <c r="CP227">
        <v>0</v>
      </c>
      <c r="CQ227">
        <v>0</v>
      </c>
      <c r="CR227">
        <v>0</v>
      </c>
      <c r="CS227">
        <v>0</v>
      </c>
      <c r="CT227">
        <v>-781000</v>
      </c>
      <c r="CU227">
        <v>0</v>
      </c>
      <c r="CV227">
        <v>0</v>
      </c>
      <c r="CW227">
        <v>0</v>
      </c>
      <c r="CX227">
        <v>-781000</v>
      </c>
      <c r="CY227">
        <v>0</v>
      </c>
      <c r="CZ227">
        <v>-781000</v>
      </c>
      <c r="DA227">
        <v>0</v>
      </c>
      <c r="DB227">
        <v>0</v>
      </c>
      <c r="DC227">
        <v>0</v>
      </c>
      <c r="DD227">
        <v>-53000</v>
      </c>
      <c r="DE227">
        <v>0</v>
      </c>
      <c r="DF227">
        <v>-53000</v>
      </c>
      <c r="DG227">
        <v>-6500</v>
      </c>
      <c r="DH227">
        <v>0</v>
      </c>
      <c r="DI227">
        <v>-6500</v>
      </c>
      <c r="DJ227">
        <v>-1500000</v>
      </c>
      <c r="DK227">
        <v>0</v>
      </c>
      <c r="DL227">
        <v>-1500000</v>
      </c>
      <c r="DM227">
        <v>-1559500</v>
      </c>
      <c r="DN227">
        <v>0</v>
      </c>
      <c r="DO227">
        <v>0</v>
      </c>
      <c r="DP227">
        <v>0</v>
      </c>
      <c r="DQ227">
        <v>-1559500</v>
      </c>
      <c r="DR227">
        <v>0</v>
      </c>
      <c r="DS227">
        <v>-1559500</v>
      </c>
      <c r="DT227">
        <v>104603812</v>
      </c>
      <c r="DU227">
        <v>0</v>
      </c>
      <c r="DV227" s="661">
        <v>104603812</v>
      </c>
      <c r="DW227" t="s">
        <v>1878</v>
      </c>
    </row>
    <row r="228" spans="1:127" ht="12.75" x14ac:dyDescent="0.2">
      <c r="A228" s="605">
        <v>221</v>
      </c>
      <c r="B228" s="606" t="s">
        <v>329</v>
      </c>
      <c r="C228" s="607" t="s">
        <v>1185</v>
      </c>
      <c r="D228" s="608" t="s">
        <v>1193</v>
      </c>
      <c r="E228" s="609" t="s">
        <v>328</v>
      </c>
      <c r="G228">
        <v>105485263</v>
      </c>
      <c r="H228">
        <v>0</v>
      </c>
      <c r="I228">
        <v>105485263</v>
      </c>
      <c r="J228">
        <v>49.9</v>
      </c>
      <c r="K228">
        <v>52637146</v>
      </c>
      <c r="L228">
        <v>0</v>
      </c>
      <c r="M228">
        <v>0</v>
      </c>
      <c r="N228">
        <v>0</v>
      </c>
      <c r="O228">
        <v>52637146</v>
      </c>
      <c r="P228">
        <v>0</v>
      </c>
      <c r="Q228">
        <v>52637146</v>
      </c>
      <c r="R228">
        <v>-794428</v>
      </c>
      <c r="S228">
        <v>0</v>
      </c>
      <c r="T228">
        <v>-794428</v>
      </c>
      <c r="U228">
        <v>123778</v>
      </c>
      <c r="V228">
        <v>0</v>
      </c>
      <c r="W228">
        <v>123778</v>
      </c>
      <c r="X228">
        <v>-670650</v>
      </c>
      <c r="Y228">
        <v>0</v>
      </c>
      <c r="Z228">
        <v>0</v>
      </c>
      <c r="AA228">
        <v>0</v>
      </c>
      <c r="AB228">
        <v>-670650</v>
      </c>
      <c r="AC228">
        <v>0</v>
      </c>
      <c r="AD228">
        <v>-670650</v>
      </c>
      <c r="AE228">
        <v>670650</v>
      </c>
      <c r="AF228">
        <v>0</v>
      </c>
      <c r="AG228">
        <v>670650</v>
      </c>
      <c r="AH228">
        <v>-10749329</v>
      </c>
      <c r="AI228">
        <v>0</v>
      </c>
      <c r="AJ228">
        <v>-10749329</v>
      </c>
      <c r="AK228">
        <v>-56796</v>
      </c>
      <c r="AL228">
        <v>0</v>
      </c>
      <c r="AM228">
        <v>-56796</v>
      </c>
      <c r="AN228">
        <v>727402</v>
      </c>
      <c r="AO228">
        <v>0</v>
      </c>
      <c r="AP228">
        <v>727402</v>
      </c>
      <c r="AQ228">
        <v>-10021927</v>
      </c>
      <c r="AR228">
        <v>0</v>
      </c>
      <c r="AS228">
        <v>-10021927</v>
      </c>
      <c r="AT228">
        <v>-2547918</v>
      </c>
      <c r="AU228">
        <v>0</v>
      </c>
      <c r="AV228">
        <v>-2547918</v>
      </c>
      <c r="AW228">
        <v>-137214</v>
      </c>
      <c r="AX228">
        <v>0</v>
      </c>
      <c r="AY228">
        <v>-137214</v>
      </c>
      <c r="AZ228">
        <v>-27992</v>
      </c>
      <c r="BA228">
        <v>0</v>
      </c>
      <c r="BB228">
        <v>-27992</v>
      </c>
      <c r="BC228">
        <v>0</v>
      </c>
      <c r="BD228">
        <v>0</v>
      </c>
      <c r="BE228">
        <v>0</v>
      </c>
      <c r="BF228">
        <v>-12735051</v>
      </c>
      <c r="BG228">
        <v>0</v>
      </c>
      <c r="BH228">
        <v>-202400</v>
      </c>
      <c r="BI228">
        <v>0</v>
      </c>
      <c r="BJ228">
        <v>-12937451</v>
      </c>
      <c r="BK228">
        <v>0</v>
      </c>
      <c r="BL228">
        <v>-12937451</v>
      </c>
      <c r="BM228">
        <v>0</v>
      </c>
      <c r="BN228">
        <v>0</v>
      </c>
      <c r="BO228">
        <v>0</v>
      </c>
      <c r="BP228">
        <v>-796664</v>
      </c>
      <c r="BQ228">
        <v>0</v>
      </c>
      <c r="BR228">
        <v>-796664</v>
      </c>
      <c r="BS228">
        <v>-796664</v>
      </c>
      <c r="BT228">
        <v>0</v>
      </c>
      <c r="BU228">
        <v>0</v>
      </c>
      <c r="BV228">
        <v>0</v>
      </c>
      <c r="BW228">
        <v>-796664</v>
      </c>
      <c r="BX228">
        <v>0</v>
      </c>
      <c r="BY228">
        <v>-796664</v>
      </c>
      <c r="BZ228">
        <v>-236772</v>
      </c>
      <c r="CA228">
        <v>0</v>
      </c>
      <c r="CB228">
        <v>-236772</v>
      </c>
      <c r="CC228">
        <v>-90851</v>
      </c>
      <c r="CD228">
        <v>0</v>
      </c>
      <c r="CE228">
        <v>-90851</v>
      </c>
      <c r="CF228">
        <v>0</v>
      </c>
      <c r="CG228">
        <v>0</v>
      </c>
      <c r="CH228">
        <v>0</v>
      </c>
      <c r="CI228">
        <v>0</v>
      </c>
      <c r="CJ228">
        <v>0</v>
      </c>
      <c r="CK228">
        <v>0</v>
      </c>
      <c r="CL228">
        <v>0</v>
      </c>
      <c r="CM228">
        <v>0</v>
      </c>
      <c r="CN228">
        <v>0</v>
      </c>
      <c r="CO228">
        <v>0</v>
      </c>
      <c r="CP228">
        <v>0</v>
      </c>
      <c r="CQ228">
        <v>0</v>
      </c>
      <c r="CR228">
        <v>0</v>
      </c>
      <c r="CS228">
        <v>0</v>
      </c>
      <c r="CT228">
        <v>-327623</v>
      </c>
      <c r="CU228">
        <v>0</v>
      </c>
      <c r="CV228">
        <v>0</v>
      </c>
      <c r="CW228">
        <v>0</v>
      </c>
      <c r="CX228">
        <v>-327623</v>
      </c>
      <c r="CY228">
        <v>0</v>
      </c>
      <c r="CZ228">
        <v>-327623</v>
      </c>
      <c r="DA228">
        <v>-27992</v>
      </c>
      <c r="DB228">
        <v>0</v>
      </c>
      <c r="DC228">
        <v>-27992</v>
      </c>
      <c r="DD228">
        <v>-69384</v>
      </c>
      <c r="DE228">
        <v>0</v>
      </c>
      <c r="DF228">
        <v>-69384</v>
      </c>
      <c r="DG228">
        <v>-18517</v>
      </c>
      <c r="DH228">
        <v>0</v>
      </c>
      <c r="DI228">
        <v>-18517</v>
      </c>
      <c r="DJ228">
        <v>-1533089</v>
      </c>
      <c r="DK228">
        <v>0</v>
      </c>
      <c r="DL228">
        <v>-1533089</v>
      </c>
      <c r="DM228">
        <v>-1648982</v>
      </c>
      <c r="DN228">
        <v>0</v>
      </c>
      <c r="DO228">
        <v>0</v>
      </c>
      <c r="DP228">
        <v>0</v>
      </c>
      <c r="DQ228">
        <v>-1648982</v>
      </c>
      <c r="DR228">
        <v>0</v>
      </c>
      <c r="DS228">
        <v>-1648982</v>
      </c>
      <c r="DT228">
        <v>36255776</v>
      </c>
      <c r="DU228">
        <v>0</v>
      </c>
      <c r="DV228" s="661">
        <v>36255776</v>
      </c>
      <c r="DW228" t="s">
        <v>1879</v>
      </c>
    </row>
    <row r="229" spans="1:127" ht="12.75" x14ac:dyDescent="0.2">
      <c r="A229" s="605">
        <v>222</v>
      </c>
      <c r="B229" s="606" t="s">
        <v>331</v>
      </c>
      <c r="C229" s="607" t="s">
        <v>1185</v>
      </c>
      <c r="D229" s="608" t="s">
        <v>1194</v>
      </c>
      <c r="E229" s="609" t="s">
        <v>330</v>
      </c>
      <c r="G229">
        <v>108830004</v>
      </c>
      <c r="H229">
        <v>47500</v>
      </c>
      <c r="I229">
        <v>108877504</v>
      </c>
      <c r="J229">
        <v>49.9</v>
      </c>
      <c r="K229">
        <v>54306172</v>
      </c>
      <c r="L229">
        <v>23703</v>
      </c>
      <c r="M229">
        <v>731675</v>
      </c>
      <c r="N229">
        <v>0</v>
      </c>
      <c r="O229">
        <v>55037847</v>
      </c>
      <c r="P229">
        <v>23703</v>
      </c>
      <c r="Q229">
        <v>55061550</v>
      </c>
      <c r="R229">
        <v>-339419</v>
      </c>
      <c r="S229">
        <v>0</v>
      </c>
      <c r="T229">
        <v>-339419</v>
      </c>
      <c r="U229">
        <v>305696</v>
      </c>
      <c r="V229">
        <v>0</v>
      </c>
      <c r="W229">
        <v>305696</v>
      </c>
      <c r="X229">
        <v>-33723</v>
      </c>
      <c r="Y229">
        <v>0</v>
      </c>
      <c r="Z229">
        <v>0</v>
      </c>
      <c r="AA229">
        <v>0</v>
      </c>
      <c r="AB229">
        <v>-33723</v>
      </c>
      <c r="AC229">
        <v>0</v>
      </c>
      <c r="AD229">
        <v>-33723</v>
      </c>
      <c r="AE229">
        <v>33723</v>
      </c>
      <c r="AF229">
        <v>0</v>
      </c>
      <c r="AG229">
        <v>33723</v>
      </c>
      <c r="AH229">
        <v>-5035073</v>
      </c>
      <c r="AI229">
        <v>-5240</v>
      </c>
      <c r="AJ229">
        <v>-5040313</v>
      </c>
      <c r="AK229">
        <v>0</v>
      </c>
      <c r="AL229">
        <v>0</v>
      </c>
      <c r="AM229">
        <v>0</v>
      </c>
      <c r="AN229">
        <v>996282</v>
      </c>
      <c r="AO229">
        <v>481</v>
      </c>
      <c r="AP229">
        <v>996763</v>
      </c>
      <c r="AQ229">
        <v>-4038791</v>
      </c>
      <c r="AR229">
        <v>-4759</v>
      </c>
      <c r="AS229">
        <v>-4043550</v>
      </c>
      <c r="AT229">
        <v>-3114313</v>
      </c>
      <c r="AU229">
        <v>0</v>
      </c>
      <c r="AV229">
        <v>-3114313</v>
      </c>
      <c r="AW229">
        <v>-36088</v>
      </c>
      <c r="AX229">
        <v>0</v>
      </c>
      <c r="AY229">
        <v>-36088</v>
      </c>
      <c r="AZ229">
        <v>-52327</v>
      </c>
      <c r="BA229">
        <v>0</v>
      </c>
      <c r="BB229">
        <v>-52327</v>
      </c>
      <c r="BC229">
        <v>0</v>
      </c>
      <c r="BD229">
        <v>0</v>
      </c>
      <c r="BE229">
        <v>0</v>
      </c>
      <c r="BF229">
        <v>-7241519</v>
      </c>
      <c r="BG229">
        <v>-4759</v>
      </c>
      <c r="BH229">
        <v>-142736</v>
      </c>
      <c r="BI229">
        <v>0</v>
      </c>
      <c r="BJ229">
        <v>-7384255</v>
      </c>
      <c r="BK229">
        <v>-4759</v>
      </c>
      <c r="BL229">
        <v>-7389014</v>
      </c>
      <c r="BM229">
        <v>0</v>
      </c>
      <c r="BN229">
        <v>0</v>
      </c>
      <c r="BO229">
        <v>0</v>
      </c>
      <c r="BP229">
        <v>-1400155</v>
      </c>
      <c r="BQ229">
        <v>0</v>
      </c>
      <c r="BR229">
        <v>-1400155</v>
      </c>
      <c r="BS229">
        <v>-1400155</v>
      </c>
      <c r="BT229">
        <v>0</v>
      </c>
      <c r="BU229">
        <v>-140016</v>
      </c>
      <c r="BV229">
        <v>0</v>
      </c>
      <c r="BW229">
        <v>-1540171</v>
      </c>
      <c r="BX229">
        <v>0</v>
      </c>
      <c r="BY229">
        <v>-1540171</v>
      </c>
      <c r="BZ229">
        <v>-87046</v>
      </c>
      <c r="CA229">
        <v>0</v>
      </c>
      <c r="CB229">
        <v>-87046</v>
      </c>
      <c r="CC229">
        <v>-21244</v>
      </c>
      <c r="CD229">
        <v>0</v>
      </c>
      <c r="CE229">
        <v>-21244</v>
      </c>
      <c r="CF229">
        <v>0</v>
      </c>
      <c r="CG229">
        <v>0</v>
      </c>
      <c r="CH229">
        <v>0</v>
      </c>
      <c r="CI229">
        <v>0</v>
      </c>
      <c r="CJ229">
        <v>0</v>
      </c>
      <c r="CK229">
        <v>0</v>
      </c>
      <c r="CL229">
        <v>0</v>
      </c>
      <c r="CM229">
        <v>0</v>
      </c>
      <c r="CN229">
        <v>0</v>
      </c>
      <c r="CO229">
        <v>0</v>
      </c>
      <c r="CP229">
        <v>0</v>
      </c>
      <c r="CQ229">
        <v>0</v>
      </c>
      <c r="CR229">
        <v>0</v>
      </c>
      <c r="CS229">
        <v>0</v>
      </c>
      <c r="CT229">
        <v>-108290</v>
      </c>
      <c r="CU229">
        <v>0</v>
      </c>
      <c r="CV229">
        <v>0</v>
      </c>
      <c r="CW229">
        <v>0</v>
      </c>
      <c r="CX229">
        <v>-108290</v>
      </c>
      <c r="CY229">
        <v>0</v>
      </c>
      <c r="CZ229">
        <v>-108290</v>
      </c>
      <c r="DA229">
        <v>-59593</v>
      </c>
      <c r="DB229">
        <v>0</v>
      </c>
      <c r="DC229">
        <v>-59593</v>
      </c>
      <c r="DD229">
        <v>-65477</v>
      </c>
      <c r="DE229">
        <v>0</v>
      </c>
      <c r="DF229">
        <v>-65477</v>
      </c>
      <c r="DG229">
        <v>0</v>
      </c>
      <c r="DH229">
        <v>0</v>
      </c>
      <c r="DI229">
        <v>0</v>
      </c>
      <c r="DJ229">
        <v>-733735</v>
      </c>
      <c r="DK229">
        <v>0</v>
      </c>
      <c r="DL229">
        <v>-733735</v>
      </c>
      <c r="DM229">
        <v>-858805</v>
      </c>
      <c r="DN229">
        <v>0</v>
      </c>
      <c r="DO229">
        <v>0</v>
      </c>
      <c r="DP229">
        <v>0</v>
      </c>
      <c r="DQ229">
        <v>-858805</v>
      </c>
      <c r="DR229">
        <v>0</v>
      </c>
      <c r="DS229">
        <v>-858805</v>
      </c>
      <c r="DT229">
        <v>45112603</v>
      </c>
      <c r="DU229">
        <v>18944</v>
      </c>
      <c r="DV229" s="661">
        <v>45131547</v>
      </c>
      <c r="DW229" t="s">
        <v>1880</v>
      </c>
    </row>
    <row r="230" spans="1:127" ht="12.75" x14ac:dyDescent="0.2">
      <c r="A230" s="605">
        <v>223</v>
      </c>
      <c r="B230" s="606" t="s">
        <v>333</v>
      </c>
      <c r="C230" s="607" t="s">
        <v>1192</v>
      </c>
      <c r="D230" s="608" t="s">
        <v>1187</v>
      </c>
      <c r="E230" s="609" t="s">
        <v>332</v>
      </c>
      <c r="G230">
        <v>184082269</v>
      </c>
      <c r="H230">
        <v>0</v>
      </c>
      <c r="I230">
        <v>184082269</v>
      </c>
      <c r="J230">
        <v>49.9</v>
      </c>
      <c r="K230">
        <v>91857052</v>
      </c>
      <c r="L230">
        <v>0</v>
      </c>
      <c r="M230">
        <v>0</v>
      </c>
      <c r="N230">
        <v>0</v>
      </c>
      <c r="O230">
        <v>91857052</v>
      </c>
      <c r="P230">
        <v>0</v>
      </c>
      <c r="Q230">
        <v>91857052</v>
      </c>
      <c r="R230">
        <v>-647517</v>
      </c>
      <c r="S230">
        <v>0</v>
      </c>
      <c r="T230">
        <v>-647517</v>
      </c>
      <c r="U230">
        <v>565857</v>
      </c>
      <c r="V230">
        <v>0</v>
      </c>
      <c r="W230">
        <v>565857</v>
      </c>
      <c r="X230">
        <v>-81660</v>
      </c>
      <c r="Y230">
        <v>0</v>
      </c>
      <c r="Z230">
        <v>0</v>
      </c>
      <c r="AA230">
        <v>0</v>
      </c>
      <c r="AB230">
        <v>-81660</v>
      </c>
      <c r="AC230">
        <v>0</v>
      </c>
      <c r="AD230">
        <v>-81660</v>
      </c>
      <c r="AE230">
        <v>81660</v>
      </c>
      <c r="AF230">
        <v>0</v>
      </c>
      <c r="AG230">
        <v>81660</v>
      </c>
      <c r="AH230">
        <v>-9658422</v>
      </c>
      <c r="AI230">
        <v>0</v>
      </c>
      <c r="AJ230">
        <v>-9658422</v>
      </c>
      <c r="AK230">
        <v>-17000</v>
      </c>
      <c r="AL230">
        <v>0</v>
      </c>
      <c r="AM230">
        <v>-17000</v>
      </c>
      <c r="AN230">
        <v>1617813</v>
      </c>
      <c r="AO230">
        <v>0</v>
      </c>
      <c r="AP230">
        <v>1617813</v>
      </c>
      <c r="AQ230">
        <v>-8040609</v>
      </c>
      <c r="AR230">
        <v>0</v>
      </c>
      <c r="AS230">
        <v>-8040609</v>
      </c>
      <c r="AT230">
        <v>-4884990</v>
      </c>
      <c r="AU230">
        <v>0</v>
      </c>
      <c r="AV230">
        <v>-4884990</v>
      </c>
      <c r="AW230">
        <v>-31415</v>
      </c>
      <c r="AX230">
        <v>0</v>
      </c>
      <c r="AY230">
        <v>-31415</v>
      </c>
      <c r="AZ230">
        <v>-624</v>
      </c>
      <c r="BA230">
        <v>0</v>
      </c>
      <c r="BB230">
        <v>-624</v>
      </c>
      <c r="BC230">
        <v>0</v>
      </c>
      <c r="BD230">
        <v>0</v>
      </c>
      <c r="BE230">
        <v>0</v>
      </c>
      <c r="BF230">
        <v>-12957638</v>
      </c>
      <c r="BG230">
        <v>0</v>
      </c>
      <c r="BH230">
        <v>-360000</v>
      </c>
      <c r="BI230">
        <v>0</v>
      </c>
      <c r="BJ230">
        <v>-13317638</v>
      </c>
      <c r="BK230">
        <v>0</v>
      </c>
      <c r="BL230">
        <v>-13317638</v>
      </c>
      <c r="BM230">
        <v>0</v>
      </c>
      <c r="BN230">
        <v>0</v>
      </c>
      <c r="BO230">
        <v>0</v>
      </c>
      <c r="BP230">
        <v>-1387284</v>
      </c>
      <c r="BQ230">
        <v>0</v>
      </c>
      <c r="BR230">
        <v>-1387284</v>
      </c>
      <c r="BS230">
        <v>-1387284</v>
      </c>
      <c r="BT230">
        <v>0</v>
      </c>
      <c r="BU230">
        <v>-1450000</v>
      </c>
      <c r="BV230">
        <v>0</v>
      </c>
      <c r="BW230">
        <v>-2837284</v>
      </c>
      <c r="BX230">
        <v>0</v>
      </c>
      <c r="BY230">
        <v>-2837284</v>
      </c>
      <c r="BZ230">
        <v>-227965</v>
      </c>
      <c r="CA230">
        <v>0</v>
      </c>
      <c r="CB230">
        <v>-227965</v>
      </c>
      <c r="CC230">
        <v>-65000</v>
      </c>
      <c r="CD230">
        <v>0</v>
      </c>
      <c r="CE230">
        <v>-65000</v>
      </c>
      <c r="CF230">
        <v>0</v>
      </c>
      <c r="CG230">
        <v>0</v>
      </c>
      <c r="CH230">
        <v>0</v>
      </c>
      <c r="CI230">
        <v>0</v>
      </c>
      <c r="CJ230">
        <v>0</v>
      </c>
      <c r="CK230">
        <v>0</v>
      </c>
      <c r="CL230">
        <v>0</v>
      </c>
      <c r="CM230">
        <v>0</v>
      </c>
      <c r="CN230">
        <v>0</v>
      </c>
      <c r="CO230">
        <v>-41000</v>
      </c>
      <c r="CP230">
        <v>0</v>
      </c>
      <c r="CQ230">
        <v>-41000</v>
      </c>
      <c r="CR230">
        <v>0</v>
      </c>
      <c r="CS230">
        <v>0</v>
      </c>
      <c r="CT230">
        <v>-333965</v>
      </c>
      <c r="CU230">
        <v>0</v>
      </c>
      <c r="CV230">
        <v>0</v>
      </c>
      <c r="CW230">
        <v>0</v>
      </c>
      <c r="CX230">
        <v>-333965</v>
      </c>
      <c r="CY230">
        <v>0</v>
      </c>
      <c r="CZ230">
        <v>-333965</v>
      </c>
      <c r="DA230">
        <v>-624</v>
      </c>
      <c r="DB230">
        <v>0</v>
      </c>
      <c r="DC230">
        <v>-624</v>
      </c>
      <c r="DD230">
        <v>-40997</v>
      </c>
      <c r="DE230">
        <v>0</v>
      </c>
      <c r="DF230">
        <v>-40997</v>
      </c>
      <c r="DG230">
        <v>-15764</v>
      </c>
      <c r="DH230">
        <v>0</v>
      </c>
      <c r="DI230">
        <v>-15764</v>
      </c>
      <c r="DJ230">
        <v>-2747687</v>
      </c>
      <c r="DK230">
        <v>0</v>
      </c>
      <c r="DL230">
        <v>-2747687</v>
      </c>
      <c r="DM230">
        <v>-2805072</v>
      </c>
      <c r="DN230">
        <v>0</v>
      </c>
      <c r="DO230">
        <v>0</v>
      </c>
      <c r="DP230">
        <v>0</v>
      </c>
      <c r="DQ230">
        <v>-2805072</v>
      </c>
      <c r="DR230">
        <v>0</v>
      </c>
      <c r="DS230">
        <v>-2805072</v>
      </c>
      <c r="DT230">
        <v>72481433</v>
      </c>
      <c r="DU230">
        <v>0</v>
      </c>
      <c r="DV230" s="661">
        <v>72481433</v>
      </c>
      <c r="DW230" t="s">
        <v>1881</v>
      </c>
    </row>
    <row r="231" spans="1:127" ht="12.75" x14ac:dyDescent="0.2">
      <c r="A231" s="605">
        <v>224</v>
      </c>
      <c r="B231" s="606" t="s">
        <v>335</v>
      </c>
      <c r="C231" s="607" t="s">
        <v>1185</v>
      </c>
      <c r="D231" s="608" t="s">
        <v>1193</v>
      </c>
      <c r="E231" s="609" t="s">
        <v>334</v>
      </c>
      <c r="G231">
        <v>90000925</v>
      </c>
      <c r="H231">
        <v>0</v>
      </c>
      <c r="I231">
        <v>90000925</v>
      </c>
      <c r="J231">
        <v>49.9</v>
      </c>
      <c r="K231">
        <v>44910462</v>
      </c>
      <c r="L231">
        <v>0</v>
      </c>
      <c r="M231">
        <v>0</v>
      </c>
      <c r="N231">
        <v>0</v>
      </c>
      <c r="O231">
        <v>44910462</v>
      </c>
      <c r="P231">
        <v>0</v>
      </c>
      <c r="Q231">
        <v>44910462</v>
      </c>
      <c r="R231">
        <v>-489023</v>
      </c>
      <c r="S231">
        <v>0</v>
      </c>
      <c r="T231">
        <v>-489023</v>
      </c>
      <c r="U231">
        <v>868638</v>
      </c>
      <c r="V231">
        <v>0</v>
      </c>
      <c r="W231">
        <v>868638</v>
      </c>
      <c r="X231">
        <v>379615</v>
      </c>
      <c r="Y231">
        <v>0</v>
      </c>
      <c r="Z231">
        <v>0</v>
      </c>
      <c r="AA231">
        <v>0</v>
      </c>
      <c r="AB231">
        <v>379615</v>
      </c>
      <c r="AC231">
        <v>0</v>
      </c>
      <c r="AD231">
        <v>379615</v>
      </c>
      <c r="AE231">
        <v>-379615</v>
      </c>
      <c r="AF231">
        <v>0</v>
      </c>
      <c r="AG231">
        <v>-379615</v>
      </c>
      <c r="AH231">
        <v>-3210811</v>
      </c>
      <c r="AI231">
        <v>0</v>
      </c>
      <c r="AJ231">
        <v>-3210811</v>
      </c>
      <c r="AK231">
        <v>-8807</v>
      </c>
      <c r="AL231">
        <v>0</v>
      </c>
      <c r="AM231">
        <v>-8807</v>
      </c>
      <c r="AN231">
        <v>884468</v>
      </c>
      <c r="AO231">
        <v>0</v>
      </c>
      <c r="AP231">
        <v>884468</v>
      </c>
      <c r="AQ231">
        <v>-2326343</v>
      </c>
      <c r="AR231">
        <v>0</v>
      </c>
      <c r="AS231">
        <v>-2326343</v>
      </c>
      <c r="AT231">
        <v>-1782564</v>
      </c>
      <c r="AU231">
        <v>0</v>
      </c>
      <c r="AV231">
        <v>-1782564</v>
      </c>
      <c r="AW231">
        <v>-55552</v>
      </c>
      <c r="AX231">
        <v>0</v>
      </c>
      <c r="AY231">
        <v>-55552</v>
      </c>
      <c r="AZ231">
        <v>-11283</v>
      </c>
      <c r="BA231">
        <v>0</v>
      </c>
      <c r="BB231">
        <v>-11283</v>
      </c>
      <c r="BC231">
        <v>0</v>
      </c>
      <c r="BD231">
        <v>0</v>
      </c>
      <c r="BE231">
        <v>0</v>
      </c>
      <c r="BF231">
        <v>-4175742</v>
      </c>
      <c r="BG231">
        <v>0</v>
      </c>
      <c r="BH231">
        <v>0</v>
      </c>
      <c r="BI231">
        <v>0</v>
      </c>
      <c r="BJ231">
        <v>-4175742</v>
      </c>
      <c r="BK231">
        <v>0</v>
      </c>
      <c r="BL231">
        <v>-4175742</v>
      </c>
      <c r="BM231">
        <v>0</v>
      </c>
      <c r="BN231">
        <v>0</v>
      </c>
      <c r="BO231">
        <v>0</v>
      </c>
      <c r="BP231">
        <v>-438913</v>
      </c>
      <c r="BQ231">
        <v>0</v>
      </c>
      <c r="BR231">
        <v>-438913</v>
      </c>
      <c r="BS231">
        <v>-438913</v>
      </c>
      <c r="BT231">
        <v>0</v>
      </c>
      <c r="BU231">
        <v>0</v>
      </c>
      <c r="BV231">
        <v>0</v>
      </c>
      <c r="BW231">
        <v>-438913</v>
      </c>
      <c r="BX231">
        <v>0</v>
      </c>
      <c r="BY231">
        <v>-438913</v>
      </c>
      <c r="BZ231">
        <v>-138727</v>
      </c>
      <c r="CA231">
        <v>0</v>
      </c>
      <c r="CB231">
        <v>-138727</v>
      </c>
      <c r="CC231">
        <v>-21448</v>
      </c>
      <c r="CD231">
        <v>0</v>
      </c>
      <c r="CE231">
        <v>-21448</v>
      </c>
      <c r="CF231">
        <v>-2348</v>
      </c>
      <c r="CG231">
        <v>0</v>
      </c>
      <c r="CH231">
        <v>-2348</v>
      </c>
      <c r="CI231">
        <v>0</v>
      </c>
      <c r="CJ231">
        <v>0</v>
      </c>
      <c r="CK231">
        <v>0</v>
      </c>
      <c r="CL231">
        <v>-2100</v>
      </c>
      <c r="CM231">
        <v>0</v>
      </c>
      <c r="CN231">
        <v>-2100</v>
      </c>
      <c r="CO231">
        <v>0</v>
      </c>
      <c r="CP231">
        <v>0</v>
      </c>
      <c r="CQ231">
        <v>0</v>
      </c>
      <c r="CR231">
        <v>0</v>
      </c>
      <c r="CS231">
        <v>0</v>
      </c>
      <c r="CT231">
        <v>-164623</v>
      </c>
      <c r="CU231">
        <v>0</v>
      </c>
      <c r="CV231">
        <v>0</v>
      </c>
      <c r="CW231">
        <v>0</v>
      </c>
      <c r="CX231">
        <v>-164623</v>
      </c>
      <c r="CY231">
        <v>0</v>
      </c>
      <c r="CZ231">
        <v>-164623</v>
      </c>
      <c r="DA231">
        <v>-11283</v>
      </c>
      <c r="DB231">
        <v>0</v>
      </c>
      <c r="DC231">
        <v>-11283</v>
      </c>
      <c r="DD231">
        <v>-38970</v>
      </c>
      <c r="DE231">
        <v>0</v>
      </c>
      <c r="DF231">
        <v>-38970</v>
      </c>
      <c r="DG231">
        <v>-5000</v>
      </c>
      <c r="DH231">
        <v>0</v>
      </c>
      <c r="DI231">
        <v>-5000</v>
      </c>
      <c r="DJ231">
        <v>-511749</v>
      </c>
      <c r="DK231">
        <v>0</v>
      </c>
      <c r="DL231">
        <v>-511749</v>
      </c>
      <c r="DM231">
        <v>-567002</v>
      </c>
      <c r="DN231">
        <v>0</v>
      </c>
      <c r="DO231">
        <v>0</v>
      </c>
      <c r="DP231">
        <v>0</v>
      </c>
      <c r="DQ231">
        <v>-567002</v>
      </c>
      <c r="DR231">
        <v>0</v>
      </c>
      <c r="DS231">
        <v>-567002</v>
      </c>
      <c r="DT231">
        <v>39943797</v>
      </c>
      <c r="DU231">
        <v>0</v>
      </c>
      <c r="DV231" s="661">
        <v>39943797</v>
      </c>
      <c r="DW231" t="s">
        <v>1882</v>
      </c>
    </row>
    <row r="232" spans="1:127" ht="12.75" x14ac:dyDescent="0.2">
      <c r="A232" s="605">
        <v>225</v>
      </c>
      <c r="B232" s="606" t="s">
        <v>337</v>
      </c>
      <c r="C232" s="607" t="s">
        <v>1185</v>
      </c>
      <c r="D232" s="608" t="s">
        <v>1186</v>
      </c>
      <c r="E232" s="609" t="s">
        <v>336</v>
      </c>
      <c r="G232">
        <v>96024033</v>
      </c>
      <c r="H232">
        <v>0</v>
      </c>
      <c r="I232">
        <v>96024033</v>
      </c>
      <c r="J232">
        <v>49.9</v>
      </c>
      <c r="K232">
        <v>47915992</v>
      </c>
      <c r="L232">
        <v>0</v>
      </c>
      <c r="M232">
        <v>0</v>
      </c>
      <c r="N232">
        <v>0</v>
      </c>
      <c r="O232">
        <v>47915992</v>
      </c>
      <c r="P232">
        <v>0</v>
      </c>
      <c r="Q232">
        <v>47915992</v>
      </c>
      <c r="R232">
        <v>-217339</v>
      </c>
      <c r="S232">
        <v>0</v>
      </c>
      <c r="T232">
        <v>-217339</v>
      </c>
      <c r="U232">
        <v>55345</v>
      </c>
      <c r="V232">
        <v>0</v>
      </c>
      <c r="W232">
        <v>55345</v>
      </c>
      <c r="X232">
        <v>-161994</v>
      </c>
      <c r="Y232">
        <v>0</v>
      </c>
      <c r="Z232">
        <v>0</v>
      </c>
      <c r="AA232">
        <v>0</v>
      </c>
      <c r="AB232">
        <v>-161994</v>
      </c>
      <c r="AC232">
        <v>0</v>
      </c>
      <c r="AD232">
        <v>-161994</v>
      </c>
      <c r="AE232">
        <v>161994</v>
      </c>
      <c r="AF232">
        <v>0</v>
      </c>
      <c r="AG232">
        <v>161994</v>
      </c>
      <c r="AH232">
        <v>-4634520</v>
      </c>
      <c r="AI232">
        <v>0</v>
      </c>
      <c r="AJ232">
        <v>-4634520</v>
      </c>
      <c r="AK232">
        <v>0</v>
      </c>
      <c r="AL232">
        <v>0</v>
      </c>
      <c r="AM232">
        <v>0</v>
      </c>
      <c r="AN232">
        <v>777318</v>
      </c>
      <c r="AO232">
        <v>0</v>
      </c>
      <c r="AP232">
        <v>777318</v>
      </c>
      <c r="AQ232">
        <v>-3857202</v>
      </c>
      <c r="AR232">
        <v>0</v>
      </c>
      <c r="AS232">
        <v>-3857202</v>
      </c>
      <c r="AT232">
        <v>-3446354</v>
      </c>
      <c r="AU232">
        <v>0</v>
      </c>
      <c r="AV232">
        <v>-3446354</v>
      </c>
      <c r="AW232">
        <v>-103543</v>
      </c>
      <c r="AX232">
        <v>0</v>
      </c>
      <c r="AY232">
        <v>-103543</v>
      </c>
      <c r="AZ232">
        <v>-12339</v>
      </c>
      <c r="BA232">
        <v>0</v>
      </c>
      <c r="BB232">
        <v>-12339</v>
      </c>
      <c r="BC232">
        <v>0</v>
      </c>
      <c r="BD232">
        <v>0</v>
      </c>
      <c r="BE232">
        <v>0</v>
      </c>
      <c r="BF232">
        <v>-7419438</v>
      </c>
      <c r="BG232">
        <v>0</v>
      </c>
      <c r="BH232">
        <v>0</v>
      </c>
      <c r="BI232">
        <v>0</v>
      </c>
      <c r="BJ232">
        <v>-7419438</v>
      </c>
      <c r="BK232">
        <v>0</v>
      </c>
      <c r="BL232">
        <v>-7419438</v>
      </c>
      <c r="BM232">
        <v>0</v>
      </c>
      <c r="BN232">
        <v>0</v>
      </c>
      <c r="BO232">
        <v>0</v>
      </c>
      <c r="BP232">
        <v>-1378785</v>
      </c>
      <c r="BQ232">
        <v>0</v>
      </c>
      <c r="BR232">
        <v>-1378785</v>
      </c>
      <c r="BS232">
        <v>-1378785</v>
      </c>
      <c r="BT232">
        <v>0</v>
      </c>
      <c r="BU232">
        <v>0</v>
      </c>
      <c r="BV232">
        <v>0</v>
      </c>
      <c r="BW232">
        <v>-1378785</v>
      </c>
      <c r="BX232">
        <v>0</v>
      </c>
      <c r="BY232">
        <v>-1378785</v>
      </c>
      <c r="BZ232">
        <v>-124615</v>
      </c>
      <c r="CA232">
        <v>0</v>
      </c>
      <c r="CB232">
        <v>-124615</v>
      </c>
      <c r="CC232">
        <v>-49940</v>
      </c>
      <c r="CD232">
        <v>0</v>
      </c>
      <c r="CE232">
        <v>-49940</v>
      </c>
      <c r="CF232">
        <v>0</v>
      </c>
      <c r="CG232">
        <v>0</v>
      </c>
      <c r="CH232">
        <v>0</v>
      </c>
      <c r="CI232">
        <v>0</v>
      </c>
      <c r="CJ232">
        <v>0</v>
      </c>
      <c r="CK232">
        <v>0</v>
      </c>
      <c r="CL232">
        <v>-10820</v>
      </c>
      <c r="CM232">
        <v>0</v>
      </c>
      <c r="CN232">
        <v>-10820</v>
      </c>
      <c r="CO232">
        <v>0</v>
      </c>
      <c r="CP232">
        <v>0</v>
      </c>
      <c r="CQ232">
        <v>0</v>
      </c>
      <c r="CR232">
        <v>0</v>
      </c>
      <c r="CS232">
        <v>0</v>
      </c>
      <c r="CT232">
        <v>-185375</v>
      </c>
      <c r="CU232">
        <v>0</v>
      </c>
      <c r="CV232">
        <v>0</v>
      </c>
      <c r="CW232">
        <v>0</v>
      </c>
      <c r="CX232">
        <v>-185375</v>
      </c>
      <c r="CY232">
        <v>0</v>
      </c>
      <c r="CZ232">
        <v>-185375</v>
      </c>
      <c r="DA232">
        <v>-12339</v>
      </c>
      <c r="DB232">
        <v>0</v>
      </c>
      <c r="DC232">
        <v>-12339</v>
      </c>
      <c r="DD232">
        <v>-35025</v>
      </c>
      <c r="DE232">
        <v>0</v>
      </c>
      <c r="DF232">
        <v>-35025</v>
      </c>
      <c r="DG232">
        <v>-5834</v>
      </c>
      <c r="DH232">
        <v>0</v>
      </c>
      <c r="DI232">
        <v>-5834</v>
      </c>
      <c r="DJ232">
        <v>-993589</v>
      </c>
      <c r="DK232">
        <v>0</v>
      </c>
      <c r="DL232">
        <v>-993589</v>
      </c>
      <c r="DM232">
        <v>-1046787</v>
      </c>
      <c r="DN232">
        <v>0</v>
      </c>
      <c r="DO232">
        <v>0</v>
      </c>
      <c r="DP232">
        <v>0</v>
      </c>
      <c r="DQ232">
        <v>-1046787</v>
      </c>
      <c r="DR232">
        <v>0</v>
      </c>
      <c r="DS232">
        <v>-1046787</v>
      </c>
      <c r="DT232">
        <v>37723613</v>
      </c>
      <c r="DU232">
        <v>0</v>
      </c>
      <c r="DV232" s="661">
        <v>37723613</v>
      </c>
      <c r="DW232" t="s">
        <v>1883</v>
      </c>
    </row>
    <row r="233" spans="1:127" ht="12.75" x14ac:dyDescent="0.2">
      <c r="A233" s="605">
        <v>226</v>
      </c>
      <c r="B233" s="606" t="s">
        <v>339</v>
      </c>
      <c r="C233" s="607" t="s">
        <v>1192</v>
      </c>
      <c r="D233" s="608" t="s">
        <v>1193</v>
      </c>
      <c r="E233" s="609" t="s">
        <v>338</v>
      </c>
      <c r="G233">
        <v>544967854</v>
      </c>
      <c r="H233">
        <v>9513075</v>
      </c>
      <c r="I233">
        <v>554480929</v>
      </c>
      <c r="J233">
        <v>49.9</v>
      </c>
      <c r="K233">
        <v>271938959</v>
      </c>
      <c r="L233">
        <v>4747024</v>
      </c>
      <c r="M233">
        <v>-2372500</v>
      </c>
      <c r="N233">
        <v>626008</v>
      </c>
      <c r="O233">
        <v>269566459</v>
      </c>
      <c r="P233">
        <v>5373032</v>
      </c>
      <c r="Q233">
        <v>274939491</v>
      </c>
      <c r="R233">
        <v>-715160</v>
      </c>
      <c r="S233">
        <v>0</v>
      </c>
      <c r="T233">
        <v>-715160</v>
      </c>
      <c r="U233">
        <v>4050592</v>
      </c>
      <c r="V233">
        <v>0</v>
      </c>
      <c r="W233">
        <v>4050592</v>
      </c>
      <c r="X233">
        <v>3335432</v>
      </c>
      <c r="Y233">
        <v>0</v>
      </c>
      <c r="Z233">
        <v>0</v>
      </c>
      <c r="AA233">
        <v>0</v>
      </c>
      <c r="AB233">
        <v>3335432</v>
      </c>
      <c r="AC233">
        <v>0</v>
      </c>
      <c r="AD233">
        <v>3335432</v>
      </c>
      <c r="AE233">
        <v>-3335432</v>
      </c>
      <c r="AF233">
        <v>0</v>
      </c>
      <c r="AG233">
        <v>-3335432</v>
      </c>
      <c r="AH233">
        <v>-18694934</v>
      </c>
      <c r="AI233">
        <v>-20287</v>
      </c>
      <c r="AJ233">
        <v>-18715221</v>
      </c>
      <c r="AK233">
        <v>0</v>
      </c>
      <c r="AL233">
        <v>0</v>
      </c>
      <c r="AM233">
        <v>0</v>
      </c>
      <c r="AN233">
        <v>5457026</v>
      </c>
      <c r="AO233">
        <v>132508</v>
      </c>
      <c r="AP233">
        <v>5589534</v>
      </c>
      <c r="AQ233">
        <v>-13237908</v>
      </c>
      <c r="AR233">
        <v>112221</v>
      </c>
      <c r="AS233">
        <v>-13125687</v>
      </c>
      <c r="AT233">
        <v>-24460697</v>
      </c>
      <c r="AU233">
        <v>0</v>
      </c>
      <c r="AV233">
        <v>-24460697</v>
      </c>
      <c r="AW233">
        <v>-25407</v>
      </c>
      <c r="AX233">
        <v>0</v>
      </c>
      <c r="AY233">
        <v>-25407</v>
      </c>
      <c r="AZ233">
        <v>0</v>
      </c>
      <c r="BA233">
        <v>0</v>
      </c>
      <c r="BB233">
        <v>0</v>
      </c>
      <c r="BC233">
        <v>0</v>
      </c>
      <c r="BD233">
        <v>0</v>
      </c>
      <c r="BE233">
        <v>0</v>
      </c>
      <c r="BF233">
        <v>-37724012</v>
      </c>
      <c r="BG233">
        <v>112221</v>
      </c>
      <c r="BH233">
        <v>0</v>
      </c>
      <c r="BI233">
        <v>0</v>
      </c>
      <c r="BJ233">
        <v>-37724012</v>
      </c>
      <c r="BK233">
        <v>112221</v>
      </c>
      <c r="BL233">
        <v>-37611791</v>
      </c>
      <c r="BM233">
        <v>-730651</v>
      </c>
      <c r="BN233">
        <v>0</v>
      </c>
      <c r="BO233">
        <v>-730651</v>
      </c>
      <c r="BP233">
        <v>-8244333</v>
      </c>
      <c r="BQ233">
        <v>-263250</v>
      </c>
      <c r="BR233">
        <v>-8507583</v>
      </c>
      <c r="BS233">
        <v>-8974984</v>
      </c>
      <c r="BT233">
        <v>-263250</v>
      </c>
      <c r="BU233">
        <v>0</v>
      </c>
      <c r="BV233">
        <v>0</v>
      </c>
      <c r="BW233">
        <v>-8974984</v>
      </c>
      <c r="BX233">
        <v>-263250</v>
      </c>
      <c r="BY233">
        <v>-9238234</v>
      </c>
      <c r="BZ233">
        <v>-3978</v>
      </c>
      <c r="CA233">
        <v>0</v>
      </c>
      <c r="CB233">
        <v>-3978</v>
      </c>
      <c r="CC233">
        <v>-324740</v>
      </c>
      <c r="CD233">
        <v>0</v>
      </c>
      <c r="CE233">
        <v>-324740</v>
      </c>
      <c r="CF233">
        <v>0</v>
      </c>
      <c r="CG233">
        <v>0</v>
      </c>
      <c r="CH233">
        <v>0</v>
      </c>
      <c r="CI233">
        <v>0</v>
      </c>
      <c r="CJ233">
        <v>0</v>
      </c>
      <c r="CK233">
        <v>0</v>
      </c>
      <c r="CL233">
        <v>0</v>
      </c>
      <c r="CM233">
        <v>0</v>
      </c>
      <c r="CN233">
        <v>0</v>
      </c>
      <c r="CO233">
        <v>-1000648</v>
      </c>
      <c r="CP233">
        <v>0</v>
      </c>
      <c r="CQ233">
        <v>-1000648</v>
      </c>
      <c r="CR233">
        <v>0</v>
      </c>
      <c r="CS233">
        <v>0</v>
      </c>
      <c r="CT233">
        <v>-1329366</v>
      </c>
      <c r="CU233">
        <v>0</v>
      </c>
      <c r="CV233">
        <v>0</v>
      </c>
      <c r="CW233">
        <v>0</v>
      </c>
      <c r="CX233">
        <v>-1329366</v>
      </c>
      <c r="CY233">
        <v>0</v>
      </c>
      <c r="CZ233">
        <v>-1329366</v>
      </c>
      <c r="DA233">
        <v>0</v>
      </c>
      <c r="DB233">
        <v>0</v>
      </c>
      <c r="DC233">
        <v>0</v>
      </c>
      <c r="DD233">
        <v>-55497</v>
      </c>
      <c r="DE233">
        <v>0</v>
      </c>
      <c r="DF233">
        <v>-55497</v>
      </c>
      <c r="DG233">
        <v>-16074</v>
      </c>
      <c r="DH233">
        <v>0</v>
      </c>
      <c r="DI233">
        <v>-16074</v>
      </c>
      <c r="DJ233">
        <v>-4535899</v>
      </c>
      <c r="DK233">
        <v>0</v>
      </c>
      <c r="DL233">
        <v>-4535899</v>
      </c>
      <c r="DM233">
        <v>-4607470</v>
      </c>
      <c r="DN233">
        <v>0</v>
      </c>
      <c r="DO233">
        <v>0</v>
      </c>
      <c r="DP233">
        <v>0</v>
      </c>
      <c r="DQ233">
        <v>-4607470</v>
      </c>
      <c r="DR233">
        <v>0</v>
      </c>
      <c r="DS233">
        <v>-4607470</v>
      </c>
      <c r="DT233">
        <v>220266059</v>
      </c>
      <c r="DU233">
        <v>5222003</v>
      </c>
      <c r="DV233" s="661">
        <v>225488062</v>
      </c>
      <c r="DW233" t="s">
        <v>1884</v>
      </c>
    </row>
    <row r="234" spans="1:127" ht="12.75" x14ac:dyDescent="0.2">
      <c r="A234" s="605">
        <v>227</v>
      </c>
      <c r="B234" s="606" t="s">
        <v>343</v>
      </c>
      <c r="C234" s="607" t="s">
        <v>524</v>
      </c>
      <c r="D234" s="608" t="s">
        <v>1195</v>
      </c>
      <c r="E234" s="609" t="s">
        <v>342</v>
      </c>
      <c r="G234">
        <v>234277239</v>
      </c>
      <c r="H234">
        <v>0</v>
      </c>
      <c r="I234">
        <v>234277239</v>
      </c>
      <c r="J234">
        <v>49.9</v>
      </c>
      <c r="K234">
        <v>116904342</v>
      </c>
      <c r="L234">
        <v>0</v>
      </c>
      <c r="M234">
        <v>423908</v>
      </c>
      <c r="N234">
        <v>0</v>
      </c>
      <c r="O234">
        <v>117328250</v>
      </c>
      <c r="P234">
        <v>0</v>
      </c>
      <c r="Q234">
        <v>117328250</v>
      </c>
      <c r="R234">
        <v>-1796688</v>
      </c>
      <c r="S234">
        <v>0</v>
      </c>
      <c r="T234">
        <v>-1796688</v>
      </c>
      <c r="U234">
        <v>581452</v>
      </c>
      <c r="V234">
        <v>0</v>
      </c>
      <c r="W234">
        <v>581452</v>
      </c>
      <c r="X234">
        <v>-1215236</v>
      </c>
      <c r="Y234">
        <v>0</v>
      </c>
      <c r="Z234">
        <v>0</v>
      </c>
      <c r="AA234">
        <v>0</v>
      </c>
      <c r="AB234">
        <v>-1215236</v>
      </c>
      <c r="AC234">
        <v>0</v>
      </c>
      <c r="AD234">
        <v>-1215236</v>
      </c>
      <c r="AE234">
        <v>1215236</v>
      </c>
      <c r="AF234">
        <v>0</v>
      </c>
      <c r="AG234">
        <v>1215236</v>
      </c>
      <c r="AH234">
        <v>-14772515</v>
      </c>
      <c r="AI234">
        <v>0</v>
      </c>
      <c r="AJ234">
        <v>-14772515</v>
      </c>
      <c r="AK234">
        <v>-39821</v>
      </c>
      <c r="AL234">
        <v>0</v>
      </c>
      <c r="AM234">
        <v>-39821</v>
      </c>
      <c r="AN234">
        <v>1814448</v>
      </c>
      <c r="AO234">
        <v>0</v>
      </c>
      <c r="AP234">
        <v>1814448</v>
      </c>
      <c r="AQ234">
        <v>-12958067</v>
      </c>
      <c r="AR234">
        <v>0</v>
      </c>
      <c r="AS234">
        <v>-12958067</v>
      </c>
      <c r="AT234">
        <v>-8982725</v>
      </c>
      <c r="AU234">
        <v>0</v>
      </c>
      <c r="AV234">
        <v>-8982725</v>
      </c>
      <c r="AW234">
        <v>-172291</v>
      </c>
      <c r="AX234">
        <v>0</v>
      </c>
      <c r="AY234">
        <v>-172291</v>
      </c>
      <c r="AZ234">
        <v>-35656</v>
      </c>
      <c r="BA234">
        <v>0</v>
      </c>
      <c r="BB234">
        <v>-35656</v>
      </c>
      <c r="BC234">
        <v>0</v>
      </c>
      <c r="BD234">
        <v>0</v>
      </c>
      <c r="BE234">
        <v>0</v>
      </c>
      <c r="BF234">
        <v>-22148739</v>
      </c>
      <c r="BG234">
        <v>0</v>
      </c>
      <c r="BH234">
        <v>0</v>
      </c>
      <c r="BI234">
        <v>0</v>
      </c>
      <c r="BJ234">
        <v>-22148739</v>
      </c>
      <c r="BK234">
        <v>0</v>
      </c>
      <c r="BL234">
        <v>-22148739</v>
      </c>
      <c r="BM234">
        <v>0</v>
      </c>
      <c r="BN234">
        <v>0</v>
      </c>
      <c r="BO234">
        <v>0</v>
      </c>
      <c r="BP234">
        <v>-1827566</v>
      </c>
      <c r="BQ234">
        <v>0</v>
      </c>
      <c r="BR234">
        <v>-1827566</v>
      </c>
      <c r="BS234">
        <v>-1827566</v>
      </c>
      <c r="BT234">
        <v>0</v>
      </c>
      <c r="BU234">
        <v>0</v>
      </c>
      <c r="BV234">
        <v>0</v>
      </c>
      <c r="BW234">
        <v>-1827566</v>
      </c>
      <c r="BX234">
        <v>0</v>
      </c>
      <c r="BY234">
        <v>-1827566</v>
      </c>
      <c r="BZ234">
        <v>-596754</v>
      </c>
      <c r="CA234">
        <v>0</v>
      </c>
      <c r="CB234">
        <v>-596754</v>
      </c>
      <c r="CC234">
        <v>-120379</v>
      </c>
      <c r="CD234">
        <v>0</v>
      </c>
      <c r="CE234">
        <v>-120379</v>
      </c>
      <c r="CF234">
        <v>-29117</v>
      </c>
      <c r="CG234">
        <v>0</v>
      </c>
      <c r="CH234">
        <v>-29117</v>
      </c>
      <c r="CI234">
        <v>0</v>
      </c>
      <c r="CJ234">
        <v>0</v>
      </c>
      <c r="CK234">
        <v>0</v>
      </c>
      <c r="CL234">
        <v>0</v>
      </c>
      <c r="CM234">
        <v>0</v>
      </c>
      <c r="CN234">
        <v>0</v>
      </c>
      <c r="CO234">
        <v>0</v>
      </c>
      <c r="CP234">
        <v>0</v>
      </c>
      <c r="CQ234">
        <v>0</v>
      </c>
      <c r="CR234">
        <v>0</v>
      </c>
      <c r="CS234">
        <v>0</v>
      </c>
      <c r="CT234">
        <v>-746250</v>
      </c>
      <c r="CU234">
        <v>0</v>
      </c>
      <c r="CV234">
        <v>0</v>
      </c>
      <c r="CW234">
        <v>0</v>
      </c>
      <c r="CX234">
        <v>-746250</v>
      </c>
      <c r="CY234">
        <v>0</v>
      </c>
      <c r="CZ234">
        <v>-746250</v>
      </c>
      <c r="DA234">
        <v>-35656</v>
      </c>
      <c r="DB234">
        <v>0</v>
      </c>
      <c r="DC234">
        <v>-35656</v>
      </c>
      <c r="DD234">
        <v>-244772</v>
      </c>
      <c r="DE234">
        <v>0</v>
      </c>
      <c r="DF234">
        <v>-244772</v>
      </c>
      <c r="DG234">
        <v>-37380</v>
      </c>
      <c r="DH234">
        <v>0</v>
      </c>
      <c r="DI234">
        <v>-37380</v>
      </c>
      <c r="DJ234">
        <v>-2045967</v>
      </c>
      <c r="DK234">
        <v>0</v>
      </c>
      <c r="DL234">
        <v>-2045967</v>
      </c>
      <c r="DM234">
        <v>-2363775</v>
      </c>
      <c r="DN234">
        <v>0</v>
      </c>
      <c r="DO234">
        <v>0</v>
      </c>
      <c r="DP234">
        <v>0</v>
      </c>
      <c r="DQ234">
        <v>-2363775</v>
      </c>
      <c r="DR234">
        <v>0</v>
      </c>
      <c r="DS234">
        <v>-2363775</v>
      </c>
      <c r="DT234">
        <v>89026684</v>
      </c>
      <c r="DU234">
        <v>0</v>
      </c>
      <c r="DV234" s="661">
        <v>89026684</v>
      </c>
      <c r="DW234" t="s">
        <v>1885</v>
      </c>
    </row>
    <row r="235" spans="1:127" ht="12.75" x14ac:dyDescent="0.2">
      <c r="A235" s="605">
        <v>228</v>
      </c>
      <c r="B235" s="606" t="s">
        <v>345</v>
      </c>
      <c r="C235" s="607" t="s">
        <v>524</v>
      </c>
      <c r="D235" s="608" t="s">
        <v>1186</v>
      </c>
      <c r="E235" s="609" t="s">
        <v>535</v>
      </c>
      <c r="G235">
        <v>242990198</v>
      </c>
      <c r="H235">
        <v>0</v>
      </c>
      <c r="I235">
        <v>242990198</v>
      </c>
      <c r="J235">
        <v>49.9</v>
      </c>
      <c r="K235">
        <v>121252109</v>
      </c>
      <c r="L235">
        <v>0</v>
      </c>
      <c r="M235">
        <v>0</v>
      </c>
      <c r="N235">
        <v>0</v>
      </c>
      <c r="O235">
        <v>121252109</v>
      </c>
      <c r="P235">
        <v>0</v>
      </c>
      <c r="Q235">
        <v>121252109</v>
      </c>
      <c r="R235">
        <v>-124711</v>
      </c>
      <c r="S235">
        <v>0</v>
      </c>
      <c r="T235">
        <v>-124711</v>
      </c>
      <c r="U235">
        <v>1022980</v>
      </c>
      <c r="V235">
        <v>0</v>
      </c>
      <c r="W235">
        <v>1022980</v>
      </c>
      <c r="X235">
        <v>898269</v>
      </c>
      <c r="Y235">
        <v>0</v>
      </c>
      <c r="Z235">
        <v>0</v>
      </c>
      <c r="AA235">
        <v>0</v>
      </c>
      <c r="AB235">
        <v>898269</v>
      </c>
      <c r="AC235">
        <v>0</v>
      </c>
      <c r="AD235">
        <v>898269</v>
      </c>
      <c r="AE235">
        <v>-898269</v>
      </c>
      <c r="AF235">
        <v>0</v>
      </c>
      <c r="AG235">
        <v>-898269</v>
      </c>
      <c r="AH235">
        <v>-3213002</v>
      </c>
      <c r="AI235">
        <v>0</v>
      </c>
      <c r="AJ235">
        <v>-3213002</v>
      </c>
      <c r="AK235">
        <v>0</v>
      </c>
      <c r="AL235">
        <v>0</v>
      </c>
      <c r="AM235">
        <v>0</v>
      </c>
      <c r="AN235">
        <v>2744772</v>
      </c>
      <c r="AO235">
        <v>0</v>
      </c>
      <c r="AP235">
        <v>2744772</v>
      </c>
      <c r="AQ235">
        <v>-468230</v>
      </c>
      <c r="AR235">
        <v>0</v>
      </c>
      <c r="AS235">
        <v>-468230</v>
      </c>
      <c r="AT235">
        <v>-5589879</v>
      </c>
      <c r="AU235">
        <v>0</v>
      </c>
      <c r="AV235">
        <v>-5589879</v>
      </c>
      <c r="AW235">
        <v>0</v>
      </c>
      <c r="AX235">
        <v>0</v>
      </c>
      <c r="AY235">
        <v>0</v>
      </c>
      <c r="AZ235">
        <v>0</v>
      </c>
      <c r="BA235">
        <v>0</v>
      </c>
      <c r="BB235">
        <v>0</v>
      </c>
      <c r="BC235">
        <v>0</v>
      </c>
      <c r="BD235">
        <v>0</v>
      </c>
      <c r="BE235">
        <v>0</v>
      </c>
      <c r="BF235">
        <v>-6058109</v>
      </c>
      <c r="BG235">
        <v>0</v>
      </c>
      <c r="BH235">
        <v>0</v>
      </c>
      <c r="BI235">
        <v>0</v>
      </c>
      <c r="BJ235">
        <v>-6058109</v>
      </c>
      <c r="BK235">
        <v>0</v>
      </c>
      <c r="BL235">
        <v>-6058109</v>
      </c>
      <c r="BM235">
        <v>0</v>
      </c>
      <c r="BN235">
        <v>0</v>
      </c>
      <c r="BO235">
        <v>0</v>
      </c>
      <c r="BP235">
        <v>-4506339</v>
      </c>
      <c r="BQ235">
        <v>0</v>
      </c>
      <c r="BR235">
        <v>-4506339</v>
      </c>
      <c r="BS235">
        <v>-4506339</v>
      </c>
      <c r="BT235">
        <v>0</v>
      </c>
      <c r="BU235">
        <v>0</v>
      </c>
      <c r="BV235">
        <v>0</v>
      </c>
      <c r="BW235">
        <v>-4506339</v>
      </c>
      <c r="BX235">
        <v>0</v>
      </c>
      <c r="BY235">
        <v>-4506339</v>
      </c>
      <c r="BZ235">
        <v>-145029</v>
      </c>
      <c r="CA235">
        <v>0</v>
      </c>
      <c r="CB235">
        <v>-145029</v>
      </c>
      <c r="CC235">
        <v>-68713</v>
      </c>
      <c r="CD235">
        <v>0</v>
      </c>
      <c r="CE235">
        <v>-68713</v>
      </c>
      <c r="CF235">
        <v>0</v>
      </c>
      <c r="CG235">
        <v>0</v>
      </c>
      <c r="CH235">
        <v>0</v>
      </c>
      <c r="CI235">
        <v>0</v>
      </c>
      <c r="CJ235">
        <v>0</v>
      </c>
      <c r="CK235">
        <v>0</v>
      </c>
      <c r="CL235">
        <v>0</v>
      </c>
      <c r="CM235">
        <v>0</v>
      </c>
      <c r="CN235">
        <v>0</v>
      </c>
      <c r="CO235">
        <v>0</v>
      </c>
      <c r="CP235">
        <v>0</v>
      </c>
      <c r="CQ235">
        <v>0</v>
      </c>
      <c r="CR235">
        <v>0</v>
      </c>
      <c r="CS235">
        <v>0</v>
      </c>
      <c r="CT235">
        <v>-213742</v>
      </c>
      <c r="CU235">
        <v>0</v>
      </c>
      <c r="CV235">
        <v>0</v>
      </c>
      <c r="CW235">
        <v>0</v>
      </c>
      <c r="CX235">
        <v>-213742</v>
      </c>
      <c r="CY235">
        <v>0</v>
      </c>
      <c r="CZ235">
        <v>-213742</v>
      </c>
      <c r="DA235">
        <v>0</v>
      </c>
      <c r="DB235">
        <v>0</v>
      </c>
      <c r="DC235">
        <v>0</v>
      </c>
      <c r="DD235">
        <v>-22235</v>
      </c>
      <c r="DE235">
        <v>0</v>
      </c>
      <c r="DF235">
        <v>-22235</v>
      </c>
      <c r="DG235">
        <v>-9998</v>
      </c>
      <c r="DH235">
        <v>0</v>
      </c>
      <c r="DI235">
        <v>-9998</v>
      </c>
      <c r="DJ235">
        <v>-1391552</v>
      </c>
      <c r="DK235">
        <v>0</v>
      </c>
      <c r="DL235">
        <v>-1391552</v>
      </c>
      <c r="DM235">
        <v>-1423785</v>
      </c>
      <c r="DN235">
        <v>0</v>
      </c>
      <c r="DO235">
        <v>0</v>
      </c>
      <c r="DP235">
        <v>0</v>
      </c>
      <c r="DQ235">
        <v>-1423785</v>
      </c>
      <c r="DR235">
        <v>0</v>
      </c>
      <c r="DS235">
        <v>-1423785</v>
      </c>
      <c r="DT235">
        <v>109948403</v>
      </c>
      <c r="DU235">
        <v>0</v>
      </c>
      <c r="DV235" s="661">
        <v>109948403</v>
      </c>
      <c r="DW235" t="s">
        <v>1886</v>
      </c>
    </row>
    <row r="236" spans="1:127" ht="12.75" x14ac:dyDescent="0.2">
      <c r="A236" s="605">
        <v>229</v>
      </c>
      <c r="B236" s="606" t="s">
        <v>347</v>
      </c>
      <c r="C236" s="607" t="s">
        <v>1192</v>
      </c>
      <c r="D236" s="608" t="s">
        <v>1195</v>
      </c>
      <c r="E236" s="609" t="s">
        <v>346</v>
      </c>
      <c r="G236">
        <v>269601301</v>
      </c>
      <c r="H236">
        <v>0</v>
      </c>
      <c r="I236">
        <v>269601301</v>
      </c>
      <c r="J236">
        <v>49.9</v>
      </c>
      <c r="K236">
        <v>134531049</v>
      </c>
      <c r="L236">
        <v>0</v>
      </c>
      <c r="M236">
        <v>1339993</v>
      </c>
      <c r="N236">
        <v>0</v>
      </c>
      <c r="O236">
        <v>135871042</v>
      </c>
      <c r="P236">
        <v>0</v>
      </c>
      <c r="Q236">
        <v>135871042</v>
      </c>
      <c r="R236">
        <v>-169653</v>
      </c>
      <c r="S236">
        <v>0</v>
      </c>
      <c r="T236">
        <v>-169653</v>
      </c>
      <c r="U236">
        <v>721506</v>
      </c>
      <c r="V236">
        <v>0</v>
      </c>
      <c r="W236">
        <v>721506</v>
      </c>
      <c r="X236">
        <v>551853</v>
      </c>
      <c r="Y236">
        <v>0</v>
      </c>
      <c r="Z236">
        <v>0</v>
      </c>
      <c r="AA236">
        <v>0</v>
      </c>
      <c r="AB236">
        <v>551853</v>
      </c>
      <c r="AC236">
        <v>0</v>
      </c>
      <c r="AD236">
        <v>551853</v>
      </c>
      <c r="AE236">
        <v>-551853</v>
      </c>
      <c r="AF236">
        <v>0</v>
      </c>
      <c r="AG236">
        <v>-551853</v>
      </c>
      <c r="AH236">
        <v>-4219061</v>
      </c>
      <c r="AI236">
        <v>0</v>
      </c>
      <c r="AJ236">
        <v>-4219061</v>
      </c>
      <c r="AK236">
        <v>0</v>
      </c>
      <c r="AL236">
        <v>0</v>
      </c>
      <c r="AM236">
        <v>0</v>
      </c>
      <c r="AN236">
        <v>2889368</v>
      </c>
      <c r="AO236">
        <v>0</v>
      </c>
      <c r="AP236">
        <v>2889368</v>
      </c>
      <c r="AQ236">
        <v>-1329693</v>
      </c>
      <c r="AR236">
        <v>0</v>
      </c>
      <c r="AS236">
        <v>-1329693</v>
      </c>
      <c r="AT236">
        <v>-5694335</v>
      </c>
      <c r="AU236">
        <v>0</v>
      </c>
      <c r="AV236">
        <v>-5694335</v>
      </c>
      <c r="AW236">
        <v>-105206</v>
      </c>
      <c r="AX236">
        <v>0</v>
      </c>
      <c r="AY236">
        <v>-105206</v>
      </c>
      <c r="AZ236">
        <v>-1485</v>
      </c>
      <c r="BA236">
        <v>0</v>
      </c>
      <c r="BB236">
        <v>-1485</v>
      </c>
      <c r="BC236">
        <v>0</v>
      </c>
      <c r="BD236">
        <v>0</v>
      </c>
      <c r="BE236">
        <v>0</v>
      </c>
      <c r="BF236">
        <v>-7130719</v>
      </c>
      <c r="BG236">
        <v>0</v>
      </c>
      <c r="BH236">
        <v>-11580</v>
      </c>
      <c r="BI236">
        <v>0</v>
      </c>
      <c r="BJ236">
        <v>-7142299</v>
      </c>
      <c r="BK236">
        <v>0</v>
      </c>
      <c r="BL236">
        <v>-7142299</v>
      </c>
      <c r="BM236">
        <v>-88933</v>
      </c>
      <c r="BN236">
        <v>0</v>
      </c>
      <c r="BO236">
        <v>-88933</v>
      </c>
      <c r="BP236">
        <v>-3485776</v>
      </c>
      <c r="BQ236">
        <v>0</v>
      </c>
      <c r="BR236">
        <v>-3485776</v>
      </c>
      <c r="BS236">
        <v>-3574709</v>
      </c>
      <c r="BT236">
        <v>0</v>
      </c>
      <c r="BU236">
        <v>-87222</v>
      </c>
      <c r="BV236">
        <v>0</v>
      </c>
      <c r="BW236">
        <v>-3661931</v>
      </c>
      <c r="BX236">
        <v>0</v>
      </c>
      <c r="BY236">
        <v>-3661931</v>
      </c>
      <c r="BZ236">
        <v>-42083</v>
      </c>
      <c r="CA236">
        <v>0</v>
      </c>
      <c r="CB236">
        <v>-42083</v>
      </c>
      <c r="CC236">
        <v>-20958</v>
      </c>
      <c r="CD236">
        <v>0</v>
      </c>
      <c r="CE236">
        <v>-20958</v>
      </c>
      <c r="CF236">
        <v>0</v>
      </c>
      <c r="CG236">
        <v>0</v>
      </c>
      <c r="CH236">
        <v>0</v>
      </c>
      <c r="CI236">
        <v>0</v>
      </c>
      <c r="CJ236">
        <v>0</v>
      </c>
      <c r="CK236">
        <v>0</v>
      </c>
      <c r="CL236">
        <v>0</v>
      </c>
      <c r="CM236">
        <v>0</v>
      </c>
      <c r="CN236">
        <v>0</v>
      </c>
      <c r="CO236">
        <v>0</v>
      </c>
      <c r="CP236">
        <v>0</v>
      </c>
      <c r="CQ236">
        <v>0</v>
      </c>
      <c r="CR236">
        <v>0</v>
      </c>
      <c r="CS236">
        <v>0</v>
      </c>
      <c r="CT236">
        <v>-63041</v>
      </c>
      <c r="CU236">
        <v>0</v>
      </c>
      <c r="CV236">
        <v>0</v>
      </c>
      <c r="CW236">
        <v>0</v>
      </c>
      <c r="CX236">
        <v>-63041</v>
      </c>
      <c r="CY236">
        <v>0</v>
      </c>
      <c r="CZ236">
        <v>-63041</v>
      </c>
      <c r="DA236">
        <v>-1485</v>
      </c>
      <c r="DB236">
        <v>0</v>
      </c>
      <c r="DC236">
        <v>-1485</v>
      </c>
      <c r="DD236">
        <v>-20791</v>
      </c>
      <c r="DE236">
        <v>0</v>
      </c>
      <c r="DF236">
        <v>-20791</v>
      </c>
      <c r="DG236">
        <v>-6502</v>
      </c>
      <c r="DH236">
        <v>0</v>
      </c>
      <c r="DI236">
        <v>-6502</v>
      </c>
      <c r="DJ236">
        <v>-1425903</v>
      </c>
      <c r="DK236">
        <v>0</v>
      </c>
      <c r="DL236">
        <v>-1425903</v>
      </c>
      <c r="DM236">
        <v>-1454681</v>
      </c>
      <c r="DN236">
        <v>0</v>
      </c>
      <c r="DO236">
        <v>0</v>
      </c>
      <c r="DP236">
        <v>0</v>
      </c>
      <c r="DQ236">
        <v>-1454681</v>
      </c>
      <c r="DR236">
        <v>0</v>
      </c>
      <c r="DS236">
        <v>-1454681</v>
      </c>
      <c r="DT236">
        <v>124100943</v>
      </c>
      <c r="DU236">
        <v>0</v>
      </c>
      <c r="DV236" s="661">
        <v>124100943</v>
      </c>
      <c r="DW236" t="s">
        <v>1887</v>
      </c>
    </row>
    <row r="237" spans="1:127" ht="12.75" x14ac:dyDescent="0.2">
      <c r="A237" s="605">
        <v>230</v>
      </c>
      <c r="B237" s="606" t="s">
        <v>1130</v>
      </c>
      <c r="C237" s="607" t="s">
        <v>1185</v>
      </c>
      <c r="D237" s="608" t="s">
        <v>1194</v>
      </c>
      <c r="E237" s="609" t="s">
        <v>1129</v>
      </c>
      <c r="G237">
        <v>151372701</v>
      </c>
      <c r="H237">
        <v>0</v>
      </c>
      <c r="I237">
        <v>151372701</v>
      </c>
      <c r="J237">
        <v>49.9</v>
      </c>
      <c r="K237">
        <v>75534978</v>
      </c>
      <c r="L237">
        <v>0</v>
      </c>
      <c r="M237">
        <v>500000</v>
      </c>
      <c r="N237">
        <v>0</v>
      </c>
      <c r="O237">
        <v>76034978</v>
      </c>
      <c r="P237">
        <v>0</v>
      </c>
      <c r="Q237">
        <v>76034978</v>
      </c>
      <c r="R237">
        <v>-466020</v>
      </c>
      <c r="S237">
        <v>0</v>
      </c>
      <c r="T237">
        <v>-466020</v>
      </c>
      <c r="U237">
        <v>749505</v>
      </c>
      <c r="V237">
        <v>0</v>
      </c>
      <c r="W237">
        <v>749505</v>
      </c>
      <c r="X237">
        <v>283485</v>
      </c>
      <c r="Y237">
        <v>0</v>
      </c>
      <c r="Z237">
        <v>0</v>
      </c>
      <c r="AA237">
        <v>0</v>
      </c>
      <c r="AB237">
        <v>283485</v>
      </c>
      <c r="AC237">
        <v>0</v>
      </c>
      <c r="AD237">
        <v>283485</v>
      </c>
      <c r="AE237">
        <v>-283485</v>
      </c>
      <c r="AF237">
        <v>0</v>
      </c>
      <c r="AG237">
        <v>-283485</v>
      </c>
      <c r="AH237">
        <v>-7362049</v>
      </c>
      <c r="AI237">
        <v>0</v>
      </c>
      <c r="AJ237">
        <v>-7362049</v>
      </c>
      <c r="AK237">
        <v>-47505</v>
      </c>
      <c r="AL237">
        <v>0</v>
      </c>
      <c r="AM237">
        <v>-47505</v>
      </c>
      <c r="AN237">
        <v>1358473</v>
      </c>
      <c r="AO237">
        <v>0</v>
      </c>
      <c r="AP237">
        <v>1358473</v>
      </c>
      <c r="AQ237">
        <v>-6003576</v>
      </c>
      <c r="AR237">
        <v>0</v>
      </c>
      <c r="AS237">
        <v>-6003576</v>
      </c>
      <c r="AT237">
        <v>-5407938</v>
      </c>
      <c r="AU237">
        <v>0</v>
      </c>
      <c r="AV237">
        <v>-5407938</v>
      </c>
      <c r="AW237">
        <v>-64485</v>
      </c>
      <c r="AX237">
        <v>0</v>
      </c>
      <c r="AY237">
        <v>-64485</v>
      </c>
      <c r="AZ237">
        <v>-63218</v>
      </c>
      <c r="BA237">
        <v>0</v>
      </c>
      <c r="BB237">
        <v>-63218</v>
      </c>
      <c r="BC237">
        <v>0</v>
      </c>
      <c r="BD237">
        <v>0</v>
      </c>
      <c r="BE237">
        <v>0</v>
      </c>
      <c r="BF237">
        <v>-11539217</v>
      </c>
      <c r="BG237">
        <v>0</v>
      </c>
      <c r="BH237">
        <v>0</v>
      </c>
      <c r="BI237">
        <v>0</v>
      </c>
      <c r="BJ237">
        <v>-11539217</v>
      </c>
      <c r="BK237">
        <v>0</v>
      </c>
      <c r="BL237">
        <v>-11539217</v>
      </c>
      <c r="BM237">
        <v>0</v>
      </c>
      <c r="BN237">
        <v>0</v>
      </c>
      <c r="BO237">
        <v>0</v>
      </c>
      <c r="BP237">
        <v>-1167280</v>
      </c>
      <c r="BQ237">
        <v>0</v>
      </c>
      <c r="BR237">
        <v>-1167280</v>
      </c>
      <c r="BS237">
        <v>-1167280</v>
      </c>
      <c r="BT237">
        <v>0</v>
      </c>
      <c r="BU237">
        <v>-803000</v>
      </c>
      <c r="BV237">
        <v>0</v>
      </c>
      <c r="BW237">
        <v>-1970280</v>
      </c>
      <c r="BX237">
        <v>0</v>
      </c>
      <c r="BY237">
        <v>-1970280</v>
      </c>
      <c r="BZ237">
        <v>-409520</v>
      </c>
      <c r="CA237">
        <v>0</v>
      </c>
      <c r="CB237">
        <v>-409520</v>
      </c>
      <c r="CC237">
        <v>-93305</v>
      </c>
      <c r="CD237">
        <v>0</v>
      </c>
      <c r="CE237">
        <v>-93305</v>
      </c>
      <c r="CF237">
        <v>-6598</v>
      </c>
      <c r="CG237">
        <v>0</v>
      </c>
      <c r="CH237">
        <v>-6598</v>
      </c>
      <c r="CI237">
        <v>0</v>
      </c>
      <c r="CJ237">
        <v>0</v>
      </c>
      <c r="CK237">
        <v>0</v>
      </c>
      <c r="CL237">
        <v>-13267</v>
      </c>
      <c r="CM237">
        <v>0</v>
      </c>
      <c r="CN237">
        <v>-13267</v>
      </c>
      <c r="CO237">
        <v>0</v>
      </c>
      <c r="CP237">
        <v>0</v>
      </c>
      <c r="CQ237">
        <v>0</v>
      </c>
      <c r="CR237">
        <v>0</v>
      </c>
      <c r="CS237">
        <v>0</v>
      </c>
      <c r="CT237">
        <v>-522690</v>
      </c>
      <c r="CU237">
        <v>0</v>
      </c>
      <c r="CV237">
        <v>0</v>
      </c>
      <c r="CW237">
        <v>0</v>
      </c>
      <c r="CX237">
        <v>-522690</v>
      </c>
      <c r="CY237">
        <v>0</v>
      </c>
      <c r="CZ237">
        <v>-522690</v>
      </c>
      <c r="DA237">
        <v>-72504</v>
      </c>
      <c r="DB237">
        <v>0</v>
      </c>
      <c r="DC237">
        <v>-72504</v>
      </c>
      <c r="DD237">
        <v>-35790</v>
      </c>
      <c r="DE237">
        <v>0</v>
      </c>
      <c r="DF237">
        <v>-35790</v>
      </c>
      <c r="DG237">
        <v>-12000</v>
      </c>
      <c r="DH237">
        <v>0</v>
      </c>
      <c r="DI237">
        <v>-12000</v>
      </c>
      <c r="DJ237">
        <v>-993373</v>
      </c>
      <c r="DK237">
        <v>0</v>
      </c>
      <c r="DL237">
        <v>-993373</v>
      </c>
      <c r="DM237">
        <v>-1113667</v>
      </c>
      <c r="DN237">
        <v>0</v>
      </c>
      <c r="DO237">
        <v>-662249</v>
      </c>
      <c r="DP237">
        <v>0</v>
      </c>
      <c r="DQ237">
        <v>-1775916</v>
      </c>
      <c r="DR237">
        <v>0</v>
      </c>
      <c r="DS237">
        <v>-1775916</v>
      </c>
      <c r="DT237">
        <v>60510360</v>
      </c>
      <c r="DU237">
        <v>0</v>
      </c>
      <c r="DV237" s="661">
        <v>60510360</v>
      </c>
      <c r="DW237" t="s">
        <v>1888</v>
      </c>
    </row>
    <row r="238" spans="1:127" ht="12.75" x14ac:dyDescent="0.2">
      <c r="A238" s="605">
        <v>231</v>
      </c>
      <c r="B238" s="606" t="s">
        <v>351</v>
      </c>
      <c r="C238" s="607" t="s">
        <v>1185</v>
      </c>
      <c r="D238" s="608" t="s">
        <v>1189</v>
      </c>
      <c r="E238" s="609" t="s">
        <v>350</v>
      </c>
      <c r="G238">
        <v>218208416</v>
      </c>
      <c r="H238">
        <v>2204500</v>
      </c>
      <c r="I238">
        <v>220412916</v>
      </c>
      <c r="J238">
        <v>49.9</v>
      </c>
      <c r="K238">
        <v>108886000</v>
      </c>
      <c r="L238">
        <v>1100046</v>
      </c>
      <c r="M238">
        <v>2024936</v>
      </c>
      <c r="N238">
        <v>0</v>
      </c>
      <c r="O238">
        <v>110910936</v>
      </c>
      <c r="P238">
        <v>1100046</v>
      </c>
      <c r="Q238">
        <v>112010982</v>
      </c>
      <c r="R238">
        <v>-266901</v>
      </c>
      <c r="S238">
        <v>0</v>
      </c>
      <c r="T238">
        <v>-266901</v>
      </c>
      <c r="U238">
        <v>236116</v>
      </c>
      <c r="V238">
        <v>0</v>
      </c>
      <c r="W238">
        <v>236116</v>
      </c>
      <c r="X238">
        <v>-30785</v>
      </c>
      <c r="Y238">
        <v>0</v>
      </c>
      <c r="Z238">
        <v>0</v>
      </c>
      <c r="AA238">
        <v>0</v>
      </c>
      <c r="AB238">
        <v>-30785</v>
      </c>
      <c r="AC238">
        <v>0</v>
      </c>
      <c r="AD238">
        <v>-30785</v>
      </c>
      <c r="AE238">
        <v>30785</v>
      </c>
      <c r="AF238">
        <v>0</v>
      </c>
      <c r="AG238">
        <v>30785</v>
      </c>
      <c r="AH238">
        <v>-4991187</v>
      </c>
      <c r="AI238">
        <v>0</v>
      </c>
      <c r="AJ238">
        <v>-4991187</v>
      </c>
      <c r="AK238">
        <v>-25574</v>
      </c>
      <c r="AL238">
        <v>0</v>
      </c>
      <c r="AM238">
        <v>-25574</v>
      </c>
      <c r="AN238">
        <v>2219409</v>
      </c>
      <c r="AO238">
        <v>28659</v>
      </c>
      <c r="AP238">
        <v>2248068</v>
      </c>
      <c r="AQ238">
        <v>-2771778</v>
      </c>
      <c r="AR238">
        <v>28659</v>
      </c>
      <c r="AS238">
        <v>-2743119</v>
      </c>
      <c r="AT238">
        <v>-10778462</v>
      </c>
      <c r="AU238">
        <v>0</v>
      </c>
      <c r="AV238">
        <v>-10778462</v>
      </c>
      <c r="AW238">
        <v>-26395</v>
      </c>
      <c r="AX238">
        <v>0</v>
      </c>
      <c r="AY238">
        <v>-26395</v>
      </c>
      <c r="AZ238">
        <v>-45376</v>
      </c>
      <c r="BA238">
        <v>0</v>
      </c>
      <c r="BB238">
        <v>-45376</v>
      </c>
      <c r="BC238">
        <v>0</v>
      </c>
      <c r="BD238">
        <v>0</v>
      </c>
      <c r="BE238">
        <v>0</v>
      </c>
      <c r="BF238">
        <v>-13622011</v>
      </c>
      <c r="BG238">
        <v>28659</v>
      </c>
      <c r="BH238">
        <v>-43710</v>
      </c>
      <c r="BI238">
        <v>0</v>
      </c>
      <c r="BJ238">
        <v>-13665721</v>
      </c>
      <c r="BK238">
        <v>28659</v>
      </c>
      <c r="BL238">
        <v>-13637062</v>
      </c>
      <c r="BM238">
        <v>0</v>
      </c>
      <c r="BN238">
        <v>0</v>
      </c>
      <c r="BO238">
        <v>0</v>
      </c>
      <c r="BP238">
        <v>-1070772</v>
      </c>
      <c r="BQ238">
        <v>0</v>
      </c>
      <c r="BR238">
        <v>-1070772</v>
      </c>
      <c r="BS238">
        <v>-1070772</v>
      </c>
      <c r="BT238">
        <v>0</v>
      </c>
      <c r="BU238">
        <v>0</v>
      </c>
      <c r="BV238">
        <v>0</v>
      </c>
      <c r="BW238">
        <v>-1070772</v>
      </c>
      <c r="BX238">
        <v>0</v>
      </c>
      <c r="BY238">
        <v>-1070772</v>
      </c>
      <c r="BZ238">
        <v>-136894</v>
      </c>
      <c r="CA238">
        <v>0</v>
      </c>
      <c r="CB238">
        <v>-136894</v>
      </c>
      <c r="CC238">
        <v>-66599</v>
      </c>
      <c r="CD238">
        <v>0</v>
      </c>
      <c r="CE238">
        <v>-66599</v>
      </c>
      <c r="CF238">
        <v>0</v>
      </c>
      <c r="CG238">
        <v>0</v>
      </c>
      <c r="CH238">
        <v>0</v>
      </c>
      <c r="CI238">
        <v>0</v>
      </c>
      <c r="CJ238">
        <v>0</v>
      </c>
      <c r="CK238">
        <v>0</v>
      </c>
      <c r="CL238">
        <v>-56935</v>
      </c>
      <c r="CM238">
        <v>0</v>
      </c>
      <c r="CN238">
        <v>-56935</v>
      </c>
      <c r="CO238">
        <v>0</v>
      </c>
      <c r="CP238">
        <v>-172760</v>
      </c>
      <c r="CQ238">
        <v>-172760</v>
      </c>
      <c r="CR238">
        <v>-172760</v>
      </c>
      <c r="CS238">
        <v>0</v>
      </c>
      <c r="CT238">
        <v>-260428</v>
      </c>
      <c r="CU238">
        <v>-172760</v>
      </c>
      <c r="CV238">
        <v>0</v>
      </c>
      <c r="CW238">
        <v>0</v>
      </c>
      <c r="CX238">
        <v>-260428</v>
      </c>
      <c r="CY238">
        <v>-172760</v>
      </c>
      <c r="CZ238">
        <v>-433188</v>
      </c>
      <c r="DA238">
        <v>-45376</v>
      </c>
      <c r="DB238">
        <v>0</v>
      </c>
      <c r="DC238">
        <v>-45376</v>
      </c>
      <c r="DD238">
        <v>-42457</v>
      </c>
      <c r="DE238">
        <v>0</v>
      </c>
      <c r="DF238">
        <v>-42457</v>
      </c>
      <c r="DG238">
        <v>-14000</v>
      </c>
      <c r="DH238">
        <v>0</v>
      </c>
      <c r="DI238">
        <v>-14000</v>
      </c>
      <c r="DJ238">
        <v>-788772</v>
      </c>
      <c r="DK238">
        <v>0</v>
      </c>
      <c r="DL238">
        <v>-788772</v>
      </c>
      <c r="DM238">
        <v>-890605</v>
      </c>
      <c r="DN238">
        <v>0</v>
      </c>
      <c r="DO238">
        <v>0</v>
      </c>
      <c r="DP238">
        <v>0</v>
      </c>
      <c r="DQ238">
        <v>-890605</v>
      </c>
      <c r="DR238">
        <v>0</v>
      </c>
      <c r="DS238">
        <v>-890605</v>
      </c>
      <c r="DT238">
        <v>94992625</v>
      </c>
      <c r="DU238">
        <v>955945</v>
      </c>
      <c r="DV238" s="661">
        <v>95948570</v>
      </c>
      <c r="DW238" t="s">
        <v>1889</v>
      </c>
    </row>
    <row r="239" spans="1:127" ht="12.75" x14ac:dyDescent="0.2">
      <c r="A239" s="605">
        <v>232</v>
      </c>
      <c r="B239" s="606" t="s">
        <v>353</v>
      </c>
      <c r="C239" s="607" t="s">
        <v>1185</v>
      </c>
      <c r="D239" s="608" t="s">
        <v>1188</v>
      </c>
      <c r="E239" s="609" t="s">
        <v>352</v>
      </c>
      <c r="G239">
        <v>67349356</v>
      </c>
      <c r="H239">
        <v>0</v>
      </c>
      <c r="I239">
        <v>67349356</v>
      </c>
      <c r="J239">
        <v>49.9</v>
      </c>
      <c r="K239">
        <v>33607329</v>
      </c>
      <c r="L239">
        <v>0</v>
      </c>
      <c r="M239">
        <v>0</v>
      </c>
      <c r="N239">
        <v>0</v>
      </c>
      <c r="O239">
        <v>33607329</v>
      </c>
      <c r="P239">
        <v>0</v>
      </c>
      <c r="Q239">
        <v>33607329</v>
      </c>
      <c r="R239">
        <v>-469418</v>
      </c>
      <c r="S239">
        <v>0</v>
      </c>
      <c r="T239">
        <v>-469418</v>
      </c>
      <c r="U239">
        <v>13392</v>
      </c>
      <c r="V239">
        <v>0</v>
      </c>
      <c r="W239">
        <v>13392</v>
      </c>
      <c r="X239">
        <v>-456026</v>
      </c>
      <c r="Y239">
        <v>0</v>
      </c>
      <c r="Z239">
        <v>0</v>
      </c>
      <c r="AA239">
        <v>0</v>
      </c>
      <c r="AB239">
        <v>-456026</v>
      </c>
      <c r="AC239">
        <v>0</v>
      </c>
      <c r="AD239">
        <v>-456026</v>
      </c>
      <c r="AE239">
        <v>456026</v>
      </c>
      <c r="AF239">
        <v>0</v>
      </c>
      <c r="AG239">
        <v>456026</v>
      </c>
      <c r="AH239">
        <v>-2786101</v>
      </c>
      <c r="AI239">
        <v>0</v>
      </c>
      <c r="AJ239">
        <v>-2786101</v>
      </c>
      <c r="AK239">
        <v>-2470</v>
      </c>
      <c r="AL239">
        <v>0</v>
      </c>
      <c r="AM239">
        <v>-2470</v>
      </c>
      <c r="AN239">
        <v>632891</v>
      </c>
      <c r="AO239">
        <v>0</v>
      </c>
      <c r="AP239">
        <v>632891</v>
      </c>
      <c r="AQ239">
        <v>-2153210</v>
      </c>
      <c r="AR239">
        <v>0</v>
      </c>
      <c r="AS239">
        <v>-2153210</v>
      </c>
      <c r="AT239">
        <v>-1643247</v>
      </c>
      <c r="AU239">
        <v>0</v>
      </c>
      <c r="AV239">
        <v>-1643247</v>
      </c>
      <c r="AW239">
        <v>-33351</v>
      </c>
      <c r="AX239">
        <v>0</v>
      </c>
      <c r="AY239">
        <v>-33351</v>
      </c>
      <c r="AZ239">
        <v>-28714</v>
      </c>
      <c r="BA239">
        <v>0</v>
      </c>
      <c r="BB239">
        <v>-28714</v>
      </c>
      <c r="BC239">
        <v>0</v>
      </c>
      <c r="BD239">
        <v>0</v>
      </c>
      <c r="BE239">
        <v>0</v>
      </c>
      <c r="BF239">
        <v>-3858522</v>
      </c>
      <c r="BG239">
        <v>0</v>
      </c>
      <c r="BH239">
        <v>-48000</v>
      </c>
      <c r="BI239">
        <v>0</v>
      </c>
      <c r="BJ239">
        <v>-3906522</v>
      </c>
      <c r="BK239">
        <v>0</v>
      </c>
      <c r="BL239">
        <v>-3906522</v>
      </c>
      <c r="BM239">
        <v>-310000</v>
      </c>
      <c r="BN239">
        <v>0</v>
      </c>
      <c r="BO239">
        <v>-310000</v>
      </c>
      <c r="BP239">
        <v>-447855</v>
      </c>
      <c r="BQ239">
        <v>0</v>
      </c>
      <c r="BR239">
        <v>-447855</v>
      </c>
      <c r="BS239">
        <v>-757855</v>
      </c>
      <c r="BT239">
        <v>0</v>
      </c>
      <c r="BU239">
        <v>0</v>
      </c>
      <c r="BV239">
        <v>0</v>
      </c>
      <c r="BW239">
        <v>-757855</v>
      </c>
      <c r="BX239">
        <v>0</v>
      </c>
      <c r="BY239">
        <v>-757855</v>
      </c>
      <c r="BZ239">
        <v>-50726</v>
      </c>
      <c r="CA239">
        <v>0</v>
      </c>
      <c r="CB239">
        <v>-50726</v>
      </c>
      <c r="CC239">
        <v>-26197</v>
      </c>
      <c r="CD239">
        <v>0</v>
      </c>
      <c r="CE239">
        <v>-26197</v>
      </c>
      <c r="CF239">
        <v>0</v>
      </c>
      <c r="CG239">
        <v>0</v>
      </c>
      <c r="CH239">
        <v>0</v>
      </c>
      <c r="CI239">
        <v>0</v>
      </c>
      <c r="CJ239">
        <v>0</v>
      </c>
      <c r="CK239">
        <v>0</v>
      </c>
      <c r="CL239">
        <v>0</v>
      </c>
      <c r="CM239">
        <v>0</v>
      </c>
      <c r="CN239">
        <v>0</v>
      </c>
      <c r="CO239">
        <v>0</v>
      </c>
      <c r="CP239">
        <v>0</v>
      </c>
      <c r="CQ239">
        <v>0</v>
      </c>
      <c r="CR239">
        <v>0</v>
      </c>
      <c r="CS239">
        <v>0</v>
      </c>
      <c r="CT239">
        <v>-76923</v>
      </c>
      <c r="CU239">
        <v>0</v>
      </c>
      <c r="CV239">
        <v>0</v>
      </c>
      <c r="CW239">
        <v>0</v>
      </c>
      <c r="CX239">
        <v>-76923</v>
      </c>
      <c r="CY239">
        <v>0</v>
      </c>
      <c r="CZ239">
        <v>-76923</v>
      </c>
      <c r="DA239">
        <v>-28714</v>
      </c>
      <c r="DB239">
        <v>0</v>
      </c>
      <c r="DC239">
        <v>-28714</v>
      </c>
      <c r="DD239">
        <v>-30711</v>
      </c>
      <c r="DE239">
        <v>0</v>
      </c>
      <c r="DF239">
        <v>-30711</v>
      </c>
      <c r="DG239">
        <v>-5700</v>
      </c>
      <c r="DH239">
        <v>0</v>
      </c>
      <c r="DI239">
        <v>-5700</v>
      </c>
      <c r="DJ239">
        <v>-388280</v>
      </c>
      <c r="DK239">
        <v>0</v>
      </c>
      <c r="DL239">
        <v>-388280</v>
      </c>
      <c r="DM239">
        <v>-453405</v>
      </c>
      <c r="DN239">
        <v>0</v>
      </c>
      <c r="DO239">
        <v>-200023</v>
      </c>
      <c r="DP239">
        <v>0</v>
      </c>
      <c r="DQ239">
        <v>-653428</v>
      </c>
      <c r="DR239">
        <v>0</v>
      </c>
      <c r="DS239">
        <v>-653428</v>
      </c>
      <c r="DT239">
        <v>27756575</v>
      </c>
      <c r="DU239">
        <v>0</v>
      </c>
      <c r="DV239" s="661">
        <v>27756575</v>
      </c>
      <c r="DW239" t="s">
        <v>1890</v>
      </c>
    </row>
    <row r="240" spans="1:127" ht="12.75" x14ac:dyDescent="0.2">
      <c r="A240" s="605">
        <v>233</v>
      </c>
      <c r="B240" s="606" t="s">
        <v>355</v>
      </c>
      <c r="C240" s="607" t="s">
        <v>524</v>
      </c>
      <c r="D240" s="608" t="s">
        <v>1194</v>
      </c>
      <c r="E240" s="609" t="s">
        <v>527</v>
      </c>
      <c r="G240">
        <v>316811709</v>
      </c>
      <c r="H240">
        <v>37123525</v>
      </c>
      <c r="I240">
        <v>353935234</v>
      </c>
      <c r="J240">
        <v>49.9</v>
      </c>
      <c r="K240">
        <v>158089043</v>
      </c>
      <c r="L240">
        <v>18524639</v>
      </c>
      <c r="M240">
        <v>461214</v>
      </c>
      <c r="N240">
        <v>278934</v>
      </c>
      <c r="O240">
        <v>158550257</v>
      </c>
      <c r="P240">
        <v>18803573</v>
      </c>
      <c r="Q240">
        <v>177353830</v>
      </c>
      <c r="R240">
        <v>-257114</v>
      </c>
      <c r="S240">
        <v>-640</v>
      </c>
      <c r="T240">
        <v>-257754</v>
      </c>
      <c r="U240">
        <v>1523143</v>
      </c>
      <c r="V240">
        <v>14249</v>
      </c>
      <c r="W240">
        <v>1537392</v>
      </c>
      <c r="X240">
        <v>1266029</v>
      </c>
      <c r="Y240">
        <v>13609</v>
      </c>
      <c r="Z240">
        <v>0</v>
      </c>
      <c r="AA240">
        <v>0</v>
      </c>
      <c r="AB240">
        <v>1266029</v>
      </c>
      <c r="AC240">
        <v>13609</v>
      </c>
      <c r="AD240">
        <v>1279638</v>
      </c>
      <c r="AE240">
        <v>-1266029</v>
      </c>
      <c r="AF240">
        <v>-13609</v>
      </c>
      <c r="AG240">
        <v>-1279638</v>
      </c>
      <c r="AH240">
        <v>-8045438</v>
      </c>
      <c r="AI240">
        <v>-14910</v>
      </c>
      <c r="AJ240">
        <v>-8060348</v>
      </c>
      <c r="AK240">
        <v>-15964</v>
      </c>
      <c r="AL240">
        <v>0</v>
      </c>
      <c r="AM240">
        <v>-15964</v>
      </c>
      <c r="AN240">
        <v>3366797</v>
      </c>
      <c r="AO240">
        <v>475355</v>
      </c>
      <c r="AP240">
        <v>3842152</v>
      </c>
      <c r="AQ240">
        <v>-4678641</v>
      </c>
      <c r="AR240">
        <v>460445</v>
      </c>
      <c r="AS240">
        <v>-4218196</v>
      </c>
      <c r="AT240">
        <v>-10023759</v>
      </c>
      <c r="AU240">
        <v>-114688</v>
      </c>
      <c r="AV240">
        <v>-10138447</v>
      </c>
      <c r="AW240">
        <v>-85391</v>
      </c>
      <c r="AX240">
        <v>0</v>
      </c>
      <c r="AY240">
        <v>-85391</v>
      </c>
      <c r="AZ240">
        <v>-20211</v>
      </c>
      <c r="BA240">
        <v>0</v>
      </c>
      <c r="BB240">
        <v>-20211</v>
      </c>
      <c r="BC240">
        <v>0</v>
      </c>
      <c r="BD240">
        <v>0</v>
      </c>
      <c r="BE240">
        <v>0</v>
      </c>
      <c r="BF240">
        <v>-14808002</v>
      </c>
      <c r="BG240">
        <v>345757</v>
      </c>
      <c r="BH240">
        <v>0</v>
      </c>
      <c r="BI240">
        <v>0</v>
      </c>
      <c r="BJ240">
        <v>-14808002</v>
      </c>
      <c r="BK240">
        <v>345757</v>
      </c>
      <c r="BL240">
        <v>-14462245</v>
      </c>
      <c r="BM240">
        <v>-199184</v>
      </c>
      <c r="BN240">
        <v>0</v>
      </c>
      <c r="BO240">
        <v>-199184</v>
      </c>
      <c r="BP240">
        <v>-4591499</v>
      </c>
      <c r="BQ240">
        <v>-120577</v>
      </c>
      <c r="BR240">
        <v>-4712076</v>
      </c>
      <c r="BS240">
        <v>-4790683</v>
      </c>
      <c r="BT240">
        <v>-120577</v>
      </c>
      <c r="BU240">
        <v>-3721339</v>
      </c>
      <c r="BV240">
        <v>-83619</v>
      </c>
      <c r="BW240">
        <v>-8512022</v>
      </c>
      <c r="BX240">
        <v>-204196</v>
      </c>
      <c r="BY240">
        <v>-8716218</v>
      </c>
      <c r="BZ240">
        <v>-89483</v>
      </c>
      <c r="CA240">
        <v>0</v>
      </c>
      <c r="CB240">
        <v>-89483</v>
      </c>
      <c r="CC240">
        <v>-20391</v>
      </c>
      <c r="CD240">
        <v>0</v>
      </c>
      <c r="CE240">
        <v>-20391</v>
      </c>
      <c r="CF240">
        <v>0</v>
      </c>
      <c r="CG240">
        <v>0</v>
      </c>
      <c r="CH240">
        <v>0</v>
      </c>
      <c r="CI240">
        <v>-19265</v>
      </c>
      <c r="CJ240">
        <v>0</v>
      </c>
      <c r="CK240">
        <v>-19265</v>
      </c>
      <c r="CL240">
        <v>0</v>
      </c>
      <c r="CM240">
        <v>0</v>
      </c>
      <c r="CN240">
        <v>0</v>
      </c>
      <c r="CO240">
        <v>-50474</v>
      </c>
      <c r="CP240">
        <v>-5081</v>
      </c>
      <c r="CQ240">
        <v>-55555</v>
      </c>
      <c r="CR240">
        <v>0</v>
      </c>
      <c r="CS240">
        <v>0</v>
      </c>
      <c r="CT240">
        <v>-179613</v>
      </c>
      <c r="CU240">
        <v>-5081</v>
      </c>
      <c r="CV240">
        <v>0</v>
      </c>
      <c r="CW240">
        <v>0</v>
      </c>
      <c r="CX240">
        <v>-179613</v>
      </c>
      <c r="CY240">
        <v>-5081</v>
      </c>
      <c r="CZ240">
        <v>-184694</v>
      </c>
      <c r="DA240">
        <v>-18547</v>
      </c>
      <c r="DB240">
        <v>0</v>
      </c>
      <c r="DC240">
        <v>-18547</v>
      </c>
      <c r="DD240">
        <v>-21032</v>
      </c>
      <c r="DE240">
        <v>0</v>
      </c>
      <c r="DF240">
        <v>-21032</v>
      </c>
      <c r="DG240">
        <v>-12501</v>
      </c>
      <c r="DH240">
        <v>0</v>
      </c>
      <c r="DI240">
        <v>-12501</v>
      </c>
      <c r="DJ240">
        <v>-974116</v>
      </c>
      <c r="DK240">
        <v>-8109</v>
      </c>
      <c r="DL240">
        <v>-982225</v>
      </c>
      <c r="DM240">
        <v>-1026196</v>
      </c>
      <c r="DN240">
        <v>-8109</v>
      </c>
      <c r="DO240">
        <v>0</v>
      </c>
      <c r="DP240">
        <v>0</v>
      </c>
      <c r="DQ240">
        <v>-1026196</v>
      </c>
      <c r="DR240">
        <v>-8109</v>
      </c>
      <c r="DS240">
        <v>-1034305</v>
      </c>
      <c r="DT240">
        <v>135290453</v>
      </c>
      <c r="DU240">
        <v>18945553</v>
      </c>
      <c r="DV240" s="661">
        <v>154236006</v>
      </c>
      <c r="DW240" t="s">
        <v>1891</v>
      </c>
    </row>
    <row r="241" spans="1:127" ht="12.75" x14ac:dyDescent="0.2">
      <c r="A241" s="605">
        <v>234</v>
      </c>
      <c r="B241" s="606" t="s">
        <v>357</v>
      </c>
      <c r="C241" s="607" t="s">
        <v>1185</v>
      </c>
      <c r="D241" s="608" t="s">
        <v>1194</v>
      </c>
      <c r="E241" s="609" t="s">
        <v>356</v>
      </c>
      <c r="G241">
        <v>87733225</v>
      </c>
      <c r="H241">
        <v>0</v>
      </c>
      <c r="I241">
        <v>87733225</v>
      </c>
      <c r="J241">
        <v>49.9</v>
      </c>
      <c r="K241">
        <v>43778879</v>
      </c>
      <c r="L241">
        <v>0</v>
      </c>
      <c r="M241">
        <v>0</v>
      </c>
      <c r="N241">
        <v>0</v>
      </c>
      <c r="O241">
        <v>43778879</v>
      </c>
      <c r="P241">
        <v>0</v>
      </c>
      <c r="Q241">
        <v>43778879</v>
      </c>
      <c r="R241">
        <v>-404018</v>
      </c>
      <c r="S241">
        <v>0</v>
      </c>
      <c r="T241">
        <v>-404018</v>
      </c>
      <c r="U241">
        <v>112466</v>
      </c>
      <c r="V241">
        <v>0</v>
      </c>
      <c r="W241">
        <v>112466</v>
      </c>
      <c r="X241">
        <v>-291552</v>
      </c>
      <c r="Y241">
        <v>0</v>
      </c>
      <c r="Z241">
        <v>0</v>
      </c>
      <c r="AA241">
        <v>0</v>
      </c>
      <c r="AB241">
        <v>-291552</v>
      </c>
      <c r="AC241">
        <v>0</v>
      </c>
      <c r="AD241">
        <v>-291552</v>
      </c>
      <c r="AE241">
        <v>291552</v>
      </c>
      <c r="AF241">
        <v>0</v>
      </c>
      <c r="AG241">
        <v>291552</v>
      </c>
      <c r="AH241">
        <v>-8711725</v>
      </c>
      <c r="AI241">
        <v>0</v>
      </c>
      <c r="AJ241">
        <v>-8711725</v>
      </c>
      <c r="AK241">
        <v>0</v>
      </c>
      <c r="AL241">
        <v>0</v>
      </c>
      <c r="AM241">
        <v>0</v>
      </c>
      <c r="AN241">
        <v>585106</v>
      </c>
      <c r="AO241">
        <v>0</v>
      </c>
      <c r="AP241">
        <v>585106</v>
      </c>
      <c r="AQ241">
        <v>-8126619</v>
      </c>
      <c r="AR241">
        <v>0</v>
      </c>
      <c r="AS241">
        <v>-8126619</v>
      </c>
      <c r="AT241">
        <v>-2957673</v>
      </c>
      <c r="AU241">
        <v>0</v>
      </c>
      <c r="AV241">
        <v>-2957673</v>
      </c>
      <c r="AW241">
        <v>-132101</v>
      </c>
      <c r="AX241">
        <v>0</v>
      </c>
      <c r="AY241">
        <v>-132101</v>
      </c>
      <c r="AZ241">
        <v>-39264</v>
      </c>
      <c r="BA241">
        <v>0</v>
      </c>
      <c r="BB241">
        <v>-39264</v>
      </c>
      <c r="BC241">
        <v>0</v>
      </c>
      <c r="BD241">
        <v>0</v>
      </c>
      <c r="BE241">
        <v>0</v>
      </c>
      <c r="BF241">
        <v>-11255657</v>
      </c>
      <c r="BG241">
        <v>0</v>
      </c>
      <c r="BH241">
        <v>0</v>
      </c>
      <c r="BI241">
        <v>0</v>
      </c>
      <c r="BJ241">
        <v>-11255657</v>
      </c>
      <c r="BK241">
        <v>0</v>
      </c>
      <c r="BL241">
        <v>-11255657</v>
      </c>
      <c r="BM241">
        <v>-100000</v>
      </c>
      <c r="BN241">
        <v>0</v>
      </c>
      <c r="BO241">
        <v>-100000</v>
      </c>
      <c r="BP241">
        <v>-859931</v>
      </c>
      <c r="BQ241">
        <v>0</v>
      </c>
      <c r="BR241">
        <v>-859931</v>
      </c>
      <c r="BS241">
        <v>-959931</v>
      </c>
      <c r="BT241">
        <v>0</v>
      </c>
      <c r="BU241">
        <v>0</v>
      </c>
      <c r="BV241">
        <v>0</v>
      </c>
      <c r="BW241">
        <v>-959931</v>
      </c>
      <c r="BX241">
        <v>0</v>
      </c>
      <c r="BY241">
        <v>-959931</v>
      </c>
      <c r="BZ241">
        <v>-132851</v>
      </c>
      <c r="CA241">
        <v>0</v>
      </c>
      <c r="CB241">
        <v>-132851</v>
      </c>
      <c r="CC241">
        <v>-21874</v>
      </c>
      <c r="CD241">
        <v>0</v>
      </c>
      <c r="CE241">
        <v>-21874</v>
      </c>
      <c r="CF241">
        <v>-3154</v>
      </c>
      <c r="CG241">
        <v>0</v>
      </c>
      <c r="CH241">
        <v>-3154</v>
      </c>
      <c r="CI241">
        <v>0</v>
      </c>
      <c r="CJ241">
        <v>0</v>
      </c>
      <c r="CK241">
        <v>0</v>
      </c>
      <c r="CL241">
        <v>0</v>
      </c>
      <c r="CM241">
        <v>0</v>
      </c>
      <c r="CN241">
        <v>0</v>
      </c>
      <c r="CO241">
        <v>0</v>
      </c>
      <c r="CP241">
        <v>0</v>
      </c>
      <c r="CQ241">
        <v>0</v>
      </c>
      <c r="CR241">
        <v>0</v>
      </c>
      <c r="CS241">
        <v>0</v>
      </c>
      <c r="CT241">
        <v>-157879</v>
      </c>
      <c r="CU241">
        <v>0</v>
      </c>
      <c r="CV241">
        <v>0</v>
      </c>
      <c r="CW241">
        <v>0</v>
      </c>
      <c r="CX241">
        <v>-157879</v>
      </c>
      <c r="CY241">
        <v>0</v>
      </c>
      <c r="CZ241">
        <v>-157879</v>
      </c>
      <c r="DA241">
        <v>-39264</v>
      </c>
      <c r="DB241">
        <v>0</v>
      </c>
      <c r="DC241">
        <v>-39264</v>
      </c>
      <c r="DD241">
        <v>-30017</v>
      </c>
      <c r="DE241">
        <v>0</v>
      </c>
      <c r="DF241">
        <v>-30017</v>
      </c>
      <c r="DG241">
        <v>-8768</v>
      </c>
      <c r="DH241">
        <v>0</v>
      </c>
      <c r="DI241">
        <v>-8768</v>
      </c>
      <c r="DJ241">
        <v>-1165293</v>
      </c>
      <c r="DK241">
        <v>0</v>
      </c>
      <c r="DL241">
        <v>-1165293</v>
      </c>
      <c r="DM241">
        <v>-1243342</v>
      </c>
      <c r="DN241">
        <v>0</v>
      </c>
      <c r="DO241">
        <v>0</v>
      </c>
      <c r="DP241">
        <v>0</v>
      </c>
      <c r="DQ241">
        <v>-1243342</v>
      </c>
      <c r="DR241">
        <v>0</v>
      </c>
      <c r="DS241">
        <v>-1243342</v>
      </c>
      <c r="DT241">
        <v>29870518</v>
      </c>
      <c r="DU241">
        <v>0</v>
      </c>
      <c r="DV241" s="661">
        <v>29870518</v>
      </c>
      <c r="DW241" t="s">
        <v>1892</v>
      </c>
    </row>
    <row r="242" spans="1:127" ht="12.75" x14ac:dyDescent="0.2">
      <c r="A242" s="605">
        <v>235</v>
      </c>
      <c r="B242" s="606" t="s">
        <v>359</v>
      </c>
      <c r="C242" s="607" t="s">
        <v>1185</v>
      </c>
      <c r="D242" s="608" t="s">
        <v>1188</v>
      </c>
      <c r="E242" s="609" t="s">
        <v>358</v>
      </c>
      <c r="G242">
        <v>60264220</v>
      </c>
      <c r="H242">
        <v>0</v>
      </c>
      <c r="I242">
        <v>60264220</v>
      </c>
      <c r="J242">
        <v>49.9</v>
      </c>
      <c r="K242">
        <v>30071846</v>
      </c>
      <c r="L242">
        <v>0</v>
      </c>
      <c r="M242">
        <v>158257</v>
      </c>
      <c r="N242">
        <v>0</v>
      </c>
      <c r="O242">
        <v>30230103</v>
      </c>
      <c r="P242">
        <v>0</v>
      </c>
      <c r="Q242">
        <v>30230103</v>
      </c>
      <c r="R242">
        <v>-264336</v>
      </c>
      <c r="S242">
        <v>0</v>
      </c>
      <c r="T242">
        <v>-264336</v>
      </c>
      <c r="U242">
        <v>2447287</v>
      </c>
      <c r="V242">
        <v>0</v>
      </c>
      <c r="W242">
        <v>2447287</v>
      </c>
      <c r="X242">
        <v>2182951</v>
      </c>
      <c r="Y242">
        <v>0</v>
      </c>
      <c r="Z242">
        <v>0</v>
      </c>
      <c r="AA242">
        <v>0</v>
      </c>
      <c r="AB242">
        <v>2182951</v>
      </c>
      <c r="AC242">
        <v>0</v>
      </c>
      <c r="AD242">
        <v>2182951</v>
      </c>
      <c r="AE242">
        <v>-2182951</v>
      </c>
      <c r="AF242">
        <v>0</v>
      </c>
      <c r="AG242">
        <v>-2182951</v>
      </c>
      <c r="AH242">
        <v>-2935731</v>
      </c>
      <c r="AI242">
        <v>0</v>
      </c>
      <c r="AJ242">
        <v>-2935731</v>
      </c>
      <c r="AK242">
        <v>0</v>
      </c>
      <c r="AL242">
        <v>0</v>
      </c>
      <c r="AM242">
        <v>0</v>
      </c>
      <c r="AN242">
        <v>511708</v>
      </c>
      <c r="AO242">
        <v>0</v>
      </c>
      <c r="AP242">
        <v>511708</v>
      </c>
      <c r="AQ242">
        <v>-2424023</v>
      </c>
      <c r="AR242">
        <v>0</v>
      </c>
      <c r="AS242">
        <v>-2424023</v>
      </c>
      <c r="AT242">
        <v>-1350189</v>
      </c>
      <c r="AU242">
        <v>0</v>
      </c>
      <c r="AV242">
        <v>-1350189</v>
      </c>
      <c r="AW242">
        <v>-58394</v>
      </c>
      <c r="AX242">
        <v>0</v>
      </c>
      <c r="AY242">
        <v>-58394</v>
      </c>
      <c r="AZ242">
        <v>-31217</v>
      </c>
      <c r="BA242">
        <v>0</v>
      </c>
      <c r="BB242">
        <v>-31217</v>
      </c>
      <c r="BC242">
        <v>0</v>
      </c>
      <c r="BD242">
        <v>0</v>
      </c>
      <c r="BE242">
        <v>0</v>
      </c>
      <c r="BF242">
        <v>-3863823</v>
      </c>
      <c r="BG242">
        <v>0</v>
      </c>
      <c r="BH242">
        <v>0</v>
      </c>
      <c r="BI242">
        <v>0</v>
      </c>
      <c r="BJ242">
        <v>-3863823</v>
      </c>
      <c r="BK242">
        <v>0</v>
      </c>
      <c r="BL242">
        <v>-3863823</v>
      </c>
      <c r="BM242">
        <v>0</v>
      </c>
      <c r="BN242">
        <v>0</v>
      </c>
      <c r="BO242">
        <v>0</v>
      </c>
      <c r="BP242">
        <v>-114975</v>
      </c>
      <c r="BQ242">
        <v>0</v>
      </c>
      <c r="BR242">
        <v>-114975</v>
      </c>
      <c r="BS242">
        <v>-114975</v>
      </c>
      <c r="BT242">
        <v>0</v>
      </c>
      <c r="BU242">
        <v>-26304</v>
      </c>
      <c r="BV242">
        <v>0</v>
      </c>
      <c r="BW242">
        <v>-141279</v>
      </c>
      <c r="BX242">
        <v>0</v>
      </c>
      <c r="BY242">
        <v>-141279</v>
      </c>
      <c r="BZ242">
        <v>-82622</v>
      </c>
      <c r="CA242">
        <v>0</v>
      </c>
      <c r="CB242">
        <v>-82622</v>
      </c>
      <c r="CC242">
        <v>-130895</v>
      </c>
      <c r="CD242">
        <v>0</v>
      </c>
      <c r="CE242">
        <v>-130895</v>
      </c>
      <c r="CF242">
        <v>-7059</v>
      </c>
      <c r="CG242">
        <v>0</v>
      </c>
      <c r="CH242">
        <v>-7059</v>
      </c>
      <c r="CI242">
        <v>0</v>
      </c>
      <c r="CJ242">
        <v>0</v>
      </c>
      <c r="CK242">
        <v>0</v>
      </c>
      <c r="CL242">
        <v>0</v>
      </c>
      <c r="CM242">
        <v>0</v>
      </c>
      <c r="CN242">
        <v>0</v>
      </c>
      <c r="CO242">
        <v>0</v>
      </c>
      <c r="CP242">
        <v>0</v>
      </c>
      <c r="CQ242">
        <v>0</v>
      </c>
      <c r="CR242">
        <v>0</v>
      </c>
      <c r="CS242">
        <v>0</v>
      </c>
      <c r="CT242">
        <v>-220576</v>
      </c>
      <c r="CU242">
        <v>0</v>
      </c>
      <c r="CV242">
        <v>0</v>
      </c>
      <c r="CW242">
        <v>0</v>
      </c>
      <c r="CX242">
        <v>-220576</v>
      </c>
      <c r="CY242">
        <v>0</v>
      </c>
      <c r="CZ242">
        <v>-220576</v>
      </c>
      <c r="DA242">
        <v>-31217</v>
      </c>
      <c r="DB242">
        <v>0</v>
      </c>
      <c r="DC242">
        <v>-31217</v>
      </c>
      <c r="DD242">
        <v>-30827</v>
      </c>
      <c r="DE242">
        <v>0</v>
      </c>
      <c r="DF242">
        <v>-30827</v>
      </c>
      <c r="DG242">
        <v>-4915</v>
      </c>
      <c r="DH242">
        <v>0</v>
      </c>
      <c r="DI242">
        <v>-4915</v>
      </c>
      <c r="DJ242">
        <v>-483271</v>
      </c>
      <c r="DK242">
        <v>0</v>
      </c>
      <c r="DL242">
        <v>-483271</v>
      </c>
      <c r="DM242">
        <v>-550230</v>
      </c>
      <c r="DN242">
        <v>0</v>
      </c>
      <c r="DO242">
        <v>0</v>
      </c>
      <c r="DP242">
        <v>0</v>
      </c>
      <c r="DQ242">
        <v>-550230</v>
      </c>
      <c r="DR242">
        <v>0</v>
      </c>
      <c r="DS242">
        <v>-550230</v>
      </c>
      <c r="DT242">
        <v>27637146</v>
      </c>
      <c r="DU242">
        <v>0</v>
      </c>
      <c r="DV242" s="661">
        <v>27637146</v>
      </c>
      <c r="DW242" t="s">
        <v>1893</v>
      </c>
    </row>
    <row r="243" spans="1:127" ht="12.75" x14ac:dyDescent="0.2">
      <c r="A243" s="605">
        <v>236</v>
      </c>
      <c r="B243" s="606" t="s">
        <v>361</v>
      </c>
      <c r="C243" s="607" t="s">
        <v>1185</v>
      </c>
      <c r="D243" s="608" t="s">
        <v>1188</v>
      </c>
      <c r="E243" s="609" t="s">
        <v>360</v>
      </c>
      <c r="G243">
        <v>113167838</v>
      </c>
      <c r="H243">
        <v>0</v>
      </c>
      <c r="I243">
        <v>113167838</v>
      </c>
      <c r="J243">
        <v>49.9</v>
      </c>
      <c r="K243">
        <v>56470751</v>
      </c>
      <c r="L243">
        <v>0</v>
      </c>
      <c r="M243">
        <v>-320000</v>
      </c>
      <c r="N243">
        <v>0</v>
      </c>
      <c r="O243">
        <v>56150751</v>
      </c>
      <c r="P243">
        <v>0</v>
      </c>
      <c r="Q243">
        <v>56150751</v>
      </c>
      <c r="R243">
        <v>-315709</v>
      </c>
      <c r="S243">
        <v>0</v>
      </c>
      <c r="T243">
        <v>-315709</v>
      </c>
      <c r="U243">
        <v>143609</v>
      </c>
      <c r="V243">
        <v>0</v>
      </c>
      <c r="W243">
        <v>143609</v>
      </c>
      <c r="X243">
        <v>-172100</v>
      </c>
      <c r="Y243">
        <v>0</v>
      </c>
      <c r="Z243">
        <v>-4770</v>
      </c>
      <c r="AA243">
        <v>0</v>
      </c>
      <c r="AB243">
        <v>-176870</v>
      </c>
      <c r="AC243">
        <v>0</v>
      </c>
      <c r="AD243">
        <v>-176870</v>
      </c>
      <c r="AE243">
        <v>176870</v>
      </c>
      <c r="AF243">
        <v>0</v>
      </c>
      <c r="AG243">
        <v>176870</v>
      </c>
      <c r="AH243">
        <v>-4999762</v>
      </c>
      <c r="AI243">
        <v>0</v>
      </c>
      <c r="AJ243">
        <v>-4999762</v>
      </c>
      <c r="AK243">
        <v>0</v>
      </c>
      <c r="AL243">
        <v>0</v>
      </c>
      <c r="AM243">
        <v>0</v>
      </c>
      <c r="AN243">
        <v>929082</v>
      </c>
      <c r="AO243">
        <v>0</v>
      </c>
      <c r="AP243">
        <v>929082</v>
      </c>
      <c r="AQ243">
        <v>-4070680</v>
      </c>
      <c r="AR243">
        <v>0</v>
      </c>
      <c r="AS243">
        <v>-4070680</v>
      </c>
      <c r="AT243">
        <v>-4179152</v>
      </c>
      <c r="AU243">
        <v>0</v>
      </c>
      <c r="AV243">
        <v>-4179152</v>
      </c>
      <c r="AW243">
        <v>-168500</v>
      </c>
      <c r="AX243">
        <v>0</v>
      </c>
      <c r="AY243">
        <v>-168500</v>
      </c>
      <c r="AZ243">
        <v>-52432</v>
      </c>
      <c r="BA243">
        <v>0</v>
      </c>
      <c r="BB243">
        <v>-52432</v>
      </c>
      <c r="BC243">
        <v>0</v>
      </c>
      <c r="BD243">
        <v>0</v>
      </c>
      <c r="BE243">
        <v>0</v>
      </c>
      <c r="BF243">
        <v>-8470764</v>
      </c>
      <c r="BG243">
        <v>0</v>
      </c>
      <c r="BH243">
        <v>-195692</v>
      </c>
      <c r="BI243">
        <v>0</v>
      </c>
      <c r="BJ243">
        <v>-8666456</v>
      </c>
      <c r="BK243">
        <v>0</v>
      </c>
      <c r="BL243">
        <v>-8666456</v>
      </c>
      <c r="BM243">
        <v>0</v>
      </c>
      <c r="BN243">
        <v>0</v>
      </c>
      <c r="BO243">
        <v>0</v>
      </c>
      <c r="BP243">
        <v>-1503192</v>
      </c>
      <c r="BQ243">
        <v>0</v>
      </c>
      <c r="BR243">
        <v>-1503192</v>
      </c>
      <c r="BS243">
        <v>-1503192</v>
      </c>
      <c r="BT243">
        <v>0</v>
      </c>
      <c r="BU243">
        <v>-629138</v>
      </c>
      <c r="BV243">
        <v>0</v>
      </c>
      <c r="BW243">
        <v>-2132330</v>
      </c>
      <c r="BX243">
        <v>0</v>
      </c>
      <c r="BY243">
        <v>-2132330</v>
      </c>
      <c r="BZ243">
        <v>-25650</v>
      </c>
      <c r="CA243">
        <v>0</v>
      </c>
      <c r="CB243">
        <v>-25650</v>
      </c>
      <c r="CC243">
        <v>-2323</v>
      </c>
      <c r="CD243">
        <v>0</v>
      </c>
      <c r="CE243">
        <v>-2323</v>
      </c>
      <c r="CF243">
        <v>-1434</v>
      </c>
      <c r="CG243">
        <v>0</v>
      </c>
      <c r="CH243">
        <v>-1434</v>
      </c>
      <c r="CI243">
        <v>-1904</v>
      </c>
      <c r="CJ243">
        <v>0</v>
      </c>
      <c r="CK243">
        <v>-1904</v>
      </c>
      <c r="CL243">
        <v>-37732</v>
      </c>
      <c r="CM243">
        <v>0</v>
      </c>
      <c r="CN243">
        <v>-37732</v>
      </c>
      <c r="CO243">
        <v>0</v>
      </c>
      <c r="CP243">
        <v>0</v>
      </c>
      <c r="CQ243">
        <v>0</v>
      </c>
      <c r="CR243">
        <v>0</v>
      </c>
      <c r="CS243">
        <v>0</v>
      </c>
      <c r="CT243">
        <v>-69043</v>
      </c>
      <c r="CU243">
        <v>0</v>
      </c>
      <c r="CV243">
        <v>0</v>
      </c>
      <c r="CW243">
        <v>0</v>
      </c>
      <c r="CX243">
        <v>-69043</v>
      </c>
      <c r="CY243">
        <v>0</v>
      </c>
      <c r="CZ243">
        <v>-69043</v>
      </c>
      <c r="DA243">
        <v>-50528</v>
      </c>
      <c r="DB243">
        <v>0</v>
      </c>
      <c r="DC243">
        <v>-50528</v>
      </c>
      <c r="DD243">
        <v>-24675</v>
      </c>
      <c r="DE243">
        <v>0</v>
      </c>
      <c r="DF243">
        <v>-24675</v>
      </c>
      <c r="DG243">
        <v>-9000</v>
      </c>
      <c r="DH243">
        <v>0</v>
      </c>
      <c r="DI243">
        <v>-9000</v>
      </c>
      <c r="DJ243">
        <v>-1009874</v>
      </c>
      <c r="DK243">
        <v>0</v>
      </c>
      <c r="DL243">
        <v>-1009874</v>
      </c>
      <c r="DM243">
        <v>-1094077</v>
      </c>
      <c r="DN243">
        <v>0</v>
      </c>
      <c r="DO243">
        <v>0</v>
      </c>
      <c r="DP243">
        <v>0</v>
      </c>
      <c r="DQ243">
        <v>-1094077</v>
      </c>
      <c r="DR243">
        <v>0</v>
      </c>
      <c r="DS243">
        <v>-1094077</v>
      </c>
      <c r="DT243">
        <v>44011975</v>
      </c>
      <c r="DU243">
        <v>0</v>
      </c>
      <c r="DV243" s="661">
        <v>44011975</v>
      </c>
      <c r="DW243" t="s">
        <v>1894</v>
      </c>
    </row>
    <row r="244" spans="1:127" ht="12.75" x14ac:dyDescent="0.2">
      <c r="A244" s="605">
        <v>237</v>
      </c>
      <c r="B244" s="606" t="s">
        <v>363</v>
      </c>
      <c r="C244" s="607" t="s">
        <v>1185</v>
      </c>
      <c r="D244" s="608" t="s">
        <v>1187</v>
      </c>
      <c r="E244" s="609" t="s">
        <v>362</v>
      </c>
      <c r="G244">
        <v>123117356</v>
      </c>
      <c r="H244">
        <v>0</v>
      </c>
      <c r="I244">
        <v>123117356</v>
      </c>
      <c r="J244">
        <v>49.9</v>
      </c>
      <c r="K244">
        <v>61435561</v>
      </c>
      <c r="L244">
        <v>0</v>
      </c>
      <c r="M244">
        <v>0</v>
      </c>
      <c r="N244">
        <v>0</v>
      </c>
      <c r="O244">
        <v>61435561</v>
      </c>
      <c r="P244">
        <v>0</v>
      </c>
      <c r="Q244">
        <v>61435561</v>
      </c>
      <c r="R244">
        <v>-389542</v>
      </c>
      <c r="S244">
        <v>0</v>
      </c>
      <c r="T244">
        <v>-389542</v>
      </c>
      <c r="U244">
        <v>69607</v>
      </c>
      <c r="V244">
        <v>0</v>
      </c>
      <c r="W244">
        <v>69607</v>
      </c>
      <c r="X244">
        <v>-319935</v>
      </c>
      <c r="Y244">
        <v>0</v>
      </c>
      <c r="Z244">
        <v>0</v>
      </c>
      <c r="AA244">
        <v>0</v>
      </c>
      <c r="AB244">
        <v>-319935</v>
      </c>
      <c r="AC244">
        <v>0</v>
      </c>
      <c r="AD244">
        <v>-319935</v>
      </c>
      <c r="AE244">
        <v>319935</v>
      </c>
      <c r="AF244">
        <v>0</v>
      </c>
      <c r="AG244">
        <v>319935</v>
      </c>
      <c r="AH244">
        <v>-11039531</v>
      </c>
      <c r="AI244">
        <v>0</v>
      </c>
      <c r="AJ244">
        <v>-11039531</v>
      </c>
      <c r="AK244">
        <v>-19336</v>
      </c>
      <c r="AL244">
        <v>0</v>
      </c>
      <c r="AM244">
        <v>-19336</v>
      </c>
      <c r="AN244">
        <v>810625</v>
      </c>
      <c r="AO244">
        <v>0</v>
      </c>
      <c r="AP244">
        <v>810625</v>
      </c>
      <c r="AQ244">
        <v>-10228906</v>
      </c>
      <c r="AR244">
        <v>0</v>
      </c>
      <c r="AS244">
        <v>-10228906</v>
      </c>
      <c r="AT244">
        <v>-3289484</v>
      </c>
      <c r="AU244">
        <v>0</v>
      </c>
      <c r="AV244">
        <v>-3289484</v>
      </c>
      <c r="AW244">
        <v>-129118</v>
      </c>
      <c r="AX244">
        <v>0</v>
      </c>
      <c r="AY244">
        <v>-129118</v>
      </c>
      <c r="AZ244">
        <v>-22708</v>
      </c>
      <c r="BA244">
        <v>0</v>
      </c>
      <c r="BB244">
        <v>-22708</v>
      </c>
      <c r="BC244">
        <v>0</v>
      </c>
      <c r="BD244">
        <v>0</v>
      </c>
      <c r="BE244">
        <v>0</v>
      </c>
      <c r="BF244">
        <v>-13670216</v>
      </c>
      <c r="BG244">
        <v>0</v>
      </c>
      <c r="BH244">
        <v>0</v>
      </c>
      <c r="BI244">
        <v>0</v>
      </c>
      <c r="BJ244">
        <v>-13670216</v>
      </c>
      <c r="BK244">
        <v>0</v>
      </c>
      <c r="BL244">
        <v>-13670216</v>
      </c>
      <c r="BM244">
        <v>0</v>
      </c>
      <c r="BN244">
        <v>0</v>
      </c>
      <c r="BO244">
        <v>0</v>
      </c>
      <c r="BP244">
        <v>-426171</v>
      </c>
      <c r="BQ244">
        <v>0</v>
      </c>
      <c r="BR244">
        <v>-426171</v>
      </c>
      <c r="BS244">
        <v>-426171</v>
      </c>
      <c r="BT244">
        <v>0</v>
      </c>
      <c r="BU244">
        <v>0</v>
      </c>
      <c r="BV244">
        <v>0</v>
      </c>
      <c r="BW244">
        <v>-426171</v>
      </c>
      <c r="BX244">
        <v>0</v>
      </c>
      <c r="BY244">
        <v>-426171</v>
      </c>
      <c r="BZ244">
        <v>-90164</v>
      </c>
      <c r="CA244">
        <v>0</v>
      </c>
      <c r="CB244">
        <v>-90164</v>
      </c>
      <c r="CC244">
        <v>-23890</v>
      </c>
      <c r="CD244">
        <v>0</v>
      </c>
      <c r="CE244">
        <v>-23890</v>
      </c>
      <c r="CF244">
        <v>-10457</v>
      </c>
      <c r="CG244">
        <v>0</v>
      </c>
      <c r="CH244">
        <v>-10457</v>
      </c>
      <c r="CI244">
        <v>0</v>
      </c>
      <c r="CJ244">
        <v>0</v>
      </c>
      <c r="CK244">
        <v>0</v>
      </c>
      <c r="CL244">
        <v>-10359</v>
      </c>
      <c r="CM244">
        <v>0</v>
      </c>
      <c r="CN244">
        <v>-10359</v>
      </c>
      <c r="CO244">
        <v>0</v>
      </c>
      <c r="CP244">
        <v>0</v>
      </c>
      <c r="CQ244">
        <v>0</v>
      </c>
      <c r="CR244">
        <v>0</v>
      </c>
      <c r="CS244">
        <v>0</v>
      </c>
      <c r="CT244">
        <v>-134870</v>
      </c>
      <c r="CU244">
        <v>0</v>
      </c>
      <c r="CV244">
        <v>0</v>
      </c>
      <c r="CW244">
        <v>0</v>
      </c>
      <c r="CX244">
        <v>-134870</v>
      </c>
      <c r="CY244">
        <v>0</v>
      </c>
      <c r="CZ244">
        <v>-134870</v>
      </c>
      <c r="DA244">
        <v>-22708</v>
      </c>
      <c r="DB244">
        <v>0</v>
      </c>
      <c r="DC244">
        <v>-22708</v>
      </c>
      <c r="DD244">
        <v>-41764</v>
      </c>
      <c r="DE244">
        <v>0</v>
      </c>
      <c r="DF244">
        <v>-41764</v>
      </c>
      <c r="DG244">
        <v>-5794</v>
      </c>
      <c r="DH244">
        <v>0</v>
      </c>
      <c r="DI244">
        <v>-5794</v>
      </c>
      <c r="DJ244">
        <v>-2476356</v>
      </c>
      <c r="DK244">
        <v>0</v>
      </c>
      <c r="DL244">
        <v>-2476356</v>
      </c>
      <c r="DM244">
        <v>-2546622</v>
      </c>
      <c r="DN244">
        <v>0</v>
      </c>
      <c r="DO244">
        <v>0</v>
      </c>
      <c r="DP244">
        <v>0</v>
      </c>
      <c r="DQ244">
        <v>-2546622</v>
      </c>
      <c r="DR244">
        <v>0</v>
      </c>
      <c r="DS244">
        <v>-2546622</v>
      </c>
      <c r="DT244">
        <v>44337747</v>
      </c>
      <c r="DU244">
        <v>0</v>
      </c>
      <c r="DV244" s="661">
        <v>44337747</v>
      </c>
      <c r="DW244" t="s">
        <v>1895</v>
      </c>
    </row>
    <row r="245" spans="1:127" ht="12.75" x14ac:dyDescent="0.2">
      <c r="A245" s="605">
        <v>238</v>
      </c>
      <c r="B245" s="606" t="s">
        <v>365</v>
      </c>
      <c r="C245" s="607" t="s">
        <v>1185</v>
      </c>
      <c r="D245" s="608" t="s">
        <v>1189</v>
      </c>
      <c r="E245" s="609" t="s">
        <v>364</v>
      </c>
      <c r="G245">
        <v>86661354</v>
      </c>
      <c r="H245">
        <v>1874405</v>
      </c>
      <c r="I245">
        <v>88535759</v>
      </c>
      <c r="J245">
        <v>49.9</v>
      </c>
      <c r="K245">
        <v>43244016</v>
      </c>
      <c r="L245">
        <v>935328</v>
      </c>
      <c r="M245">
        <v>207874</v>
      </c>
      <c r="N245">
        <v>25435</v>
      </c>
      <c r="O245">
        <v>43451890</v>
      </c>
      <c r="P245">
        <v>960763</v>
      </c>
      <c r="Q245">
        <v>44412653</v>
      </c>
      <c r="R245">
        <v>-224666</v>
      </c>
      <c r="S245">
        <v>0</v>
      </c>
      <c r="T245">
        <v>-224666</v>
      </c>
      <c r="U245">
        <v>176805</v>
      </c>
      <c r="V245">
        <v>0</v>
      </c>
      <c r="W245">
        <v>176805</v>
      </c>
      <c r="X245">
        <v>-47861</v>
      </c>
      <c r="Y245">
        <v>0</v>
      </c>
      <c r="Z245">
        <v>0</v>
      </c>
      <c r="AA245">
        <v>0</v>
      </c>
      <c r="AB245">
        <v>-47861</v>
      </c>
      <c r="AC245">
        <v>0</v>
      </c>
      <c r="AD245">
        <v>-47861</v>
      </c>
      <c r="AE245">
        <v>47861</v>
      </c>
      <c r="AF245">
        <v>0</v>
      </c>
      <c r="AG245">
        <v>47861</v>
      </c>
      <c r="AH245">
        <v>-5016503</v>
      </c>
      <c r="AI245">
        <v>-5198</v>
      </c>
      <c r="AJ245">
        <v>-5021701</v>
      </c>
      <c r="AK245">
        <v>0</v>
      </c>
      <c r="AL245">
        <v>0</v>
      </c>
      <c r="AM245">
        <v>0</v>
      </c>
      <c r="AN245">
        <v>714462</v>
      </c>
      <c r="AO245">
        <v>20579</v>
      </c>
      <c r="AP245">
        <v>735041</v>
      </c>
      <c r="AQ245">
        <v>-4302041</v>
      </c>
      <c r="AR245">
        <v>15381</v>
      </c>
      <c r="AS245">
        <v>-4286660</v>
      </c>
      <c r="AT245">
        <v>-4386748</v>
      </c>
      <c r="AU245">
        <v>-398617</v>
      </c>
      <c r="AV245">
        <v>-4785365</v>
      </c>
      <c r="AW245">
        <v>-76847</v>
      </c>
      <c r="AX245">
        <v>0</v>
      </c>
      <c r="AY245">
        <v>-76847</v>
      </c>
      <c r="AZ245">
        <v>-69590</v>
      </c>
      <c r="BA245">
        <v>0</v>
      </c>
      <c r="BB245">
        <v>-69590</v>
      </c>
      <c r="BC245">
        <v>0</v>
      </c>
      <c r="BD245">
        <v>0</v>
      </c>
      <c r="BE245">
        <v>0</v>
      </c>
      <c r="BF245">
        <v>-8835226</v>
      </c>
      <c r="BG245">
        <v>-383236</v>
      </c>
      <c r="BH245">
        <v>-61632</v>
      </c>
      <c r="BI245">
        <v>0</v>
      </c>
      <c r="BJ245">
        <v>-8896858</v>
      </c>
      <c r="BK245">
        <v>-383236</v>
      </c>
      <c r="BL245">
        <v>-9280094</v>
      </c>
      <c r="BM245">
        <v>0</v>
      </c>
      <c r="BN245">
        <v>0</v>
      </c>
      <c r="BO245">
        <v>0</v>
      </c>
      <c r="BP245">
        <v>-604049</v>
      </c>
      <c r="BQ245">
        <v>0</v>
      </c>
      <c r="BR245">
        <v>-604049</v>
      </c>
      <c r="BS245">
        <v>-604049</v>
      </c>
      <c r="BT245">
        <v>0</v>
      </c>
      <c r="BU245">
        <v>0</v>
      </c>
      <c r="BV245">
        <v>0</v>
      </c>
      <c r="BW245">
        <v>-604049</v>
      </c>
      <c r="BX245">
        <v>0</v>
      </c>
      <c r="BY245">
        <v>-604049</v>
      </c>
      <c r="BZ245">
        <v>-124707</v>
      </c>
      <c r="CA245">
        <v>0</v>
      </c>
      <c r="CB245">
        <v>-124707</v>
      </c>
      <c r="CC245">
        <v>-123329</v>
      </c>
      <c r="CD245">
        <v>0</v>
      </c>
      <c r="CE245">
        <v>-123329</v>
      </c>
      <c r="CF245">
        <v>-12466</v>
      </c>
      <c r="CG245">
        <v>0</v>
      </c>
      <c r="CH245">
        <v>-12466</v>
      </c>
      <c r="CI245">
        <v>0</v>
      </c>
      <c r="CJ245">
        <v>0</v>
      </c>
      <c r="CK245">
        <v>0</v>
      </c>
      <c r="CL245">
        <v>-21938</v>
      </c>
      <c r="CM245">
        <v>0</v>
      </c>
      <c r="CN245">
        <v>-21938</v>
      </c>
      <c r="CO245">
        <v>-91430</v>
      </c>
      <c r="CP245">
        <v>-403523</v>
      </c>
      <c r="CQ245">
        <v>-494953</v>
      </c>
      <c r="CR245">
        <v>-403523</v>
      </c>
      <c r="CS245">
        <v>0</v>
      </c>
      <c r="CT245">
        <v>-373870</v>
      </c>
      <c r="CU245">
        <v>-403523</v>
      </c>
      <c r="CV245">
        <v>0</v>
      </c>
      <c r="CW245">
        <v>0</v>
      </c>
      <c r="CX245">
        <v>-373870</v>
      </c>
      <c r="CY245">
        <v>-403523</v>
      </c>
      <c r="CZ245">
        <v>-777393</v>
      </c>
      <c r="DA245">
        <v>-69590</v>
      </c>
      <c r="DB245">
        <v>0</v>
      </c>
      <c r="DC245">
        <v>-69590</v>
      </c>
      <c r="DD245">
        <v>-44647</v>
      </c>
      <c r="DE245">
        <v>0</v>
      </c>
      <c r="DF245">
        <v>-44647</v>
      </c>
      <c r="DG245">
        <v>-6933</v>
      </c>
      <c r="DH245">
        <v>0</v>
      </c>
      <c r="DI245">
        <v>-6933</v>
      </c>
      <c r="DJ245">
        <v>-625728</v>
      </c>
      <c r="DK245">
        <v>0</v>
      </c>
      <c r="DL245">
        <v>-625728</v>
      </c>
      <c r="DM245">
        <v>-746898</v>
      </c>
      <c r="DN245">
        <v>0</v>
      </c>
      <c r="DO245">
        <v>0</v>
      </c>
      <c r="DP245">
        <v>0</v>
      </c>
      <c r="DQ245">
        <v>-746898</v>
      </c>
      <c r="DR245">
        <v>0</v>
      </c>
      <c r="DS245">
        <v>-746898</v>
      </c>
      <c r="DT245">
        <v>32782354</v>
      </c>
      <c r="DU245">
        <v>174004</v>
      </c>
      <c r="DV245" s="661">
        <v>32956358</v>
      </c>
      <c r="DW245" t="s">
        <v>1896</v>
      </c>
    </row>
    <row r="246" spans="1:127" ht="12.75" x14ac:dyDescent="0.2">
      <c r="A246" s="605">
        <v>239</v>
      </c>
      <c r="B246" s="606" t="s">
        <v>367</v>
      </c>
      <c r="C246" s="607" t="s">
        <v>1185</v>
      </c>
      <c r="D246" s="608" t="s">
        <v>1188</v>
      </c>
      <c r="E246" s="609" t="s">
        <v>366</v>
      </c>
      <c r="G246">
        <v>63759022</v>
      </c>
      <c r="H246">
        <v>0</v>
      </c>
      <c r="I246">
        <v>63759022</v>
      </c>
      <c r="J246">
        <v>49.9</v>
      </c>
      <c r="K246">
        <v>31815752</v>
      </c>
      <c r="L246">
        <v>0</v>
      </c>
      <c r="M246">
        <v>-9700</v>
      </c>
      <c r="N246">
        <v>0</v>
      </c>
      <c r="O246">
        <v>31806052</v>
      </c>
      <c r="P246">
        <v>0</v>
      </c>
      <c r="Q246">
        <v>31806052</v>
      </c>
      <c r="R246">
        <v>-190670</v>
      </c>
      <c r="S246">
        <v>0</v>
      </c>
      <c r="T246">
        <v>-190670</v>
      </c>
      <c r="U246">
        <v>66720</v>
      </c>
      <c r="V246">
        <v>0</v>
      </c>
      <c r="W246">
        <v>66720</v>
      </c>
      <c r="X246">
        <v>-123950</v>
      </c>
      <c r="Y246">
        <v>0</v>
      </c>
      <c r="Z246">
        <v>0</v>
      </c>
      <c r="AA246">
        <v>0</v>
      </c>
      <c r="AB246">
        <v>-123950</v>
      </c>
      <c r="AC246">
        <v>0</v>
      </c>
      <c r="AD246">
        <v>-123950</v>
      </c>
      <c r="AE246">
        <v>123950</v>
      </c>
      <c r="AF246">
        <v>0</v>
      </c>
      <c r="AG246">
        <v>123950</v>
      </c>
      <c r="AH246">
        <v>-3546119</v>
      </c>
      <c r="AI246">
        <v>0</v>
      </c>
      <c r="AJ246">
        <v>-3546119</v>
      </c>
      <c r="AK246">
        <v>0</v>
      </c>
      <c r="AL246">
        <v>0</v>
      </c>
      <c r="AM246">
        <v>0</v>
      </c>
      <c r="AN246">
        <v>535582</v>
      </c>
      <c r="AO246">
        <v>0</v>
      </c>
      <c r="AP246">
        <v>535582</v>
      </c>
      <c r="AQ246">
        <v>-3010537</v>
      </c>
      <c r="AR246">
        <v>0</v>
      </c>
      <c r="AS246">
        <v>-3010537</v>
      </c>
      <c r="AT246">
        <v>-2066939</v>
      </c>
      <c r="AU246">
        <v>0</v>
      </c>
      <c r="AV246">
        <v>-2066939</v>
      </c>
      <c r="AW246">
        <v>-11573</v>
      </c>
      <c r="AX246">
        <v>0</v>
      </c>
      <c r="AY246">
        <v>-11573</v>
      </c>
      <c r="AZ246">
        <v>-2017</v>
      </c>
      <c r="BA246">
        <v>0</v>
      </c>
      <c r="BB246">
        <v>-2017</v>
      </c>
      <c r="BC246">
        <v>0</v>
      </c>
      <c r="BD246">
        <v>0</v>
      </c>
      <c r="BE246">
        <v>0</v>
      </c>
      <c r="BF246">
        <v>-5091066</v>
      </c>
      <c r="BG246">
        <v>0</v>
      </c>
      <c r="BH246">
        <v>0</v>
      </c>
      <c r="BI246">
        <v>0</v>
      </c>
      <c r="BJ246">
        <v>-5091066</v>
      </c>
      <c r="BK246">
        <v>0</v>
      </c>
      <c r="BL246">
        <v>-5091066</v>
      </c>
      <c r="BM246">
        <v>0</v>
      </c>
      <c r="BN246">
        <v>0</v>
      </c>
      <c r="BO246">
        <v>0</v>
      </c>
      <c r="BP246">
        <v>-350535</v>
      </c>
      <c r="BQ246">
        <v>0</v>
      </c>
      <c r="BR246">
        <v>-350535</v>
      </c>
      <c r="BS246">
        <v>-350535</v>
      </c>
      <c r="BT246">
        <v>0</v>
      </c>
      <c r="BU246">
        <v>-192765</v>
      </c>
      <c r="BV246">
        <v>0</v>
      </c>
      <c r="BW246">
        <v>-543300</v>
      </c>
      <c r="BX246">
        <v>0</v>
      </c>
      <c r="BY246">
        <v>-543300</v>
      </c>
      <c r="BZ246">
        <v>-41913</v>
      </c>
      <c r="CA246">
        <v>0</v>
      </c>
      <c r="CB246">
        <v>-41913</v>
      </c>
      <c r="CC246">
        <v>0</v>
      </c>
      <c r="CD246">
        <v>0</v>
      </c>
      <c r="CE246">
        <v>0</v>
      </c>
      <c r="CF246">
        <v>-1644</v>
      </c>
      <c r="CG246">
        <v>0</v>
      </c>
      <c r="CH246">
        <v>-1644</v>
      </c>
      <c r="CI246">
        <v>-742</v>
      </c>
      <c r="CJ246">
        <v>0</v>
      </c>
      <c r="CK246">
        <v>-742</v>
      </c>
      <c r="CL246">
        <v>0</v>
      </c>
      <c r="CM246">
        <v>0</v>
      </c>
      <c r="CN246">
        <v>0</v>
      </c>
      <c r="CO246">
        <v>0</v>
      </c>
      <c r="CP246">
        <v>0</v>
      </c>
      <c r="CQ246">
        <v>0</v>
      </c>
      <c r="CR246">
        <v>0</v>
      </c>
      <c r="CS246">
        <v>0</v>
      </c>
      <c r="CT246">
        <v>-44299</v>
      </c>
      <c r="CU246">
        <v>0</v>
      </c>
      <c r="CV246">
        <v>0</v>
      </c>
      <c r="CW246">
        <v>0</v>
      </c>
      <c r="CX246">
        <v>-44299</v>
      </c>
      <c r="CY246">
        <v>0</v>
      </c>
      <c r="CZ246">
        <v>-44299</v>
      </c>
      <c r="DA246">
        <v>-90599</v>
      </c>
      <c r="DB246">
        <v>0</v>
      </c>
      <c r="DC246">
        <v>-90599</v>
      </c>
      <c r="DD246">
        <v>-26247</v>
      </c>
      <c r="DE246">
        <v>0</v>
      </c>
      <c r="DF246">
        <v>-26247</v>
      </c>
      <c r="DG246">
        <v>-3359</v>
      </c>
      <c r="DH246">
        <v>0</v>
      </c>
      <c r="DI246">
        <v>-3359</v>
      </c>
      <c r="DJ246">
        <v>-348653</v>
      </c>
      <c r="DK246">
        <v>0</v>
      </c>
      <c r="DL246">
        <v>-348653</v>
      </c>
      <c r="DM246">
        <v>-468858</v>
      </c>
      <c r="DN246">
        <v>0</v>
      </c>
      <c r="DO246">
        <v>0</v>
      </c>
      <c r="DP246">
        <v>0</v>
      </c>
      <c r="DQ246">
        <v>-468858</v>
      </c>
      <c r="DR246">
        <v>0</v>
      </c>
      <c r="DS246">
        <v>-468858</v>
      </c>
      <c r="DT246">
        <v>25534579</v>
      </c>
      <c r="DU246">
        <v>0</v>
      </c>
      <c r="DV246" s="661">
        <v>25534579</v>
      </c>
      <c r="DW246" t="s">
        <v>1897</v>
      </c>
    </row>
    <row r="247" spans="1:127" ht="12.75" x14ac:dyDescent="0.2">
      <c r="A247" s="605">
        <v>240</v>
      </c>
      <c r="B247" s="606" t="s">
        <v>369</v>
      </c>
      <c r="C247" s="607" t="s">
        <v>1185</v>
      </c>
      <c r="D247" s="608" t="s">
        <v>1186</v>
      </c>
      <c r="E247" s="609" t="s">
        <v>368</v>
      </c>
      <c r="G247">
        <v>116850813</v>
      </c>
      <c r="H247">
        <v>483000</v>
      </c>
      <c r="I247">
        <v>117333813</v>
      </c>
      <c r="J247">
        <v>49.9</v>
      </c>
      <c r="K247">
        <v>58308556</v>
      </c>
      <c r="L247">
        <v>241017</v>
      </c>
      <c r="M247">
        <v>0</v>
      </c>
      <c r="N247">
        <v>0</v>
      </c>
      <c r="O247">
        <v>58308556</v>
      </c>
      <c r="P247">
        <v>241017</v>
      </c>
      <c r="Q247">
        <v>58549573</v>
      </c>
      <c r="R247">
        <v>-355316</v>
      </c>
      <c r="S247">
        <v>0</v>
      </c>
      <c r="T247">
        <v>-355316</v>
      </c>
      <c r="U247">
        <v>121556</v>
      </c>
      <c r="V247">
        <v>0</v>
      </c>
      <c r="W247">
        <v>121556</v>
      </c>
      <c r="X247">
        <v>-233760</v>
      </c>
      <c r="Y247">
        <v>0</v>
      </c>
      <c r="Z247">
        <v>0</v>
      </c>
      <c r="AA247">
        <v>0</v>
      </c>
      <c r="AB247">
        <v>-233760</v>
      </c>
      <c r="AC247">
        <v>0</v>
      </c>
      <c r="AD247">
        <v>-233760</v>
      </c>
      <c r="AE247">
        <v>233760</v>
      </c>
      <c r="AF247">
        <v>0</v>
      </c>
      <c r="AG247">
        <v>233760</v>
      </c>
      <c r="AH247">
        <v>-4361965</v>
      </c>
      <c r="AI247">
        <v>0</v>
      </c>
      <c r="AJ247">
        <v>-4361965</v>
      </c>
      <c r="AK247">
        <v>0</v>
      </c>
      <c r="AL247">
        <v>0</v>
      </c>
      <c r="AM247">
        <v>0</v>
      </c>
      <c r="AN247">
        <v>1038365</v>
      </c>
      <c r="AO247">
        <v>6279</v>
      </c>
      <c r="AP247">
        <v>1044644</v>
      </c>
      <c r="AQ247">
        <v>-3323600</v>
      </c>
      <c r="AR247">
        <v>6279</v>
      </c>
      <c r="AS247">
        <v>-3317321</v>
      </c>
      <c r="AT247">
        <v>-5161318</v>
      </c>
      <c r="AU247">
        <v>0</v>
      </c>
      <c r="AV247">
        <v>-5161318</v>
      </c>
      <c r="AW247">
        <v>-71730</v>
      </c>
      <c r="AX247">
        <v>0</v>
      </c>
      <c r="AY247">
        <v>-71730</v>
      </c>
      <c r="AZ247">
        <v>-40089</v>
      </c>
      <c r="BA247">
        <v>0</v>
      </c>
      <c r="BB247">
        <v>-40089</v>
      </c>
      <c r="BC247">
        <v>0</v>
      </c>
      <c r="BD247">
        <v>0</v>
      </c>
      <c r="BE247">
        <v>0</v>
      </c>
      <c r="BF247">
        <v>-8596737</v>
      </c>
      <c r="BG247">
        <v>6279</v>
      </c>
      <c r="BH247">
        <v>0</v>
      </c>
      <c r="BI247">
        <v>0</v>
      </c>
      <c r="BJ247">
        <v>-8596737</v>
      </c>
      <c r="BK247">
        <v>6279</v>
      </c>
      <c r="BL247">
        <v>-8590458</v>
      </c>
      <c r="BM247">
        <v>0</v>
      </c>
      <c r="BN247">
        <v>0</v>
      </c>
      <c r="BO247">
        <v>0</v>
      </c>
      <c r="BP247">
        <v>-1516973</v>
      </c>
      <c r="BQ247">
        <v>0</v>
      </c>
      <c r="BR247">
        <v>-1516973</v>
      </c>
      <c r="BS247">
        <v>-1516973</v>
      </c>
      <c r="BT247">
        <v>0</v>
      </c>
      <c r="BU247">
        <v>0</v>
      </c>
      <c r="BV247">
        <v>0</v>
      </c>
      <c r="BW247">
        <v>-1516973</v>
      </c>
      <c r="BX247">
        <v>0</v>
      </c>
      <c r="BY247">
        <v>-1516973</v>
      </c>
      <c r="BZ247">
        <v>-211564</v>
      </c>
      <c r="CA247">
        <v>0</v>
      </c>
      <c r="CB247">
        <v>-211564</v>
      </c>
      <c r="CC247">
        <v>-14908</v>
      </c>
      <c r="CD247">
        <v>0</v>
      </c>
      <c r="CE247">
        <v>-14908</v>
      </c>
      <c r="CF247">
        <v>-8966</v>
      </c>
      <c r="CG247">
        <v>0</v>
      </c>
      <c r="CH247">
        <v>-8966</v>
      </c>
      <c r="CI247">
        <v>0</v>
      </c>
      <c r="CJ247">
        <v>0</v>
      </c>
      <c r="CK247">
        <v>0</v>
      </c>
      <c r="CL247">
        <v>0</v>
      </c>
      <c r="CM247">
        <v>0</v>
      </c>
      <c r="CN247">
        <v>0</v>
      </c>
      <c r="CO247">
        <v>0</v>
      </c>
      <c r="CP247">
        <v>0</v>
      </c>
      <c r="CQ247">
        <v>0</v>
      </c>
      <c r="CR247">
        <v>0</v>
      </c>
      <c r="CS247">
        <v>0</v>
      </c>
      <c r="CT247">
        <v>-235438</v>
      </c>
      <c r="CU247">
        <v>0</v>
      </c>
      <c r="CV247">
        <v>0</v>
      </c>
      <c r="CW247">
        <v>0</v>
      </c>
      <c r="CX247">
        <v>-235438</v>
      </c>
      <c r="CY247">
        <v>0</v>
      </c>
      <c r="CZ247">
        <v>-235438</v>
      </c>
      <c r="DA247">
        <v>-40089</v>
      </c>
      <c r="DB247">
        <v>0</v>
      </c>
      <c r="DC247">
        <v>-40089</v>
      </c>
      <c r="DD247">
        <v>-52944</v>
      </c>
      <c r="DE247">
        <v>0</v>
      </c>
      <c r="DF247">
        <v>-52944</v>
      </c>
      <c r="DG247">
        <v>-10744</v>
      </c>
      <c r="DH247">
        <v>0</v>
      </c>
      <c r="DI247">
        <v>-10744</v>
      </c>
      <c r="DJ247">
        <v>-1243515</v>
      </c>
      <c r="DK247">
        <v>0</v>
      </c>
      <c r="DL247">
        <v>-1243515</v>
      </c>
      <c r="DM247">
        <v>-1347292</v>
      </c>
      <c r="DN247">
        <v>0</v>
      </c>
      <c r="DO247">
        <v>0</v>
      </c>
      <c r="DP247">
        <v>0</v>
      </c>
      <c r="DQ247">
        <v>-1347292</v>
      </c>
      <c r="DR247">
        <v>0</v>
      </c>
      <c r="DS247">
        <v>-1347292</v>
      </c>
      <c r="DT247">
        <v>46378356</v>
      </c>
      <c r="DU247">
        <v>247296</v>
      </c>
      <c r="DV247" s="661">
        <v>46625652</v>
      </c>
      <c r="DW247" t="s">
        <v>1898</v>
      </c>
    </row>
    <row r="248" spans="1:127" ht="12.75" x14ac:dyDescent="0.2">
      <c r="A248" s="605">
        <v>241</v>
      </c>
      <c r="B248" s="606" t="s">
        <v>371</v>
      </c>
      <c r="C248" s="607" t="s">
        <v>1185</v>
      </c>
      <c r="D248" s="608" t="s">
        <v>1187</v>
      </c>
      <c r="E248" s="609" t="s">
        <v>370</v>
      </c>
      <c r="G248">
        <v>88824898</v>
      </c>
      <c r="H248">
        <v>332500</v>
      </c>
      <c r="I248">
        <v>89157398</v>
      </c>
      <c r="J248">
        <v>49.9</v>
      </c>
      <c r="K248">
        <v>44323624</v>
      </c>
      <c r="L248">
        <v>165918</v>
      </c>
      <c r="M248">
        <v>0</v>
      </c>
      <c r="N248">
        <v>0</v>
      </c>
      <c r="O248">
        <v>44323624</v>
      </c>
      <c r="P248">
        <v>165918</v>
      </c>
      <c r="Q248">
        <v>44489542</v>
      </c>
      <c r="R248">
        <v>-131219</v>
      </c>
      <c r="S248">
        <v>0</v>
      </c>
      <c r="T248">
        <v>-131219</v>
      </c>
      <c r="U248">
        <v>152603</v>
      </c>
      <c r="V248">
        <v>0</v>
      </c>
      <c r="W248">
        <v>152603</v>
      </c>
      <c r="X248">
        <v>21384</v>
      </c>
      <c r="Y248">
        <v>0</v>
      </c>
      <c r="Z248">
        <v>0</v>
      </c>
      <c r="AA248">
        <v>0</v>
      </c>
      <c r="AB248">
        <v>21384</v>
      </c>
      <c r="AC248">
        <v>0</v>
      </c>
      <c r="AD248">
        <v>21384</v>
      </c>
      <c r="AE248">
        <v>-21384</v>
      </c>
      <c r="AF248">
        <v>0</v>
      </c>
      <c r="AG248">
        <v>-21384</v>
      </c>
      <c r="AH248">
        <v>-4072254</v>
      </c>
      <c r="AI248">
        <v>0</v>
      </c>
      <c r="AJ248">
        <v>-4072254</v>
      </c>
      <c r="AK248">
        <v>0</v>
      </c>
      <c r="AL248">
        <v>0</v>
      </c>
      <c r="AM248">
        <v>0</v>
      </c>
      <c r="AN248">
        <v>801274</v>
      </c>
      <c r="AO248">
        <v>4323</v>
      </c>
      <c r="AP248">
        <v>805597</v>
      </c>
      <c r="AQ248">
        <v>-3270980</v>
      </c>
      <c r="AR248">
        <v>4323</v>
      </c>
      <c r="AS248">
        <v>-3266657</v>
      </c>
      <c r="AT248">
        <v>-2233087</v>
      </c>
      <c r="AU248">
        <v>0</v>
      </c>
      <c r="AV248">
        <v>-2233087</v>
      </c>
      <c r="AW248">
        <v>-14008</v>
      </c>
      <c r="AX248">
        <v>0</v>
      </c>
      <c r="AY248">
        <v>-14008</v>
      </c>
      <c r="AZ248">
        <v>-4429</v>
      </c>
      <c r="BA248">
        <v>0</v>
      </c>
      <c r="BB248">
        <v>-4429</v>
      </c>
      <c r="BC248">
        <v>0</v>
      </c>
      <c r="BD248">
        <v>0</v>
      </c>
      <c r="BE248">
        <v>0</v>
      </c>
      <c r="BF248">
        <v>-5522504</v>
      </c>
      <c r="BG248">
        <v>4323</v>
      </c>
      <c r="BH248">
        <v>0</v>
      </c>
      <c r="BI248">
        <v>0</v>
      </c>
      <c r="BJ248">
        <v>-5522504</v>
      </c>
      <c r="BK248">
        <v>4323</v>
      </c>
      <c r="BL248">
        <v>-5518181</v>
      </c>
      <c r="BM248">
        <v>0</v>
      </c>
      <c r="BN248">
        <v>0</v>
      </c>
      <c r="BO248">
        <v>0</v>
      </c>
      <c r="BP248">
        <v>-492246</v>
      </c>
      <c r="BQ248">
        <v>0</v>
      </c>
      <c r="BR248">
        <v>-492246</v>
      </c>
      <c r="BS248">
        <v>-492246</v>
      </c>
      <c r="BT248">
        <v>0</v>
      </c>
      <c r="BU248">
        <v>0</v>
      </c>
      <c r="BV248">
        <v>0</v>
      </c>
      <c r="BW248">
        <v>-492246</v>
      </c>
      <c r="BX248">
        <v>0</v>
      </c>
      <c r="BY248">
        <v>-492246</v>
      </c>
      <c r="BZ248">
        <v>-121058</v>
      </c>
      <c r="CA248">
        <v>0</v>
      </c>
      <c r="CB248">
        <v>-121058</v>
      </c>
      <c r="CC248">
        <v>-29065</v>
      </c>
      <c r="CD248">
        <v>0</v>
      </c>
      <c r="CE248">
        <v>-29065</v>
      </c>
      <c r="CF248">
        <v>-1075</v>
      </c>
      <c r="CG248">
        <v>0</v>
      </c>
      <c r="CH248">
        <v>-1075</v>
      </c>
      <c r="CI248">
        <v>-4429</v>
      </c>
      <c r="CJ248">
        <v>0</v>
      </c>
      <c r="CK248">
        <v>-4429</v>
      </c>
      <c r="CL248">
        <v>0</v>
      </c>
      <c r="CM248">
        <v>0</v>
      </c>
      <c r="CN248">
        <v>0</v>
      </c>
      <c r="CO248">
        <v>0</v>
      </c>
      <c r="CP248">
        <v>0</v>
      </c>
      <c r="CQ248">
        <v>0</v>
      </c>
      <c r="CR248">
        <v>0</v>
      </c>
      <c r="CS248">
        <v>0</v>
      </c>
      <c r="CT248">
        <v>-155627</v>
      </c>
      <c r="CU248">
        <v>0</v>
      </c>
      <c r="CV248">
        <v>0</v>
      </c>
      <c r="CW248">
        <v>0</v>
      </c>
      <c r="CX248">
        <v>-155627</v>
      </c>
      <c r="CY248">
        <v>0</v>
      </c>
      <c r="CZ248">
        <v>-155627</v>
      </c>
      <c r="DA248">
        <v>-4429</v>
      </c>
      <c r="DB248">
        <v>0</v>
      </c>
      <c r="DC248">
        <v>-4429</v>
      </c>
      <c r="DD248">
        <v>-7687</v>
      </c>
      <c r="DE248">
        <v>0</v>
      </c>
      <c r="DF248">
        <v>-7687</v>
      </c>
      <c r="DG248">
        <v>-2000</v>
      </c>
      <c r="DH248">
        <v>0</v>
      </c>
      <c r="DI248">
        <v>-2000</v>
      </c>
      <c r="DJ248">
        <v>-529607</v>
      </c>
      <c r="DK248">
        <v>0</v>
      </c>
      <c r="DL248">
        <v>-529607</v>
      </c>
      <c r="DM248">
        <v>-543723</v>
      </c>
      <c r="DN248">
        <v>0</v>
      </c>
      <c r="DO248">
        <v>0</v>
      </c>
      <c r="DP248">
        <v>0</v>
      </c>
      <c r="DQ248">
        <v>-543723</v>
      </c>
      <c r="DR248">
        <v>0</v>
      </c>
      <c r="DS248">
        <v>-543723</v>
      </c>
      <c r="DT248">
        <v>37630908</v>
      </c>
      <c r="DU248">
        <v>170241</v>
      </c>
      <c r="DV248" s="661">
        <v>37801149</v>
      </c>
      <c r="DW248" t="s">
        <v>1899</v>
      </c>
    </row>
    <row r="249" spans="1:127" ht="12.75" x14ac:dyDescent="0.2">
      <c r="A249" s="605">
        <v>242</v>
      </c>
      <c r="B249" s="606" t="s">
        <v>373</v>
      </c>
      <c r="C249" s="607" t="s">
        <v>1185</v>
      </c>
      <c r="D249" s="608" t="s">
        <v>1194</v>
      </c>
      <c r="E249" s="609" t="s">
        <v>372</v>
      </c>
      <c r="G249">
        <v>119900077</v>
      </c>
      <c r="H249">
        <v>0</v>
      </c>
      <c r="I249">
        <v>119900077</v>
      </c>
      <c r="J249">
        <v>49.9</v>
      </c>
      <c r="K249">
        <v>59830138</v>
      </c>
      <c r="L249">
        <v>0</v>
      </c>
      <c r="M249">
        <v>259736</v>
      </c>
      <c r="N249">
        <v>0</v>
      </c>
      <c r="O249">
        <v>60089874</v>
      </c>
      <c r="P249">
        <v>0</v>
      </c>
      <c r="Q249">
        <v>60089874</v>
      </c>
      <c r="R249">
        <v>-379867</v>
      </c>
      <c r="S249">
        <v>0</v>
      </c>
      <c r="T249">
        <v>-379867</v>
      </c>
      <c r="U249">
        <v>477314</v>
      </c>
      <c r="V249">
        <v>0</v>
      </c>
      <c r="W249">
        <v>477314</v>
      </c>
      <c r="X249">
        <v>97447</v>
      </c>
      <c r="Y249">
        <v>0</v>
      </c>
      <c r="Z249">
        <v>0</v>
      </c>
      <c r="AA249">
        <v>0</v>
      </c>
      <c r="AB249">
        <v>97447</v>
      </c>
      <c r="AC249">
        <v>0</v>
      </c>
      <c r="AD249">
        <v>97447</v>
      </c>
      <c r="AE249">
        <v>-97447</v>
      </c>
      <c r="AF249">
        <v>0</v>
      </c>
      <c r="AG249">
        <v>-97447</v>
      </c>
      <c r="AH249">
        <v>-6917595</v>
      </c>
      <c r="AI249">
        <v>0</v>
      </c>
      <c r="AJ249">
        <v>-6917595</v>
      </c>
      <c r="AK249">
        <v>-11053</v>
      </c>
      <c r="AL249">
        <v>0</v>
      </c>
      <c r="AM249">
        <v>-11053</v>
      </c>
      <c r="AN249">
        <v>962559</v>
      </c>
      <c r="AO249">
        <v>0</v>
      </c>
      <c r="AP249">
        <v>962559</v>
      </c>
      <c r="AQ249">
        <v>-5955036</v>
      </c>
      <c r="AR249">
        <v>0</v>
      </c>
      <c r="AS249">
        <v>-5955036</v>
      </c>
      <c r="AT249">
        <v>-3772019</v>
      </c>
      <c r="AU249">
        <v>0</v>
      </c>
      <c r="AV249">
        <v>-3772019</v>
      </c>
      <c r="AW249">
        <v>-52224</v>
      </c>
      <c r="AX249">
        <v>0</v>
      </c>
      <c r="AY249">
        <v>-52224</v>
      </c>
      <c r="AZ249">
        <v>-70092</v>
      </c>
      <c r="BA249">
        <v>0</v>
      </c>
      <c r="BB249">
        <v>-70092</v>
      </c>
      <c r="BC249">
        <v>0</v>
      </c>
      <c r="BD249">
        <v>0</v>
      </c>
      <c r="BE249">
        <v>0</v>
      </c>
      <c r="BF249">
        <v>-9849371</v>
      </c>
      <c r="BG249">
        <v>0</v>
      </c>
      <c r="BH249">
        <v>-53265</v>
      </c>
      <c r="BI249">
        <v>0</v>
      </c>
      <c r="BJ249">
        <v>-9902636</v>
      </c>
      <c r="BK249">
        <v>0</v>
      </c>
      <c r="BL249">
        <v>-9902636</v>
      </c>
      <c r="BM249">
        <v>0</v>
      </c>
      <c r="BN249">
        <v>0</v>
      </c>
      <c r="BO249">
        <v>0</v>
      </c>
      <c r="BP249">
        <v>-1556397</v>
      </c>
      <c r="BQ249">
        <v>0</v>
      </c>
      <c r="BR249">
        <v>-1556397</v>
      </c>
      <c r="BS249">
        <v>-1556397</v>
      </c>
      <c r="BT249">
        <v>0</v>
      </c>
      <c r="BU249">
        <v>0</v>
      </c>
      <c r="BV249">
        <v>0</v>
      </c>
      <c r="BW249">
        <v>-1556397</v>
      </c>
      <c r="BX249">
        <v>0</v>
      </c>
      <c r="BY249">
        <v>-1556397</v>
      </c>
      <c r="BZ249">
        <v>-164577</v>
      </c>
      <c r="CA249">
        <v>0</v>
      </c>
      <c r="CB249">
        <v>-164577</v>
      </c>
      <c r="CC249">
        <v>-40666</v>
      </c>
      <c r="CD249">
        <v>0</v>
      </c>
      <c r="CE249">
        <v>-40666</v>
      </c>
      <c r="CF249">
        <v>-4191</v>
      </c>
      <c r="CG249">
        <v>0</v>
      </c>
      <c r="CH249">
        <v>-4191</v>
      </c>
      <c r="CI249">
        <v>0</v>
      </c>
      <c r="CJ249">
        <v>0</v>
      </c>
      <c r="CK249">
        <v>0</v>
      </c>
      <c r="CL249">
        <v>-6138</v>
      </c>
      <c r="CM249">
        <v>0</v>
      </c>
      <c r="CN249">
        <v>-6138</v>
      </c>
      <c r="CO249">
        <v>-16470</v>
      </c>
      <c r="CP249">
        <v>0</v>
      </c>
      <c r="CQ249">
        <v>-16470</v>
      </c>
      <c r="CR249">
        <v>0</v>
      </c>
      <c r="CS249">
        <v>0</v>
      </c>
      <c r="CT249">
        <v>-232042</v>
      </c>
      <c r="CU249">
        <v>0</v>
      </c>
      <c r="CV249">
        <v>0</v>
      </c>
      <c r="CW249">
        <v>0</v>
      </c>
      <c r="CX249">
        <v>-232042</v>
      </c>
      <c r="CY249">
        <v>0</v>
      </c>
      <c r="CZ249">
        <v>-232042</v>
      </c>
      <c r="DA249">
        <v>-70092</v>
      </c>
      <c r="DB249">
        <v>0</v>
      </c>
      <c r="DC249">
        <v>-70092</v>
      </c>
      <c r="DD249">
        <v>-38713</v>
      </c>
      <c r="DE249">
        <v>0</v>
      </c>
      <c r="DF249">
        <v>-38713</v>
      </c>
      <c r="DG249">
        <v>-15000</v>
      </c>
      <c r="DH249">
        <v>0</v>
      </c>
      <c r="DI249">
        <v>-15000</v>
      </c>
      <c r="DJ249">
        <v>-403334</v>
      </c>
      <c r="DK249">
        <v>0</v>
      </c>
      <c r="DL249">
        <v>-403334</v>
      </c>
      <c r="DM249">
        <v>-527139</v>
      </c>
      <c r="DN249">
        <v>0</v>
      </c>
      <c r="DO249">
        <v>0</v>
      </c>
      <c r="DP249">
        <v>0</v>
      </c>
      <c r="DQ249">
        <v>-527139</v>
      </c>
      <c r="DR249">
        <v>0</v>
      </c>
      <c r="DS249">
        <v>-527139</v>
      </c>
      <c r="DT249">
        <v>47969107</v>
      </c>
      <c r="DU249">
        <v>0</v>
      </c>
      <c r="DV249" s="661">
        <v>47969107</v>
      </c>
      <c r="DW249" t="s">
        <v>1900</v>
      </c>
    </row>
    <row r="250" spans="1:127" ht="12.75" x14ac:dyDescent="0.2">
      <c r="A250" s="605">
        <v>243</v>
      </c>
      <c r="B250" s="606" t="s">
        <v>375</v>
      </c>
      <c r="C250" s="607" t="s">
        <v>1185</v>
      </c>
      <c r="D250" s="608" t="s">
        <v>1195</v>
      </c>
      <c r="E250" s="609" t="s">
        <v>374</v>
      </c>
      <c r="G250">
        <v>59227663</v>
      </c>
      <c r="H250">
        <v>9675500</v>
      </c>
      <c r="I250">
        <v>68903163</v>
      </c>
      <c r="J250">
        <v>49.9</v>
      </c>
      <c r="K250">
        <v>29554604</v>
      </c>
      <c r="L250">
        <v>4828075</v>
      </c>
      <c r="M250">
        <v>0</v>
      </c>
      <c r="N250">
        <v>0</v>
      </c>
      <c r="O250">
        <v>29554604</v>
      </c>
      <c r="P250">
        <v>4828075</v>
      </c>
      <c r="Q250">
        <v>34382679</v>
      </c>
      <c r="R250">
        <v>-187155</v>
      </c>
      <c r="S250">
        <v>0</v>
      </c>
      <c r="T250">
        <v>-187155</v>
      </c>
      <c r="U250">
        <v>70613</v>
      </c>
      <c r="V250">
        <v>0</v>
      </c>
      <c r="W250">
        <v>70613</v>
      </c>
      <c r="X250">
        <v>-116542</v>
      </c>
      <c r="Y250">
        <v>0</v>
      </c>
      <c r="Z250">
        <v>0</v>
      </c>
      <c r="AA250">
        <v>0</v>
      </c>
      <c r="AB250">
        <v>-116542</v>
      </c>
      <c r="AC250">
        <v>0</v>
      </c>
      <c r="AD250">
        <v>-116542</v>
      </c>
      <c r="AE250">
        <v>116542</v>
      </c>
      <c r="AF250">
        <v>0</v>
      </c>
      <c r="AG250">
        <v>116542</v>
      </c>
      <c r="AH250">
        <v>-3591015</v>
      </c>
      <c r="AI250">
        <v>0</v>
      </c>
      <c r="AJ250">
        <v>-3591015</v>
      </c>
      <c r="AK250">
        <v>0</v>
      </c>
      <c r="AL250">
        <v>0</v>
      </c>
      <c r="AM250">
        <v>0</v>
      </c>
      <c r="AN250">
        <v>502965</v>
      </c>
      <c r="AO250">
        <v>125872</v>
      </c>
      <c r="AP250">
        <v>628837</v>
      </c>
      <c r="AQ250">
        <v>-3088050</v>
      </c>
      <c r="AR250">
        <v>125872</v>
      </c>
      <c r="AS250">
        <v>-2962178</v>
      </c>
      <c r="AT250">
        <v>-1562567</v>
      </c>
      <c r="AU250">
        <v>0</v>
      </c>
      <c r="AV250">
        <v>-1562567</v>
      </c>
      <c r="AW250">
        <v>-22389</v>
      </c>
      <c r="AX250">
        <v>0</v>
      </c>
      <c r="AY250">
        <v>-22389</v>
      </c>
      <c r="AZ250">
        <v>-4917</v>
      </c>
      <c r="BA250">
        <v>0</v>
      </c>
      <c r="BB250">
        <v>-4917</v>
      </c>
      <c r="BC250">
        <v>0</v>
      </c>
      <c r="BD250">
        <v>0</v>
      </c>
      <c r="BE250">
        <v>0</v>
      </c>
      <c r="BF250">
        <v>-4677923</v>
      </c>
      <c r="BG250">
        <v>125872</v>
      </c>
      <c r="BH250">
        <v>-200000</v>
      </c>
      <c r="BI250">
        <v>0</v>
      </c>
      <c r="BJ250">
        <v>-4877923</v>
      </c>
      <c r="BK250">
        <v>125872</v>
      </c>
      <c r="BL250">
        <v>-4752051</v>
      </c>
      <c r="BM250">
        <v>0</v>
      </c>
      <c r="BN250">
        <v>0</v>
      </c>
      <c r="BO250">
        <v>0</v>
      </c>
      <c r="BP250">
        <v>-480000</v>
      </c>
      <c r="BQ250">
        <v>0</v>
      </c>
      <c r="BR250">
        <v>-480000</v>
      </c>
      <c r="BS250">
        <v>-480000</v>
      </c>
      <c r="BT250">
        <v>0</v>
      </c>
      <c r="BU250">
        <v>0</v>
      </c>
      <c r="BV250">
        <v>0</v>
      </c>
      <c r="BW250">
        <v>-480000</v>
      </c>
      <c r="BX250">
        <v>0</v>
      </c>
      <c r="BY250">
        <v>-480000</v>
      </c>
      <c r="BZ250">
        <v>-51977</v>
      </c>
      <c r="CA250">
        <v>0</v>
      </c>
      <c r="CB250">
        <v>-51977</v>
      </c>
      <c r="CC250">
        <v>-243150</v>
      </c>
      <c r="CD250">
        <v>0</v>
      </c>
      <c r="CE250">
        <v>-243150</v>
      </c>
      <c r="CF250">
        <v>-4471</v>
      </c>
      <c r="CG250">
        <v>0</v>
      </c>
      <c r="CH250">
        <v>-4471</v>
      </c>
      <c r="CI250">
        <v>0</v>
      </c>
      <c r="CJ250">
        <v>0</v>
      </c>
      <c r="CK250">
        <v>0</v>
      </c>
      <c r="CL250">
        <v>0</v>
      </c>
      <c r="CM250">
        <v>0</v>
      </c>
      <c r="CN250">
        <v>0</v>
      </c>
      <c r="CO250">
        <v>0</v>
      </c>
      <c r="CP250">
        <v>-162387</v>
      </c>
      <c r="CQ250">
        <v>-162387</v>
      </c>
      <c r="CR250">
        <v>-162387</v>
      </c>
      <c r="CS250">
        <v>0</v>
      </c>
      <c r="CT250">
        <v>-299598</v>
      </c>
      <c r="CU250">
        <v>-162387</v>
      </c>
      <c r="CV250">
        <v>0</v>
      </c>
      <c r="CW250">
        <v>0</v>
      </c>
      <c r="CX250">
        <v>-299598</v>
      </c>
      <c r="CY250">
        <v>-162387</v>
      </c>
      <c r="CZ250">
        <v>-461985</v>
      </c>
      <c r="DA250">
        <v>-4917</v>
      </c>
      <c r="DB250">
        <v>0</v>
      </c>
      <c r="DC250">
        <v>-4917</v>
      </c>
      <c r="DD250">
        <v>-18749</v>
      </c>
      <c r="DE250">
        <v>0</v>
      </c>
      <c r="DF250">
        <v>-18749</v>
      </c>
      <c r="DG250">
        <v>-5000</v>
      </c>
      <c r="DH250">
        <v>0</v>
      </c>
      <c r="DI250">
        <v>-5000</v>
      </c>
      <c r="DJ250">
        <v>-470012</v>
      </c>
      <c r="DK250">
        <v>0</v>
      </c>
      <c r="DL250">
        <v>-470012</v>
      </c>
      <c r="DM250">
        <v>-498678</v>
      </c>
      <c r="DN250">
        <v>0</v>
      </c>
      <c r="DO250">
        <v>0</v>
      </c>
      <c r="DP250">
        <v>0</v>
      </c>
      <c r="DQ250">
        <v>-498678</v>
      </c>
      <c r="DR250">
        <v>0</v>
      </c>
      <c r="DS250">
        <v>-498678</v>
      </c>
      <c r="DT250">
        <v>23281863</v>
      </c>
      <c r="DU250">
        <v>4791560</v>
      </c>
      <c r="DV250" s="661">
        <v>28073423</v>
      </c>
      <c r="DW250" t="s">
        <v>1901</v>
      </c>
    </row>
    <row r="251" spans="1:127" ht="12.75" x14ac:dyDescent="0.2">
      <c r="A251" s="605">
        <v>244</v>
      </c>
      <c r="B251" s="606" t="s">
        <v>377</v>
      </c>
      <c r="C251" s="607" t="s">
        <v>1192</v>
      </c>
      <c r="D251" s="608" t="s">
        <v>1197</v>
      </c>
      <c r="E251" s="609" t="s">
        <v>376</v>
      </c>
      <c r="G251">
        <v>78957708</v>
      </c>
      <c r="H251">
        <v>0</v>
      </c>
      <c r="I251">
        <v>78957708</v>
      </c>
      <c r="J251">
        <v>49.9</v>
      </c>
      <c r="K251">
        <v>39399896</v>
      </c>
      <c r="L251">
        <v>0</v>
      </c>
      <c r="M251">
        <v>-250000</v>
      </c>
      <c r="N251">
        <v>0</v>
      </c>
      <c r="O251">
        <v>39149896</v>
      </c>
      <c r="P251">
        <v>0</v>
      </c>
      <c r="Q251">
        <v>39149896</v>
      </c>
      <c r="R251">
        <v>-237950</v>
      </c>
      <c r="S251">
        <v>0</v>
      </c>
      <c r="T251">
        <v>-237950</v>
      </c>
      <c r="U251">
        <v>648790</v>
      </c>
      <c r="V251">
        <v>0</v>
      </c>
      <c r="W251">
        <v>648790</v>
      </c>
      <c r="X251">
        <v>410840</v>
      </c>
      <c r="Y251">
        <v>0</v>
      </c>
      <c r="Z251">
        <v>0</v>
      </c>
      <c r="AA251">
        <v>0</v>
      </c>
      <c r="AB251">
        <v>410840</v>
      </c>
      <c r="AC251">
        <v>0</v>
      </c>
      <c r="AD251">
        <v>410840</v>
      </c>
      <c r="AE251">
        <v>-410840</v>
      </c>
      <c r="AF251">
        <v>0</v>
      </c>
      <c r="AG251">
        <v>-410840</v>
      </c>
      <c r="AH251">
        <v>-4400000</v>
      </c>
      <c r="AI251">
        <v>0</v>
      </c>
      <c r="AJ251">
        <v>-4400000</v>
      </c>
      <c r="AK251">
        <v>0</v>
      </c>
      <c r="AL251">
        <v>0</v>
      </c>
      <c r="AM251">
        <v>0</v>
      </c>
      <c r="AN251">
        <v>670000</v>
      </c>
      <c r="AO251">
        <v>0</v>
      </c>
      <c r="AP251">
        <v>670000</v>
      </c>
      <c r="AQ251">
        <v>-3730000</v>
      </c>
      <c r="AR251">
        <v>0</v>
      </c>
      <c r="AS251">
        <v>-3730000</v>
      </c>
      <c r="AT251">
        <v>-2500000</v>
      </c>
      <c r="AU251">
        <v>0</v>
      </c>
      <c r="AV251">
        <v>-2500000</v>
      </c>
      <c r="AW251">
        <v>-68500</v>
      </c>
      <c r="AX251">
        <v>0</v>
      </c>
      <c r="AY251">
        <v>-68500</v>
      </c>
      <c r="AZ251">
        <v>0</v>
      </c>
      <c r="BA251">
        <v>0</v>
      </c>
      <c r="BB251">
        <v>0</v>
      </c>
      <c r="BC251">
        <v>0</v>
      </c>
      <c r="BD251">
        <v>0</v>
      </c>
      <c r="BE251">
        <v>0</v>
      </c>
      <c r="BF251">
        <v>-6298500</v>
      </c>
      <c r="BG251">
        <v>0</v>
      </c>
      <c r="BH251">
        <v>0</v>
      </c>
      <c r="BI251">
        <v>0</v>
      </c>
      <c r="BJ251">
        <v>-6298500</v>
      </c>
      <c r="BK251">
        <v>0</v>
      </c>
      <c r="BL251">
        <v>-6298500</v>
      </c>
      <c r="BM251">
        <v>0</v>
      </c>
      <c r="BN251">
        <v>0</v>
      </c>
      <c r="BO251">
        <v>0</v>
      </c>
      <c r="BP251">
        <v>-630000</v>
      </c>
      <c r="BQ251">
        <v>0</v>
      </c>
      <c r="BR251">
        <v>-630000</v>
      </c>
      <c r="BS251">
        <v>-630000</v>
      </c>
      <c r="BT251">
        <v>0</v>
      </c>
      <c r="BU251">
        <v>0</v>
      </c>
      <c r="BV251">
        <v>0</v>
      </c>
      <c r="BW251">
        <v>-630000</v>
      </c>
      <c r="BX251">
        <v>0</v>
      </c>
      <c r="BY251">
        <v>-630000</v>
      </c>
      <c r="BZ251">
        <v>-3800</v>
      </c>
      <c r="CA251">
        <v>0</v>
      </c>
      <c r="CB251">
        <v>-3800</v>
      </c>
      <c r="CC251">
        <v>-78000</v>
      </c>
      <c r="CD251">
        <v>0</v>
      </c>
      <c r="CE251">
        <v>-78000</v>
      </c>
      <c r="CF251">
        <v>0</v>
      </c>
      <c r="CG251">
        <v>0</v>
      </c>
      <c r="CH251">
        <v>0</v>
      </c>
      <c r="CI251">
        <v>0</v>
      </c>
      <c r="CJ251">
        <v>0</v>
      </c>
      <c r="CK251">
        <v>0</v>
      </c>
      <c r="CL251">
        <v>0</v>
      </c>
      <c r="CM251">
        <v>0</v>
      </c>
      <c r="CN251">
        <v>0</v>
      </c>
      <c r="CO251">
        <v>0</v>
      </c>
      <c r="CP251">
        <v>0</v>
      </c>
      <c r="CQ251">
        <v>0</v>
      </c>
      <c r="CR251">
        <v>0</v>
      </c>
      <c r="CS251">
        <v>0</v>
      </c>
      <c r="CT251">
        <v>-81800</v>
      </c>
      <c r="CU251">
        <v>0</v>
      </c>
      <c r="CV251">
        <v>0</v>
      </c>
      <c r="CW251">
        <v>0</v>
      </c>
      <c r="CX251">
        <v>-81800</v>
      </c>
      <c r="CY251">
        <v>0</v>
      </c>
      <c r="CZ251">
        <v>-81800</v>
      </c>
      <c r="DA251">
        <v>0</v>
      </c>
      <c r="DB251">
        <v>0</v>
      </c>
      <c r="DC251">
        <v>0</v>
      </c>
      <c r="DD251">
        <v>-30000</v>
      </c>
      <c r="DE251">
        <v>0</v>
      </c>
      <c r="DF251">
        <v>-30000</v>
      </c>
      <c r="DG251">
        <v>-6000</v>
      </c>
      <c r="DH251">
        <v>0</v>
      </c>
      <c r="DI251">
        <v>-6000</v>
      </c>
      <c r="DJ251">
        <v>-930000</v>
      </c>
      <c r="DK251">
        <v>0</v>
      </c>
      <c r="DL251">
        <v>-930000</v>
      </c>
      <c r="DM251">
        <v>-966000</v>
      </c>
      <c r="DN251">
        <v>0</v>
      </c>
      <c r="DO251">
        <v>0</v>
      </c>
      <c r="DP251">
        <v>0</v>
      </c>
      <c r="DQ251">
        <v>-966000</v>
      </c>
      <c r="DR251">
        <v>0</v>
      </c>
      <c r="DS251">
        <v>-966000</v>
      </c>
      <c r="DT251">
        <v>31584436</v>
      </c>
      <c r="DU251">
        <v>0</v>
      </c>
      <c r="DV251" s="661">
        <v>31584436</v>
      </c>
      <c r="DW251" t="s">
        <v>1902</v>
      </c>
    </row>
    <row r="252" spans="1:127" ht="12.75" x14ac:dyDescent="0.2">
      <c r="A252" s="605">
        <v>245</v>
      </c>
      <c r="B252" s="606" t="s">
        <v>379</v>
      </c>
      <c r="C252" s="607" t="s">
        <v>524</v>
      </c>
      <c r="D252" s="608" t="s">
        <v>1186</v>
      </c>
      <c r="E252" s="609" t="s">
        <v>574</v>
      </c>
      <c r="G252">
        <v>270663377</v>
      </c>
      <c r="H252">
        <v>0</v>
      </c>
      <c r="I252">
        <v>270663377</v>
      </c>
      <c r="J252">
        <v>49.9</v>
      </c>
      <c r="K252">
        <v>135061025</v>
      </c>
      <c r="L252">
        <v>0</v>
      </c>
      <c r="M252">
        <v>720586</v>
      </c>
      <c r="N252">
        <v>0</v>
      </c>
      <c r="O252">
        <v>135781611</v>
      </c>
      <c r="P252">
        <v>0</v>
      </c>
      <c r="Q252">
        <v>135781611</v>
      </c>
      <c r="R252">
        <v>-482690</v>
      </c>
      <c r="S252">
        <v>0</v>
      </c>
      <c r="T252">
        <v>-482690</v>
      </c>
      <c r="U252">
        <v>1457724</v>
      </c>
      <c r="V252">
        <v>0</v>
      </c>
      <c r="W252">
        <v>1457724</v>
      </c>
      <c r="X252">
        <v>975034</v>
      </c>
      <c r="Y252">
        <v>0</v>
      </c>
      <c r="Z252">
        <v>0</v>
      </c>
      <c r="AA252">
        <v>0</v>
      </c>
      <c r="AB252">
        <v>975034</v>
      </c>
      <c r="AC252">
        <v>0</v>
      </c>
      <c r="AD252">
        <v>975034</v>
      </c>
      <c r="AE252">
        <v>-975034</v>
      </c>
      <c r="AF252">
        <v>0</v>
      </c>
      <c r="AG252">
        <v>-975034</v>
      </c>
      <c r="AH252">
        <v>-6394105</v>
      </c>
      <c r="AI252">
        <v>0</v>
      </c>
      <c r="AJ252">
        <v>-6394105</v>
      </c>
      <c r="AK252">
        <v>-11252</v>
      </c>
      <c r="AL252">
        <v>0</v>
      </c>
      <c r="AM252">
        <v>-11252</v>
      </c>
      <c r="AN252">
        <v>2780531</v>
      </c>
      <c r="AO252">
        <v>0</v>
      </c>
      <c r="AP252">
        <v>2780531</v>
      </c>
      <c r="AQ252">
        <v>-3613574</v>
      </c>
      <c r="AR252">
        <v>0</v>
      </c>
      <c r="AS252">
        <v>-3613574</v>
      </c>
      <c r="AT252">
        <v>-12429612</v>
      </c>
      <c r="AU252">
        <v>0</v>
      </c>
      <c r="AV252">
        <v>-12429612</v>
      </c>
      <c r="AW252">
        <v>-55720</v>
      </c>
      <c r="AX252">
        <v>0</v>
      </c>
      <c r="AY252">
        <v>-55720</v>
      </c>
      <c r="AZ252">
        <v>0</v>
      </c>
      <c r="BA252">
        <v>0</v>
      </c>
      <c r="BB252">
        <v>0</v>
      </c>
      <c r="BC252">
        <v>0</v>
      </c>
      <c r="BD252">
        <v>0</v>
      </c>
      <c r="BE252">
        <v>0</v>
      </c>
      <c r="BF252">
        <v>-16098906</v>
      </c>
      <c r="BG252">
        <v>0</v>
      </c>
      <c r="BH252">
        <v>0</v>
      </c>
      <c r="BI252">
        <v>0</v>
      </c>
      <c r="BJ252">
        <v>-16098906</v>
      </c>
      <c r="BK252">
        <v>0</v>
      </c>
      <c r="BL252">
        <v>-16098906</v>
      </c>
      <c r="BM252">
        <v>-50000</v>
      </c>
      <c r="BN252">
        <v>0</v>
      </c>
      <c r="BO252">
        <v>-50000</v>
      </c>
      <c r="BP252">
        <v>-3602678</v>
      </c>
      <c r="BQ252">
        <v>0</v>
      </c>
      <c r="BR252">
        <v>-3602678</v>
      </c>
      <c r="BS252">
        <v>-3652678</v>
      </c>
      <c r="BT252">
        <v>0</v>
      </c>
      <c r="BU252">
        <v>0</v>
      </c>
      <c r="BV252">
        <v>0</v>
      </c>
      <c r="BW252">
        <v>-3652678</v>
      </c>
      <c r="BX252">
        <v>0</v>
      </c>
      <c r="BY252">
        <v>-3652678</v>
      </c>
      <c r="BZ252">
        <v>0</v>
      </c>
      <c r="CA252">
        <v>0</v>
      </c>
      <c r="CB252">
        <v>0</v>
      </c>
      <c r="CC252">
        <v>-102530</v>
      </c>
      <c r="CD252">
        <v>0</v>
      </c>
      <c r="CE252">
        <v>-102530</v>
      </c>
      <c r="CF252">
        <v>0</v>
      </c>
      <c r="CG252">
        <v>0</v>
      </c>
      <c r="CH252">
        <v>0</v>
      </c>
      <c r="CI252">
        <v>0</v>
      </c>
      <c r="CJ252">
        <v>0</v>
      </c>
      <c r="CK252">
        <v>0</v>
      </c>
      <c r="CL252">
        <v>0</v>
      </c>
      <c r="CM252">
        <v>0</v>
      </c>
      <c r="CN252">
        <v>0</v>
      </c>
      <c r="CO252">
        <v>0</v>
      </c>
      <c r="CP252">
        <v>0</v>
      </c>
      <c r="CQ252">
        <v>0</v>
      </c>
      <c r="CR252">
        <v>0</v>
      </c>
      <c r="CS252">
        <v>0</v>
      </c>
      <c r="CT252">
        <v>-102530</v>
      </c>
      <c r="CU252">
        <v>0</v>
      </c>
      <c r="CV252">
        <v>0</v>
      </c>
      <c r="CW252">
        <v>0</v>
      </c>
      <c r="CX252">
        <v>-102530</v>
      </c>
      <c r="CY252">
        <v>0</v>
      </c>
      <c r="CZ252">
        <v>-102530</v>
      </c>
      <c r="DA252">
        <v>0</v>
      </c>
      <c r="DB252">
        <v>0</v>
      </c>
      <c r="DC252">
        <v>0</v>
      </c>
      <c r="DD252">
        <v>-17401</v>
      </c>
      <c r="DE252">
        <v>0</v>
      </c>
      <c r="DF252">
        <v>-17401</v>
      </c>
      <c r="DG252">
        <v>-11560</v>
      </c>
      <c r="DH252">
        <v>0</v>
      </c>
      <c r="DI252">
        <v>-11560</v>
      </c>
      <c r="DJ252">
        <v>-2064719</v>
      </c>
      <c r="DK252">
        <v>0</v>
      </c>
      <c r="DL252">
        <v>-2064719</v>
      </c>
      <c r="DM252">
        <v>-2093680</v>
      </c>
      <c r="DN252">
        <v>0</v>
      </c>
      <c r="DO252">
        <v>0</v>
      </c>
      <c r="DP252">
        <v>0</v>
      </c>
      <c r="DQ252">
        <v>-2093680</v>
      </c>
      <c r="DR252">
        <v>0</v>
      </c>
      <c r="DS252">
        <v>-2093680</v>
      </c>
      <c r="DT252">
        <v>114808851</v>
      </c>
      <c r="DU252">
        <v>0</v>
      </c>
      <c r="DV252" s="661">
        <v>114808851</v>
      </c>
      <c r="DW252" t="s">
        <v>1903</v>
      </c>
    </row>
    <row r="253" spans="1:127" ht="12.75" x14ac:dyDescent="0.2">
      <c r="A253" s="605">
        <v>246</v>
      </c>
      <c r="B253" s="606" t="s">
        <v>381</v>
      </c>
      <c r="C253" s="607" t="s">
        <v>524</v>
      </c>
      <c r="D253" s="608" t="s">
        <v>1189</v>
      </c>
      <c r="E253" s="609" t="s">
        <v>567</v>
      </c>
      <c r="G253">
        <v>121963733</v>
      </c>
      <c r="H253">
        <v>0</v>
      </c>
      <c r="I253">
        <v>121963733</v>
      </c>
      <c r="J253">
        <v>49.9</v>
      </c>
      <c r="K253">
        <v>60859903</v>
      </c>
      <c r="L253">
        <v>0</v>
      </c>
      <c r="M253">
        <v>0</v>
      </c>
      <c r="N253">
        <v>0</v>
      </c>
      <c r="O253">
        <v>60859903</v>
      </c>
      <c r="P253">
        <v>0</v>
      </c>
      <c r="Q253">
        <v>60859903</v>
      </c>
      <c r="R253">
        <v>-317775</v>
      </c>
      <c r="S253">
        <v>0</v>
      </c>
      <c r="T253">
        <v>-317775</v>
      </c>
      <c r="U253">
        <v>498702</v>
      </c>
      <c r="V253">
        <v>0</v>
      </c>
      <c r="W253">
        <v>498702</v>
      </c>
      <c r="X253">
        <v>180927</v>
      </c>
      <c r="Y253">
        <v>0</v>
      </c>
      <c r="Z253">
        <v>0</v>
      </c>
      <c r="AA253">
        <v>0</v>
      </c>
      <c r="AB253">
        <v>180927</v>
      </c>
      <c r="AC253">
        <v>0</v>
      </c>
      <c r="AD253">
        <v>180927</v>
      </c>
      <c r="AE253">
        <v>-180927</v>
      </c>
      <c r="AF253">
        <v>0</v>
      </c>
      <c r="AG253">
        <v>-180927</v>
      </c>
      <c r="AH253">
        <v>-7937547</v>
      </c>
      <c r="AI253">
        <v>0</v>
      </c>
      <c r="AJ253">
        <v>-7937547</v>
      </c>
      <c r="AK253">
        <v>-15748</v>
      </c>
      <c r="AL253">
        <v>0</v>
      </c>
      <c r="AM253">
        <v>-15748</v>
      </c>
      <c r="AN253">
        <v>997975</v>
      </c>
      <c r="AO253">
        <v>0</v>
      </c>
      <c r="AP253">
        <v>997975</v>
      </c>
      <c r="AQ253">
        <v>-6939572</v>
      </c>
      <c r="AR253">
        <v>0</v>
      </c>
      <c r="AS253">
        <v>-6939572</v>
      </c>
      <c r="AT253">
        <v>-5245698</v>
      </c>
      <c r="AU253">
        <v>0</v>
      </c>
      <c r="AV253">
        <v>-5245698</v>
      </c>
      <c r="AW253">
        <v>-55089</v>
      </c>
      <c r="AX253">
        <v>0</v>
      </c>
      <c r="AY253">
        <v>-55089</v>
      </c>
      <c r="AZ253">
        <v>0</v>
      </c>
      <c r="BA253">
        <v>0</v>
      </c>
      <c r="BB253">
        <v>0</v>
      </c>
      <c r="BC253">
        <v>0</v>
      </c>
      <c r="BD253">
        <v>0</v>
      </c>
      <c r="BE253">
        <v>0</v>
      </c>
      <c r="BF253">
        <v>-12240359</v>
      </c>
      <c r="BG253">
        <v>0</v>
      </c>
      <c r="BH253">
        <v>0</v>
      </c>
      <c r="BI253">
        <v>0</v>
      </c>
      <c r="BJ253">
        <v>-12240359</v>
      </c>
      <c r="BK253">
        <v>0</v>
      </c>
      <c r="BL253">
        <v>-12240359</v>
      </c>
      <c r="BM253">
        <v>0</v>
      </c>
      <c r="BN253">
        <v>0</v>
      </c>
      <c r="BO253">
        <v>0</v>
      </c>
      <c r="BP253">
        <v>-897099</v>
      </c>
      <c r="BQ253">
        <v>0</v>
      </c>
      <c r="BR253">
        <v>-897099</v>
      </c>
      <c r="BS253">
        <v>-897099</v>
      </c>
      <c r="BT253">
        <v>0</v>
      </c>
      <c r="BU253">
        <v>-600000</v>
      </c>
      <c r="BV253">
        <v>0</v>
      </c>
      <c r="BW253">
        <v>-1497099</v>
      </c>
      <c r="BX253">
        <v>0</v>
      </c>
      <c r="BY253">
        <v>-1497099</v>
      </c>
      <c r="BZ253">
        <v>-85299</v>
      </c>
      <c r="CA253">
        <v>0</v>
      </c>
      <c r="CB253">
        <v>-85299</v>
      </c>
      <c r="CC253">
        <v>-37455</v>
      </c>
      <c r="CD253">
        <v>0</v>
      </c>
      <c r="CE253">
        <v>-37455</v>
      </c>
      <c r="CF253">
        <v>-3942</v>
      </c>
      <c r="CG253">
        <v>0</v>
      </c>
      <c r="CH253">
        <v>-3942</v>
      </c>
      <c r="CI253">
        <v>0</v>
      </c>
      <c r="CJ253">
        <v>0</v>
      </c>
      <c r="CK253">
        <v>0</v>
      </c>
      <c r="CL253">
        <v>0</v>
      </c>
      <c r="CM253">
        <v>0</v>
      </c>
      <c r="CN253">
        <v>0</v>
      </c>
      <c r="CO253">
        <v>0</v>
      </c>
      <c r="CP253">
        <v>0</v>
      </c>
      <c r="CQ253">
        <v>0</v>
      </c>
      <c r="CR253">
        <v>0</v>
      </c>
      <c r="CS253">
        <v>0</v>
      </c>
      <c r="CT253">
        <v>-126696</v>
      </c>
      <c r="CU253">
        <v>0</v>
      </c>
      <c r="CV253">
        <v>0</v>
      </c>
      <c r="CW253">
        <v>0</v>
      </c>
      <c r="CX253">
        <v>-126696</v>
      </c>
      <c r="CY253">
        <v>0</v>
      </c>
      <c r="CZ253">
        <v>-126696</v>
      </c>
      <c r="DA253">
        <v>0</v>
      </c>
      <c r="DB253">
        <v>0</v>
      </c>
      <c r="DC253">
        <v>0</v>
      </c>
      <c r="DD253">
        <v>-24531</v>
      </c>
      <c r="DE253">
        <v>0</v>
      </c>
      <c r="DF253">
        <v>-24531</v>
      </c>
      <c r="DG253">
        <v>-9210</v>
      </c>
      <c r="DH253">
        <v>0</v>
      </c>
      <c r="DI253">
        <v>-9210</v>
      </c>
      <c r="DJ253">
        <v>-1183198</v>
      </c>
      <c r="DK253">
        <v>0</v>
      </c>
      <c r="DL253">
        <v>-1183198</v>
      </c>
      <c r="DM253">
        <v>-1216939</v>
      </c>
      <c r="DN253">
        <v>0</v>
      </c>
      <c r="DO253">
        <v>-591776</v>
      </c>
      <c r="DP253">
        <v>0</v>
      </c>
      <c r="DQ253">
        <v>-1808715</v>
      </c>
      <c r="DR253">
        <v>0</v>
      </c>
      <c r="DS253">
        <v>-1808715</v>
      </c>
      <c r="DT253">
        <v>45367961</v>
      </c>
      <c r="DU253">
        <v>0</v>
      </c>
      <c r="DV253" s="661">
        <v>45367961</v>
      </c>
      <c r="DW253" t="s">
        <v>1904</v>
      </c>
    </row>
    <row r="254" spans="1:127" ht="12.75" x14ac:dyDescent="0.2">
      <c r="A254" s="605">
        <v>247</v>
      </c>
      <c r="B254" s="606" t="s">
        <v>383</v>
      </c>
      <c r="C254" s="607" t="s">
        <v>1196</v>
      </c>
      <c r="D254" s="608" t="s">
        <v>1191</v>
      </c>
      <c r="E254" s="609" t="s">
        <v>382</v>
      </c>
      <c r="G254">
        <v>776191436</v>
      </c>
      <c r="H254">
        <v>0</v>
      </c>
      <c r="I254">
        <v>776191436</v>
      </c>
      <c r="J254">
        <v>49.9</v>
      </c>
      <c r="K254">
        <v>387319527</v>
      </c>
      <c r="L254">
        <v>0</v>
      </c>
      <c r="M254">
        <v>3000000</v>
      </c>
      <c r="N254">
        <v>0</v>
      </c>
      <c r="O254">
        <v>390319527</v>
      </c>
      <c r="P254">
        <v>0</v>
      </c>
      <c r="Q254">
        <v>390319527</v>
      </c>
      <c r="R254">
        <v>-5339766</v>
      </c>
      <c r="S254">
        <v>0</v>
      </c>
      <c r="T254">
        <v>-5339766</v>
      </c>
      <c r="U254">
        <v>312201</v>
      </c>
      <c r="V254">
        <v>0</v>
      </c>
      <c r="W254">
        <v>312201</v>
      </c>
      <c r="X254">
        <v>-5027565</v>
      </c>
      <c r="Y254">
        <v>0</v>
      </c>
      <c r="Z254">
        <v>0</v>
      </c>
      <c r="AA254">
        <v>0</v>
      </c>
      <c r="AB254">
        <v>-5027565</v>
      </c>
      <c r="AC254">
        <v>0</v>
      </c>
      <c r="AD254">
        <v>-5027565</v>
      </c>
      <c r="AE254">
        <v>5027565</v>
      </c>
      <c r="AF254">
        <v>0</v>
      </c>
      <c r="AG254">
        <v>5027565</v>
      </c>
      <c r="AH254">
        <v>-9879765</v>
      </c>
      <c r="AI254">
        <v>0</v>
      </c>
      <c r="AJ254">
        <v>-9879765</v>
      </c>
      <c r="AK254">
        <v>0</v>
      </c>
      <c r="AL254">
        <v>0</v>
      </c>
      <c r="AM254">
        <v>0</v>
      </c>
      <c r="AN254">
        <v>8479726</v>
      </c>
      <c r="AO254">
        <v>0</v>
      </c>
      <c r="AP254">
        <v>8479726</v>
      </c>
      <c r="AQ254">
        <v>-1400039</v>
      </c>
      <c r="AR254">
        <v>0</v>
      </c>
      <c r="AS254">
        <v>-1400039</v>
      </c>
      <c r="AT254">
        <v>-36826768</v>
      </c>
      <c r="AU254">
        <v>0</v>
      </c>
      <c r="AV254">
        <v>-36826768</v>
      </c>
      <c r="AW254">
        <v>-27724</v>
      </c>
      <c r="AX254">
        <v>0</v>
      </c>
      <c r="AY254">
        <v>-27724</v>
      </c>
      <c r="AZ254">
        <v>0</v>
      </c>
      <c r="BA254">
        <v>0</v>
      </c>
      <c r="BB254">
        <v>0</v>
      </c>
      <c r="BC254">
        <v>0</v>
      </c>
      <c r="BD254">
        <v>0</v>
      </c>
      <c r="BE254">
        <v>0</v>
      </c>
      <c r="BF254">
        <v>-38254531</v>
      </c>
      <c r="BG254">
        <v>0</v>
      </c>
      <c r="BH254">
        <v>0</v>
      </c>
      <c r="BI254">
        <v>0</v>
      </c>
      <c r="BJ254">
        <v>-38254531</v>
      </c>
      <c r="BK254">
        <v>0</v>
      </c>
      <c r="BL254">
        <v>-38254531</v>
      </c>
      <c r="BM254">
        <v>0</v>
      </c>
      <c r="BN254">
        <v>0</v>
      </c>
      <c r="BO254">
        <v>0</v>
      </c>
      <c r="BP254">
        <v>-8101531</v>
      </c>
      <c r="BQ254">
        <v>0</v>
      </c>
      <c r="BR254">
        <v>-8101531</v>
      </c>
      <c r="BS254">
        <v>-8101531</v>
      </c>
      <c r="BT254">
        <v>0</v>
      </c>
      <c r="BU254">
        <v>0</v>
      </c>
      <c r="BV254">
        <v>0</v>
      </c>
      <c r="BW254">
        <v>-8101531</v>
      </c>
      <c r="BX254">
        <v>0</v>
      </c>
      <c r="BY254">
        <v>-8101531</v>
      </c>
      <c r="BZ254">
        <v>-402382</v>
      </c>
      <c r="CA254">
        <v>0</v>
      </c>
      <c r="CB254">
        <v>-402382</v>
      </c>
      <c r="CC254">
        <v>-109980</v>
      </c>
      <c r="CD254">
        <v>0</v>
      </c>
      <c r="CE254">
        <v>-109980</v>
      </c>
      <c r="CF254">
        <v>0</v>
      </c>
      <c r="CG254">
        <v>0</v>
      </c>
      <c r="CH254">
        <v>0</v>
      </c>
      <c r="CI254">
        <v>0</v>
      </c>
      <c r="CJ254">
        <v>0</v>
      </c>
      <c r="CK254">
        <v>0</v>
      </c>
      <c r="CL254">
        <v>0</v>
      </c>
      <c r="CM254">
        <v>0</v>
      </c>
      <c r="CN254">
        <v>0</v>
      </c>
      <c r="CO254">
        <v>0</v>
      </c>
      <c r="CP254">
        <v>0</v>
      </c>
      <c r="CQ254">
        <v>0</v>
      </c>
      <c r="CR254">
        <v>0</v>
      </c>
      <c r="CS254">
        <v>0</v>
      </c>
      <c r="CT254">
        <v>-512362</v>
      </c>
      <c r="CU254">
        <v>0</v>
      </c>
      <c r="CV254">
        <v>0</v>
      </c>
      <c r="CW254">
        <v>0</v>
      </c>
      <c r="CX254">
        <v>-512362</v>
      </c>
      <c r="CY254">
        <v>0</v>
      </c>
      <c r="CZ254">
        <v>-512362</v>
      </c>
      <c r="DA254">
        <v>0</v>
      </c>
      <c r="DB254">
        <v>0</v>
      </c>
      <c r="DC254">
        <v>0</v>
      </c>
      <c r="DD254">
        <v>-486587</v>
      </c>
      <c r="DE254">
        <v>0</v>
      </c>
      <c r="DF254">
        <v>-486587</v>
      </c>
      <c r="DG254">
        <v>-100000</v>
      </c>
      <c r="DH254">
        <v>0</v>
      </c>
      <c r="DI254">
        <v>-100000</v>
      </c>
      <c r="DJ254">
        <v>-3338977</v>
      </c>
      <c r="DK254">
        <v>0</v>
      </c>
      <c r="DL254">
        <v>-3338977</v>
      </c>
      <c r="DM254">
        <v>-3925564</v>
      </c>
      <c r="DN254">
        <v>0</v>
      </c>
      <c r="DO254">
        <v>0</v>
      </c>
      <c r="DP254">
        <v>0</v>
      </c>
      <c r="DQ254">
        <v>-3925564</v>
      </c>
      <c r="DR254">
        <v>0</v>
      </c>
      <c r="DS254">
        <v>-3925564</v>
      </c>
      <c r="DT254">
        <v>334497974</v>
      </c>
      <c r="DU254">
        <v>0</v>
      </c>
      <c r="DV254" s="661">
        <v>334497974</v>
      </c>
      <c r="DW254" t="s">
        <v>1905</v>
      </c>
    </row>
    <row r="255" spans="1:127" ht="12.75" x14ac:dyDescent="0.2">
      <c r="A255" s="605">
        <v>248</v>
      </c>
      <c r="B255" s="606" t="s">
        <v>385</v>
      </c>
      <c r="C255" s="607" t="s">
        <v>1185</v>
      </c>
      <c r="D255" s="608" t="s">
        <v>1186</v>
      </c>
      <c r="E255" s="609" t="s">
        <v>384</v>
      </c>
      <c r="G255">
        <v>116536391</v>
      </c>
      <c r="H255">
        <v>0</v>
      </c>
      <c r="I255">
        <v>116536391</v>
      </c>
      <c r="J255">
        <v>49.9</v>
      </c>
      <c r="K255">
        <v>58151659</v>
      </c>
      <c r="L255">
        <v>0</v>
      </c>
      <c r="M255">
        <v>-2150000</v>
      </c>
      <c r="N255">
        <v>0</v>
      </c>
      <c r="O255">
        <v>56001659</v>
      </c>
      <c r="P255">
        <v>0</v>
      </c>
      <c r="Q255">
        <v>56001659</v>
      </c>
      <c r="R255">
        <v>-191864</v>
      </c>
      <c r="S255">
        <v>0</v>
      </c>
      <c r="T255">
        <v>-191864</v>
      </c>
      <c r="U255">
        <v>109680</v>
      </c>
      <c r="V255">
        <v>0</v>
      </c>
      <c r="W255">
        <v>109680</v>
      </c>
      <c r="X255">
        <v>-82184</v>
      </c>
      <c r="Y255">
        <v>0</v>
      </c>
      <c r="Z255">
        <v>0</v>
      </c>
      <c r="AA255">
        <v>0</v>
      </c>
      <c r="AB255">
        <v>-82184</v>
      </c>
      <c r="AC255">
        <v>0</v>
      </c>
      <c r="AD255">
        <v>-82184</v>
      </c>
      <c r="AE255">
        <v>82184</v>
      </c>
      <c r="AF255">
        <v>0</v>
      </c>
      <c r="AG255">
        <v>82184</v>
      </c>
      <c r="AH255">
        <v>-2524621</v>
      </c>
      <c r="AI255">
        <v>0</v>
      </c>
      <c r="AJ255">
        <v>-2524621</v>
      </c>
      <c r="AK255">
        <v>0</v>
      </c>
      <c r="AL255">
        <v>0</v>
      </c>
      <c r="AM255">
        <v>0</v>
      </c>
      <c r="AN255">
        <v>1215279</v>
      </c>
      <c r="AO255">
        <v>0</v>
      </c>
      <c r="AP255">
        <v>1215279</v>
      </c>
      <c r="AQ255">
        <v>-1309342</v>
      </c>
      <c r="AR255">
        <v>0</v>
      </c>
      <c r="AS255">
        <v>-1309342</v>
      </c>
      <c r="AT255">
        <v>-2629147</v>
      </c>
      <c r="AU255">
        <v>0</v>
      </c>
      <c r="AV255">
        <v>-2629147</v>
      </c>
      <c r="AW255">
        <v>-17469</v>
      </c>
      <c r="AX255">
        <v>0</v>
      </c>
      <c r="AY255">
        <v>-17469</v>
      </c>
      <c r="AZ255">
        <v>0</v>
      </c>
      <c r="BA255">
        <v>0</v>
      </c>
      <c r="BB255">
        <v>0</v>
      </c>
      <c r="BC255">
        <v>0</v>
      </c>
      <c r="BD255">
        <v>0</v>
      </c>
      <c r="BE255">
        <v>0</v>
      </c>
      <c r="BF255">
        <v>-3955958</v>
      </c>
      <c r="BG255">
        <v>0</v>
      </c>
      <c r="BH255">
        <v>0</v>
      </c>
      <c r="BI255">
        <v>0</v>
      </c>
      <c r="BJ255">
        <v>-3955958</v>
      </c>
      <c r="BK255">
        <v>0</v>
      </c>
      <c r="BL255">
        <v>-3955958</v>
      </c>
      <c r="BM255">
        <v>0</v>
      </c>
      <c r="BN255">
        <v>0</v>
      </c>
      <c r="BO255">
        <v>0</v>
      </c>
      <c r="BP255">
        <v>-2021297</v>
      </c>
      <c r="BQ255">
        <v>0</v>
      </c>
      <c r="BR255">
        <v>-2021297</v>
      </c>
      <c r="BS255">
        <v>-2021297</v>
      </c>
      <c r="BT255">
        <v>0</v>
      </c>
      <c r="BU255">
        <v>0</v>
      </c>
      <c r="BV255">
        <v>0</v>
      </c>
      <c r="BW255">
        <v>-2021297</v>
      </c>
      <c r="BX255">
        <v>0</v>
      </c>
      <c r="BY255">
        <v>-2021297</v>
      </c>
      <c r="BZ255">
        <v>-50203</v>
      </c>
      <c r="CA255">
        <v>0</v>
      </c>
      <c r="CB255">
        <v>-50203</v>
      </c>
      <c r="CC255">
        <v>-100523</v>
      </c>
      <c r="CD255">
        <v>0</v>
      </c>
      <c r="CE255">
        <v>-100523</v>
      </c>
      <c r="CF255">
        <v>-3702</v>
      </c>
      <c r="CG255">
        <v>0</v>
      </c>
      <c r="CH255">
        <v>-3702</v>
      </c>
      <c r="CI255">
        <v>0</v>
      </c>
      <c r="CJ255">
        <v>0</v>
      </c>
      <c r="CK255">
        <v>0</v>
      </c>
      <c r="CL255">
        <v>0</v>
      </c>
      <c r="CM255">
        <v>0</v>
      </c>
      <c r="CN255">
        <v>0</v>
      </c>
      <c r="CO255">
        <v>0</v>
      </c>
      <c r="CP255">
        <v>0</v>
      </c>
      <c r="CQ255">
        <v>0</v>
      </c>
      <c r="CR255">
        <v>0</v>
      </c>
      <c r="CS255">
        <v>0</v>
      </c>
      <c r="CT255">
        <v>-154428</v>
      </c>
      <c r="CU255">
        <v>0</v>
      </c>
      <c r="CV255">
        <v>0</v>
      </c>
      <c r="CW255">
        <v>0</v>
      </c>
      <c r="CX255">
        <v>-154428</v>
      </c>
      <c r="CY255">
        <v>0</v>
      </c>
      <c r="CZ255">
        <v>-154428</v>
      </c>
      <c r="DA255">
        <v>0</v>
      </c>
      <c r="DB255">
        <v>0</v>
      </c>
      <c r="DC255">
        <v>0</v>
      </c>
      <c r="DD255">
        <v>-15471</v>
      </c>
      <c r="DE255">
        <v>0</v>
      </c>
      <c r="DF255">
        <v>-15471</v>
      </c>
      <c r="DG255">
        <v>-10000</v>
      </c>
      <c r="DH255">
        <v>0</v>
      </c>
      <c r="DI255">
        <v>-10000</v>
      </c>
      <c r="DJ255">
        <v>-1351568</v>
      </c>
      <c r="DK255">
        <v>0</v>
      </c>
      <c r="DL255">
        <v>-1351568</v>
      </c>
      <c r="DM255">
        <v>-1377039</v>
      </c>
      <c r="DN255">
        <v>0</v>
      </c>
      <c r="DO255">
        <v>0</v>
      </c>
      <c r="DP255">
        <v>0</v>
      </c>
      <c r="DQ255">
        <v>-1377039</v>
      </c>
      <c r="DR255">
        <v>0</v>
      </c>
      <c r="DS255">
        <v>-1377039</v>
      </c>
      <c r="DT255">
        <v>48410753</v>
      </c>
      <c r="DU255">
        <v>0</v>
      </c>
      <c r="DV255" s="661">
        <v>48410753</v>
      </c>
      <c r="DW255" t="s">
        <v>1906</v>
      </c>
    </row>
    <row r="256" spans="1:127" ht="12.75" x14ac:dyDescent="0.2">
      <c r="A256" s="605">
        <v>249</v>
      </c>
      <c r="B256" s="606" t="s">
        <v>387</v>
      </c>
      <c r="C256" s="607" t="s">
        <v>1185</v>
      </c>
      <c r="D256" s="608" t="s">
        <v>1189</v>
      </c>
      <c r="E256" s="609" t="s">
        <v>386</v>
      </c>
      <c r="G256">
        <v>143325713</v>
      </c>
      <c r="H256">
        <v>3644775</v>
      </c>
      <c r="I256">
        <v>146970488</v>
      </c>
      <c r="J256">
        <v>49.9</v>
      </c>
      <c r="K256">
        <v>71519531</v>
      </c>
      <c r="L256">
        <v>1818743</v>
      </c>
      <c r="M256">
        <v>0</v>
      </c>
      <c r="N256">
        <v>0</v>
      </c>
      <c r="O256">
        <v>71519531</v>
      </c>
      <c r="P256">
        <v>1818743</v>
      </c>
      <c r="Q256">
        <v>73338274</v>
      </c>
      <c r="R256">
        <v>-168017</v>
      </c>
      <c r="S256">
        <v>0</v>
      </c>
      <c r="T256">
        <v>-168017</v>
      </c>
      <c r="U256">
        <v>170601</v>
      </c>
      <c r="V256">
        <v>0</v>
      </c>
      <c r="W256">
        <v>170601</v>
      </c>
      <c r="X256">
        <v>2584</v>
      </c>
      <c r="Y256">
        <v>0</v>
      </c>
      <c r="Z256">
        <v>0</v>
      </c>
      <c r="AA256">
        <v>0</v>
      </c>
      <c r="AB256">
        <v>2584</v>
      </c>
      <c r="AC256">
        <v>0</v>
      </c>
      <c r="AD256">
        <v>2584</v>
      </c>
      <c r="AE256">
        <v>-2584</v>
      </c>
      <c r="AF256">
        <v>0</v>
      </c>
      <c r="AG256">
        <v>-2584</v>
      </c>
      <c r="AH256">
        <v>-3461762</v>
      </c>
      <c r="AI256">
        <v>-35882</v>
      </c>
      <c r="AJ256">
        <v>-3497644</v>
      </c>
      <c r="AK256">
        <v>0</v>
      </c>
      <c r="AL256">
        <v>0</v>
      </c>
      <c r="AM256">
        <v>0</v>
      </c>
      <c r="AN256">
        <v>1312573</v>
      </c>
      <c r="AO256">
        <v>43871</v>
      </c>
      <c r="AP256">
        <v>1356444</v>
      </c>
      <c r="AQ256">
        <v>-2149189</v>
      </c>
      <c r="AR256">
        <v>7989</v>
      </c>
      <c r="AS256">
        <v>-2141200</v>
      </c>
      <c r="AT256">
        <v>-4955890</v>
      </c>
      <c r="AU256">
        <v>-1224704</v>
      </c>
      <c r="AV256">
        <v>-6180594</v>
      </c>
      <c r="AW256">
        <v>-100045</v>
      </c>
      <c r="AX256">
        <v>0</v>
      </c>
      <c r="AY256">
        <v>-100045</v>
      </c>
      <c r="AZ256">
        <v>0</v>
      </c>
      <c r="BA256">
        <v>0</v>
      </c>
      <c r="BB256">
        <v>0</v>
      </c>
      <c r="BC256">
        <v>0</v>
      </c>
      <c r="BD256">
        <v>0</v>
      </c>
      <c r="BE256">
        <v>0</v>
      </c>
      <c r="BF256">
        <v>-7205124</v>
      </c>
      <c r="BG256">
        <v>-1216715</v>
      </c>
      <c r="BH256">
        <v>0</v>
      </c>
      <c r="BI256">
        <v>0</v>
      </c>
      <c r="BJ256">
        <v>-7205124</v>
      </c>
      <c r="BK256">
        <v>-1216715</v>
      </c>
      <c r="BL256">
        <v>-8421839</v>
      </c>
      <c r="BM256">
        <v>0</v>
      </c>
      <c r="BN256">
        <v>0</v>
      </c>
      <c r="BO256">
        <v>0</v>
      </c>
      <c r="BP256">
        <v>-1470647</v>
      </c>
      <c r="BQ256">
        <v>0</v>
      </c>
      <c r="BR256">
        <v>-1470647</v>
      </c>
      <c r="BS256">
        <v>-1470647</v>
      </c>
      <c r="BT256">
        <v>0</v>
      </c>
      <c r="BU256">
        <v>0</v>
      </c>
      <c r="BV256">
        <v>0</v>
      </c>
      <c r="BW256">
        <v>-1470647</v>
      </c>
      <c r="BX256">
        <v>0</v>
      </c>
      <c r="BY256">
        <v>-1470647</v>
      </c>
      <c r="BZ256">
        <v>-139685</v>
      </c>
      <c r="CA256">
        <v>0</v>
      </c>
      <c r="CB256">
        <v>-139685</v>
      </c>
      <c r="CC256">
        <v>-19985</v>
      </c>
      <c r="CD256">
        <v>0</v>
      </c>
      <c r="CE256">
        <v>-19985</v>
      </c>
      <c r="CF256">
        <v>0</v>
      </c>
      <c r="CG256">
        <v>0</v>
      </c>
      <c r="CH256">
        <v>0</v>
      </c>
      <c r="CI256">
        <v>0</v>
      </c>
      <c r="CJ256">
        <v>0</v>
      </c>
      <c r="CK256">
        <v>0</v>
      </c>
      <c r="CL256">
        <v>0</v>
      </c>
      <c r="CM256">
        <v>0</v>
      </c>
      <c r="CN256">
        <v>0</v>
      </c>
      <c r="CO256">
        <v>0</v>
      </c>
      <c r="CP256">
        <v>0</v>
      </c>
      <c r="CQ256">
        <v>0</v>
      </c>
      <c r="CR256">
        <v>0</v>
      </c>
      <c r="CS256">
        <v>0</v>
      </c>
      <c r="CT256">
        <v>-159670</v>
      </c>
      <c r="CU256">
        <v>0</v>
      </c>
      <c r="CV256">
        <v>0</v>
      </c>
      <c r="CW256">
        <v>0</v>
      </c>
      <c r="CX256">
        <v>-159670</v>
      </c>
      <c r="CY256">
        <v>0</v>
      </c>
      <c r="CZ256">
        <v>-159670</v>
      </c>
      <c r="DA256">
        <v>0</v>
      </c>
      <c r="DB256">
        <v>0</v>
      </c>
      <c r="DC256">
        <v>0</v>
      </c>
      <c r="DD256">
        <v>-20179</v>
      </c>
      <c r="DE256">
        <v>0</v>
      </c>
      <c r="DF256">
        <v>-20179</v>
      </c>
      <c r="DG256">
        <v>-7000</v>
      </c>
      <c r="DH256">
        <v>0</v>
      </c>
      <c r="DI256">
        <v>-7000</v>
      </c>
      <c r="DJ256">
        <v>-2180013</v>
      </c>
      <c r="DK256">
        <v>0</v>
      </c>
      <c r="DL256">
        <v>-2180013</v>
      </c>
      <c r="DM256">
        <v>-2207192</v>
      </c>
      <c r="DN256">
        <v>0</v>
      </c>
      <c r="DO256">
        <v>0</v>
      </c>
      <c r="DP256">
        <v>0</v>
      </c>
      <c r="DQ256">
        <v>-2207192</v>
      </c>
      <c r="DR256">
        <v>0</v>
      </c>
      <c r="DS256">
        <v>-2207192</v>
      </c>
      <c r="DT256">
        <v>60479482</v>
      </c>
      <c r="DU256">
        <v>602028</v>
      </c>
      <c r="DV256" s="661">
        <v>61081510</v>
      </c>
      <c r="DW256" t="s">
        <v>1907</v>
      </c>
    </row>
    <row r="257" spans="1:127" ht="12.75" x14ac:dyDescent="0.2">
      <c r="A257" s="605">
        <v>250</v>
      </c>
      <c r="B257" s="606" t="s">
        <v>389</v>
      </c>
      <c r="C257" s="607" t="s">
        <v>1192</v>
      </c>
      <c r="D257" s="608" t="s">
        <v>1187</v>
      </c>
      <c r="E257" s="609" t="s">
        <v>909</v>
      </c>
      <c r="G257">
        <v>130034568</v>
      </c>
      <c r="H257">
        <v>0</v>
      </c>
      <c r="I257">
        <v>130034568</v>
      </c>
      <c r="J257">
        <v>49.9</v>
      </c>
      <c r="K257">
        <v>64887249</v>
      </c>
      <c r="L257">
        <v>0</v>
      </c>
      <c r="M257">
        <v>2140376</v>
      </c>
      <c r="N257">
        <v>0</v>
      </c>
      <c r="O257">
        <v>67027625</v>
      </c>
      <c r="P257">
        <v>0</v>
      </c>
      <c r="Q257">
        <v>67027625</v>
      </c>
      <c r="R257">
        <v>-130076</v>
      </c>
      <c r="S257">
        <v>0</v>
      </c>
      <c r="T257">
        <v>-130076</v>
      </c>
      <c r="U257">
        <v>674396</v>
      </c>
      <c r="V257">
        <v>0</v>
      </c>
      <c r="W257">
        <v>674396</v>
      </c>
      <c r="X257">
        <v>544320</v>
      </c>
      <c r="Y257">
        <v>0</v>
      </c>
      <c r="Z257">
        <v>0</v>
      </c>
      <c r="AA257">
        <v>0</v>
      </c>
      <c r="AB257">
        <v>544320</v>
      </c>
      <c r="AC257">
        <v>0</v>
      </c>
      <c r="AD257">
        <v>544320</v>
      </c>
      <c r="AE257">
        <v>-544320</v>
      </c>
      <c r="AF257">
        <v>0</v>
      </c>
      <c r="AG257">
        <v>-544320</v>
      </c>
      <c r="AH257">
        <v>-5663685</v>
      </c>
      <c r="AI257">
        <v>0</v>
      </c>
      <c r="AJ257">
        <v>-5663685</v>
      </c>
      <c r="AK257">
        <v>-5813</v>
      </c>
      <c r="AL257">
        <v>0</v>
      </c>
      <c r="AM257">
        <v>-5813</v>
      </c>
      <c r="AN257">
        <v>1208011</v>
      </c>
      <c r="AO257">
        <v>0</v>
      </c>
      <c r="AP257">
        <v>1208011</v>
      </c>
      <c r="AQ257">
        <v>-4455674</v>
      </c>
      <c r="AR257">
        <v>0</v>
      </c>
      <c r="AS257">
        <v>-4455674</v>
      </c>
      <c r="AT257">
        <v>-3794117</v>
      </c>
      <c r="AU257">
        <v>0</v>
      </c>
      <c r="AV257">
        <v>-3794117</v>
      </c>
      <c r="AW257">
        <v>-77978</v>
      </c>
      <c r="AX257">
        <v>0</v>
      </c>
      <c r="AY257">
        <v>-77978</v>
      </c>
      <c r="AZ257">
        <v>0</v>
      </c>
      <c r="BA257">
        <v>0</v>
      </c>
      <c r="BB257">
        <v>0</v>
      </c>
      <c r="BC257">
        <v>0</v>
      </c>
      <c r="BD257">
        <v>0</v>
      </c>
      <c r="BE257">
        <v>0</v>
      </c>
      <c r="BF257">
        <v>-8327769</v>
      </c>
      <c r="BG257">
        <v>0</v>
      </c>
      <c r="BH257">
        <v>0</v>
      </c>
      <c r="BI257">
        <v>0</v>
      </c>
      <c r="BJ257">
        <v>-8327769</v>
      </c>
      <c r="BK257">
        <v>0</v>
      </c>
      <c r="BL257">
        <v>-8327769</v>
      </c>
      <c r="BM257">
        <v>0</v>
      </c>
      <c r="BN257">
        <v>0</v>
      </c>
      <c r="BO257">
        <v>0</v>
      </c>
      <c r="BP257">
        <v>-2282604</v>
      </c>
      <c r="BQ257">
        <v>0</v>
      </c>
      <c r="BR257">
        <v>-2282604</v>
      </c>
      <c r="BS257">
        <v>-2282604</v>
      </c>
      <c r="BT257">
        <v>0</v>
      </c>
      <c r="BU257">
        <v>-200000</v>
      </c>
      <c r="BV257">
        <v>0</v>
      </c>
      <c r="BW257">
        <v>-2482604</v>
      </c>
      <c r="BX257">
        <v>0</v>
      </c>
      <c r="BY257">
        <v>-2482604</v>
      </c>
      <c r="BZ257">
        <v>-304437</v>
      </c>
      <c r="CA257">
        <v>0</v>
      </c>
      <c r="CB257">
        <v>-304437</v>
      </c>
      <c r="CC257">
        <v>-42764</v>
      </c>
      <c r="CD257">
        <v>0</v>
      </c>
      <c r="CE257">
        <v>-42764</v>
      </c>
      <c r="CF257">
        <v>-12692</v>
      </c>
      <c r="CG257">
        <v>0</v>
      </c>
      <c r="CH257">
        <v>-12692</v>
      </c>
      <c r="CI257">
        <v>0</v>
      </c>
      <c r="CJ257">
        <v>0</v>
      </c>
      <c r="CK257">
        <v>0</v>
      </c>
      <c r="CL257">
        <v>0</v>
      </c>
      <c r="CM257">
        <v>0</v>
      </c>
      <c r="CN257">
        <v>0</v>
      </c>
      <c r="CO257">
        <v>-6362</v>
      </c>
      <c r="CP257">
        <v>0</v>
      </c>
      <c r="CQ257">
        <v>-6362</v>
      </c>
      <c r="CR257">
        <v>0</v>
      </c>
      <c r="CS257">
        <v>0</v>
      </c>
      <c r="CT257">
        <v>-366255</v>
      </c>
      <c r="CU257">
        <v>0</v>
      </c>
      <c r="CV257">
        <v>0</v>
      </c>
      <c r="CW257">
        <v>0</v>
      </c>
      <c r="CX257">
        <v>-366255</v>
      </c>
      <c r="CY257">
        <v>0</v>
      </c>
      <c r="CZ257">
        <v>-366255</v>
      </c>
      <c r="DA257">
        <v>0</v>
      </c>
      <c r="DB257">
        <v>0</v>
      </c>
      <c r="DC257">
        <v>0</v>
      </c>
      <c r="DD257">
        <v>-20790</v>
      </c>
      <c r="DE257">
        <v>0</v>
      </c>
      <c r="DF257">
        <v>-20790</v>
      </c>
      <c r="DG257">
        <v>-6615</v>
      </c>
      <c r="DH257">
        <v>0</v>
      </c>
      <c r="DI257">
        <v>-6615</v>
      </c>
      <c r="DJ257">
        <v>-831286</v>
      </c>
      <c r="DK257">
        <v>0</v>
      </c>
      <c r="DL257">
        <v>-831286</v>
      </c>
      <c r="DM257">
        <v>-858691</v>
      </c>
      <c r="DN257">
        <v>0</v>
      </c>
      <c r="DO257">
        <v>-416368</v>
      </c>
      <c r="DP257">
        <v>0</v>
      </c>
      <c r="DQ257">
        <v>-1275059</v>
      </c>
      <c r="DR257">
        <v>0</v>
      </c>
      <c r="DS257">
        <v>-1275059</v>
      </c>
      <c r="DT257">
        <v>55120258</v>
      </c>
      <c r="DU257">
        <v>0</v>
      </c>
      <c r="DV257" s="661">
        <v>55120258</v>
      </c>
      <c r="DW257" t="s">
        <v>1908</v>
      </c>
    </row>
    <row r="258" spans="1:127" ht="12.75" x14ac:dyDescent="0.2">
      <c r="A258" s="605">
        <v>251</v>
      </c>
      <c r="B258" s="606" t="s">
        <v>391</v>
      </c>
      <c r="C258" s="607" t="s">
        <v>1185</v>
      </c>
      <c r="D258" s="608" t="s">
        <v>1195</v>
      </c>
      <c r="E258" s="609" t="s">
        <v>390</v>
      </c>
      <c r="G258">
        <v>126366062</v>
      </c>
      <c r="H258">
        <v>0</v>
      </c>
      <c r="I258">
        <v>126366062</v>
      </c>
      <c r="J258">
        <v>49.9</v>
      </c>
      <c r="K258">
        <v>63056665</v>
      </c>
      <c r="L258">
        <v>0</v>
      </c>
      <c r="M258">
        <v>-820045</v>
      </c>
      <c r="N258">
        <v>0</v>
      </c>
      <c r="O258">
        <v>62236620</v>
      </c>
      <c r="P258">
        <v>0</v>
      </c>
      <c r="Q258">
        <v>62236620</v>
      </c>
      <c r="R258">
        <v>-361563</v>
      </c>
      <c r="S258">
        <v>0</v>
      </c>
      <c r="T258">
        <v>-361563</v>
      </c>
      <c r="U258">
        <v>298428</v>
      </c>
      <c r="V258">
        <v>0</v>
      </c>
      <c r="W258">
        <v>298428</v>
      </c>
      <c r="X258">
        <v>-63135</v>
      </c>
      <c r="Y258">
        <v>0</v>
      </c>
      <c r="Z258">
        <v>0</v>
      </c>
      <c r="AA258">
        <v>0</v>
      </c>
      <c r="AB258">
        <v>-63135</v>
      </c>
      <c r="AC258">
        <v>0</v>
      </c>
      <c r="AD258">
        <v>-63135</v>
      </c>
      <c r="AE258">
        <v>63135</v>
      </c>
      <c r="AF258">
        <v>0</v>
      </c>
      <c r="AG258">
        <v>63135</v>
      </c>
      <c r="AH258">
        <v>-4867365</v>
      </c>
      <c r="AI258">
        <v>0</v>
      </c>
      <c r="AJ258">
        <v>-4867365</v>
      </c>
      <c r="AK258">
        <v>0</v>
      </c>
      <c r="AL258">
        <v>0</v>
      </c>
      <c r="AM258">
        <v>0</v>
      </c>
      <c r="AN258">
        <v>1190532</v>
      </c>
      <c r="AO258">
        <v>0</v>
      </c>
      <c r="AP258">
        <v>1190532</v>
      </c>
      <c r="AQ258">
        <v>-3676833</v>
      </c>
      <c r="AR258">
        <v>0</v>
      </c>
      <c r="AS258">
        <v>-3676833</v>
      </c>
      <c r="AT258">
        <v>-3050277</v>
      </c>
      <c r="AU258">
        <v>0</v>
      </c>
      <c r="AV258">
        <v>-3050277</v>
      </c>
      <c r="AW258">
        <v>-57982</v>
      </c>
      <c r="AX258">
        <v>0</v>
      </c>
      <c r="AY258">
        <v>-57982</v>
      </c>
      <c r="AZ258">
        <v>-16710</v>
      </c>
      <c r="BA258">
        <v>0</v>
      </c>
      <c r="BB258">
        <v>-16710</v>
      </c>
      <c r="BC258">
        <v>0</v>
      </c>
      <c r="BD258">
        <v>0</v>
      </c>
      <c r="BE258">
        <v>0</v>
      </c>
      <c r="BF258">
        <v>-6801802</v>
      </c>
      <c r="BG258">
        <v>0</v>
      </c>
      <c r="BH258">
        <v>0</v>
      </c>
      <c r="BI258">
        <v>0</v>
      </c>
      <c r="BJ258">
        <v>-6801802</v>
      </c>
      <c r="BK258">
        <v>0</v>
      </c>
      <c r="BL258">
        <v>-6801802</v>
      </c>
      <c r="BM258">
        <v>0</v>
      </c>
      <c r="BN258">
        <v>0</v>
      </c>
      <c r="BO258">
        <v>0</v>
      </c>
      <c r="BP258">
        <v>-2185712</v>
      </c>
      <c r="BQ258">
        <v>0</v>
      </c>
      <c r="BR258">
        <v>-2185712</v>
      </c>
      <c r="BS258">
        <v>-2185712</v>
      </c>
      <c r="BT258">
        <v>0</v>
      </c>
      <c r="BU258">
        <v>0</v>
      </c>
      <c r="BV258">
        <v>0</v>
      </c>
      <c r="BW258">
        <v>-2185712</v>
      </c>
      <c r="BX258">
        <v>0</v>
      </c>
      <c r="BY258">
        <v>-2185712</v>
      </c>
      <c r="BZ258">
        <v>-279721</v>
      </c>
      <c r="CA258">
        <v>0</v>
      </c>
      <c r="CB258">
        <v>-279721</v>
      </c>
      <c r="CC258">
        <v>-81399</v>
      </c>
      <c r="CD258">
        <v>0</v>
      </c>
      <c r="CE258">
        <v>-81399</v>
      </c>
      <c r="CF258">
        <v>-3487</v>
      </c>
      <c r="CG258">
        <v>0</v>
      </c>
      <c r="CH258">
        <v>-3487</v>
      </c>
      <c r="CI258">
        <v>0</v>
      </c>
      <c r="CJ258">
        <v>0</v>
      </c>
      <c r="CK258">
        <v>0</v>
      </c>
      <c r="CL258">
        <v>0</v>
      </c>
      <c r="CM258">
        <v>0</v>
      </c>
      <c r="CN258">
        <v>0</v>
      </c>
      <c r="CO258">
        <v>-47108</v>
      </c>
      <c r="CP258">
        <v>0</v>
      </c>
      <c r="CQ258">
        <v>-47108</v>
      </c>
      <c r="CR258">
        <v>0</v>
      </c>
      <c r="CS258">
        <v>0</v>
      </c>
      <c r="CT258">
        <v>-411715</v>
      </c>
      <c r="CU258">
        <v>0</v>
      </c>
      <c r="CV258">
        <v>0</v>
      </c>
      <c r="CW258">
        <v>0</v>
      </c>
      <c r="CX258">
        <v>-411715</v>
      </c>
      <c r="CY258">
        <v>0</v>
      </c>
      <c r="CZ258">
        <v>-411715</v>
      </c>
      <c r="DA258">
        <v>-16044</v>
      </c>
      <c r="DB258">
        <v>0</v>
      </c>
      <c r="DC258">
        <v>-16044</v>
      </c>
      <c r="DD258">
        <v>-36336</v>
      </c>
      <c r="DE258">
        <v>0</v>
      </c>
      <c r="DF258">
        <v>-36336</v>
      </c>
      <c r="DG258">
        <v>-10639</v>
      </c>
      <c r="DH258">
        <v>0</v>
      </c>
      <c r="DI258">
        <v>-10639</v>
      </c>
      <c r="DJ258">
        <v>-1490771</v>
      </c>
      <c r="DK258">
        <v>0</v>
      </c>
      <c r="DL258">
        <v>-1490771</v>
      </c>
      <c r="DM258">
        <v>-1553790</v>
      </c>
      <c r="DN258">
        <v>0</v>
      </c>
      <c r="DO258">
        <v>0</v>
      </c>
      <c r="DP258">
        <v>0</v>
      </c>
      <c r="DQ258">
        <v>-1553790</v>
      </c>
      <c r="DR258">
        <v>0</v>
      </c>
      <c r="DS258">
        <v>-1553790</v>
      </c>
      <c r="DT258">
        <v>51220466</v>
      </c>
      <c r="DU258">
        <v>0</v>
      </c>
      <c r="DV258" s="661">
        <v>51220466</v>
      </c>
      <c r="DW258" t="s">
        <v>1909</v>
      </c>
    </row>
    <row r="259" spans="1:127" ht="12.75" x14ac:dyDescent="0.2">
      <c r="A259" s="605">
        <v>252</v>
      </c>
      <c r="B259" s="606" t="s">
        <v>393</v>
      </c>
      <c r="C259" s="607" t="s">
        <v>1185</v>
      </c>
      <c r="D259" s="608" t="s">
        <v>1195</v>
      </c>
      <c r="E259" s="609" t="s">
        <v>392</v>
      </c>
      <c r="G259">
        <v>56372535</v>
      </c>
      <c r="H259">
        <v>0</v>
      </c>
      <c r="I259">
        <v>56372535</v>
      </c>
      <c r="J259">
        <v>49.9</v>
      </c>
      <c r="K259">
        <v>28129895</v>
      </c>
      <c r="L259">
        <v>0</v>
      </c>
      <c r="M259">
        <v>0</v>
      </c>
      <c r="N259">
        <v>0</v>
      </c>
      <c r="O259">
        <v>28129895</v>
      </c>
      <c r="P259">
        <v>0</v>
      </c>
      <c r="Q259">
        <v>28129895</v>
      </c>
      <c r="R259">
        <v>-691010</v>
      </c>
      <c r="S259">
        <v>0</v>
      </c>
      <c r="T259">
        <v>-691010</v>
      </c>
      <c r="U259">
        <v>96706</v>
      </c>
      <c r="V259">
        <v>0</v>
      </c>
      <c r="W259">
        <v>96706</v>
      </c>
      <c r="X259">
        <v>-594304</v>
      </c>
      <c r="Y259">
        <v>0</v>
      </c>
      <c r="Z259">
        <v>0</v>
      </c>
      <c r="AA259">
        <v>0</v>
      </c>
      <c r="AB259">
        <v>-594304</v>
      </c>
      <c r="AC259">
        <v>0</v>
      </c>
      <c r="AD259">
        <v>-594304</v>
      </c>
      <c r="AE259">
        <v>594304</v>
      </c>
      <c r="AF259">
        <v>0</v>
      </c>
      <c r="AG259">
        <v>594304</v>
      </c>
      <c r="AH259">
        <v>-4125021</v>
      </c>
      <c r="AI259">
        <v>0</v>
      </c>
      <c r="AJ259">
        <v>-4125021</v>
      </c>
      <c r="AK259">
        <v>0</v>
      </c>
      <c r="AL259">
        <v>0</v>
      </c>
      <c r="AM259">
        <v>0</v>
      </c>
      <c r="AN259">
        <v>453887</v>
      </c>
      <c r="AO259">
        <v>0</v>
      </c>
      <c r="AP259">
        <v>453887</v>
      </c>
      <c r="AQ259">
        <v>-3671134</v>
      </c>
      <c r="AR259">
        <v>0</v>
      </c>
      <c r="AS259">
        <v>-3671134</v>
      </c>
      <c r="AT259">
        <v>-1407600</v>
      </c>
      <c r="AU259">
        <v>0</v>
      </c>
      <c r="AV259">
        <v>-1407600</v>
      </c>
      <c r="AW259">
        <v>-51102</v>
      </c>
      <c r="AX259">
        <v>0</v>
      </c>
      <c r="AY259">
        <v>-51102</v>
      </c>
      <c r="AZ259">
        <v>-12311</v>
      </c>
      <c r="BA259">
        <v>0</v>
      </c>
      <c r="BB259">
        <v>-12311</v>
      </c>
      <c r="BC259">
        <v>0</v>
      </c>
      <c r="BD259">
        <v>0</v>
      </c>
      <c r="BE259">
        <v>0</v>
      </c>
      <c r="BF259">
        <v>-5142147</v>
      </c>
      <c r="BG259">
        <v>0</v>
      </c>
      <c r="BH259">
        <v>0</v>
      </c>
      <c r="BI259">
        <v>0</v>
      </c>
      <c r="BJ259">
        <v>-5142147</v>
      </c>
      <c r="BK259">
        <v>0</v>
      </c>
      <c r="BL259">
        <v>-5142147</v>
      </c>
      <c r="BM259">
        <v>-20829</v>
      </c>
      <c r="BN259">
        <v>0</v>
      </c>
      <c r="BO259">
        <v>-20829</v>
      </c>
      <c r="BP259">
        <v>-410830</v>
      </c>
      <c r="BQ259">
        <v>0</v>
      </c>
      <c r="BR259">
        <v>-410830</v>
      </c>
      <c r="BS259">
        <v>-431659</v>
      </c>
      <c r="BT259">
        <v>0</v>
      </c>
      <c r="BU259">
        <v>0</v>
      </c>
      <c r="BV259">
        <v>0</v>
      </c>
      <c r="BW259">
        <v>-431659</v>
      </c>
      <c r="BX259">
        <v>0</v>
      </c>
      <c r="BY259">
        <v>-431659</v>
      </c>
      <c r="BZ259">
        <v>-48043</v>
      </c>
      <c r="CA259">
        <v>0</v>
      </c>
      <c r="CB259">
        <v>-48043</v>
      </c>
      <c r="CC259">
        <v>-381771</v>
      </c>
      <c r="CD259">
        <v>0</v>
      </c>
      <c r="CE259">
        <v>-381771</v>
      </c>
      <c r="CF259">
        <v>-3000</v>
      </c>
      <c r="CG259">
        <v>0</v>
      </c>
      <c r="CH259">
        <v>-3000</v>
      </c>
      <c r="CI259">
        <v>0</v>
      </c>
      <c r="CJ259">
        <v>0</v>
      </c>
      <c r="CK259">
        <v>0</v>
      </c>
      <c r="CL259">
        <v>0</v>
      </c>
      <c r="CM259">
        <v>0</v>
      </c>
      <c r="CN259">
        <v>0</v>
      </c>
      <c r="CO259">
        <v>0</v>
      </c>
      <c r="CP259">
        <v>0</v>
      </c>
      <c r="CQ259">
        <v>0</v>
      </c>
      <c r="CR259">
        <v>0</v>
      </c>
      <c r="CS259">
        <v>0</v>
      </c>
      <c r="CT259">
        <v>-432814</v>
      </c>
      <c r="CU259">
        <v>0</v>
      </c>
      <c r="CV259">
        <v>0</v>
      </c>
      <c r="CW259">
        <v>0</v>
      </c>
      <c r="CX259">
        <v>-432814</v>
      </c>
      <c r="CY259">
        <v>0</v>
      </c>
      <c r="CZ259">
        <v>-432814</v>
      </c>
      <c r="DA259">
        <v>-12311</v>
      </c>
      <c r="DB259">
        <v>0</v>
      </c>
      <c r="DC259">
        <v>-12311</v>
      </c>
      <c r="DD259">
        <v>-64591</v>
      </c>
      <c r="DE259">
        <v>0</v>
      </c>
      <c r="DF259">
        <v>-64591</v>
      </c>
      <c r="DG259">
        <v>-9600</v>
      </c>
      <c r="DH259">
        <v>0</v>
      </c>
      <c r="DI259">
        <v>-9600</v>
      </c>
      <c r="DJ259">
        <v>-468983</v>
      </c>
      <c r="DK259">
        <v>0</v>
      </c>
      <c r="DL259">
        <v>-468983</v>
      </c>
      <c r="DM259">
        <v>-555485</v>
      </c>
      <c r="DN259">
        <v>0</v>
      </c>
      <c r="DO259">
        <v>0</v>
      </c>
      <c r="DP259">
        <v>0</v>
      </c>
      <c r="DQ259">
        <v>-555485</v>
      </c>
      <c r="DR259">
        <v>0</v>
      </c>
      <c r="DS259">
        <v>-555485</v>
      </c>
      <c r="DT259">
        <v>20973486</v>
      </c>
      <c r="DU259">
        <v>0</v>
      </c>
      <c r="DV259" s="661">
        <v>20973486</v>
      </c>
      <c r="DW259" t="s">
        <v>1910</v>
      </c>
    </row>
    <row r="260" spans="1:127" ht="12.75" x14ac:dyDescent="0.2">
      <c r="A260" s="605">
        <v>253</v>
      </c>
      <c r="B260" s="606" t="s">
        <v>395</v>
      </c>
      <c r="C260" s="607" t="s">
        <v>1185</v>
      </c>
      <c r="D260" s="608" t="s">
        <v>1189</v>
      </c>
      <c r="E260" s="609" t="s">
        <v>394</v>
      </c>
      <c r="G260">
        <v>109477646</v>
      </c>
      <c r="H260">
        <v>0</v>
      </c>
      <c r="I260">
        <v>109477646</v>
      </c>
      <c r="J260">
        <v>49.9</v>
      </c>
      <c r="K260">
        <v>54629345</v>
      </c>
      <c r="L260">
        <v>0</v>
      </c>
      <c r="M260">
        <v>-760000</v>
      </c>
      <c r="N260">
        <v>0</v>
      </c>
      <c r="O260">
        <v>53869345</v>
      </c>
      <c r="P260">
        <v>0</v>
      </c>
      <c r="Q260">
        <v>53869345</v>
      </c>
      <c r="R260">
        <v>-48921</v>
      </c>
      <c r="S260">
        <v>0</v>
      </c>
      <c r="T260">
        <v>-48921</v>
      </c>
      <c r="U260">
        <v>327597</v>
      </c>
      <c r="V260">
        <v>0</v>
      </c>
      <c r="W260">
        <v>327597</v>
      </c>
      <c r="X260">
        <v>278676</v>
      </c>
      <c r="Y260">
        <v>0</v>
      </c>
      <c r="Z260">
        <v>0</v>
      </c>
      <c r="AA260">
        <v>0</v>
      </c>
      <c r="AB260">
        <v>278676</v>
      </c>
      <c r="AC260">
        <v>0</v>
      </c>
      <c r="AD260">
        <v>278676</v>
      </c>
      <c r="AE260">
        <v>-278676</v>
      </c>
      <c r="AF260">
        <v>0</v>
      </c>
      <c r="AG260">
        <v>-278676</v>
      </c>
      <c r="AH260">
        <v>-1950381</v>
      </c>
      <c r="AI260">
        <v>0</v>
      </c>
      <c r="AJ260">
        <v>-1950381</v>
      </c>
      <c r="AK260">
        <v>0</v>
      </c>
      <c r="AL260">
        <v>0</v>
      </c>
      <c r="AM260">
        <v>0</v>
      </c>
      <c r="AN260">
        <v>1161163</v>
      </c>
      <c r="AO260">
        <v>0</v>
      </c>
      <c r="AP260">
        <v>1161163</v>
      </c>
      <c r="AQ260">
        <v>-789218</v>
      </c>
      <c r="AR260">
        <v>0</v>
      </c>
      <c r="AS260">
        <v>-789218</v>
      </c>
      <c r="AT260">
        <v>-2564962</v>
      </c>
      <c r="AU260">
        <v>0</v>
      </c>
      <c r="AV260">
        <v>-2564962</v>
      </c>
      <c r="AW260">
        <v>-4506</v>
      </c>
      <c r="AX260">
        <v>0</v>
      </c>
      <c r="AY260">
        <v>-4506</v>
      </c>
      <c r="AZ260">
        <v>0</v>
      </c>
      <c r="BA260">
        <v>0</v>
      </c>
      <c r="BB260">
        <v>0</v>
      </c>
      <c r="BC260">
        <v>0</v>
      </c>
      <c r="BD260">
        <v>0</v>
      </c>
      <c r="BE260">
        <v>0</v>
      </c>
      <c r="BF260">
        <v>-3358686</v>
      </c>
      <c r="BG260">
        <v>0</v>
      </c>
      <c r="BH260">
        <v>0</v>
      </c>
      <c r="BI260">
        <v>0</v>
      </c>
      <c r="BJ260">
        <v>-3358686</v>
      </c>
      <c r="BK260">
        <v>0</v>
      </c>
      <c r="BL260">
        <v>-3358686</v>
      </c>
      <c r="BM260">
        <v>0</v>
      </c>
      <c r="BN260">
        <v>0</v>
      </c>
      <c r="BO260">
        <v>0</v>
      </c>
      <c r="BP260">
        <v>-623299</v>
      </c>
      <c r="BQ260">
        <v>0</v>
      </c>
      <c r="BR260">
        <v>-623299</v>
      </c>
      <c r="BS260">
        <v>-623299</v>
      </c>
      <c r="BT260">
        <v>0</v>
      </c>
      <c r="BU260">
        <v>-1010458</v>
      </c>
      <c r="BV260">
        <v>0</v>
      </c>
      <c r="BW260">
        <v>-1633757</v>
      </c>
      <c r="BX260">
        <v>0</v>
      </c>
      <c r="BY260">
        <v>-1633757</v>
      </c>
      <c r="BZ260">
        <v>-106521</v>
      </c>
      <c r="CA260">
        <v>0</v>
      </c>
      <c r="CB260">
        <v>-106521</v>
      </c>
      <c r="CC260">
        <v>-46207</v>
      </c>
      <c r="CD260">
        <v>0</v>
      </c>
      <c r="CE260">
        <v>-46207</v>
      </c>
      <c r="CF260">
        <v>0</v>
      </c>
      <c r="CG260">
        <v>0</v>
      </c>
      <c r="CH260">
        <v>0</v>
      </c>
      <c r="CI260">
        <v>0</v>
      </c>
      <c r="CJ260">
        <v>0</v>
      </c>
      <c r="CK260">
        <v>0</v>
      </c>
      <c r="CL260">
        <v>0</v>
      </c>
      <c r="CM260">
        <v>0</v>
      </c>
      <c r="CN260">
        <v>0</v>
      </c>
      <c r="CO260">
        <v>0</v>
      </c>
      <c r="CP260">
        <v>0</v>
      </c>
      <c r="CQ260">
        <v>0</v>
      </c>
      <c r="CR260">
        <v>0</v>
      </c>
      <c r="CS260">
        <v>0</v>
      </c>
      <c r="CT260">
        <v>-152728</v>
      </c>
      <c r="CU260">
        <v>0</v>
      </c>
      <c r="CV260">
        <v>0</v>
      </c>
      <c r="CW260">
        <v>0</v>
      </c>
      <c r="CX260">
        <v>-152728</v>
      </c>
      <c r="CY260">
        <v>0</v>
      </c>
      <c r="CZ260">
        <v>-152728</v>
      </c>
      <c r="DA260">
        <v>0</v>
      </c>
      <c r="DB260">
        <v>0</v>
      </c>
      <c r="DC260">
        <v>0</v>
      </c>
      <c r="DD260">
        <v>-2560</v>
      </c>
      <c r="DE260">
        <v>0</v>
      </c>
      <c r="DF260">
        <v>-2560</v>
      </c>
      <c r="DG260">
        <v>-2000</v>
      </c>
      <c r="DH260">
        <v>0</v>
      </c>
      <c r="DI260">
        <v>-2000</v>
      </c>
      <c r="DJ260">
        <v>-907138</v>
      </c>
      <c r="DK260">
        <v>0</v>
      </c>
      <c r="DL260">
        <v>-907138</v>
      </c>
      <c r="DM260">
        <v>-911698</v>
      </c>
      <c r="DN260">
        <v>0</v>
      </c>
      <c r="DO260">
        <v>-14000</v>
      </c>
      <c r="DP260">
        <v>0</v>
      </c>
      <c r="DQ260">
        <v>-925698</v>
      </c>
      <c r="DR260">
        <v>0</v>
      </c>
      <c r="DS260">
        <v>-925698</v>
      </c>
      <c r="DT260">
        <v>48077152</v>
      </c>
      <c r="DU260">
        <v>0</v>
      </c>
      <c r="DV260" s="661">
        <v>48077152</v>
      </c>
      <c r="DW260" t="s">
        <v>1911</v>
      </c>
    </row>
    <row r="261" spans="1:127" ht="12.75" x14ac:dyDescent="0.2">
      <c r="A261" s="605">
        <v>254</v>
      </c>
      <c r="B261" s="606" t="s">
        <v>397</v>
      </c>
      <c r="C261" s="607" t="s">
        <v>1192</v>
      </c>
      <c r="D261" s="608" t="s">
        <v>1187</v>
      </c>
      <c r="E261" s="609" t="s">
        <v>396</v>
      </c>
      <c r="G261">
        <v>229167082</v>
      </c>
      <c r="H261">
        <v>0</v>
      </c>
      <c r="I261">
        <v>229167082</v>
      </c>
      <c r="J261">
        <v>49.9</v>
      </c>
      <c r="K261">
        <v>114354374</v>
      </c>
      <c r="L261">
        <v>0</v>
      </c>
      <c r="M261">
        <v>-2758000</v>
      </c>
      <c r="N261">
        <v>0</v>
      </c>
      <c r="O261">
        <v>111596374</v>
      </c>
      <c r="P261">
        <v>0</v>
      </c>
      <c r="Q261">
        <v>111596374</v>
      </c>
      <c r="R261">
        <v>-343311</v>
      </c>
      <c r="S261">
        <v>0</v>
      </c>
      <c r="T261">
        <v>-343311</v>
      </c>
      <c r="U261">
        <v>2082502</v>
      </c>
      <c r="V261">
        <v>0</v>
      </c>
      <c r="W261">
        <v>2082502</v>
      </c>
      <c r="X261">
        <v>1739191</v>
      </c>
      <c r="Y261">
        <v>0</v>
      </c>
      <c r="Z261">
        <v>0</v>
      </c>
      <c r="AA261">
        <v>0</v>
      </c>
      <c r="AB261">
        <v>1739191</v>
      </c>
      <c r="AC261">
        <v>0</v>
      </c>
      <c r="AD261">
        <v>1739191</v>
      </c>
      <c r="AE261">
        <v>-1739191</v>
      </c>
      <c r="AF261">
        <v>0</v>
      </c>
      <c r="AG261">
        <v>-1739191</v>
      </c>
      <c r="AH261">
        <v>-12321456</v>
      </c>
      <c r="AI261">
        <v>0</v>
      </c>
      <c r="AJ261">
        <v>-12321456</v>
      </c>
      <c r="AK261">
        <v>-1508</v>
      </c>
      <c r="AL261">
        <v>0</v>
      </c>
      <c r="AM261">
        <v>-1508</v>
      </c>
      <c r="AN261">
        <v>1967696</v>
      </c>
      <c r="AO261">
        <v>0</v>
      </c>
      <c r="AP261">
        <v>1967696</v>
      </c>
      <c r="AQ261">
        <v>-10353760</v>
      </c>
      <c r="AR261">
        <v>0</v>
      </c>
      <c r="AS261">
        <v>-10353760</v>
      </c>
      <c r="AT261">
        <v>-5270733</v>
      </c>
      <c r="AU261">
        <v>0</v>
      </c>
      <c r="AV261">
        <v>-5270733</v>
      </c>
      <c r="AW261">
        <v>-243640</v>
      </c>
      <c r="AX261">
        <v>0</v>
      </c>
      <c r="AY261">
        <v>-243640</v>
      </c>
      <c r="AZ261">
        <v>0</v>
      </c>
      <c r="BA261">
        <v>0</v>
      </c>
      <c r="BB261">
        <v>0</v>
      </c>
      <c r="BC261">
        <v>0</v>
      </c>
      <c r="BD261">
        <v>0</v>
      </c>
      <c r="BE261">
        <v>0</v>
      </c>
      <c r="BF261">
        <v>-15868133</v>
      </c>
      <c r="BG261">
        <v>0</v>
      </c>
      <c r="BH261">
        <v>0</v>
      </c>
      <c r="BI261">
        <v>0</v>
      </c>
      <c r="BJ261">
        <v>-15868133</v>
      </c>
      <c r="BK261">
        <v>0</v>
      </c>
      <c r="BL261">
        <v>-15868133</v>
      </c>
      <c r="BM261">
        <v>0</v>
      </c>
      <c r="BN261">
        <v>0</v>
      </c>
      <c r="BO261">
        <v>0</v>
      </c>
      <c r="BP261">
        <v>-3115237</v>
      </c>
      <c r="BQ261">
        <v>0</v>
      </c>
      <c r="BR261">
        <v>-3115237</v>
      </c>
      <c r="BS261">
        <v>-3115237</v>
      </c>
      <c r="BT261">
        <v>0</v>
      </c>
      <c r="BU261">
        <v>-1203763</v>
      </c>
      <c r="BV261">
        <v>0</v>
      </c>
      <c r="BW261">
        <v>-4319000</v>
      </c>
      <c r="BX261">
        <v>0</v>
      </c>
      <c r="BY261">
        <v>-4319000</v>
      </c>
      <c r="BZ261">
        <v>0</v>
      </c>
      <c r="CA261">
        <v>0</v>
      </c>
      <c r="CB261">
        <v>0</v>
      </c>
      <c r="CC261">
        <v>-56761</v>
      </c>
      <c r="CD261">
        <v>0</v>
      </c>
      <c r="CE261">
        <v>-56761</v>
      </c>
      <c r="CF261">
        <v>-21929</v>
      </c>
      <c r="CG261">
        <v>0</v>
      </c>
      <c r="CH261">
        <v>-21929</v>
      </c>
      <c r="CI261">
        <v>0</v>
      </c>
      <c r="CJ261">
        <v>0</v>
      </c>
      <c r="CK261">
        <v>0</v>
      </c>
      <c r="CL261">
        <v>0</v>
      </c>
      <c r="CM261">
        <v>0</v>
      </c>
      <c r="CN261">
        <v>0</v>
      </c>
      <c r="CO261">
        <v>-263000</v>
      </c>
      <c r="CP261">
        <v>0</v>
      </c>
      <c r="CQ261">
        <v>-263000</v>
      </c>
      <c r="CR261">
        <v>0</v>
      </c>
      <c r="CS261">
        <v>0</v>
      </c>
      <c r="CT261">
        <v>-341690</v>
      </c>
      <c r="CU261">
        <v>0</v>
      </c>
      <c r="CV261">
        <v>-20328</v>
      </c>
      <c r="CW261">
        <v>0</v>
      </c>
      <c r="CX261">
        <v>-362018</v>
      </c>
      <c r="CY261">
        <v>0</v>
      </c>
      <c r="CZ261">
        <v>-362018</v>
      </c>
      <c r="DA261">
        <v>0</v>
      </c>
      <c r="DB261">
        <v>0</v>
      </c>
      <c r="DC261">
        <v>0</v>
      </c>
      <c r="DD261">
        <v>-27714</v>
      </c>
      <c r="DE261">
        <v>0</v>
      </c>
      <c r="DF261">
        <v>-27714</v>
      </c>
      <c r="DG261">
        <v>-9625</v>
      </c>
      <c r="DH261">
        <v>0</v>
      </c>
      <c r="DI261">
        <v>-9625</v>
      </c>
      <c r="DJ261">
        <v>-2545573</v>
      </c>
      <c r="DK261">
        <v>0</v>
      </c>
      <c r="DL261">
        <v>-2545573</v>
      </c>
      <c r="DM261">
        <v>-2582912</v>
      </c>
      <c r="DN261">
        <v>0</v>
      </c>
      <c r="DO261">
        <v>0</v>
      </c>
      <c r="DP261">
        <v>0</v>
      </c>
      <c r="DQ261">
        <v>-2582912</v>
      </c>
      <c r="DR261">
        <v>0</v>
      </c>
      <c r="DS261">
        <v>-2582912</v>
      </c>
      <c r="DT261">
        <v>90203502</v>
      </c>
      <c r="DU261">
        <v>0</v>
      </c>
      <c r="DV261" s="661">
        <v>90203502</v>
      </c>
      <c r="DW261" t="s">
        <v>1912</v>
      </c>
    </row>
    <row r="262" spans="1:127" ht="12.75" x14ac:dyDescent="0.2">
      <c r="A262" s="605">
        <v>255</v>
      </c>
      <c r="B262" s="606" t="s">
        <v>399</v>
      </c>
      <c r="C262" s="607" t="s">
        <v>524</v>
      </c>
      <c r="D262" s="608" t="s">
        <v>1197</v>
      </c>
      <c r="E262" s="609" t="s">
        <v>550</v>
      </c>
      <c r="G262">
        <v>201831569</v>
      </c>
      <c r="H262">
        <v>632550</v>
      </c>
      <c r="I262">
        <v>202464119</v>
      </c>
      <c r="J262">
        <v>49.9</v>
      </c>
      <c r="K262">
        <v>100713953</v>
      </c>
      <c r="L262">
        <v>315642</v>
      </c>
      <c r="M262">
        <v>-721055</v>
      </c>
      <c r="N262">
        <v>0</v>
      </c>
      <c r="O262">
        <v>99992898</v>
      </c>
      <c r="P262">
        <v>315642</v>
      </c>
      <c r="Q262">
        <v>100308540</v>
      </c>
      <c r="R262">
        <v>-176847</v>
      </c>
      <c r="S262">
        <v>0</v>
      </c>
      <c r="T262">
        <v>-176847</v>
      </c>
      <c r="U262">
        <v>1415628</v>
      </c>
      <c r="V262">
        <v>36187</v>
      </c>
      <c r="W262">
        <v>1451815</v>
      </c>
      <c r="X262">
        <v>1238781</v>
      </c>
      <c r="Y262">
        <v>36187</v>
      </c>
      <c r="Z262">
        <v>0</v>
      </c>
      <c r="AA262">
        <v>0</v>
      </c>
      <c r="AB262">
        <v>1238781</v>
      </c>
      <c r="AC262">
        <v>36187</v>
      </c>
      <c r="AD262">
        <v>1274968</v>
      </c>
      <c r="AE262">
        <v>-1238781</v>
      </c>
      <c r="AF262">
        <v>-36187</v>
      </c>
      <c r="AG262">
        <v>-1274968</v>
      </c>
      <c r="AH262">
        <v>-5217623</v>
      </c>
      <c r="AI262">
        <v>-39109</v>
      </c>
      <c r="AJ262">
        <v>-5256732</v>
      </c>
      <c r="AK262">
        <v>0</v>
      </c>
      <c r="AL262">
        <v>0</v>
      </c>
      <c r="AM262">
        <v>0</v>
      </c>
      <c r="AN262">
        <v>2056826</v>
      </c>
      <c r="AO262">
        <v>6942</v>
      </c>
      <c r="AP262">
        <v>2063768</v>
      </c>
      <c r="AQ262">
        <v>-3160797</v>
      </c>
      <c r="AR262">
        <v>-32167</v>
      </c>
      <c r="AS262">
        <v>-3192964</v>
      </c>
      <c r="AT262">
        <v>-5199682</v>
      </c>
      <c r="AU262">
        <v>0</v>
      </c>
      <c r="AV262">
        <v>-5199682</v>
      </c>
      <c r="AW262">
        <v>-48589</v>
      </c>
      <c r="AX262">
        <v>0</v>
      </c>
      <c r="AY262">
        <v>-48589</v>
      </c>
      <c r="AZ262">
        <v>0</v>
      </c>
      <c r="BA262">
        <v>0</v>
      </c>
      <c r="BB262">
        <v>0</v>
      </c>
      <c r="BC262">
        <v>0</v>
      </c>
      <c r="BD262">
        <v>0</v>
      </c>
      <c r="BE262">
        <v>0</v>
      </c>
      <c r="BF262">
        <v>-8409068</v>
      </c>
      <c r="BG262">
        <v>-32167</v>
      </c>
      <c r="BH262">
        <v>0</v>
      </c>
      <c r="BI262">
        <v>0</v>
      </c>
      <c r="BJ262">
        <v>-8409068</v>
      </c>
      <c r="BK262">
        <v>-32167</v>
      </c>
      <c r="BL262">
        <v>-8441235</v>
      </c>
      <c r="BM262">
        <v>-60000</v>
      </c>
      <c r="BN262">
        <v>0</v>
      </c>
      <c r="BO262">
        <v>-60000</v>
      </c>
      <c r="BP262">
        <v>-3495922</v>
      </c>
      <c r="BQ262">
        <v>-16083</v>
      </c>
      <c r="BR262">
        <v>-3512005</v>
      </c>
      <c r="BS262">
        <v>-3555922</v>
      </c>
      <c r="BT262">
        <v>-16083</v>
      </c>
      <c r="BU262">
        <v>0</v>
      </c>
      <c r="BV262">
        <v>0</v>
      </c>
      <c r="BW262">
        <v>-3555922</v>
      </c>
      <c r="BX262">
        <v>-16083</v>
      </c>
      <c r="BY262">
        <v>-3572005</v>
      </c>
      <c r="BZ262">
        <v>-187032</v>
      </c>
      <c r="CA262">
        <v>0</v>
      </c>
      <c r="CB262">
        <v>-187032</v>
      </c>
      <c r="CC262">
        <v>-80000</v>
      </c>
      <c r="CD262">
        <v>0</v>
      </c>
      <c r="CE262">
        <v>-80000</v>
      </c>
      <c r="CF262">
        <v>-9353</v>
      </c>
      <c r="CG262">
        <v>0</v>
      </c>
      <c r="CH262">
        <v>-9353</v>
      </c>
      <c r="CI262">
        <v>0</v>
      </c>
      <c r="CJ262">
        <v>0</v>
      </c>
      <c r="CK262">
        <v>0</v>
      </c>
      <c r="CL262">
        <v>0</v>
      </c>
      <c r="CM262">
        <v>0</v>
      </c>
      <c r="CN262">
        <v>0</v>
      </c>
      <c r="CO262">
        <v>-45000</v>
      </c>
      <c r="CP262">
        <v>-28992</v>
      </c>
      <c r="CQ262">
        <v>-73992</v>
      </c>
      <c r="CR262">
        <v>0</v>
      </c>
      <c r="CS262">
        <v>-28992</v>
      </c>
      <c r="CT262">
        <v>-321385</v>
      </c>
      <c r="CU262">
        <v>-28992</v>
      </c>
      <c r="CV262">
        <v>0</v>
      </c>
      <c r="CW262">
        <v>0</v>
      </c>
      <c r="CX262">
        <v>-321385</v>
      </c>
      <c r="CY262">
        <v>-28992</v>
      </c>
      <c r="CZ262">
        <v>-350377</v>
      </c>
      <c r="DA262">
        <v>0</v>
      </c>
      <c r="DB262">
        <v>0</v>
      </c>
      <c r="DC262">
        <v>0</v>
      </c>
      <c r="DD262">
        <v>-23230</v>
      </c>
      <c r="DE262">
        <v>0</v>
      </c>
      <c r="DF262">
        <v>-23230</v>
      </c>
      <c r="DG262">
        <v>0</v>
      </c>
      <c r="DH262">
        <v>0</v>
      </c>
      <c r="DI262">
        <v>0</v>
      </c>
      <c r="DJ262">
        <v>-1241123</v>
      </c>
      <c r="DK262">
        <v>0</v>
      </c>
      <c r="DL262">
        <v>-1241123</v>
      </c>
      <c r="DM262">
        <v>-1264353</v>
      </c>
      <c r="DN262">
        <v>0</v>
      </c>
      <c r="DO262">
        <v>0</v>
      </c>
      <c r="DP262">
        <v>0</v>
      </c>
      <c r="DQ262">
        <v>-1264353</v>
      </c>
      <c r="DR262">
        <v>0</v>
      </c>
      <c r="DS262">
        <v>-1264353</v>
      </c>
      <c r="DT262">
        <v>87680951</v>
      </c>
      <c r="DU262">
        <v>274587</v>
      </c>
      <c r="DV262" s="661">
        <v>87955538</v>
      </c>
      <c r="DW262" t="s">
        <v>1913</v>
      </c>
    </row>
    <row r="263" spans="1:127" ht="12.75" x14ac:dyDescent="0.2">
      <c r="A263" s="605">
        <v>256</v>
      </c>
      <c r="B263" s="606" t="s">
        <v>401</v>
      </c>
      <c r="C263" s="607" t="s">
        <v>524</v>
      </c>
      <c r="D263" s="608" t="s">
        <v>1195</v>
      </c>
      <c r="E263" s="609" t="s">
        <v>607</v>
      </c>
      <c r="G263">
        <v>232257292</v>
      </c>
      <c r="H263">
        <v>3313800</v>
      </c>
      <c r="I263">
        <v>235571092</v>
      </c>
      <c r="J263">
        <v>49.9</v>
      </c>
      <c r="K263">
        <v>115896389</v>
      </c>
      <c r="L263">
        <v>1653586</v>
      </c>
      <c r="M263">
        <v>43313</v>
      </c>
      <c r="N263">
        <v>206687</v>
      </c>
      <c r="O263">
        <v>115939702</v>
      </c>
      <c r="P263">
        <v>1860273</v>
      </c>
      <c r="Q263">
        <v>117799975</v>
      </c>
      <c r="R263">
        <v>-1622258</v>
      </c>
      <c r="S263">
        <v>-7124</v>
      </c>
      <c r="T263">
        <v>-1629382</v>
      </c>
      <c r="U263">
        <v>1577331</v>
      </c>
      <c r="V263">
        <v>0</v>
      </c>
      <c r="W263">
        <v>1577331</v>
      </c>
      <c r="X263">
        <v>-44927</v>
      </c>
      <c r="Y263">
        <v>-7124</v>
      </c>
      <c r="Z263">
        <v>0</v>
      </c>
      <c r="AA263">
        <v>0</v>
      </c>
      <c r="AB263">
        <v>-44927</v>
      </c>
      <c r="AC263">
        <v>-7124</v>
      </c>
      <c r="AD263">
        <v>-52051</v>
      </c>
      <c r="AE263">
        <v>44927</v>
      </c>
      <c r="AF263">
        <v>7124</v>
      </c>
      <c r="AG263">
        <v>52051</v>
      </c>
      <c r="AH263">
        <v>-10753307</v>
      </c>
      <c r="AI263">
        <v>-45583</v>
      </c>
      <c r="AJ263">
        <v>-10798890</v>
      </c>
      <c r="AK263">
        <v>-4739</v>
      </c>
      <c r="AL263">
        <v>0</v>
      </c>
      <c r="AM263">
        <v>-4739</v>
      </c>
      <c r="AN263">
        <v>2239630</v>
      </c>
      <c r="AO263">
        <v>0</v>
      </c>
      <c r="AP263">
        <v>2239630</v>
      </c>
      <c r="AQ263">
        <v>-8513677</v>
      </c>
      <c r="AR263">
        <v>-45583</v>
      </c>
      <c r="AS263">
        <v>-8559260</v>
      </c>
      <c r="AT263">
        <v>-7257189</v>
      </c>
      <c r="AU263">
        <v>-6828</v>
      </c>
      <c r="AV263">
        <v>-7264017</v>
      </c>
      <c r="AW263">
        <v>-69251</v>
      </c>
      <c r="AX263">
        <v>0</v>
      </c>
      <c r="AY263">
        <v>-69251</v>
      </c>
      <c r="AZ263">
        <v>0</v>
      </c>
      <c r="BA263">
        <v>0</v>
      </c>
      <c r="BB263">
        <v>0</v>
      </c>
      <c r="BC263">
        <v>0</v>
      </c>
      <c r="BD263">
        <v>0</v>
      </c>
      <c r="BE263">
        <v>0</v>
      </c>
      <c r="BF263">
        <v>-15840117</v>
      </c>
      <c r="BG263">
        <v>-52411</v>
      </c>
      <c r="BH263">
        <v>0</v>
      </c>
      <c r="BI263">
        <v>0</v>
      </c>
      <c r="BJ263">
        <v>-15840117</v>
      </c>
      <c r="BK263">
        <v>-52411</v>
      </c>
      <c r="BL263">
        <v>-15892528</v>
      </c>
      <c r="BM263">
        <v>-206168</v>
      </c>
      <c r="BN263">
        <v>0</v>
      </c>
      <c r="BO263">
        <v>-206168</v>
      </c>
      <c r="BP263">
        <v>-3480845</v>
      </c>
      <c r="BQ263">
        <v>-47454</v>
      </c>
      <c r="BR263">
        <v>-3528299</v>
      </c>
      <c r="BS263">
        <v>-3687013</v>
      </c>
      <c r="BT263">
        <v>-47454</v>
      </c>
      <c r="BU263">
        <v>0</v>
      </c>
      <c r="BV263">
        <v>0</v>
      </c>
      <c r="BW263">
        <v>-3687013</v>
      </c>
      <c r="BX263">
        <v>-47454</v>
      </c>
      <c r="BY263">
        <v>-3734467</v>
      </c>
      <c r="BZ263">
        <v>-181330</v>
      </c>
      <c r="CA263">
        <v>0</v>
      </c>
      <c r="CB263">
        <v>-181330</v>
      </c>
      <c r="CC263">
        <v>-182767</v>
      </c>
      <c r="CD263">
        <v>0</v>
      </c>
      <c r="CE263">
        <v>-182767</v>
      </c>
      <c r="CF263">
        <v>-11776</v>
      </c>
      <c r="CG263">
        <v>0</v>
      </c>
      <c r="CH263">
        <v>-11776</v>
      </c>
      <c r="CI263">
        <v>0</v>
      </c>
      <c r="CJ263">
        <v>0</v>
      </c>
      <c r="CK263">
        <v>0</v>
      </c>
      <c r="CL263">
        <v>0</v>
      </c>
      <c r="CM263">
        <v>0</v>
      </c>
      <c r="CN263">
        <v>0</v>
      </c>
      <c r="CO263">
        <v>0</v>
      </c>
      <c r="CP263">
        <v>-349535</v>
      </c>
      <c r="CQ263">
        <v>-349535</v>
      </c>
      <c r="CR263">
        <v>-349535</v>
      </c>
      <c r="CS263">
        <v>0</v>
      </c>
      <c r="CT263">
        <v>-375873</v>
      </c>
      <c r="CU263">
        <v>-349535</v>
      </c>
      <c r="CV263">
        <v>0</v>
      </c>
      <c r="CW263">
        <v>0</v>
      </c>
      <c r="CX263">
        <v>-375873</v>
      </c>
      <c r="CY263">
        <v>-349535</v>
      </c>
      <c r="CZ263">
        <v>-725408</v>
      </c>
      <c r="DA263">
        <v>0</v>
      </c>
      <c r="DB263">
        <v>0</v>
      </c>
      <c r="DC263">
        <v>0</v>
      </c>
      <c r="DD263">
        <v>-26898</v>
      </c>
      <c r="DE263">
        <v>0</v>
      </c>
      <c r="DF263">
        <v>-26898</v>
      </c>
      <c r="DG263">
        <v>-16000</v>
      </c>
      <c r="DH263">
        <v>0</v>
      </c>
      <c r="DI263">
        <v>-16000</v>
      </c>
      <c r="DJ263">
        <v>-1505811</v>
      </c>
      <c r="DK263">
        <v>0</v>
      </c>
      <c r="DL263">
        <v>-1505811</v>
      </c>
      <c r="DM263">
        <v>-1548709</v>
      </c>
      <c r="DN263">
        <v>0</v>
      </c>
      <c r="DO263">
        <v>0</v>
      </c>
      <c r="DP263">
        <v>0</v>
      </c>
      <c r="DQ263">
        <v>-1548709</v>
      </c>
      <c r="DR263">
        <v>0</v>
      </c>
      <c r="DS263">
        <v>-1548709</v>
      </c>
      <c r="DT263">
        <v>94443063</v>
      </c>
      <c r="DU263">
        <v>1403749</v>
      </c>
      <c r="DV263" s="661">
        <v>95846812</v>
      </c>
      <c r="DW263" t="s">
        <v>1914</v>
      </c>
    </row>
    <row r="264" spans="1:127" ht="12.75" x14ac:dyDescent="0.2">
      <c r="A264" s="605">
        <v>257</v>
      </c>
      <c r="B264" s="606" t="s">
        <v>403</v>
      </c>
      <c r="C264" s="607" t="s">
        <v>1185</v>
      </c>
      <c r="D264" s="608" t="s">
        <v>1195</v>
      </c>
      <c r="E264" s="609" t="s">
        <v>402</v>
      </c>
      <c r="G264">
        <v>148371905</v>
      </c>
      <c r="H264">
        <v>0</v>
      </c>
      <c r="I264">
        <v>148371905</v>
      </c>
      <c r="J264">
        <v>49.9</v>
      </c>
      <c r="K264">
        <v>74037581</v>
      </c>
      <c r="L264">
        <v>0</v>
      </c>
      <c r="M264">
        <v>0</v>
      </c>
      <c r="N264">
        <v>0</v>
      </c>
      <c r="O264">
        <v>74037581</v>
      </c>
      <c r="P264">
        <v>0</v>
      </c>
      <c r="Q264">
        <v>74037581</v>
      </c>
      <c r="R264">
        <v>-266349</v>
      </c>
      <c r="S264">
        <v>0</v>
      </c>
      <c r="T264">
        <v>-266349</v>
      </c>
      <c r="U264">
        <v>282904.03000000003</v>
      </c>
      <c r="V264">
        <v>0</v>
      </c>
      <c r="W264">
        <v>282904.03000000003</v>
      </c>
      <c r="X264">
        <v>16555.030000000028</v>
      </c>
      <c r="Y264">
        <v>0</v>
      </c>
      <c r="Z264">
        <v>0</v>
      </c>
      <c r="AA264">
        <v>0</v>
      </c>
      <c r="AB264">
        <v>16555.030000000028</v>
      </c>
      <c r="AC264">
        <v>0</v>
      </c>
      <c r="AD264">
        <v>16555.030000000028</v>
      </c>
      <c r="AE264">
        <v>-16555.030000000028</v>
      </c>
      <c r="AF264">
        <v>0</v>
      </c>
      <c r="AG264">
        <v>-16555.030000000028</v>
      </c>
      <c r="AH264">
        <v>-6327107</v>
      </c>
      <c r="AI264">
        <v>0</v>
      </c>
      <c r="AJ264">
        <v>-6327107</v>
      </c>
      <c r="AK264">
        <v>0</v>
      </c>
      <c r="AL264">
        <v>0</v>
      </c>
      <c r="AM264">
        <v>0</v>
      </c>
      <c r="AN264">
        <v>1353209</v>
      </c>
      <c r="AO264">
        <v>0</v>
      </c>
      <c r="AP264">
        <v>1353209</v>
      </c>
      <c r="AQ264">
        <v>-4973898</v>
      </c>
      <c r="AR264">
        <v>0</v>
      </c>
      <c r="AS264">
        <v>-4973898</v>
      </c>
      <c r="AT264">
        <v>-4908415.72</v>
      </c>
      <c r="AU264">
        <v>0</v>
      </c>
      <c r="AV264">
        <v>-4908415.72</v>
      </c>
      <c r="AW264">
        <v>-125841.3</v>
      </c>
      <c r="AX264">
        <v>0</v>
      </c>
      <c r="AY264">
        <v>-125841.3</v>
      </c>
      <c r="AZ264">
        <v>-28544</v>
      </c>
      <c r="BA264">
        <v>0</v>
      </c>
      <c r="BB264">
        <v>-28544</v>
      </c>
      <c r="BC264">
        <v>0</v>
      </c>
      <c r="BD264">
        <v>0</v>
      </c>
      <c r="BE264">
        <v>0</v>
      </c>
      <c r="BF264">
        <v>-10036699.02</v>
      </c>
      <c r="BG264">
        <v>0</v>
      </c>
      <c r="BH264">
        <v>0</v>
      </c>
      <c r="BI264">
        <v>0</v>
      </c>
      <c r="BJ264">
        <v>-10036699.02</v>
      </c>
      <c r="BK264">
        <v>0</v>
      </c>
      <c r="BL264">
        <v>-10036699.02</v>
      </c>
      <c r="BM264">
        <v>0</v>
      </c>
      <c r="BN264">
        <v>0</v>
      </c>
      <c r="BO264">
        <v>0</v>
      </c>
      <c r="BP264">
        <v>-1989364</v>
      </c>
      <c r="BQ264">
        <v>0</v>
      </c>
      <c r="BR264">
        <v>-1989364</v>
      </c>
      <c r="BS264">
        <v>-1989364</v>
      </c>
      <c r="BT264">
        <v>0</v>
      </c>
      <c r="BU264">
        <v>0</v>
      </c>
      <c r="BV264">
        <v>0</v>
      </c>
      <c r="BW264">
        <v>-1989364</v>
      </c>
      <c r="BX264">
        <v>0</v>
      </c>
      <c r="BY264">
        <v>-1989364</v>
      </c>
      <c r="BZ264">
        <v>-14159.36</v>
      </c>
      <c r="CA264">
        <v>0</v>
      </c>
      <c r="CB264">
        <v>-14159.36</v>
      </c>
      <c r="CC264">
        <v>-21939.200000000001</v>
      </c>
      <c r="CD264">
        <v>0</v>
      </c>
      <c r="CE264">
        <v>-21939.200000000001</v>
      </c>
      <c r="CF264">
        <v>0</v>
      </c>
      <c r="CG264">
        <v>0</v>
      </c>
      <c r="CH264">
        <v>0</v>
      </c>
      <c r="CI264">
        <v>0</v>
      </c>
      <c r="CJ264">
        <v>0</v>
      </c>
      <c r="CK264">
        <v>0</v>
      </c>
      <c r="CL264">
        <v>0</v>
      </c>
      <c r="CM264">
        <v>0</v>
      </c>
      <c r="CN264">
        <v>0</v>
      </c>
      <c r="CO264">
        <v>0</v>
      </c>
      <c r="CP264">
        <v>0</v>
      </c>
      <c r="CQ264">
        <v>0</v>
      </c>
      <c r="CR264">
        <v>0</v>
      </c>
      <c r="CS264">
        <v>0</v>
      </c>
      <c r="CT264">
        <v>-36098.559999999998</v>
      </c>
      <c r="CU264">
        <v>0</v>
      </c>
      <c r="CV264">
        <v>0</v>
      </c>
      <c r="CW264">
        <v>0</v>
      </c>
      <c r="CX264">
        <v>-36098.559999999998</v>
      </c>
      <c r="CY264">
        <v>0</v>
      </c>
      <c r="CZ264">
        <v>-36098.559999999998</v>
      </c>
      <c r="DA264">
        <v>-27110</v>
      </c>
      <c r="DB264">
        <v>0</v>
      </c>
      <c r="DC264">
        <v>-27110</v>
      </c>
      <c r="DD264">
        <v>-23332.75</v>
      </c>
      <c r="DE264">
        <v>0</v>
      </c>
      <c r="DF264">
        <v>-23332.75</v>
      </c>
      <c r="DG264">
        <v>-11000</v>
      </c>
      <c r="DH264">
        <v>0</v>
      </c>
      <c r="DI264">
        <v>-11000</v>
      </c>
      <c r="DJ264">
        <v>-1416087</v>
      </c>
      <c r="DK264">
        <v>0</v>
      </c>
      <c r="DL264">
        <v>-1416087</v>
      </c>
      <c r="DM264">
        <v>-1477529.75</v>
      </c>
      <c r="DN264">
        <v>0</v>
      </c>
      <c r="DO264">
        <v>0</v>
      </c>
      <c r="DP264">
        <v>0</v>
      </c>
      <c r="DQ264">
        <v>-1477529.75</v>
      </c>
      <c r="DR264">
        <v>0</v>
      </c>
      <c r="DS264">
        <v>-1477529.75</v>
      </c>
      <c r="DT264">
        <v>60514444.700000003</v>
      </c>
      <c r="DU264">
        <v>0</v>
      </c>
      <c r="DV264" s="661">
        <v>60514444.700000003</v>
      </c>
      <c r="DW264" t="s">
        <v>1915</v>
      </c>
    </row>
    <row r="265" spans="1:127" ht="12.75" x14ac:dyDescent="0.2">
      <c r="A265" s="605">
        <v>258</v>
      </c>
      <c r="B265" s="606" t="s">
        <v>405</v>
      </c>
      <c r="C265" s="607" t="s">
        <v>1185</v>
      </c>
      <c r="D265" s="608" t="s">
        <v>1194</v>
      </c>
      <c r="E265" s="609" t="s">
        <v>404</v>
      </c>
      <c r="G265">
        <v>77942809</v>
      </c>
      <c r="H265">
        <v>0</v>
      </c>
      <c r="I265">
        <v>77942809</v>
      </c>
      <c r="J265">
        <v>49.9</v>
      </c>
      <c r="K265">
        <v>38893462</v>
      </c>
      <c r="L265">
        <v>0</v>
      </c>
      <c r="M265">
        <v>0</v>
      </c>
      <c r="N265">
        <v>0</v>
      </c>
      <c r="O265">
        <v>38893462</v>
      </c>
      <c r="P265">
        <v>0</v>
      </c>
      <c r="Q265">
        <v>38893462</v>
      </c>
      <c r="R265">
        <v>-264778</v>
      </c>
      <c r="S265">
        <v>0</v>
      </c>
      <c r="T265">
        <v>-264778</v>
      </c>
      <c r="U265">
        <v>173788</v>
      </c>
      <c r="V265">
        <v>0</v>
      </c>
      <c r="W265">
        <v>173788</v>
      </c>
      <c r="X265">
        <v>-90990</v>
      </c>
      <c r="Y265">
        <v>0</v>
      </c>
      <c r="Z265">
        <v>0</v>
      </c>
      <c r="AA265">
        <v>0</v>
      </c>
      <c r="AB265">
        <v>-90990</v>
      </c>
      <c r="AC265">
        <v>0</v>
      </c>
      <c r="AD265">
        <v>-90990</v>
      </c>
      <c r="AE265">
        <v>90990</v>
      </c>
      <c r="AF265">
        <v>0</v>
      </c>
      <c r="AG265">
        <v>90990</v>
      </c>
      <c r="AH265">
        <v>-4560144</v>
      </c>
      <c r="AI265">
        <v>0</v>
      </c>
      <c r="AJ265">
        <v>-4560144</v>
      </c>
      <c r="AK265">
        <v>0</v>
      </c>
      <c r="AL265">
        <v>0</v>
      </c>
      <c r="AM265">
        <v>0</v>
      </c>
      <c r="AN265">
        <v>631115</v>
      </c>
      <c r="AO265">
        <v>0</v>
      </c>
      <c r="AP265">
        <v>631115</v>
      </c>
      <c r="AQ265">
        <v>-3929029</v>
      </c>
      <c r="AR265">
        <v>0</v>
      </c>
      <c r="AS265">
        <v>-3929029</v>
      </c>
      <c r="AT265">
        <v>-2746929</v>
      </c>
      <c r="AU265">
        <v>0</v>
      </c>
      <c r="AV265">
        <v>-2746929</v>
      </c>
      <c r="AW265">
        <v>-38403</v>
      </c>
      <c r="AX265">
        <v>0</v>
      </c>
      <c r="AY265">
        <v>-38403</v>
      </c>
      <c r="AZ265">
        <v>-31030</v>
      </c>
      <c r="BA265">
        <v>0</v>
      </c>
      <c r="BB265">
        <v>-31030</v>
      </c>
      <c r="BC265">
        <v>0</v>
      </c>
      <c r="BD265">
        <v>0</v>
      </c>
      <c r="BE265">
        <v>0</v>
      </c>
      <c r="BF265">
        <v>-6745391</v>
      </c>
      <c r="BG265">
        <v>0</v>
      </c>
      <c r="BH265">
        <v>0</v>
      </c>
      <c r="BI265">
        <v>0</v>
      </c>
      <c r="BJ265">
        <v>-6745391</v>
      </c>
      <c r="BK265">
        <v>0</v>
      </c>
      <c r="BL265">
        <v>-6745391</v>
      </c>
      <c r="BM265">
        <v>0</v>
      </c>
      <c r="BN265">
        <v>0</v>
      </c>
      <c r="BO265">
        <v>0</v>
      </c>
      <c r="BP265">
        <v>-792096</v>
      </c>
      <c r="BQ265">
        <v>0</v>
      </c>
      <c r="BR265">
        <v>-792096</v>
      </c>
      <c r="BS265">
        <v>-792096</v>
      </c>
      <c r="BT265">
        <v>0</v>
      </c>
      <c r="BU265">
        <v>0</v>
      </c>
      <c r="BV265">
        <v>0</v>
      </c>
      <c r="BW265">
        <v>-792096</v>
      </c>
      <c r="BX265">
        <v>0</v>
      </c>
      <c r="BY265">
        <v>-792096</v>
      </c>
      <c r="BZ265">
        <v>-105839</v>
      </c>
      <c r="CA265">
        <v>0</v>
      </c>
      <c r="CB265">
        <v>-105839</v>
      </c>
      <c r="CC265">
        <v>-136619</v>
      </c>
      <c r="CD265">
        <v>0</v>
      </c>
      <c r="CE265">
        <v>-136619</v>
      </c>
      <c r="CF265">
        <v>0</v>
      </c>
      <c r="CG265">
        <v>0</v>
      </c>
      <c r="CH265">
        <v>0</v>
      </c>
      <c r="CI265">
        <v>0</v>
      </c>
      <c r="CJ265">
        <v>0</v>
      </c>
      <c r="CK265">
        <v>0</v>
      </c>
      <c r="CL265">
        <v>0</v>
      </c>
      <c r="CM265">
        <v>0</v>
      </c>
      <c r="CN265">
        <v>0</v>
      </c>
      <c r="CO265">
        <v>0</v>
      </c>
      <c r="CP265">
        <v>0</v>
      </c>
      <c r="CQ265">
        <v>0</v>
      </c>
      <c r="CR265">
        <v>0</v>
      </c>
      <c r="CS265">
        <v>0</v>
      </c>
      <c r="CT265">
        <v>-242458</v>
      </c>
      <c r="CU265">
        <v>0</v>
      </c>
      <c r="CV265">
        <v>0</v>
      </c>
      <c r="CW265">
        <v>0</v>
      </c>
      <c r="CX265">
        <v>-242458</v>
      </c>
      <c r="CY265">
        <v>0</v>
      </c>
      <c r="CZ265">
        <v>-242458</v>
      </c>
      <c r="DA265">
        <v>-31030</v>
      </c>
      <c r="DB265">
        <v>0</v>
      </c>
      <c r="DC265">
        <v>-31030</v>
      </c>
      <c r="DD265">
        <v>-30484</v>
      </c>
      <c r="DE265">
        <v>0</v>
      </c>
      <c r="DF265">
        <v>-30484</v>
      </c>
      <c r="DG265">
        <v>0</v>
      </c>
      <c r="DH265">
        <v>0</v>
      </c>
      <c r="DI265">
        <v>0</v>
      </c>
      <c r="DJ265">
        <v>-512504</v>
      </c>
      <c r="DK265">
        <v>0</v>
      </c>
      <c r="DL265">
        <v>-512504</v>
      </c>
      <c r="DM265">
        <v>-574018</v>
      </c>
      <c r="DN265">
        <v>0</v>
      </c>
      <c r="DO265">
        <v>0</v>
      </c>
      <c r="DP265">
        <v>0</v>
      </c>
      <c r="DQ265">
        <v>-574018</v>
      </c>
      <c r="DR265">
        <v>0</v>
      </c>
      <c r="DS265">
        <v>-574018</v>
      </c>
      <c r="DT265">
        <v>30448509</v>
      </c>
      <c r="DU265">
        <v>0</v>
      </c>
      <c r="DV265" s="661">
        <v>30448509</v>
      </c>
      <c r="DW265" t="s">
        <v>1916</v>
      </c>
    </row>
    <row r="266" spans="1:127" ht="12.75" x14ac:dyDescent="0.2">
      <c r="A266" s="605">
        <v>259</v>
      </c>
      <c r="B266" s="606" t="s">
        <v>407</v>
      </c>
      <c r="C266" s="607" t="s">
        <v>1192</v>
      </c>
      <c r="D266" s="608" t="s">
        <v>1197</v>
      </c>
      <c r="E266" s="609" t="s">
        <v>406</v>
      </c>
      <c r="G266">
        <v>229804582</v>
      </c>
      <c r="H266">
        <v>1942000</v>
      </c>
      <c r="I266">
        <v>231746582</v>
      </c>
      <c r="J266">
        <v>49.9</v>
      </c>
      <c r="K266">
        <v>114672486</v>
      </c>
      <c r="L266">
        <v>969058</v>
      </c>
      <c r="M266">
        <v>500000</v>
      </c>
      <c r="N266">
        <v>916070</v>
      </c>
      <c r="O266">
        <v>115172486</v>
      </c>
      <c r="P266">
        <v>1885128</v>
      </c>
      <c r="Q266">
        <v>117057614</v>
      </c>
      <c r="R266">
        <v>-655158</v>
      </c>
      <c r="S266">
        <v>0</v>
      </c>
      <c r="T266">
        <v>-655158</v>
      </c>
      <c r="U266">
        <v>1482454</v>
      </c>
      <c r="V266">
        <v>0</v>
      </c>
      <c r="W266">
        <v>1482454</v>
      </c>
      <c r="X266">
        <v>827296</v>
      </c>
      <c r="Y266">
        <v>0</v>
      </c>
      <c r="Z266">
        <v>0</v>
      </c>
      <c r="AA266">
        <v>0</v>
      </c>
      <c r="AB266">
        <v>827296</v>
      </c>
      <c r="AC266">
        <v>0</v>
      </c>
      <c r="AD266">
        <v>827296</v>
      </c>
      <c r="AE266">
        <v>-827296</v>
      </c>
      <c r="AF266">
        <v>0</v>
      </c>
      <c r="AG266">
        <v>-827296</v>
      </c>
      <c r="AH266">
        <v>-8856887</v>
      </c>
      <c r="AI266">
        <v>0</v>
      </c>
      <c r="AJ266">
        <v>-8856887</v>
      </c>
      <c r="AK266">
        <v>-33740</v>
      </c>
      <c r="AL266">
        <v>0</v>
      </c>
      <c r="AM266">
        <v>-33740</v>
      </c>
      <c r="AN266">
        <v>2267882</v>
      </c>
      <c r="AO266">
        <v>24115</v>
      </c>
      <c r="AP266">
        <v>2291997</v>
      </c>
      <c r="AQ266">
        <v>-6589005</v>
      </c>
      <c r="AR266">
        <v>24115</v>
      </c>
      <c r="AS266">
        <v>-6564890</v>
      </c>
      <c r="AT266">
        <v>-8316918</v>
      </c>
      <c r="AU266">
        <v>0</v>
      </c>
      <c r="AV266">
        <v>-8316918</v>
      </c>
      <c r="AW266">
        <v>-50012</v>
      </c>
      <c r="AX266">
        <v>0</v>
      </c>
      <c r="AY266">
        <v>-50012</v>
      </c>
      <c r="AZ266">
        <v>-1637</v>
      </c>
      <c r="BA266">
        <v>0</v>
      </c>
      <c r="BB266">
        <v>-1637</v>
      </c>
      <c r="BC266">
        <v>0</v>
      </c>
      <c r="BD266">
        <v>0</v>
      </c>
      <c r="BE266">
        <v>0</v>
      </c>
      <c r="BF266">
        <v>-14957572</v>
      </c>
      <c r="BG266">
        <v>24115</v>
      </c>
      <c r="BH266">
        <v>-284672</v>
      </c>
      <c r="BI266">
        <v>-43008</v>
      </c>
      <c r="BJ266">
        <v>-15242244</v>
      </c>
      <c r="BK266">
        <v>-18893</v>
      </c>
      <c r="BL266">
        <v>-15261137</v>
      </c>
      <c r="BM266">
        <v>0</v>
      </c>
      <c r="BN266">
        <v>0</v>
      </c>
      <c r="BO266">
        <v>0</v>
      </c>
      <c r="BP266">
        <v>-1883069</v>
      </c>
      <c r="BQ266">
        <v>0</v>
      </c>
      <c r="BR266">
        <v>-1883069</v>
      </c>
      <c r="BS266">
        <v>-1883069</v>
      </c>
      <c r="BT266">
        <v>0</v>
      </c>
      <c r="BU266">
        <v>-1216931</v>
      </c>
      <c r="BV266">
        <v>0</v>
      </c>
      <c r="BW266">
        <v>-3100000</v>
      </c>
      <c r="BX266">
        <v>0</v>
      </c>
      <c r="BY266">
        <v>-3100000</v>
      </c>
      <c r="BZ266">
        <v>-54546</v>
      </c>
      <c r="CA266">
        <v>0</v>
      </c>
      <c r="CB266">
        <v>-54546</v>
      </c>
      <c r="CC266">
        <v>-121092</v>
      </c>
      <c r="CD266">
        <v>0</v>
      </c>
      <c r="CE266">
        <v>-121092</v>
      </c>
      <c r="CF266">
        <v>-512</v>
      </c>
      <c r="CG266">
        <v>0</v>
      </c>
      <c r="CH266">
        <v>-512</v>
      </c>
      <c r="CI266">
        <v>0</v>
      </c>
      <c r="CJ266">
        <v>0</v>
      </c>
      <c r="CK266">
        <v>0</v>
      </c>
      <c r="CL266">
        <v>0</v>
      </c>
      <c r="CM266">
        <v>0</v>
      </c>
      <c r="CN266">
        <v>0</v>
      </c>
      <c r="CO266">
        <v>0</v>
      </c>
      <c r="CP266">
        <v>0</v>
      </c>
      <c r="CQ266">
        <v>0</v>
      </c>
      <c r="CR266">
        <v>0</v>
      </c>
      <c r="CS266">
        <v>0</v>
      </c>
      <c r="CT266">
        <v>-176150</v>
      </c>
      <c r="CU266">
        <v>0</v>
      </c>
      <c r="CV266">
        <v>0</v>
      </c>
      <c r="CW266">
        <v>0</v>
      </c>
      <c r="CX266">
        <v>-176150</v>
      </c>
      <c r="CY266">
        <v>0</v>
      </c>
      <c r="CZ266">
        <v>-176150</v>
      </c>
      <c r="DA266">
        <v>-1637</v>
      </c>
      <c r="DB266">
        <v>0</v>
      </c>
      <c r="DC266">
        <v>-1637</v>
      </c>
      <c r="DD266">
        <v>-31692</v>
      </c>
      <c r="DE266">
        <v>0</v>
      </c>
      <c r="DF266">
        <v>-31692</v>
      </c>
      <c r="DG266">
        <v>-14000</v>
      </c>
      <c r="DH266">
        <v>0</v>
      </c>
      <c r="DI266">
        <v>-14000</v>
      </c>
      <c r="DJ266">
        <v>-1519066</v>
      </c>
      <c r="DK266">
        <v>0</v>
      </c>
      <c r="DL266">
        <v>-1519066</v>
      </c>
      <c r="DM266">
        <v>-1566395</v>
      </c>
      <c r="DN266">
        <v>0</v>
      </c>
      <c r="DO266">
        <v>0</v>
      </c>
      <c r="DP266">
        <v>0</v>
      </c>
      <c r="DQ266">
        <v>-1566395</v>
      </c>
      <c r="DR266">
        <v>0</v>
      </c>
      <c r="DS266">
        <v>-1566395</v>
      </c>
      <c r="DT266">
        <v>95914993</v>
      </c>
      <c r="DU266">
        <v>1866235</v>
      </c>
      <c r="DV266" s="661">
        <v>97781228</v>
      </c>
      <c r="DW266" t="s">
        <v>1917</v>
      </c>
    </row>
    <row r="267" spans="1:127" ht="12.75" x14ac:dyDescent="0.2">
      <c r="A267" s="605">
        <v>260</v>
      </c>
      <c r="B267" s="606" t="s">
        <v>409</v>
      </c>
      <c r="C267" s="607" t="s">
        <v>1185</v>
      </c>
      <c r="D267" s="608" t="s">
        <v>1186</v>
      </c>
      <c r="E267" s="609" t="s">
        <v>408</v>
      </c>
      <c r="G267">
        <v>89633321</v>
      </c>
      <c r="H267">
        <v>0</v>
      </c>
      <c r="I267">
        <v>89633321</v>
      </c>
      <c r="J267">
        <v>49.9</v>
      </c>
      <c r="K267">
        <v>44727027</v>
      </c>
      <c r="L267">
        <v>0</v>
      </c>
      <c r="M267">
        <v>0</v>
      </c>
      <c r="N267">
        <v>0</v>
      </c>
      <c r="O267">
        <v>44727027</v>
      </c>
      <c r="P267">
        <v>0</v>
      </c>
      <c r="Q267">
        <v>44727027</v>
      </c>
      <c r="R267">
        <v>-172645</v>
      </c>
      <c r="S267">
        <v>0</v>
      </c>
      <c r="T267">
        <v>-172645</v>
      </c>
      <c r="U267">
        <v>107305</v>
      </c>
      <c r="V267">
        <v>0</v>
      </c>
      <c r="W267">
        <v>107305</v>
      </c>
      <c r="X267">
        <v>-65340</v>
      </c>
      <c r="Y267">
        <v>0</v>
      </c>
      <c r="Z267">
        <v>0</v>
      </c>
      <c r="AA267">
        <v>0</v>
      </c>
      <c r="AB267">
        <v>-65340</v>
      </c>
      <c r="AC267">
        <v>0</v>
      </c>
      <c r="AD267">
        <v>-65340</v>
      </c>
      <c r="AE267">
        <v>65340</v>
      </c>
      <c r="AF267">
        <v>0</v>
      </c>
      <c r="AG267">
        <v>65340</v>
      </c>
      <c r="AH267">
        <v>-2965706</v>
      </c>
      <c r="AI267">
        <v>0</v>
      </c>
      <c r="AJ267">
        <v>-2965706</v>
      </c>
      <c r="AK267">
        <v>-10454</v>
      </c>
      <c r="AL267">
        <v>0</v>
      </c>
      <c r="AM267">
        <v>-10454</v>
      </c>
      <c r="AN267">
        <v>851145</v>
      </c>
      <c r="AO267">
        <v>0</v>
      </c>
      <c r="AP267">
        <v>851145</v>
      </c>
      <c r="AQ267">
        <v>-2114561</v>
      </c>
      <c r="AR267">
        <v>0</v>
      </c>
      <c r="AS267">
        <v>-2114561</v>
      </c>
      <c r="AT267">
        <v>-1817838</v>
      </c>
      <c r="AU267">
        <v>0</v>
      </c>
      <c r="AV267">
        <v>-1817838</v>
      </c>
      <c r="AW267">
        <v>-5990</v>
      </c>
      <c r="AX267">
        <v>0</v>
      </c>
      <c r="AY267">
        <v>-5990</v>
      </c>
      <c r="AZ267">
        <v>0</v>
      </c>
      <c r="BA267">
        <v>0</v>
      </c>
      <c r="BB267">
        <v>0</v>
      </c>
      <c r="BC267">
        <v>0</v>
      </c>
      <c r="BD267">
        <v>0</v>
      </c>
      <c r="BE267">
        <v>0</v>
      </c>
      <c r="BF267">
        <v>-3938389</v>
      </c>
      <c r="BG267">
        <v>0</v>
      </c>
      <c r="BH267">
        <v>0</v>
      </c>
      <c r="BI267">
        <v>0</v>
      </c>
      <c r="BJ267">
        <v>-3938389</v>
      </c>
      <c r="BK267">
        <v>0</v>
      </c>
      <c r="BL267">
        <v>-3938389</v>
      </c>
      <c r="BM267">
        <v>0</v>
      </c>
      <c r="BN267">
        <v>0</v>
      </c>
      <c r="BO267">
        <v>0</v>
      </c>
      <c r="BP267">
        <v>-1000000</v>
      </c>
      <c r="BQ267">
        <v>0</v>
      </c>
      <c r="BR267">
        <v>-1000000</v>
      </c>
      <c r="BS267">
        <v>-1000000</v>
      </c>
      <c r="BT267">
        <v>0</v>
      </c>
      <c r="BU267">
        <v>-200000</v>
      </c>
      <c r="BV267">
        <v>0</v>
      </c>
      <c r="BW267">
        <v>-1200000</v>
      </c>
      <c r="BX267">
        <v>0</v>
      </c>
      <c r="BY267">
        <v>-1200000</v>
      </c>
      <c r="BZ267">
        <v>-99815</v>
      </c>
      <c r="CA267">
        <v>0</v>
      </c>
      <c r="CB267">
        <v>-99815</v>
      </c>
      <c r="CC267">
        <v>-190611</v>
      </c>
      <c r="CD267">
        <v>0</v>
      </c>
      <c r="CE267">
        <v>-190611</v>
      </c>
      <c r="CF267">
        <v>-1498</v>
      </c>
      <c r="CG267">
        <v>0</v>
      </c>
      <c r="CH267">
        <v>-1498</v>
      </c>
      <c r="CI267">
        <v>0</v>
      </c>
      <c r="CJ267">
        <v>0</v>
      </c>
      <c r="CK267">
        <v>0</v>
      </c>
      <c r="CL267">
        <v>0</v>
      </c>
      <c r="CM267">
        <v>0</v>
      </c>
      <c r="CN267">
        <v>0</v>
      </c>
      <c r="CO267">
        <v>0</v>
      </c>
      <c r="CP267">
        <v>0</v>
      </c>
      <c r="CQ267">
        <v>0</v>
      </c>
      <c r="CR267">
        <v>0</v>
      </c>
      <c r="CS267">
        <v>0</v>
      </c>
      <c r="CT267">
        <v>-291924</v>
      </c>
      <c r="CU267">
        <v>0</v>
      </c>
      <c r="CV267">
        <v>0</v>
      </c>
      <c r="CW267">
        <v>0</v>
      </c>
      <c r="CX267">
        <v>-291924</v>
      </c>
      <c r="CY267">
        <v>0</v>
      </c>
      <c r="CZ267">
        <v>-291924</v>
      </c>
      <c r="DA267">
        <v>0</v>
      </c>
      <c r="DB267">
        <v>0</v>
      </c>
      <c r="DC267">
        <v>0</v>
      </c>
      <c r="DD267">
        <v>-18000</v>
      </c>
      <c r="DE267">
        <v>0</v>
      </c>
      <c r="DF267">
        <v>-18000</v>
      </c>
      <c r="DG267">
        <v>-5996</v>
      </c>
      <c r="DH267">
        <v>0</v>
      </c>
      <c r="DI267">
        <v>-5996</v>
      </c>
      <c r="DJ267">
        <v>-800000</v>
      </c>
      <c r="DK267">
        <v>0</v>
      </c>
      <c r="DL267">
        <v>-800000</v>
      </c>
      <c r="DM267">
        <v>-823996</v>
      </c>
      <c r="DN267">
        <v>0</v>
      </c>
      <c r="DO267">
        <v>0</v>
      </c>
      <c r="DP267">
        <v>0</v>
      </c>
      <c r="DQ267">
        <v>-823996</v>
      </c>
      <c r="DR267">
        <v>0</v>
      </c>
      <c r="DS267">
        <v>-823996</v>
      </c>
      <c r="DT267">
        <v>38407378</v>
      </c>
      <c r="DU267">
        <v>0</v>
      </c>
      <c r="DV267" s="661">
        <v>38407378</v>
      </c>
      <c r="DW267" t="s">
        <v>1918</v>
      </c>
    </row>
    <row r="268" spans="1:127" ht="12.75" x14ac:dyDescent="0.2">
      <c r="A268" s="605">
        <v>261</v>
      </c>
      <c r="B268" s="606" t="s">
        <v>411</v>
      </c>
      <c r="C268" s="607" t="s">
        <v>1190</v>
      </c>
      <c r="D268" s="608" t="s">
        <v>1191</v>
      </c>
      <c r="E268" s="609" t="s">
        <v>410</v>
      </c>
      <c r="G268">
        <v>143503841</v>
      </c>
      <c r="H268">
        <v>0</v>
      </c>
      <c r="I268">
        <v>143503841</v>
      </c>
      <c r="J268">
        <v>49.9</v>
      </c>
      <c r="K268">
        <v>71608417</v>
      </c>
      <c r="L268">
        <v>0</v>
      </c>
      <c r="M268">
        <v>2250000</v>
      </c>
      <c r="N268">
        <v>0</v>
      </c>
      <c r="O268">
        <v>73858417</v>
      </c>
      <c r="P268">
        <v>0</v>
      </c>
      <c r="Q268">
        <v>73858417</v>
      </c>
      <c r="R268">
        <v>-221254</v>
      </c>
      <c r="S268">
        <v>0</v>
      </c>
      <c r="T268">
        <v>-221254</v>
      </c>
      <c r="U268">
        <v>195519</v>
      </c>
      <c r="V268">
        <v>0</v>
      </c>
      <c r="W268">
        <v>195519</v>
      </c>
      <c r="X268">
        <v>-25735</v>
      </c>
      <c r="Y268">
        <v>0</v>
      </c>
      <c r="Z268">
        <v>0</v>
      </c>
      <c r="AA268">
        <v>0</v>
      </c>
      <c r="AB268">
        <v>-25735</v>
      </c>
      <c r="AC268">
        <v>0</v>
      </c>
      <c r="AD268">
        <v>-25735</v>
      </c>
      <c r="AE268">
        <v>25735</v>
      </c>
      <c r="AF268">
        <v>0</v>
      </c>
      <c r="AG268">
        <v>25735</v>
      </c>
      <c r="AH268">
        <v>-5142106</v>
      </c>
      <c r="AI268">
        <v>0</v>
      </c>
      <c r="AJ268">
        <v>-5142106</v>
      </c>
      <c r="AK268">
        <v>0</v>
      </c>
      <c r="AL268">
        <v>0</v>
      </c>
      <c r="AM268">
        <v>0</v>
      </c>
      <c r="AN268">
        <v>1365790</v>
      </c>
      <c r="AO268">
        <v>0</v>
      </c>
      <c r="AP268">
        <v>1365790</v>
      </c>
      <c r="AQ268">
        <v>-3776316</v>
      </c>
      <c r="AR268">
        <v>0</v>
      </c>
      <c r="AS268">
        <v>-3776316</v>
      </c>
      <c r="AT268">
        <v>-7259585</v>
      </c>
      <c r="AU268">
        <v>0</v>
      </c>
      <c r="AV268">
        <v>-7259585</v>
      </c>
      <c r="AW268">
        <v>-38134</v>
      </c>
      <c r="AX268">
        <v>0</v>
      </c>
      <c r="AY268">
        <v>-38134</v>
      </c>
      <c r="AZ268">
        <v>0</v>
      </c>
      <c r="BA268">
        <v>0</v>
      </c>
      <c r="BB268">
        <v>0</v>
      </c>
      <c r="BC268">
        <v>0</v>
      </c>
      <c r="BD268">
        <v>0</v>
      </c>
      <c r="BE268">
        <v>0</v>
      </c>
      <c r="BF268">
        <v>-11074035</v>
      </c>
      <c r="BG268">
        <v>0</v>
      </c>
      <c r="BH268">
        <v>0</v>
      </c>
      <c r="BI268">
        <v>0</v>
      </c>
      <c r="BJ268">
        <v>-11074035</v>
      </c>
      <c r="BK268">
        <v>0</v>
      </c>
      <c r="BL268">
        <v>-11074035</v>
      </c>
      <c r="BM268">
        <v>-25000</v>
      </c>
      <c r="BN268">
        <v>0</v>
      </c>
      <c r="BO268">
        <v>-25000</v>
      </c>
      <c r="BP268">
        <v>-619354</v>
      </c>
      <c r="BQ268">
        <v>0</v>
      </c>
      <c r="BR268">
        <v>-619354</v>
      </c>
      <c r="BS268">
        <v>-644354</v>
      </c>
      <c r="BT268">
        <v>0</v>
      </c>
      <c r="BU268">
        <v>-50000</v>
      </c>
      <c r="BV268">
        <v>0</v>
      </c>
      <c r="BW268">
        <v>-694354</v>
      </c>
      <c r="BX268">
        <v>0</v>
      </c>
      <c r="BY268">
        <v>-694354</v>
      </c>
      <c r="BZ268">
        <v>0</v>
      </c>
      <c r="CA268">
        <v>0</v>
      </c>
      <c r="CB268">
        <v>0</v>
      </c>
      <c r="CC268">
        <v>-38805</v>
      </c>
      <c r="CD268">
        <v>0</v>
      </c>
      <c r="CE268">
        <v>-38805</v>
      </c>
      <c r="CF268">
        <v>0</v>
      </c>
      <c r="CG268">
        <v>0</v>
      </c>
      <c r="CH268">
        <v>0</v>
      </c>
      <c r="CI268">
        <v>0</v>
      </c>
      <c r="CJ268">
        <v>0</v>
      </c>
      <c r="CK268">
        <v>0</v>
      </c>
      <c r="CL268">
        <v>0</v>
      </c>
      <c r="CM268">
        <v>0</v>
      </c>
      <c r="CN268">
        <v>0</v>
      </c>
      <c r="CO268">
        <v>0</v>
      </c>
      <c r="CP268">
        <v>0</v>
      </c>
      <c r="CQ268">
        <v>0</v>
      </c>
      <c r="CR268">
        <v>0</v>
      </c>
      <c r="CS268">
        <v>0</v>
      </c>
      <c r="CT268">
        <v>-38805</v>
      </c>
      <c r="CU268">
        <v>0</v>
      </c>
      <c r="CV268">
        <v>0</v>
      </c>
      <c r="CW268">
        <v>0</v>
      </c>
      <c r="CX268">
        <v>-38805</v>
      </c>
      <c r="CY268">
        <v>0</v>
      </c>
      <c r="CZ268">
        <v>-38805</v>
      </c>
      <c r="DA268">
        <v>0</v>
      </c>
      <c r="DB268">
        <v>0</v>
      </c>
      <c r="DC268">
        <v>0</v>
      </c>
      <c r="DD268">
        <v>-19991</v>
      </c>
      <c r="DE268">
        <v>0</v>
      </c>
      <c r="DF268">
        <v>-19991</v>
      </c>
      <c r="DG268">
        <v>-12723</v>
      </c>
      <c r="DH268">
        <v>0</v>
      </c>
      <c r="DI268">
        <v>-12723</v>
      </c>
      <c r="DJ268">
        <v>-1302824</v>
      </c>
      <c r="DK268">
        <v>0</v>
      </c>
      <c r="DL268">
        <v>-1302824</v>
      </c>
      <c r="DM268">
        <v>-1335538</v>
      </c>
      <c r="DN268">
        <v>0</v>
      </c>
      <c r="DO268">
        <v>-10000</v>
      </c>
      <c r="DP268">
        <v>0</v>
      </c>
      <c r="DQ268">
        <v>-1345538</v>
      </c>
      <c r="DR268">
        <v>0</v>
      </c>
      <c r="DS268">
        <v>-1345538</v>
      </c>
      <c r="DT268">
        <v>60679950</v>
      </c>
      <c r="DU268">
        <v>0</v>
      </c>
      <c r="DV268" s="661">
        <v>60679950</v>
      </c>
      <c r="DW268" t="s">
        <v>1919</v>
      </c>
    </row>
    <row r="269" spans="1:127" ht="12.75" x14ac:dyDescent="0.2">
      <c r="A269" s="605">
        <v>262</v>
      </c>
      <c r="B269" s="606" t="s">
        <v>413</v>
      </c>
      <c r="C269" s="607" t="s">
        <v>1185</v>
      </c>
      <c r="D269" s="608" t="s">
        <v>1186</v>
      </c>
      <c r="E269" s="609" t="s">
        <v>412</v>
      </c>
      <c r="G269">
        <v>131532560</v>
      </c>
      <c r="H269">
        <v>0</v>
      </c>
      <c r="I269">
        <v>131532560</v>
      </c>
      <c r="J269">
        <v>49.9</v>
      </c>
      <c r="K269">
        <v>65634747</v>
      </c>
      <c r="L269">
        <v>0</v>
      </c>
      <c r="M269">
        <v>245456</v>
      </c>
      <c r="N269">
        <v>0</v>
      </c>
      <c r="O269">
        <v>65880203</v>
      </c>
      <c r="P269">
        <v>0</v>
      </c>
      <c r="Q269">
        <v>65880203</v>
      </c>
      <c r="R269">
        <v>-251448</v>
      </c>
      <c r="S269">
        <v>0</v>
      </c>
      <c r="T269">
        <v>-251448</v>
      </c>
      <c r="U269">
        <v>78966</v>
      </c>
      <c r="V269">
        <v>0</v>
      </c>
      <c r="W269">
        <v>78966</v>
      </c>
      <c r="X269">
        <v>-172482</v>
      </c>
      <c r="Y269">
        <v>0</v>
      </c>
      <c r="Z269">
        <v>0</v>
      </c>
      <c r="AA269">
        <v>0</v>
      </c>
      <c r="AB269">
        <v>-172482</v>
      </c>
      <c r="AC269">
        <v>0</v>
      </c>
      <c r="AD269">
        <v>-172482</v>
      </c>
      <c r="AE269">
        <v>172482</v>
      </c>
      <c r="AF269">
        <v>0</v>
      </c>
      <c r="AG269">
        <v>172482</v>
      </c>
      <c r="AH269">
        <v>-6234483</v>
      </c>
      <c r="AI269">
        <v>0</v>
      </c>
      <c r="AJ269">
        <v>-6234483</v>
      </c>
      <c r="AK269">
        <v>-18725</v>
      </c>
      <c r="AL269">
        <v>0</v>
      </c>
      <c r="AM269">
        <v>-18725</v>
      </c>
      <c r="AN269">
        <v>1230966</v>
      </c>
      <c r="AO269">
        <v>0</v>
      </c>
      <c r="AP269">
        <v>1230966</v>
      </c>
      <c r="AQ269">
        <v>-5003517</v>
      </c>
      <c r="AR269">
        <v>0</v>
      </c>
      <c r="AS269">
        <v>-5003517</v>
      </c>
      <c r="AT269">
        <v>-3478931</v>
      </c>
      <c r="AU269">
        <v>0</v>
      </c>
      <c r="AV269">
        <v>-3478931</v>
      </c>
      <c r="AW269">
        <v>-103930</v>
      </c>
      <c r="AX269">
        <v>0</v>
      </c>
      <c r="AY269">
        <v>-103930</v>
      </c>
      <c r="AZ269">
        <v>-25256</v>
      </c>
      <c r="BA269">
        <v>0</v>
      </c>
      <c r="BB269">
        <v>-25256</v>
      </c>
      <c r="BC269">
        <v>0</v>
      </c>
      <c r="BD269">
        <v>0</v>
      </c>
      <c r="BE269">
        <v>0</v>
      </c>
      <c r="BF269">
        <v>-8611634</v>
      </c>
      <c r="BG269">
        <v>0</v>
      </c>
      <c r="BH269">
        <v>0</v>
      </c>
      <c r="BI269">
        <v>0</v>
      </c>
      <c r="BJ269">
        <v>-8611634</v>
      </c>
      <c r="BK269">
        <v>0</v>
      </c>
      <c r="BL269">
        <v>-8611634</v>
      </c>
      <c r="BM269">
        <v>0</v>
      </c>
      <c r="BN269">
        <v>0</v>
      </c>
      <c r="BO269">
        <v>0</v>
      </c>
      <c r="BP269">
        <v>-1464998</v>
      </c>
      <c r="BQ269">
        <v>0</v>
      </c>
      <c r="BR269">
        <v>-1464998</v>
      </c>
      <c r="BS269">
        <v>-1464998</v>
      </c>
      <c r="BT269">
        <v>0</v>
      </c>
      <c r="BU269">
        <v>-520000</v>
      </c>
      <c r="BV269">
        <v>0</v>
      </c>
      <c r="BW269">
        <v>-1984998</v>
      </c>
      <c r="BX269">
        <v>0</v>
      </c>
      <c r="BY269">
        <v>-1984998</v>
      </c>
      <c r="BZ269">
        <v>-231904</v>
      </c>
      <c r="CA269">
        <v>0</v>
      </c>
      <c r="CB269">
        <v>-231904</v>
      </c>
      <c r="CC269">
        <v>-108329</v>
      </c>
      <c r="CD269">
        <v>0</v>
      </c>
      <c r="CE269">
        <v>-108329</v>
      </c>
      <c r="CF269">
        <v>-25982</v>
      </c>
      <c r="CG269">
        <v>0</v>
      </c>
      <c r="CH269">
        <v>-25982</v>
      </c>
      <c r="CI269">
        <v>0</v>
      </c>
      <c r="CJ269">
        <v>0</v>
      </c>
      <c r="CK269">
        <v>0</v>
      </c>
      <c r="CL269">
        <v>-8171</v>
      </c>
      <c r="CM269">
        <v>0</v>
      </c>
      <c r="CN269">
        <v>-8171</v>
      </c>
      <c r="CO269">
        <v>0</v>
      </c>
      <c r="CP269">
        <v>0</v>
      </c>
      <c r="CQ269">
        <v>0</v>
      </c>
      <c r="CR269">
        <v>0</v>
      </c>
      <c r="CS269">
        <v>0</v>
      </c>
      <c r="CT269">
        <v>-374386</v>
      </c>
      <c r="CU269">
        <v>0</v>
      </c>
      <c r="CV269">
        <v>0</v>
      </c>
      <c r="CW269">
        <v>0</v>
      </c>
      <c r="CX269">
        <v>-374386</v>
      </c>
      <c r="CY269">
        <v>0</v>
      </c>
      <c r="CZ269">
        <v>-374386</v>
      </c>
      <c r="DA269">
        <v>-8171</v>
      </c>
      <c r="DB269">
        <v>0</v>
      </c>
      <c r="DC269">
        <v>-8171</v>
      </c>
      <c r="DD269">
        <v>-40204</v>
      </c>
      <c r="DE269">
        <v>0</v>
      </c>
      <c r="DF269">
        <v>-40204</v>
      </c>
      <c r="DG269">
        <v>-1500</v>
      </c>
      <c r="DH269">
        <v>0</v>
      </c>
      <c r="DI269">
        <v>-1500</v>
      </c>
      <c r="DJ269">
        <v>-693210</v>
      </c>
      <c r="DK269">
        <v>0</v>
      </c>
      <c r="DL269">
        <v>-693210</v>
      </c>
      <c r="DM269">
        <v>-743085</v>
      </c>
      <c r="DN269">
        <v>0</v>
      </c>
      <c r="DO269">
        <v>0</v>
      </c>
      <c r="DP269">
        <v>0</v>
      </c>
      <c r="DQ269">
        <v>-743085</v>
      </c>
      <c r="DR269">
        <v>0</v>
      </c>
      <c r="DS269">
        <v>-743085</v>
      </c>
      <c r="DT269">
        <v>53993618</v>
      </c>
      <c r="DU269">
        <v>0</v>
      </c>
      <c r="DV269" s="661">
        <v>53993618</v>
      </c>
      <c r="DW269" t="s">
        <v>1920</v>
      </c>
    </row>
    <row r="270" spans="1:127" ht="12.75" x14ac:dyDescent="0.2">
      <c r="A270" s="605">
        <v>263</v>
      </c>
      <c r="B270" s="606" t="s">
        <v>415</v>
      </c>
      <c r="C270" s="607" t="s">
        <v>524</v>
      </c>
      <c r="D270" s="608" t="s">
        <v>1194</v>
      </c>
      <c r="E270" s="609" t="s">
        <v>614</v>
      </c>
      <c r="G270">
        <v>258323591</v>
      </c>
      <c r="H270">
        <v>0</v>
      </c>
      <c r="I270">
        <v>258323591</v>
      </c>
      <c r="J270">
        <v>49.9</v>
      </c>
      <c r="K270">
        <v>128903472</v>
      </c>
      <c r="L270">
        <v>0</v>
      </c>
      <c r="M270">
        <v>1030565</v>
      </c>
      <c r="N270">
        <v>0</v>
      </c>
      <c r="O270">
        <v>129934037</v>
      </c>
      <c r="P270">
        <v>0</v>
      </c>
      <c r="Q270">
        <v>129934037</v>
      </c>
      <c r="R270">
        <v>-239840</v>
      </c>
      <c r="S270">
        <v>0</v>
      </c>
      <c r="T270">
        <v>-239840</v>
      </c>
      <c r="U270">
        <v>1774020</v>
      </c>
      <c r="V270">
        <v>0</v>
      </c>
      <c r="W270">
        <v>1774020</v>
      </c>
      <c r="X270">
        <v>1534180</v>
      </c>
      <c r="Y270">
        <v>0</v>
      </c>
      <c r="Z270">
        <v>0</v>
      </c>
      <c r="AA270">
        <v>0</v>
      </c>
      <c r="AB270">
        <v>1534180</v>
      </c>
      <c r="AC270">
        <v>0</v>
      </c>
      <c r="AD270">
        <v>1534180</v>
      </c>
      <c r="AE270">
        <v>-1534180</v>
      </c>
      <c r="AF270">
        <v>0</v>
      </c>
      <c r="AG270">
        <v>-1534180</v>
      </c>
      <c r="AH270">
        <v>-5515712</v>
      </c>
      <c r="AI270">
        <v>0</v>
      </c>
      <c r="AJ270">
        <v>-5515712</v>
      </c>
      <c r="AK270">
        <v>-11092</v>
      </c>
      <c r="AL270">
        <v>0</v>
      </c>
      <c r="AM270">
        <v>-11092</v>
      </c>
      <c r="AN270">
        <v>2766543</v>
      </c>
      <c r="AO270">
        <v>0</v>
      </c>
      <c r="AP270">
        <v>2766543</v>
      </c>
      <c r="AQ270">
        <v>-2749169</v>
      </c>
      <c r="AR270">
        <v>0</v>
      </c>
      <c r="AS270">
        <v>-2749169</v>
      </c>
      <c r="AT270">
        <v>-6787630</v>
      </c>
      <c r="AU270">
        <v>0</v>
      </c>
      <c r="AV270">
        <v>-6787630</v>
      </c>
      <c r="AW270">
        <v>-90194</v>
      </c>
      <c r="AX270">
        <v>0</v>
      </c>
      <c r="AY270">
        <v>-90194</v>
      </c>
      <c r="AZ270">
        <v>0</v>
      </c>
      <c r="BA270">
        <v>0</v>
      </c>
      <c r="BB270">
        <v>0</v>
      </c>
      <c r="BC270">
        <v>0</v>
      </c>
      <c r="BD270">
        <v>0</v>
      </c>
      <c r="BE270">
        <v>0</v>
      </c>
      <c r="BF270">
        <v>-9626993</v>
      </c>
      <c r="BG270">
        <v>0</v>
      </c>
      <c r="BH270">
        <v>-84480</v>
      </c>
      <c r="BI270">
        <v>0</v>
      </c>
      <c r="BJ270">
        <v>-9711473</v>
      </c>
      <c r="BK270">
        <v>0</v>
      </c>
      <c r="BL270">
        <v>-9711473</v>
      </c>
      <c r="BM270">
        <v>-72445</v>
      </c>
      <c r="BN270">
        <v>0</v>
      </c>
      <c r="BO270">
        <v>-72445</v>
      </c>
      <c r="BP270">
        <v>-2797243</v>
      </c>
      <c r="BQ270">
        <v>0</v>
      </c>
      <c r="BR270">
        <v>-2797243</v>
      </c>
      <c r="BS270">
        <v>-2869688</v>
      </c>
      <c r="BT270">
        <v>0</v>
      </c>
      <c r="BU270">
        <v>-2095343</v>
      </c>
      <c r="BV270">
        <v>0</v>
      </c>
      <c r="BW270">
        <v>-4965031</v>
      </c>
      <c r="BX270">
        <v>0</v>
      </c>
      <c r="BY270">
        <v>-4965031</v>
      </c>
      <c r="BZ270">
        <v>-233528</v>
      </c>
      <c r="CA270">
        <v>0</v>
      </c>
      <c r="CB270">
        <v>-233528</v>
      </c>
      <c r="CC270">
        <v>-70865</v>
      </c>
      <c r="CD270">
        <v>0</v>
      </c>
      <c r="CE270">
        <v>-70865</v>
      </c>
      <c r="CF270">
        <v>-22548</v>
      </c>
      <c r="CG270">
        <v>0</v>
      </c>
      <c r="CH270">
        <v>-22548</v>
      </c>
      <c r="CI270">
        <v>0</v>
      </c>
      <c r="CJ270">
        <v>0</v>
      </c>
      <c r="CK270">
        <v>0</v>
      </c>
      <c r="CL270">
        <v>0</v>
      </c>
      <c r="CM270">
        <v>0</v>
      </c>
      <c r="CN270">
        <v>0</v>
      </c>
      <c r="CO270">
        <v>0</v>
      </c>
      <c r="CP270">
        <v>0</v>
      </c>
      <c r="CQ270">
        <v>0</v>
      </c>
      <c r="CR270">
        <v>0</v>
      </c>
      <c r="CS270">
        <v>0</v>
      </c>
      <c r="CT270">
        <v>-326941</v>
      </c>
      <c r="CU270">
        <v>0</v>
      </c>
      <c r="CV270">
        <v>0</v>
      </c>
      <c r="CW270">
        <v>0</v>
      </c>
      <c r="CX270">
        <v>-326941</v>
      </c>
      <c r="CY270">
        <v>0</v>
      </c>
      <c r="CZ270">
        <v>-326941</v>
      </c>
      <c r="DA270">
        <v>-12513</v>
      </c>
      <c r="DB270">
        <v>0</v>
      </c>
      <c r="DC270">
        <v>-12513</v>
      </c>
      <c r="DD270">
        <v>-15785</v>
      </c>
      <c r="DE270">
        <v>0</v>
      </c>
      <c r="DF270">
        <v>-15785</v>
      </c>
      <c r="DG270">
        <v>-8979</v>
      </c>
      <c r="DH270">
        <v>0</v>
      </c>
      <c r="DI270">
        <v>-8979</v>
      </c>
      <c r="DJ270">
        <v>-1537542</v>
      </c>
      <c r="DK270">
        <v>0</v>
      </c>
      <c r="DL270">
        <v>-1537542</v>
      </c>
      <c r="DM270">
        <v>-1574819</v>
      </c>
      <c r="DN270">
        <v>0</v>
      </c>
      <c r="DO270">
        <v>0</v>
      </c>
      <c r="DP270">
        <v>0</v>
      </c>
      <c r="DQ270">
        <v>-1574819</v>
      </c>
      <c r="DR270">
        <v>0</v>
      </c>
      <c r="DS270">
        <v>-1574819</v>
      </c>
      <c r="DT270">
        <v>114889953</v>
      </c>
      <c r="DU270">
        <v>0</v>
      </c>
      <c r="DV270" s="661">
        <v>114889953</v>
      </c>
      <c r="DW270" t="s">
        <v>1921</v>
      </c>
    </row>
    <row r="271" spans="1:127" ht="12.75" x14ac:dyDescent="0.2">
      <c r="A271" s="605">
        <v>264</v>
      </c>
      <c r="B271" s="606" t="s">
        <v>417</v>
      </c>
      <c r="C271" s="607" t="s">
        <v>1192</v>
      </c>
      <c r="D271" s="608" t="s">
        <v>1187</v>
      </c>
      <c r="E271" s="609" t="s">
        <v>416</v>
      </c>
      <c r="G271">
        <v>148509861</v>
      </c>
      <c r="H271">
        <v>0</v>
      </c>
      <c r="I271">
        <v>148509861</v>
      </c>
      <c r="J271">
        <v>49.9</v>
      </c>
      <c r="K271">
        <v>74106421</v>
      </c>
      <c r="L271">
        <v>0</v>
      </c>
      <c r="M271">
        <v>0</v>
      </c>
      <c r="N271">
        <v>0</v>
      </c>
      <c r="O271">
        <v>74106421</v>
      </c>
      <c r="P271">
        <v>0</v>
      </c>
      <c r="Q271">
        <v>74106421</v>
      </c>
      <c r="R271">
        <v>-220212</v>
      </c>
      <c r="S271">
        <v>0</v>
      </c>
      <c r="T271">
        <v>-220212</v>
      </c>
      <c r="U271">
        <v>959485</v>
      </c>
      <c r="V271">
        <v>0</v>
      </c>
      <c r="W271">
        <v>959485</v>
      </c>
      <c r="X271">
        <v>739273</v>
      </c>
      <c r="Y271">
        <v>0</v>
      </c>
      <c r="Z271">
        <v>0</v>
      </c>
      <c r="AA271">
        <v>0</v>
      </c>
      <c r="AB271">
        <v>739273</v>
      </c>
      <c r="AC271">
        <v>0</v>
      </c>
      <c r="AD271">
        <v>739273</v>
      </c>
      <c r="AE271">
        <v>-739273</v>
      </c>
      <c r="AF271">
        <v>0</v>
      </c>
      <c r="AG271">
        <v>-739273</v>
      </c>
      <c r="AH271">
        <v>-9716959</v>
      </c>
      <c r="AI271">
        <v>0</v>
      </c>
      <c r="AJ271">
        <v>-9716959</v>
      </c>
      <c r="AK271">
        <v>-3892</v>
      </c>
      <c r="AL271">
        <v>0</v>
      </c>
      <c r="AM271">
        <v>-3892</v>
      </c>
      <c r="AN271">
        <v>1266415</v>
      </c>
      <c r="AO271">
        <v>0</v>
      </c>
      <c r="AP271">
        <v>1266415</v>
      </c>
      <c r="AQ271">
        <v>-8450544</v>
      </c>
      <c r="AR271">
        <v>0</v>
      </c>
      <c r="AS271">
        <v>-8450544</v>
      </c>
      <c r="AT271">
        <v>-4408181</v>
      </c>
      <c r="AU271">
        <v>0</v>
      </c>
      <c r="AV271">
        <v>-4408181</v>
      </c>
      <c r="AW271">
        <v>-141158</v>
      </c>
      <c r="AX271">
        <v>0</v>
      </c>
      <c r="AY271">
        <v>-141158</v>
      </c>
      <c r="AZ271">
        <v>0</v>
      </c>
      <c r="BA271">
        <v>0</v>
      </c>
      <c r="BB271">
        <v>0</v>
      </c>
      <c r="BC271">
        <v>0</v>
      </c>
      <c r="BD271">
        <v>0</v>
      </c>
      <c r="BE271">
        <v>0</v>
      </c>
      <c r="BF271">
        <v>-12999883</v>
      </c>
      <c r="BG271">
        <v>0</v>
      </c>
      <c r="BH271">
        <v>0</v>
      </c>
      <c r="BI271">
        <v>0</v>
      </c>
      <c r="BJ271">
        <v>-12999883</v>
      </c>
      <c r="BK271">
        <v>0</v>
      </c>
      <c r="BL271">
        <v>-12999883</v>
      </c>
      <c r="BM271">
        <v>0</v>
      </c>
      <c r="BN271">
        <v>0</v>
      </c>
      <c r="BO271">
        <v>0</v>
      </c>
      <c r="BP271">
        <v>-1365908</v>
      </c>
      <c r="BQ271">
        <v>0</v>
      </c>
      <c r="BR271">
        <v>-1365908</v>
      </c>
      <c r="BS271">
        <v>-1365908</v>
      </c>
      <c r="BT271">
        <v>0</v>
      </c>
      <c r="BU271">
        <v>0</v>
      </c>
      <c r="BV271">
        <v>0</v>
      </c>
      <c r="BW271">
        <v>-1365908</v>
      </c>
      <c r="BX271">
        <v>0</v>
      </c>
      <c r="BY271">
        <v>-1365908</v>
      </c>
      <c r="BZ271">
        <v>-19667</v>
      </c>
      <c r="CA271">
        <v>0</v>
      </c>
      <c r="CB271">
        <v>-19667</v>
      </c>
      <c r="CC271">
        <v>-20610</v>
      </c>
      <c r="CD271">
        <v>0</v>
      </c>
      <c r="CE271">
        <v>-20610</v>
      </c>
      <c r="CF271">
        <v>-886</v>
      </c>
      <c r="CG271">
        <v>0</v>
      </c>
      <c r="CH271">
        <v>-886</v>
      </c>
      <c r="CI271">
        <v>0</v>
      </c>
      <c r="CJ271">
        <v>0</v>
      </c>
      <c r="CK271">
        <v>0</v>
      </c>
      <c r="CL271">
        <v>0</v>
      </c>
      <c r="CM271">
        <v>0</v>
      </c>
      <c r="CN271">
        <v>0</v>
      </c>
      <c r="CO271">
        <v>0</v>
      </c>
      <c r="CP271">
        <v>0</v>
      </c>
      <c r="CQ271">
        <v>0</v>
      </c>
      <c r="CR271">
        <v>0</v>
      </c>
      <c r="CS271">
        <v>0</v>
      </c>
      <c r="CT271">
        <v>-41163</v>
      </c>
      <c r="CU271">
        <v>0</v>
      </c>
      <c r="CV271">
        <v>0</v>
      </c>
      <c r="CW271">
        <v>0</v>
      </c>
      <c r="CX271">
        <v>-41163</v>
      </c>
      <c r="CY271">
        <v>0</v>
      </c>
      <c r="CZ271">
        <v>-41163</v>
      </c>
      <c r="DA271">
        <v>0</v>
      </c>
      <c r="DB271">
        <v>0</v>
      </c>
      <c r="DC271">
        <v>0</v>
      </c>
      <c r="DD271">
        <v>-21009</v>
      </c>
      <c r="DE271">
        <v>0</v>
      </c>
      <c r="DF271">
        <v>-21009</v>
      </c>
      <c r="DG271">
        <v>-8000</v>
      </c>
      <c r="DH271">
        <v>0</v>
      </c>
      <c r="DI271">
        <v>-8000</v>
      </c>
      <c r="DJ271">
        <v>-1017946</v>
      </c>
      <c r="DK271">
        <v>0</v>
      </c>
      <c r="DL271">
        <v>-1017946</v>
      </c>
      <c r="DM271">
        <v>-1046955</v>
      </c>
      <c r="DN271">
        <v>0</v>
      </c>
      <c r="DO271">
        <v>0</v>
      </c>
      <c r="DP271">
        <v>0</v>
      </c>
      <c r="DQ271">
        <v>-1046955</v>
      </c>
      <c r="DR271">
        <v>0</v>
      </c>
      <c r="DS271">
        <v>-1046955</v>
      </c>
      <c r="DT271">
        <v>59391785</v>
      </c>
      <c r="DU271">
        <v>0</v>
      </c>
      <c r="DV271" s="661">
        <v>59391785</v>
      </c>
      <c r="DW271" t="s">
        <v>1922</v>
      </c>
    </row>
    <row r="272" spans="1:127" ht="12.75" x14ac:dyDescent="0.2">
      <c r="A272" s="605">
        <v>265</v>
      </c>
      <c r="B272" s="606" t="s">
        <v>419</v>
      </c>
      <c r="C272" s="607" t="s">
        <v>1185</v>
      </c>
      <c r="D272" s="608" t="s">
        <v>1195</v>
      </c>
      <c r="E272" s="609" t="s">
        <v>418</v>
      </c>
      <c r="G272">
        <v>82105287</v>
      </c>
      <c r="H272">
        <v>0</v>
      </c>
      <c r="I272">
        <v>82105287</v>
      </c>
      <c r="J272">
        <v>49.9</v>
      </c>
      <c r="K272">
        <v>40970538</v>
      </c>
      <c r="L272">
        <v>0</v>
      </c>
      <c r="M272">
        <v>121088</v>
      </c>
      <c r="N272">
        <v>0</v>
      </c>
      <c r="O272">
        <v>41091626</v>
      </c>
      <c r="P272">
        <v>0</v>
      </c>
      <c r="Q272">
        <v>41091626</v>
      </c>
      <c r="R272">
        <v>-111035</v>
      </c>
      <c r="S272">
        <v>0</v>
      </c>
      <c r="T272">
        <v>-111035</v>
      </c>
      <c r="U272">
        <v>253618</v>
      </c>
      <c r="V272">
        <v>0</v>
      </c>
      <c r="W272">
        <v>253618</v>
      </c>
      <c r="X272">
        <v>142583</v>
      </c>
      <c r="Y272">
        <v>0</v>
      </c>
      <c r="Z272">
        <v>0</v>
      </c>
      <c r="AA272">
        <v>0</v>
      </c>
      <c r="AB272">
        <v>142583</v>
      </c>
      <c r="AC272">
        <v>0</v>
      </c>
      <c r="AD272">
        <v>142583</v>
      </c>
      <c r="AE272">
        <v>-142583</v>
      </c>
      <c r="AF272">
        <v>0</v>
      </c>
      <c r="AG272">
        <v>-142583</v>
      </c>
      <c r="AH272">
        <v>-2372040</v>
      </c>
      <c r="AI272">
        <v>0</v>
      </c>
      <c r="AJ272">
        <v>-2372040</v>
      </c>
      <c r="AK272">
        <v>-3593</v>
      </c>
      <c r="AL272">
        <v>0</v>
      </c>
      <c r="AM272">
        <v>-3593</v>
      </c>
      <c r="AN272">
        <v>825940</v>
      </c>
      <c r="AO272">
        <v>0</v>
      </c>
      <c r="AP272">
        <v>825940</v>
      </c>
      <c r="AQ272">
        <v>-1546100</v>
      </c>
      <c r="AR272">
        <v>0</v>
      </c>
      <c r="AS272">
        <v>-1546100</v>
      </c>
      <c r="AT272">
        <v>-1408412</v>
      </c>
      <c r="AU272">
        <v>0</v>
      </c>
      <c r="AV272">
        <v>-1408412</v>
      </c>
      <c r="AW272">
        <v>-46182</v>
      </c>
      <c r="AX272">
        <v>0</v>
      </c>
      <c r="AY272">
        <v>-46182</v>
      </c>
      <c r="AZ272">
        <v>0</v>
      </c>
      <c r="BA272">
        <v>0</v>
      </c>
      <c r="BB272">
        <v>0</v>
      </c>
      <c r="BC272">
        <v>0</v>
      </c>
      <c r="BD272">
        <v>0</v>
      </c>
      <c r="BE272">
        <v>0</v>
      </c>
      <c r="BF272">
        <v>-3000694</v>
      </c>
      <c r="BG272">
        <v>0</v>
      </c>
      <c r="BH272">
        <v>-266186</v>
      </c>
      <c r="BI272">
        <v>0</v>
      </c>
      <c r="BJ272">
        <v>-3266880</v>
      </c>
      <c r="BK272">
        <v>0</v>
      </c>
      <c r="BL272">
        <v>-3266880</v>
      </c>
      <c r="BM272">
        <v>-42500</v>
      </c>
      <c r="BN272">
        <v>0</v>
      </c>
      <c r="BO272">
        <v>-42500</v>
      </c>
      <c r="BP272">
        <v>-1106490</v>
      </c>
      <c r="BQ272">
        <v>0</v>
      </c>
      <c r="BR272">
        <v>-1106490</v>
      </c>
      <c r="BS272">
        <v>-1148990</v>
      </c>
      <c r="BT272">
        <v>0</v>
      </c>
      <c r="BU272">
        <v>-178940</v>
      </c>
      <c r="BV272">
        <v>0</v>
      </c>
      <c r="BW272">
        <v>-1327930</v>
      </c>
      <c r="BX272">
        <v>0</v>
      </c>
      <c r="BY272">
        <v>-1327930</v>
      </c>
      <c r="BZ272">
        <v>-14795</v>
      </c>
      <c r="CA272">
        <v>0</v>
      </c>
      <c r="CB272">
        <v>-14795</v>
      </c>
      <c r="CC272">
        <v>-2277</v>
      </c>
      <c r="CD272">
        <v>0</v>
      </c>
      <c r="CE272">
        <v>-2277</v>
      </c>
      <c r="CF272">
        <v>-870</v>
      </c>
      <c r="CG272">
        <v>0</v>
      </c>
      <c r="CH272">
        <v>-870</v>
      </c>
      <c r="CI272">
        <v>0</v>
      </c>
      <c r="CJ272">
        <v>0</v>
      </c>
      <c r="CK272">
        <v>0</v>
      </c>
      <c r="CL272">
        <v>0</v>
      </c>
      <c r="CM272">
        <v>0</v>
      </c>
      <c r="CN272">
        <v>0</v>
      </c>
      <c r="CO272">
        <v>0</v>
      </c>
      <c r="CP272">
        <v>0</v>
      </c>
      <c r="CQ272">
        <v>0</v>
      </c>
      <c r="CR272">
        <v>0</v>
      </c>
      <c r="CS272">
        <v>0</v>
      </c>
      <c r="CT272">
        <v>-17942</v>
      </c>
      <c r="CU272">
        <v>0</v>
      </c>
      <c r="CV272">
        <v>0</v>
      </c>
      <c r="CW272">
        <v>0</v>
      </c>
      <c r="CX272">
        <v>-17942</v>
      </c>
      <c r="CY272">
        <v>0</v>
      </c>
      <c r="CZ272">
        <v>-17942</v>
      </c>
      <c r="DA272">
        <v>0</v>
      </c>
      <c r="DB272">
        <v>0</v>
      </c>
      <c r="DC272">
        <v>0</v>
      </c>
      <c r="DD272">
        <v>-8029</v>
      </c>
      <c r="DE272">
        <v>0</v>
      </c>
      <c r="DF272">
        <v>-8029</v>
      </c>
      <c r="DG272">
        <v>-6093</v>
      </c>
      <c r="DH272">
        <v>0</v>
      </c>
      <c r="DI272">
        <v>-6093</v>
      </c>
      <c r="DJ272">
        <v>-477475</v>
      </c>
      <c r="DK272">
        <v>0</v>
      </c>
      <c r="DL272">
        <v>-477475</v>
      </c>
      <c r="DM272">
        <v>-491597</v>
      </c>
      <c r="DN272">
        <v>0</v>
      </c>
      <c r="DO272">
        <v>0</v>
      </c>
      <c r="DP272">
        <v>0</v>
      </c>
      <c r="DQ272">
        <v>-491597</v>
      </c>
      <c r="DR272">
        <v>0</v>
      </c>
      <c r="DS272">
        <v>-491597</v>
      </c>
      <c r="DT272">
        <v>36129860</v>
      </c>
      <c r="DU272">
        <v>0</v>
      </c>
      <c r="DV272" s="661">
        <v>36129860</v>
      </c>
      <c r="DW272" t="s">
        <v>1923</v>
      </c>
    </row>
    <row r="273" spans="1:127" ht="12.75" x14ac:dyDescent="0.2">
      <c r="A273" s="605">
        <v>266</v>
      </c>
      <c r="B273" s="606" t="s">
        <v>421</v>
      </c>
      <c r="C273" s="607" t="s">
        <v>1185</v>
      </c>
      <c r="D273" s="608" t="s">
        <v>1186</v>
      </c>
      <c r="E273" s="609" t="s">
        <v>420</v>
      </c>
      <c r="G273">
        <v>60614422</v>
      </c>
      <c r="H273">
        <v>0</v>
      </c>
      <c r="I273">
        <v>60614422</v>
      </c>
      <c r="J273">
        <v>49.9</v>
      </c>
      <c r="K273">
        <v>30246597</v>
      </c>
      <c r="L273">
        <v>0</v>
      </c>
      <c r="M273">
        <v>0</v>
      </c>
      <c r="N273">
        <v>0</v>
      </c>
      <c r="O273">
        <v>30246597</v>
      </c>
      <c r="P273">
        <v>0</v>
      </c>
      <c r="Q273">
        <v>30246597</v>
      </c>
      <c r="R273">
        <v>-337175</v>
      </c>
      <c r="S273">
        <v>0</v>
      </c>
      <c r="T273">
        <v>-337175</v>
      </c>
      <c r="U273">
        <v>48912</v>
      </c>
      <c r="V273">
        <v>0</v>
      </c>
      <c r="W273">
        <v>48912</v>
      </c>
      <c r="X273">
        <v>-288263</v>
      </c>
      <c r="Y273">
        <v>0</v>
      </c>
      <c r="Z273">
        <v>0</v>
      </c>
      <c r="AA273">
        <v>0</v>
      </c>
      <c r="AB273">
        <v>-288263</v>
      </c>
      <c r="AC273">
        <v>0</v>
      </c>
      <c r="AD273">
        <v>-288263</v>
      </c>
      <c r="AE273">
        <v>288263</v>
      </c>
      <c r="AF273">
        <v>0</v>
      </c>
      <c r="AG273">
        <v>288263</v>
      </c>
      <c r="AH273">
        <v>-3439612</v>
      </c>
      <c r="AI273">
        <v>0</v>
      </c>
      <c r="AJ273">
        <v>-3439612</v>
      </c>
      <c r="AK273">
        <v>0</v>
      </c>
      <c r="AL273">
        <v>0</v>
      </c>
      <c r="AM273">
        <v>0</v>
      </c>
      <c r="AN273">
        <v>471781</v>
      </c>
      <c r="AO273">
        <v>0</v>
      </c>
      <c r="AP273">
        <v>471781</v>
      </c>
      <c r="AQ273">
        <v>-2967831</v>
      </c>
      <c r="AR273">
        <v>0</v>
      </c>
      <c r="AS273">
        <v>-2967831</v>
      </c>
      <c r="AT273">
        <v>-3481139</v>
      </c>
      <c r="AU273">
        <v>0</v>
      </c>
      <c r="AV273">
        <v>-3481139</v>
      </c>
      <c r="AW273">
        <v>-75614</v>
      </c>
      <c r="AX273">
        <v>0</v>
      </c>
      <c r="AY273">
        <v>-75614</v>
      </c>
      <c r="AZ273">
        <v>-17526</v>
      </c>
      <c r="BA273">
        <v>0</v>
      </c>
      <c r="BB273">
        <v>-17526</v>
      </c>
      <c r="BC273">
        <v>0</v>
      </c>
      <c r="BD273">
        <v>0</v>
      </c>
      <c r="BE273">
        <v>0</v>
      </c>
      <c r="BF273">
        <v>-6542110</v>
      </c>
      <c r="BG273">
        <v>0</v>
      </c>
      <c r="BH273">
        <v>0</v>
      </c>
      <c r="BI273">
        <v>0</v>
      </c>
      <c r="BJ273">
        <v>-6542110</v>
      </c>
      <c r="BK273">
        <v>0</v>
      </c>
      <c r="BL273">
        <v>-6542110</v>
      </c>
      <c r="BM273">
        <v>0</v>
      </c>
      <c r="BN273">
        <v>0</v>
      </c>
      <c r="BO273">
        <v>0</v>
      </c>
      <c r="BP273">
        <v>-371772</v>
      </c>
      <c r="BQ273">
        <v>0</v>
      </c>
      <c r="BR273">
        <v>-371772</v>
      </c>
      <c r="BS273">
        <v>-371772</v>
      </c>
      <c r="BT273">
        <v>0</v>
      </c>
      <c r="BU273">
        <v>0</v>
      </c>
      <c r="BV273">
        <v>0</v>
      </c>
      <c r="BW273">
        <v>-371772</v>
      </c>
      <c r="BX273">
        <v>0</v>
      </c>
      <c r="BY273">
        <v>-371772</v>
      </c>
      <c r="BZ273">
        <v>-47683</v>
      </c>
      <c r="CA273">
        <v>0</v>
      </c>
      <c r="CB273">
        <v>-47683</v>
      </c>
      <c r="CC273">
        <v>-12649</v>
      </c>
      <c r="CD273">
        <v>0</v>
      </c>
      <c r="CE273">
        <v>-12649</v>
      </c>
      <c r="CF273">
        <v>-79</v>
      </c>
      <c r="CG273">
        <v>0</v>
      </c>
      <c r="CH273">
        <v>-79</v>
      </c>
      <c r="CI273">
        <v>0</v>
      </c>
      <c r="CJ273">
        <v>0</v>
      </c>
      <c r="CK273">
        <v>0</v>
      </c>
      <c r="CL273">
        <v>0</v>
      </c>
      <c r="CM273">
        <v>0</v>
      </c>
      <c r="CN273">
        <v>0</v>
      </c>
      <c r="CO273">
        <v>0</v>
      </c>
      <c r="CP273">
        <v>0</v>
      </c>
      <c r="CQ273">
        <v>0</v>
      </c>
      <c r="CR273">
        <v>0</v>
      </c>
      <c r="CS273">
        <v>0</v>
      </c>
      <c r="CT273">
        <v>-60411</v>
      </c>
      <c r="CU273">
        <v>0</v>
      </c>
      <c r="CV273">
        <v>0</v>
      </c>
      <c r="CW273">
        <v>0</v>
      </c>
      <c r="CX273">
        <v>-60411</v>
      </c>
      <c r="CY273">
        <v>0</v>
      </c>
      <c r="CZ273">
        <v>-60411</v>
      </c>
      <c r="DA273">
        <v>-17526</v>
      </c>
      <c r="DB273">
        <v>0</v>
      </c>
      <c r="DC273">
        <v>-17526</v>
      </c>
      <c r="DD273">
        <v>-84606</v>
      </c>
      <c r="DE273">
        <v>0</v>
      </c>
      <c r="DF273">
        <v>-84606</v>
      </c>
      <c r="DG273">
        <v>-6939</v>
      </c>
      <c r="DH273">
        <v>0</v>
      </c>
      <c r="DI273">
        <v>-6939</v>
      </c>
      <c r="DJ273">
        <v>-1112024</v>
      </c>
      <c r="DK273">
        <v>0</v>
      </c>
      <c r="DL273">
        <v>-1112024</v>
      </c>
      <c r="DM273">
        <v>-1221095</v>
      </c>
      <c r="DN273">
        <v>0</v>
      </c>
      <c r="DO273">
        <v>0</v>
      </c>
      <c r="DP273">
        <v>0</v>
      </c>
      <c r="DQ273">
        <v>-1221095</v>
      </c>
      <c r="DR273">
        <v>0</v>
      </c>
      <c r="DS273">
        <v>-1221095</v>
      </c>
      <c r="DT273">
        <v>21762946</v>
      </c>
      <c r="DU273">
        <v>0</v>
      </c>
      <c r="DV273" s="661">
        <v>21762946</v>
      </c>
      <c r="DW273" t="s">
        <v>1924</v>
      </c>
    </row>
    <row r="274" spans="1:127" ht="12.75" x14ac:dyDescent="0.2">
      <c r="A274" s="605">
        <v>267</v>
      </c>
      <c r="B274" s="606" t="s">
        <v>423</v>
      </c>
      <c r="C274" s="607" t="s">
        <v>1185</v>
      </c>
      <c r="D274" s="608" t="s">
        <v>1194</v>
      </c>
      <c r="E274" s="609" t="s">
        <v>422</v>
      </c>
      <c r="G274">
        <v>86210307</v>
      </c>
      <c r="H274">
        <v>0</v>
      </c>
      <c r="I274">
        <v>86210307</v>
      </c>
      <c r="J274">
        <v>49.9</v>
      </c>
      <c r="K274">
        <v>43018943</v>
      </c>
      <c r="L274">
        <v>0</v>
      </c>
      <c r="M274">
        <v>366191</v>
      </c>
      <c r="N274">
        <v>0</v>
      </c>
      <c r="O274">
        <v>43385134</v>
      </c>
      <c r="P274">
        <v>0</v>
      </c>
      <c r="Q274">
        <v>43385134</v>
      </c>
      <c r="R274">
        <v>-287494</v>
      </c>
      <c r="S274">
        <v>0</v>
      </c>
      <c r="T274">
        <v>-287494</v>
      </c>
      <c r="U274">
        <v>394095</v>
      </c>
      <c r="V274">
        <v>0</v>
      </c>
      <c r="W274">
        <v>394095</v>
      </c>
      <c r="X274">
        <v>106601</v>
      </c>
      <c r="Y274">
        <v>0</v>
      </c>
      <c r="Z274">
        <v>0</v>
      </c>
      <c r="AA274">
        <v>0</v>
      </c>
      <c r="AB274">
        <v>106601</v>
      </c>
      <c r="AC274">
        <v>0</v>
      </c>
      <c r="AD274">
        <v>106601</v>
      </c>
      <c r="AE274">
        <v>-106601</v>
      </c>
      <c r="AF274">
        <v>0</v>
      </c>
      <c r="AG274">
        <v>-106601</v>
      </c>
      <c r="AH274">
        <v>-6807195</v>
      </c>
      <c r="AI274">
        <v>0</v>
      </c>
      <c r="AJ274">
        <v>-6807195</v>
      </c>
      <c r="AK274">
        <v>0</v>
      </c>
      <c r="AL274">
        <v>0</v>
      </c>
      <c r="AM274">
        <v>0</v>
      </c>
      <c r="AN274">
        <v>596588</v>
      </c>
      <c r="AO274">
        <v>0</v>
      </c>
      <c r="AP274">
        <v>596588</v>
      </c>
      <c r="AQ274">
        <v>-6210607</v>
      </c>
      <c r="AR274">
        <v>0</v>
      </c>
      <c r="AS274">
        <v>-6210607</v>
      </c>
      <c r="AT274">
        <v>-2858798</v>
      </c>
      <c r="AU274">
        <v>0</v>
      </c>
      <c r="AV274">
        <v>-2858798</v>
      </c>
      <c r="AW274">
        <v>-77150</v>
      </c>
      <c r="AX274">
        <v>0</v>
      </c>
      <c r="AY274">
        <v>-77150</v>
      </c>
      <c r="AZ274">
        <v>-35215</v>
      </c>
      <c r="BA274">
        <v>0</v>
      </c>
      <c r="BB274">
        <v>-35215</v>
      </c>
      <c r="BC274">
        <v>0</v>
      </c>
      <c r="BD274">
        <v>0</v>
      </c>
      <c r="BE274">
        <v>0</v>
      </c>
      <c r="BF274">
        <v>-9181770</v>
      </c>
      <c r="BG274">
        <v>0</v>
      </c>
      <c r="BH274">
        <v>0</v>
      </c>
      <c r="BI274">
        <v>0</v>
      </c>
      <c r="BJ274">
        <v>-9181770</v>
      </c>
      <c r="BK274">
        <v>0</v>
      </c>
      <c r="BL274">
        <v>-9181770</v>
      </c>
      <c r="BM274">
        <v>0</v>
      </c>
      <c r="BN274">
        <v>0</v>
      </c>
      <c r="BO274">
        <v>0</v>
      </c>
      <c r="BP274">
        <v>-880279</v>
      </c>
      <c r="BQ274">
        <v>0</v>
      </c>
      <c r="BR274">
        <v>-880279</v>
      </c>
      <c r="BS274">
        <v>-880279</v>
      </c>
      <c r="BT274">
        <v>0</v>
      </c>
      <c r="BU274">
        <v>0</v>
      </c>
      <c r="BV274">
        <v>0</v>
      </c>
      <c r="BW274">
        <v>-880279</v>
      </c>
      <c r="BX274">
        <v>0</v>
      </c>
      <c r="BY274">
        <v>-880279</v>
      </c>
      <c r="BZ274">
        <v>-87903</v>
      </c>
      <c r="CA274">
        <v>0</v>
      </c>
      <c r="CB274">
        <v>-87903</v>
      </c>
      <c r="CC274">
        <v>-11606</v>
      </c>
      <c r="CD274">
        <v>0</v>
      </c>
      <c r="CE274">
        <v>-11606</v>
      </c>
      <c r="CF274">
        <v>-6286</v>
      </c>
      <c r="CG274">
        <v>0</v>
      </c>
      <c r="CH274">
        <v>-6286</v>
      </c>
      <c r="CI274">
        <v>0</v>
      </c>
      <c r="CJ274">
        <v>0</v>
      </c>
      <c r="CK274">
        <v>0</v>
      </c>
      <c r="CL274">
        <v>-2121</v>
      </c>
      <c r="CM274">
        <v>0</v>
      </c>
      <c r="CN274">
        <v>-2121</v>
      </c>
      <c r="CO274">
        <v>0</v>
      </c>
      <c r="CP274">
        <v>0</v>
      </c>
      <c r="CQ274">
        <v>0</v>
      </c>
      <c r="CR274">
        <v>0</v>
      </c>
      <c r="CS274">
        <v>0</v>
      </c>
      <c r="CT274">
        <v>-107916</v>
      </c>
      <c r="CU274">
        <v>0</v>
      </c>
      <c r="CV274">
        <v>0</v>
      </c>
      <c r="CW274">
        <v>0</v>
      </c>
      <c r="CX274">
        <v>-107916</v>
      </c>
      <c r="CY274">
        <v>0</v>
      </c>
      <c r="CZ274">
        <v>-107916</v>
      </c>
      <c r="DA274">
        <v>-35215</v>
      </c>
      <c r="DB274">
        <v>0</v>
      </c>
      <c r="DC274">
        <v>-35215</v>
      </c>
      <c r="DD274">
        <v>-37015</v>
      </c>
      <c r="DE274">
        <v>0</v>
      </c>
      <c r="DF274">
        <v>-37015</v>
      </c>
      <c r="DG274">
        <v>-8400</v>
      </c>
      <c r="DH274">
        <v>0</v>
      </c>
      <c r="DI274">
        <v>-8400</v>
      </c>
      <c r="DJ274">
        <v>-951977</v>
      </c>
      <c r="DK274">
        <v>0</v>
      </c>
      <c r="DL274">
        <v>-951977</v>
      </c>
      <c r="DM274">
        <v>-1032607</v>
      </c>
      <c r="DN274">
        <v>0</v>
      </c>
      <c r="DO274">
        <v>0</v>
      </c>
      <c r="DP274">
        <v>0</v>
      </c>
      <c r="DQ274">
        <v>-1032607</v>
      </c>
      <c r="DR274">
        <v>0</v>
      </c>
      <c r="DS274">
        <v>-1032607</v>
      </c>
      <c r="DT274">
        <v>32289163</v>
      </c>
      <c r="DU274">
        <v>0</v>
      </c>
      <c r="DV274" s="661">
        <v>32289163</v>
      </c>
      <c r="DW274" t="s">
        <v>1925</v>
      </c>
    </row>
    <row r="275" spans="1:127" ht="12.75" x14ac:dyDescent="0.2">
      <c r="A275" s="605">
        <v>268</v>
      </c>
      <c r="B275" s="606" t="s">
        <v>425</v>
      </c>
      <c r="C275" s="607" t="s">
        <v>524</v>
      </c>
      <c r="D275" s="608" t="s">
        <v>1195</v>
      </c>
      <c r="E275" s="609" t="s">
        <v>919</v>
      </c>
      <c r="G275">
        <v>183479548</v>
      </c>
      <c r="H275">
        <v>0</v>
      </c>
      <c r="I275">
        <v>183479548</v>
      </c>
      <c r="J275">
        <v>49.9</v>
      </c>
      <c r="K275">
        <v>91556294</v>
      </c>
      <c r="L275">
        <v>0</v>
      </c>
      <c r="M275">
        <v>0</v>
      </c>
      <c r="N275">
        <v>0</v>
      </c>
      <c r="O275">
        <v>91556294</v>
      </c>
      <c r="P275">
        <v>0</v>
      </c>
      <c r="Q275">
        <v>91556294</v>
      </c>
      <c r="R275">
        <v>-673110</v>
      </c>
      <c r="S275">
        <v>0</v>
      </c>
      <c r="T275">
        <v>-673110</v>
      </c>
      <c r="U275">
        <v>395166</v>
      </c>
      <c r="V275">
        <v>0</v>
      </c>
      <c r="W275">
        <v>395166</v>
      </c>
      <c r="X275">
        <v>-277944</v>
      </c>
      <c r="Y275">
        <v>0</v>
      </c>
      <c r="Z275">
        <v>0</v>
      </c>
      <c r="AA275">
        <v>0</v>
      </c>
      <c r="AB275">
        <v>-277944</v>
      </c>
      <c r="AC275">
        <v>0</v>
      </c>
      <c r="AD275">
        <v>-277944</v>
      </c>
      <c r="AE275">
        <v>277944</v>
      </c>
      <c r="AF275">
        <v>0</v>
      </c>
      <c r="AG275">
        <v>277944</v>
      </c>
      <c r="AH275">
        <v>-5492954</v>
      </c>
      <c r="AI275">
        <v>0</v>
      </c>
      <c r="AJ275">
        <v>-5492954</v>
      </c>
      <c r="AK275">
        <v>-22804</v>
      </c>
      <c r="AL275">
        <v>0</v>
      </c>
      <c r="AM275">
        <v>-22804</v>
      </c>
      <c r="AN275">
        <v>1823681</v>
      </c>
      <c r="AO275">
        <v>0</v>
      </c>
      <c r="AP275">
        <v>1823681</v>
      </c>
      <c r="AQ275">
        <v>-3669273</v>
      </c>
      <c r="AR275">
        <v>0</v>
      </c>
      <c r="AS275">
        <v>-3669273</v>
      </c>
      <c r="AT275">
        <v>-5373333</v>
      </c>
      <c r="AU275">
        <v>0</v>
      </c>
      <c r="AV275">
        <v>-5373333</v>
      </c>
      <c r="AW275">
        <v>-57685</v>
      </c>
      <c r="AX275">
        <v>0</v>
      </c>
      <c r="AY275">
        <v>-57685</v>
      </c>
      <c r="AZ275">
        <v>-1523</v>
      </c>
      <c r="BA275">
        <v>0</v>
      </c>
      <c r="BB275">
        <v>-1523</v>
      </c>
      <c r="BC275">
        <v>0</v>
      </c>
      <c r="BD275">
        <v>0</v>
      </c>
      <c r="BE275">
        <v>0</v>
      </c>
      <c r="BF275">
        <v>-9101814</v>
      </c>
      <c r="BG275">
        <v>0</v>
      </c>
      <c r="BH275">
        <v>-1143265</v>
      </c>
      <c r="BI275">
        <v>0</v>
      </c>
      <c r="BJ275">
        <v>-10245079</v>
      </c>
      <c r="BK275">
        <v>0</v>
      </c>
      <c r="BL275">
        <v>-10245079</v>
      </c>
      <c r="BM275">
        <v>-137998</v>
      </c>
      <c r="BN275">
        <v>0</v>
      </c>
      <c r="BO275">
        <v>-137998</v>
      </c>
      <c r="BP275">
        <v>-2370451</v>
      </c>
      <c r="BQ275">
        <v>0</v>
      </c>
      <c r="BR275">
        <v>-2370451</v>
      </c>
      <c r="BS275">
        <v>-2508449</v>
      </c>
      <c r="BT275">
        <v>0</v>
      </c>
      <c r="BU275">
        <v>-142117</v>
      </c>
      <c r="BV275">
        <v>0</v>
      </c>
      <c r="BW275">
        <v>-2650566</v>
      </c>
      <c r="BX275">
        <v>0</v>
      </c>
      <c r="BY275">
        <v>-2650566</v>
      </c>
      <c r="BZ275">
        <v>-269373</v>
      </c>
      <c r="CA275">
        <v>0</v>
      </c>
      <c r="CB275">
        <v>-269373</v>
      </c>
      <c r="CC275">
        <v>-53078</v>
      </c>
      <c r="CD275">
        <v>0</v>
      </c>
      <c r="CE275">
        <v>-53078</v>
      </c>
      <c r="CF275">
        <v>-8923</v>
      </c>
      <c r="CG275">
        <v>0</v>
      </c>
      <c r="CH275">
        <v>-8923</v>
      </c>
      <c r="CI275">
        <v>0</v>
      </c>
      <c r="CJ275">
        <v>0</v>
      </c>
      <c r="CK275">
        <v>0</v>
      </c>
      <c r="CL275">
        <v>0</v>
      </c>
      <c r="CM275">
        <v>0</v>
      </c>
      <c r="CN275">
        <v>0</v>
      </c>
      <c r="CO275">
        <v>-55000</v>
      </c>
      <c r="CP275">
        <v>0</v>
      </c>
      <c r="CQ275">
        <v>-55000</v>
      </c>
      <c r="CR275">
        <v>0</v>
      </c>
      <c r="CS275">
        <v>0</v>
      </c>
      <c r="CT275">
        <v>-386374</v>
      </c>
      <c r="CU275">
        <v>0</v>
      </c>
      <c r="CV275">
        <v>-31242</v>
      </c>
      <c r="CW275">
        <v>0</v>
      </c>
      <c r="CX275">
        <v>-417616</v>
      </c>
      <c r="CY275">
        <v>0</v>
      </c>
      <c r="CZ275">
        <v>-417616</v>
      </c>
      <c r="DA275">
        <v>-1523</v>
      </c>
      <c r="DB275">
        <v>0</v>
      </c>
      <c r="DC275">
        <v>-1523</v>
      </c>
      <c r="DD275">
        <v>-26999</v>
      </c>
      <c r="DE275">
        <v>0</v>
      </c>
      <c r="DF275">
        <v>-26999</v>
      </c>
      <c r="DG275">
        <v>-11437</v>
      </c>
      <c r="DH275">
        <v>0</v>
      </c>
      <c r="DI275">
        <v>-11437</v>
      </c>
      <c r="DJ275">
        <v>-761861</v>
      </c>
      <c r="DK275">
        <v>0</v>
      </c>
      <c r="DL275">
        <v>-761861</v>
      </c>
      <c r="DM275">
        <v>-801820</v>
      </c>
      <c r="DN275">
        <v>0</v>
      </c>
      <c r="DO275">
        <v>0</v>
      </c>
      <c r="DP275">
        <v>0</v>
      </c>
      <c r="DQ275">
        <v>-801820</v>
      </c>
      <c r="DR275">
        <v>0</v>
      </c>
      <c r="DS275">
        <v>-801820</v>
      </c>
      <c r="DT275">
        <v>77163269</v>
      </c>
      <c r="DU275">
        <v>0</v>
      </c>
      <c r="DV275" s="661">
        <v>77163269</v>
      </c>
      <c r="DW275" t="s">
        <v>1926</v>
      </c>
    </row>
    <row r="276" spans="1:127" ht="12.75" x14ac:dyDescent="0.2">
      <c r="A276" s="605">
        <v>269</v>
      </c>
      <c r="B276" s="606" t="s">
        <v>427</v>
      </c>
      <c r="C276" s="607" t="s">
        <v>1185</v>
      </c>
      <c r="D276" s="608" t="s">
        <v>1189</v>
      </c>
      <c r="E276" s="609" t="s">
        <v>426</v>
      </c>
      <c r="G276">
        <v>80680854</v>
      </c>
      <c r="H276">
        <v>0</v>
      </c>
      <c r="I276">
        <v>80680854</v>
      </c>
      <c r="J276">
        <v>49.9</v>
      </c>
      <c r="K276">
        <v>40259746</v>
      </c>
      <c r="L276">
        <v>0</v>
      </c>
      <c r="M276">
        <v>0</v>
      </c>
      <c r="N276">
        <v>0</v>
      </c>
      <c r="O276">
        <v>40259746</v>
      </c>
      <c r="P276">
        <v>0</v>
      </c>
      <c r="Q276">
        <v>40259746</v>
      </c>
      <c r="R276">
        <v>-203223</v>
      </c>
      <c r="S276">
        <v>0</v>
      </c>
      <c r="T276">
        <v>-203223</v>
      </c>
      <c r="U276">
        <v>98957</v>
      </c>
      <c r="V276">
        <v>0</v>
      </c>
      <c r="W276">
        <v>98957</v>
      </c>
      <c r="X276">
        <v>-104266</v>
      </c>
      <c r="Y276">
        <v>0</v>
      </c>
      <c r="Z276">
        <v>0</v>
      </c>
      <c r="AA276">
        <v>0</v>
      </c>
      <c r="AB276">
        <v>-104266</v>
      </c>
      <c r="AC276">
        <v>0</v>
      </c>
      <c r="AD276">
        <v>-104266</v>
      </c>
      <c r="AE276">
        <v>104266</v>
      </c>
      <c r="AF276">
        <v>0</v>
      </c>
      <c r="AG276">
        <v>104266</v>
      </c>
      <c r="AH276">
        <v>-7110111</v>
      </c>
      <c r="AI276">
        <v>0</v>
      </c>
      <c r="AJ276">
        <v>-7110111</v>
      </c>
      <c r="AK276">
        <v>-33142</v>
      </c>
      <c r="AL276">
        <v>0</v>
      </c>
      <c r="AM276">
        <v>-33142</v>
      </c>
      <c r="AN276">
        <v>608221</v>
      </c>
      <c r="AO276">
        <v>0</v>
      </c>
      <c r="AP276">
        <v>608221</v>
      </c>
      <c r="AQ276">
        <v>-6501890</v>
      </c>
      <c r="AR276">
        <v>0</v>
      </c>
      <c r="AS276">
        <v>-6501890</v>
      </c>
      <c r="AT276">
        <v>-2448954</v>
      </c>
      <c r="AU276">
        <v>0</v>
      </c>
      <c r="AV276">
        <v>-2448954</v>
      </c>
      <c r="AW276">
        <v>-178340</v>
      </c>
      <c r="AX276">
        <v>0</v>
      </c>
      <c r="AY276">
        <v>-178340</v>
      </c>
      <c r="AZ276">
        <v>-37518</v>
      </c>
      <c r="BA276">
        <v>0</v>
      </c>
      <c r="BB276">
        <v>-37518</v>
      </c>
      <c r="BC276">
        <v>0</v>
      </c>
      <c r="BD276">
        <v>0</v>
      </c>
      <c r="BE276">
        <v>0</v>
      </c>
      <c r="BF276">
        <v>-9166702</v>
      </c>
      <c r="BG276">
        <v>0</v>
      </c>
      <c r="BH276">
        <v>0</v>
      </c>
      <c r="BI276">
        <v>0</v>
      </c>
      <c r="BJ276">
        <v>-9166702</v>
      </c>
      <c r="BK276">
        <v>0</v>
      </c>
      <c r="BL276">
        <v>-9166702</v>
      </c>
      <c r="BM276">
        <v>0</v>
      </c>
      <c r="BN276">
        <v>0</v>
      </c>
      <c r="BO276">
        <v>0</v>
      </c>
      <c r="BP276">
        <v>-548500</v>
      </c>
      <c r="BQ276">
        <v>0</v>
      </c>
      <c r="BR276">
        <v>-548500</v>
      </c>
      <c r="BS276">
        <v>-548500</v>
      </c>
      <c r="BT276">
        <v>0</v>
      </c>
      <c r="BU276">
        <v>0</v>
      </c>
      <c r="BV276">
        <v>0</v>
      </c>
      <c r="BW276">
        <v>-548500</v>
      </c>
      <c r="BX276">
        <v>0</v>
      </c>
      <c r="BY276">
        <v>-548500</v>
      </c>
      <c r="BZ276">
        <v>-31604</v>
      </c>
      <c r="CA276">
        <v>0</v>
      </c>
      <c r="CB276">
        <v>-31604</v>
      </c>
      <c r="CC276">
        <v>0</v>
      </c>
      <c r="CD276">
        <v>0</v>
      </c>
      <c r="CE276">
        <v>0</v>
      </c>
      <c r="CF276">
        <v>0</v>
      </c>
      <c r="CG276">
        <v>0</v>
      </c>
      <c r="CH276">
        <v>0</v>
      </c>
      <c r="CI276">
        <v>0</v>
      </c>
      <c r="CJ276">
        <v>0</v>
      </c>
      <c r="CK276">
        <v>0</v>
      </c>
      <c r="CL276">
        <v>0</v>
      </c>
      <c r="CM276">
        <v>0</v>
      </c>
      <c r="CN276">
        <v>0</v>
      </c>
      <c r="CO276">
        <v>0</v>
      </c>
      <c r="CP276">
        <v>0</v>
      </c>
      <c r="CQ276">
        <v>0</v>
      </c>
      <c r="CR276">
        <v>0</v>
      </c>
      <c r="CS276">
        <v>0</v>
      </c>
      <c r="CT276">
        <v>-31604</v>
      </c>
      <c r="CU276">
        <v>0</v>
      </c>
      <c r="CV276">
        <v>0</v>
      </c>
      <c r="CW276">
        <v>0</v>
      </c>
      <c r="CX276">
        <v>-31604</v>
      </c>
      <c r="CY276">
        <v>0</v>
      </c>
      <c r="CZ276">
        <v>-31604</v>
      </c>
      <c r="DA276">
        <v>-37518</v>
      </c>
      <c r="DB276">
        <v>0</v>
      </c>
      <c r="DC276">
        <v>-37518</v>
      </c>
      <c r="DD276">
        <v>-15427</v>
      </c>
      <c r="DE276">
        <v>0</v>
      </c>
      <c r="DF276">
        <v>-15427</v>
      </c>
      <c r="DG276">
        <v>-4250</v>
      </c>
      <c r="DH276">
        <v>0</v>
      </c>
      <c r="DI276">
        <v>-4250</v>
      </c>
      <c r="DJ276">
        <v>-639864</v>
      </c>
      <c r="DK276">
        <v>0</v>
      </c>
      <c r="DL276">
        <v>-639864</v>
      </c>
      <c r="DM276">
        <v>-697059</v>
      </c>
      <c r="DN276">
        <v>0</v>
      </c>
      <c r="DO276">
        <v>0</v>
      </c>
      <c r="DP276">
        <v>0</v>
      </c>
      <c r="DQ276">
        <v>-697059</v>
      </c>
      <c r="DR276">
        <v>0</v>
      </c>
      <c r="DS276">
        <v>-697059</v>
      </c>
      <c r="DT276">
        <v>29711615</v>
      </c>
      <c r="DU276">
        <v>0</v>
      </c>
      <c r="DV276" s="661">
        <v>29711615</v>
      </c>
      <c r="DW276" t="s">
        <v>1927</v>
      </c>
    </row>
    <row r="277" spans="1:127" ht="12.75" x14ac:dyDescent="0.2">
      <c r="A277" s="605">
        <v>270</v>
      </c>
      <c r="B277" s="606" t="s">
        <v>429</v>
      </c>
      <c r="C277" s="607" t="s">
        <v>1185</v>
      </c>
      <c r="D277" s="608" t="s">
        <v>1186</v>
      </c>
      <c r="E277" s="609" t="s">
        <v>428</v>
      </c>
      <c r="G277">
        <v>138357528</v>
      </c>
      <c r="H277">
        <v>0</v>
      </c>
      <c r="I277">
        <v>138357528</v>
      </c>
      <c r="J277">
        <v>49.9</v>
      </c>
      <c r="K277">
        <v>69040406</v>
      </c>
      <c r="L277">
        <v>0</v>
      </c>
      <c r="M277">
        <v>0</v>
      </c>
      <c r="N277">
        <v>0</v>
      </c>
      <c r="O277">
        <v>69040406</v>
      </c>
      <c r="P277">
        <v>0</v>
      </c>
      <c r="Q277">
        <v>69040406</v>
      </c>
      <c r="R277">
        <v>-209377</v>
      </c>
      <c r="S277">
        <v>0</v>
      </c>
      <c r="T277">
        <v>-209377</v>
      </c>
      <c r="U277">
        <v>249748</v>
      </c>
      <c r="V277">
        <v>0</v>
      </c>
      <c r="W277">
        <v>249748</v>
      </c>
      <c r="X277">
        <v>40371</v>
      </c>
      <c r="Y277">
        <v>0</v>
      </c>
      <c r="Z277">
        <v>0</v>
      </c>
      <c r="AA277">
        <v>0</v>
      </c>
      <c r="AB277">
        <v>40371</v>
      </c>
      <c r="AC277">
        <v>0</v>
      </c>
      <c r="AD277">
        <v>40371</v>
      </c>
      <c r="AE277">
        <v>-40371</v>
      </c>
      <c r="AF277">
        <v>0</v>
      </c>
      <c r="AG277">
        <v>-40371</v>
      </c>
      <c r="AH277">
        <v>-4692133</v>
      </c>
      <c r="AI277">
        <v>0</v>
      </c>
      <c r="AJ277">
        <v>-4692133</v>
      </c>
      <c r="AK277">
        <v>-44299</v>
      </c>
      <c r="AL277">
        <v>0</v>
      </c>
      <c r="AM277">
        <v>-44299</v>
      </c>
      <c r="AN277">
        <v>1256742</v>
      </c>
      <c r="AO277">
        <v>0</v>
      </c>
      <c r="AP277">
        <v>1256742</v>
      </c>
      <c r="AQ277">
        <v>-3435391</v>
      </c>
      <c r="AR277">
        <v>0</v>
      </c>
      <c r="AS277">
        <v>-3435391</v>
      </c>
      <c r="AT277">
        <v>-3365256</v>
      </c>
      <c r="AU277">
        <v>0</v>
      </c>
      <c r="AV277">
        <v>-3365256</v>
      </c>
      <c r="AW277">
        <v>-47357</v>
      </c>
      <c r="AX277">
        <v>0</v>
      </c>
      <c r="AY277">
        <v>-47357</v>
      </c>
      <c r="AZ277">
        <v>-12966</v>
      </c>
      <c r="BA277">
        <v>0</v>
      </c>
      <c r="BB277">
        <v>-12966</v>
      </c>
      <c r="BC277">
        <v>0</v>
      </c>
      <c r="BD277">
        <v>0</v>
      </c>
      <c r="BE277">
        <v>0</v>
      </c>
      <c r="BF277">
        <v>-6860970</v>
      </c>
      <c r="BG277">
        <v>0</v>
      </c>
      <c r="BH277">
        <v>0</v>
      </c>
      <c r="BI277">
        <v>0</v>
      </c>
      <c r="BJ277">
        <v>-6860970</v>
      </c>
      <c r="BK277">
        <v>0</v>
      </c>
      <c r="BL277">
        <v>-6860970</v>
      </c>
      <c r="BM277">
        <v>-50000</v>
      </c>
      <c r="BN277">
        <v>0</v>
      </c>
      <c r="BO277">
        <v>-50000</v>
      </c>
      <c r="BP277">
        <v>-1538306</v>
      </c>
      <c r="BQ277">
        <v>0</v>
      </c>
      <c r="BR277">
        <v>-1538306</v>
      </c>
      <c r="BS277">
        <v>-1588306</v>
      </c>
      <c r="BT277">
        <v>0</v>
      </c>
      <c r="BU277">
        <v>0</v>
      </c>
      <c r="BV277">
        <v>0</v>
      </c>
      <c r="BW277">
        <v>-1588306</v>
      </c>
      <c r="BX277">
        <v>0</v>
      </c>
      <c r="BY277">
        <v>-1588306</v>
      </c>
      <c r="BZ277">
        <v>-227578</v>
      </c>
      <c r="CA277">
        <v>0</v>
      </c>
      <c r="CB277">
        <v>-227578</v>
      </c>
      <c r="CC277">
        <v>-140057</v>
      </c>
      <c r="CD277">
        <v>0</v>
      </c>
      <c r="CE277">
        <v>-140057</v>
      </c>
      <c r="CF277">
        <v>-11839</v>
      </c>
      <c r="CG277">
        <v>0</v>
      </c>
      <c r="CH277">
        <v>-11839</v>
      </c>
      <c r="CI277">
        <v>0</v>
      </c>
      <c r="CJ277">
        <v>0</v>
      </c>
      <c r="CK277">
        <v>0</v>
      </c>
      <c r="CL277">
        <v>-76416</v>
      </c>
      <c r="CM277">
        <v>0</v>
      </c>
      <c r="CN277">
        <v>-76416</v>
      </c>
      <c r="CO277">
        <v>0</v>
      </c>
      <c r="CP277">
        <v>0</v>
      </c>
      <c r="CQ277">
        <v>0</v>
      </c>
      <c r="CR277">
        <v>0</v>
      </c>
      <c r="CS277">
        <v>0</v>
      </c>
      <c r="CT277">
        <v>-455890</v>
      </c>
      <c r="CU277">
        <v>0</v>
      </c>
      <c r="CV277">
        <v>0</v>
      </c>
      <c r="CW277">
        <v>0</v>
      </c>
      <c r="CX277">
        <v>-455890</v>
      </c>
      <c r="CY277">
        <v>0</v>
      </c>
      <c r="CZ277">
        <v>-455890</v>
      </c>
      <c r="DA277">
        <v>-12966</v>
      </c>
      <c r="DB277">
        <v>0</v>
      </c>
      <c r="DC277">
        <v>-12966</v>
      </c>
      <c r="DD277">
        <v>-26708</v>
      </c>
      <c r="DE277">
        <v>0</v>
      </c>
      <c r="DF277">
        <v>-26708</v>
      </c>
      <c r="DG277">
        <v>-9201</v>
      </c>
      <c r="DH277">
        <v>0</v>
      </c>
      <c r="DI277">
        <v>-9201</v>
      </c>
      <c r="DJ277">
        <v>-989934</v>
      </c>
      <c r="DK277">
        <v>0</v>
      </c>
      <c r="DL277">
        <v>-989934</v>
      </c>
      <c r="DM277">
        <v>-1038809</v>
      </c>
      <c r="DN277">
        <v>0</v>
      </c>
      <c r="DO277">
        <v>0</v>
      </c>
      <c r="DP277">
        <v>0</v>
      </c>
      <c r="DQ277">
        <v>-1038809</v>
      </c>
      <c r="DR277">
        <v>0</v>
      </c>
      <c r="DS277">
        <v>-1038809</v>
      </c>
      <c r="DT277">
        <v>59136802</v>
      </c>
      <c r="DU277">
        <v>0</v>
      </c>
      <c r="DV277" s="661">
        <v>59136802</v>
      </c>
      <c r="DW277" t="s">
        <v>1928</v>
      </c>
    </row>
    <row r="278" spans="1:127" ht="12.75" x14ac:dyDescent="0.2">
      <c r="A278" s="605">
        <v>271</v>
      </c>
      <c r="B278" s="606" t="s">
        <v>431</v>
      </c>
      <c r="C278" s="607" t="s">
        <v>1185</v>
      </c>
      <c r="D278" s="608" t="s">
        <v>1194</v>
      </c>
      <c r="E278" s="609" t="s">
        <v>430</v>
      </c>
      <c r="G278">
        <v>91484147</v>
      </c>
      <c r="H278">
        <v>0</v>
      </c>
      <c r="I278">
        <v>91484147</v>
      </c>
      <c r="J278">
        <v>49.9</v>
      </c>
      <c r="K278">
        <v>45650589</v>
      </c>
      <c r="L278">
        <v>0</v>
      </c>
      <c r="M278">
        <v>0</v>
      </c>
      <c r="N278">
        <v>0</v>
      </c>
      <c r="O278">
        <v>45650589</v>
      </c>
      <c r="P278">
        <v>0</v>
      </c>
      <c r="Q278">
        <v>45650589</v>
      </c>
      <c r="R278">
        <v>-181392</v>
      </c>
      <c r="S278">
        <v>0</v>
      </c>
      <c r="T278">
        <v>-181392</v>
      </c>
      <c r="U278">
        <v>82222</v>
      </c>
      <c r="V278">
        <v>0</v>
      </c>
      <c r="W278">
        <v>82222</v>
      </c>
      <c r="X278">
        <v>-99170</v>
      </c>
      <c r="Y278">
        <v>0</v>
      </c>
      <c r="Z278">
        <v>0</v>
      </c>
      <c r="AA278">
        <v>0</v>
      </c>
      <c r="AB278">
        <v>-99170</v>
      </c>
      <c r="AC278">
        <v>0</v>
      </c>
      <c r="AD278">
        <v>-99170</v>
      </c>
      <c r="AE278">
        <v>99170</v>
      </c>
      <c r="AF278">
        <v>0</v>
      </c>
      <c r="AG278">
        <v>99170</v>
      </c>
      <c r="AH278">
        <v>-3127664</v>
      </c>
      <c r="AI278">
        <v>0</v>
      </c>
      <c r="AJ278">
        <v>-3127664</v>
      </c>
      <c r="AK278">
        <v>-102643</v>
      </c>
      <c r="AL278">
        <v>0</v>
      </c>
      <c r="AM278">
        <v>-102643</v>
      </c>
      <c r="AN278">
        <v>860830</v>
      </c>
      <c r="AO278">
        <v>0</v>
      </c>
      <c r="AP278">
        <v>860830</v>
      </c>
      <c r="AQ278">
        <v>-2266834</v>
      </c>
      <c r="AR278">
        <v>0</v>
      </c>
      <c r="AS278">
        <v>-2266834</v>
      </c>
      <c r="AT278">
        <v>-1432895</v>
      </c>
      <c r="AU278">
        <v>0</v>
      </c>
      <c r="AV278">
        <v>-1432895</v>
      </c>
      <c r="AW278">
        <v>-36241</v>
      </c>
      <c r="AX278">
        <v>0</v>
      </c>
      <c r="AY278">
        <v>-36241</v>
      </c>
      <c r="AZ278">
        <v>0</v>
      </c>
      <c r="BA278">
        <v>0</v>
      </c>
      <c r="BB278">
        <v>0</v>
      </c>
      <c r="BC278">
        <v>0</v>
      </c>
      <c r="BD278">
        <v>0</v>
      </c>
      <c r="BE278">
        <v>0</v>
      </c>
      <c r="BF278">
        <v>-3735970</v>
      </c>
      <c r="BG278">
        <v>0</v>
      </c>
      <c r="BH278">
        <v>0</v>
      </c>
      <c r="BI278">
        <v>0</v>
      </c>
      <c r="BJ278">
        <v>-3735970</v>
      </c>
      <c r="BK278">
        <v>0</v>
      </c>
      <c r="BL278">
        <v>-3735970</v>
      </c>
      <c r="BM278">
        <v>0</v>
      </c>
      <c r="BN278">
        <v>0</v>
      </c>
      <c r="BO278">
        <v>0</v>
      </c>
      <c r="BP278">
        <v>-819730</v>
      </c>
      <c r="BQ278">
        <v>0</v>
      </c>
      <c r="BR278">
        <v>-819730</v>
      </c>
      <c r="BS278">
        <v>-819730</v>
      </c>
      <c r="BT278">
        <v>0</v>
      </c>
      <c r="BU278">
        <v>0</v>
      </c>
      <c r="BV278">
        <v>0</v>
      </c>
      <c r="BW278">
        <v>-819730</v>
      </c>
      <c r="BX278">
        <v>0</v>
      </c>
      <c r="BY278">
        <v>-819730</v>
      </c>
      <c r="BZ278">
        <v>-73716</v>
      </c>
      <c r="CA278">
        <v>0</v>
      </c>
      <c r="CB278">
        <v>-73716</v>
      </c>
      <c r="CC278">
        <v>-4121</v>
      </c>
      <c r="CD278">
        <v>0</v>
      </c>
      <c r="CE278">
        <v>-4121</v>
      </c>
      <c r="CF278">
        <v>-651</v>
      </c>
      <c r="CG278">
        <v>0</v>
      </c>
      <c r="CH278">
        <v>-651</v>
      </c>
      <c r="CI278">
        <v>0</v>
      </c>
      <c r="CJ278">
        <v>0</v>
      </c>
      <c r="CK278">
        <v>0</v>
      </c>
      <c r="CL278">
        <v>0</v>
      </c>
      <c r="CM278">
        <v>0</v>
      </c>
      <c r="CN278">
        <v>0</v>
      </c>
      <c r="CO278">
        <v>0</v>
      </c>
      <c r="CP278">
        <v>0</v>
      </c>
      <c r="CQ278">
        <v>0</v>
      </c>
      <c r="CR278">
        <v>0</v>
      </c>
      <c r="CS278">
        <v>0</v>
      </c>
      <c r="CT278">
        <v>-78488</v>
      </c>
      <c r="CU278">
        <v>0</v>
      </c>
      <c r="CV278">
        <v>0</v>
      </c>
      <c r="CW278">
        <v>0</v>
      </c>
      <c r="CX278">
        <v>-78488</v>
      </c>
      <c r="CY278">
        <v>0</v>
      </c>
      <c r="CZ278">
        <v>-78488</v>
      </c>
      <c r="DA278">
        <v>-21760</v>
      </c>
      <c r="DB278">
        <v>0</v>
      </c>
      <c r="DC278">
        <v>-21760</v>
      </c>
      <c r="DD278">
        <v>-3458</v>
      </c>
      <c r="DE278">
        <v>0</v>
      </c>
      <c r="DF278">
        <v>-3458</v>
      </c>
      <c r="DG278">
        <v>-5</v>
      </c>
      <c r="DH278">
        <v>0</v>
      </c>
      <c r="DI278">
        <v>-5</v>
      </c>
      <c r="DJ278">
        <v>-324784</v>
      </c>
      <c r="DK278">
        <v>0</v>
      </c>
      <c r="DL278">
        <v>-324784</v>
      </c>
      <c r="DM278">
        <v>-350007</v>
      </c>
      <c r="DN278">
        <v>0</v>
      </c>
      <c r="DO278">
        <v>0</v>
      </c>
      <c r="DP278">
        <v>0</v>
      </c>
      <c r="DQ278">
        <v>-350007</v>
      </c>
      <c r="DR278">
        <v>0</v>
      </c>
      <c r="DS278">
        <v>-350007</v>
      </c>
      <c r="DT278">
        <v>40567224</v>
      </c>
      <c r="DU278">
        <v>0</v>
      </c>
      <c r="DV278" s="661">
        <v>40567224</v>
      </c>
      <c r="DW278" t="s">
        <v>1929</v>
      </c>
    </row>
    <row r="279" spans="1:127" ht="12.75" x14ac:dyDescent="0.2">
      <c r="A279" s="605">
        <v>272</v>
      </c>
      <c r="B279" s="606" t="s">
        <v>433</v>
      </c>
      <c r="C279" s="607" t="s">
        <v>1185</v>
      </c>
      <c r="D279" s="608" t="s">
        <v>1186</v>
      </c>
      <c r="E279" s="609" t="s">
        <v>432</v>
      </c>
      <c r="G279">
        <v>99100905</v>
      </c>
      <c r="H279">
        <v>0</v>
      </c>
      <c r="I279">
        <v>99100905</v>
      </c>
      <c r="J279">
        <v>49.9</v>
      </c>
      <c r="K279">
        <v>49451352</v>
      </c>
      <c r="L279">
        <v>0</v>
      </c>
      <c r="M279">
        <v>0</v>
      </c>
      <c r="N279">
        <v>0</v>
      </c>
      <c r="O279">
        <v>49451352</v>
      </c>
      <c r="P279">
        <v>0</v>
      </c>
      <c r="Q279">
        <v>49451352</v>
      </c>
      <c r="R279">
        <v>-374717</v>
      </c>
      <c r="S279">
        <v>0</v>
      </c>
      <c r="T279">
        <v>-374717</v>
      </c>
      <c r="U279">
        <v>446891</v>
      </c>
      <c r="V279">
        <v>0</v>
      </c>
      <c r="W279">
        <v>446891</v>
      </c>
      <c r="X279">
        <v>72174</v>
      </c>
      <c r="Y279">
        <v>0</v>
      </c>
      <c r="Z279">
        <v>0</v>
      </c>
      <c r="AA279">
        <v>0</v>
      </c>
      <c r="AB279">
        <v>72174</v>
      </c>
      <c r="AC279">
        <v>0</v>
      </c>
      <c r="AD279">
        <v>72174</v>
      </c>
      <c r="AE279">
        <v>-72174</v>
      </c>
      <c r="AF279">
        <v>0</v>
      </c>
      <c r="AG279">
        <v>-72174</v>
      </c>
      <c r="AH279">
        <v>-6856304</v>
      </c>
      <c r="AI279">
        <v>0</v>
      </c>
      <c r="AJ279">
        <v>-6856304</v>
      </c>
      <c r="AK279">
        <v>-2319</v>
      </c>
      <c r="AL279">
        <v>0</v>
      </c>
      <c r="AM279">
        <v>-2319</v>
      </c>
      <c r="AN279">
        <v>856656</v>
      </c>
      <c r="AO279">
        <v>0</v>
      </c>
      <c r="AP279">
        <v>856656</v>
      </c>
      <c r="AQ279">
        <v>-5999648</v>
      </c>
      <c r="AR279">
        <v>0</v>
      </c>
      <c r="AS279">
        <v>-5999648</v>
      </c>
      <c r="AT279">
        <v>-4543601</v>
      </c>
      <c r="AU279">
        <v>0</v>
      </c>
      <c r="AV279">
        <v>-4543601</v>
      </c>
      <c r="AW279">
        <v>-43592</v>
      </c>
      <c r="AX279">
        <v>0</v>
      </c>
      <c r="AY279">
        <v>-43592</v>
      </c>
      <c r="AZ279">
        <v>-5056</v>
      </c>
      <c r="BA279">
        <v>0</v>
      </c>
      <c r="BB279">
        <v>-5056</v>
      </c>
      <c r="BC279">
        <v>0</v>
      </c>
      <c r="BD279">
        <v>0</v>
      </c>
      <c r="BE279">
        <v>0</v>
      </c>
      <c r="BF279">
        <v>-10591897</v>
      </c>
      <c r="BG279">
        <v>0</v>
      </c>
      <c r="BH279">
        <v>0</v>
      </c>
      <c r="BI279">
        <v>0</v>
      </c>
      <c r="BJ279">
        <v>-10591897</v>
      </c>
      <c r="BK279">
        <v>0</v>
      </c>
      <c r="BL279">
        <v>-10591897</v>
      </c>
      <c r="BM279">
        <v>0</v>
      </c>
      <c r="BN279">
        <v>0</v>
      </c>
      <c r="BO279">
        <v>0</v>
      </c>
      <c r="BP279">
        <v>-1600000</v>
      </c>
      <c r="BQ279">
        <v>0</v>
      </c>
      <c r="BR279">
        <v>-1600000</v>
      </c>
      <c r="BS279">
        <v>-1600000</v>
      </c>
      <c r="BT279">
        <v>0</v>
      </c>
      <c r="BU279">
        <v>0</v>
      </c>
      <c r="BV279">
        <v>0</v>
      </c>
      <c r="BW279">
        <v>-1600000</v>
      </c>
      <c r="BX279">
        <v>0</v>
      </c>
      <c r="BY279">
        <v>-1600000</v>
      </c>
      <c r="BZ279">
        <v>-217114</v>
      </c>
      <c r="CA279">
        <v>0</v>
      </c>
      <c r="CB279">
        <v>-217114</v>
      </c>
      <c r="CC279">
        <v>-71334</v>
      </c>
      <c r="CD279">
        <v>0</v>
      </c>
      <c r="CE279">
        <v>-71334</v>
      </c>
      <c r="CF279">
        <v>-819</v>
      </c>
      <c r="CG279">
        <v>0</v>
      </c>
      <c r="CH279">
        <v>-819</v>
      </c>
      <c r="CI279">
        <v>0</v>
      </c>
      <c r="CJ279">
        <v>0</v>
      </c>
      <c r="CK279">
        <v>0</v>
      </c>
      <c r="CL279">
        <v>0</v>
      </c>
      <c r="CM279">
        <v>0</v>
      </c>
      <c r="CN279">
        <v>0</v>
      </c>
      <c r="CO279">
        <v>0</v>
      </c>
      <c r="CP279">
        <v>0</v>
      </c>
      <c r="CQ279">
        <v>0</v>
      </c>
      <c r="CR279">
        <v>0</v>
      </c>
      <c r="CS279">
        <v>0</v>
      </c>
      <c r="CT279">
        <v>-289267</v>
      </c>
      <c r="CU279">
        <v>0</v>
      </c>
      <c r="CV279">
        <v>0</v>
      </c>
      <c r="CW279">
        <v>0</v>
      </c>
      <c r="CX279">
        <v>-289267</v>
      </c>
      <c r="CY279">
        <v>0</v>
      </c>
      <c r="CZ279">
        <v>-289267</v>
      </c>
      <c r="DA279">
        <v>-5056</v>
      </c>
      <c r="DB279">
        <v>0</v>
      </c>
      <c r="DC279">
        <v>-5056</v>
      </c>
      <c r="DD279">
        <v>-45095</v>
      </c>
      <c r="DE279">
        <v>0</v>
      </c>
      <c r="DF279">
        <v>-45095</v>
      </c>
      <c r="DG279">
        <v>-9423</v>
      </c>
      <c r="DH279">
        <v>0</v>
      </c>
      <c r="DI279">
        <v>-9423</v>
      </c>
      <c r="DJ279">
        <v>-833859</v>
      </c>
      <c r="DK279">
        <v>0</v>
      </c>
      <c r="DL279">
        <v>-833859</v>
      </c>
      <c r="DM279">
        <v>-893433</v>
      </c>
      <c r="DN279">
        <v>0</v>
      </c>
      <c r="DO279">
        <v>0</v>
      </c>
      <c r="DP279">
        <v>0</v>
      </c>
      <c r="DQ279">
        <v>-893433</v>
      </c>
      <c r="DR279">
        <v>0</v>
      </c>
      <c r="DS279">
        <v>-893433</v>
      </c>
      <c r="DT279">
        <v>36148929</v>
      </c>
      <c r="DU279">
        <v>0</v>
      </c>
      <c r="DV279" s="661">
        <v>36148929</v>
      </c>
      <c r="DW279" t="s">
        <v>1930</v>
      </c>
    </row>
    <row r="280" spans="1:127" ht="12.75" x14ac:dyDescent="0.2">
      <c r="A280" s="605">
        <v>273</v>
      </c>
      <c r="B280" s="606" t="s">
        <v>435</v>
      </c>
      <c r="C280" s="607" t="s">
        <v>1185</v>
      </c>
      <c r="D280" s="608" t="s">
        <v>1189</v>
      </c>
      <c r="E280" s="609" t="s">
        <v>434</v>
      </c>
      <c r="G280">
        <v>71502305</v>
      </c>
      <c r="H280">
        <v>0</v>
      </c>
      <c r="I280">
        <v>71502305</v>
      </c>
      <c r="J280">
        <v>49.9</v>
      </c>
      <c r="K280">
        <v>35679650</v>
      </c>
      <c r="L280">
        <v>0</v>
      </c>
      <c r="M280">
        <v>0</v>
      </c>
      <c r="N280">
        <v>0</v>
      </c>
      <c r="O280">
        <v>35679650</v>
      </c>
      <c r="P280">
        <v>0</v>
      </c>
      <c r="Q280">
        <v>35679650</v>
      </c>
      <c r="R280">
        <v>-274135</v>
      </c>
      <c r="S280">
        <v>0</v>
      </c>
      <c r="T280">
        <v>-274135</v>
      </c>
      <c r="U280">
        <v>0</v>
      </c>
      <c r="V280">
        <v>0</v>
      </c>
      <c r="W280">
        <v>0</v>
      </c>
      <c r="X280">
        <v>-274135</v>
      </c>
      <c r="Y280">
        <v>0</v>
      </c>
      <c r="Z280">
        <v>0</v>
      </c>
      <c r="AA280">
        <v>0</v>
      </c>
      <c r="AB280">
        <v>-274135</v>
      </c>
      <c r="AC280">
        <v>0</v>
      </c>
      <c r="AD280">
        <v>-274135</v>
      </c>
      <c r="AE280">
        <v>274135</v>
      </c>
      <c r="AF280">
        <v>0</v>
      </c>
      <c r="AG280">
        <v>274135</v>
      </c>
      <c r="AH280">
        <v>-1967156</v>
      </c>
      <c r="AI280">
        <v>0</v>
      </c>
      <c r="AJ280">
        <v>-1967156</v>
      </c>
      <c r="AK280">
        <v>0</v>
      </c>
      <c r="AL280">
        <v>0</v>
      </c>
      <c r="AM280">
        <v>0</v>
      </c>
      <c r="AN280">
        <v>650593</v>
      </c>
      <c r="AO280">
        <v>0</v>
      </c>
      <c r="AP280">
        <v>650593</v>
      </c>
      <c r="AQ280">
        <v>-1316563</v>
      </c>
      <c r="AR280">
        <v>0</v>
      </c>
      <c r="AS280">
        <v>-1316563</v>
      </c>
      <c r="AT280">
        <v>-2668037</v>
      </c>
      <c r="AU280">
        <v>0</v>
      </c>
      <c r="AV280">
        <v>-2668037</v>
      </c>
      <c r="AW280">
        <v>-34790</v>
      </c>
      <c r="AX280">
        <v>0</v>
      </c>
      <c r="AY280">
        <v>-34790</v>
      </c>
      <c r="AZ280">
        <v>-2353</v>
      </c>
      <c r="BA280">
        <v>0</v>
      </c>
      <c r="BB280">
        <v>-2353</v>
      </c>
      <c r="BC280">
        <v>0</v>
      </c>
      <c r="BD280">
        <v>0</v>
      </c>
      <c r="BE280">
        <v>0</v>
      </c>
      <c r="BF280">
        <v>-4021743</v>
      </c>
      <c r="BG280">
        <v>0</v>
      </c>
      <c r="BH280">
        <v>0</v>
      </c>
      <c r="BI280">
        <v>0</v>
      </c>
      <c r="BJ280">
        <v>-4021743</v>
      </c>
      <c r="BK280">
        <v>0</v>
      </c>
      <c r="BL280">
        <v>-4021743</v>
      </c>
      <c r="BM280">
        <v>-2337</v>
      </c>
      <c r="BN280">
        <v>0</v>
      </c>
      <c r="BO280">
        <v>-2337</v>
      </c>
      <c r="BP280">
        <v>-549814</v>
      </c>
      <c r="BQ280">
        <v>0</v>
      </c>
      <c r="BR280">
        <v>-549814</v>
      </c>
      <c r="BS280">
        <v>-552151</v>
      </c>
      <c r="BT280">
        <v>0</v>
      </c>
      <c r="BU280">
        <v>0</v>
      </c>
      <c r="BV280">
        <v>0</v>
      </c>
      <c r="BW280">
        <v>-552151</v>
      </c>
      <c r="BX280">
        <v>0</v>
      </c>
      <c r="BY280">
        <v>-552151</v>
      </c>
      <c r="BZ280">
        <v>-2462</v>
      </c>
      <c r="CA280">
        <v>0</v>
      </c>
      <c r="CB280">
        <v>-2462</v>
      </c>
      <c r="CC280">
        <v>-182196</v>
      </c>
      <c r="CD280">
        <v>0</v>
      </c>
      <c r="CE280">
        <v>-182196</v>
      </c>
      <c r="CF280">
        <v>0</v>
      </c>
      <c r="CG280">
        <v>0</v>
      </c>
      <c r="CH280">
        <v>0</v>
      </c>
      <c r="CI280">
        <v>0</v>
      </c>
      <c r="CJ280">
        <v>0</v>
      </c>
      <c r="CK280">
        <v>0</v>
      </c>
      <c r="CL280">
        <v>0</v>
      </c>
      <c r="CM280">
        <v>0</v>
      </c>
      <c r="CN280">
        <v>0</v>
      </c>
      <c r="CO280">
        <v>0</v>
      </c>
      <c r="CP280">
        <v>0</v>
      </c>
      <c r="CQ280">
        <v>0</v>
      </c>
      <c r="CR280">
        <v>0</v>
      </c>
      <c r="CS280">
        <v>0</v>
      </c>
      <c r="CT280">
        <v>-184658</v>
      </c>
      <c r="CU280">
        <v>0</v>
      </c>
      <c r="CV280">
        <v>0</v>
      </c>
      <c r="CW280">
        <v>0</v>
      </c>
      <c r="CX280">
        <v>-184658</v>
      </c>
      <c r="CY280">
        <v>0</v>
      </c>
      <c r="CZ280">
        <v>-184658</v>
      </c>
      <c r="DA280">
        <v>-2353</v>
      </c>
      <c r="DB280">
        <v>0</v>
      </c>
      <c r="DC280">
        <v>-2353</v>
      </c>
      <c r="DD280">
        <v>-14821</v>
      </c>
      <c r="DE280">
        <v>0</v>
      </c>
      <c r="DF280">
        <v>-14821</v>
      </c>
      <c r="DG280">
        <v>-4082</v>
      </c>
      <c r="DH280">
        <v>0</v>
      </c>
      <c r="DI280">
        <v>-4082</v>
      </c>
      <c r="DJ280">
        <v>-617268</v>
      </c>
      <c r="DK280">
        <v>0</v>
      </c>
      <c r="DL280">
        <v>-617268</v>
      </c>
      <c r="DM280">
        <v>-638524</v>
      </c>
      <c r="DN280">
        <v>0</v>
      </c>
      <c r="DO280">
        <v>0</v>
      </c>
      <c r="DP280">
        <v>0</v>
      </c>
      <c r="DQ280">
        <v>-638524</v>
      </c>
      <c r="DR280">
        <v>0</v>
      </c>
      <c r="DS280">
        <v>-638524</v>
      </c>
      <c r="DT280">
        <v>30008439</v>
      </c>
      <c r="DU280">
        <v>0</v>
      </c>
      <c r="DV280" s="661">
        <v>30008439</v>
      </c>
      <c r="DW280" t="s">
        <v>1931</v>
      </c>
    </row>
    <row r="281" spans="1:127" ht="12.75" x14ac:dyDescent="0.2">
      <c r="A281" s="605">
        <v>274</v>
      </c>
      <c r="B281" s="606" t="s">
        <v>437</v>
      </c>
      <c r="C281" s="607" t="s">
        <v>524</v>
      </c>
      <c r="D281" s="608" t="s">
        <v>1189</v>
      </c>
      <c r="E281" s="609" t="s">
        <v>569</v>
      </c>
      <c r="G281">
        <v>281331366</v>
      </c>
      <c r="H281">
        <v>0</v>
      </c>
      <c r="I281">
        <v>281331366</v>
      </c>
      <c r="J281">
        <v>49.9</v>
      </c>
      <c r="K281">
        <v>140384352</v>
      </c>
      <c r="L281">
        <v>0</v>
      </c>
      <c r="M281">
        <v>1000000</v>
      </c>
      <c r="N281">
        <v>0</v>
      </c>
      <c r="O281">
        <v>141384352</v>
      </c>
      <c r="P281">
        <v>0</v>
      </c>
      <c r="Q281">
        <v>141384352</v>
      </c>
      <c r="R281">
        <v>-257420</v>
      </c>
      <c r="S281">
        <v>0</v>
      </c>
      <c r="T281">
        <v>-257420</v>
      </c>
      <c r="U281">
        <v>1524549</v>
      </c>
      <c r="V281">
        <v>0</v>
      </c>
      <c r="W281">
        <v>1524549</v>
      </c>
      <c r="X281">
        <v>1267129</v>
      </c>
      <c r="Y281">
        <v>0</v>
      </c>
      <c r="Z281">
        <v>100000</v>
      </c>
      <c r="AA281">
        <v>0</v>
      </c>
      <c r="AB281">
        <v>1367129</v>
      </c>
      <c r="AC281">
        <v>0</v>
      </c>
      <c r="AD281">
        <v>1367129</v>
      </c>
      <c r="AE281">
        <v>-1367129</v>
      </c>
      <c r="AF281">
        <v>0</v>
      </c>
      <c r="AG281">
        <v>-1367129</v>
      </c>
      <c r="AH281">
        <v>-4258347</v>
      </c>
      <c r="AI281">
        <v>0</v>
      </c>
      <c r="AJ281">
        <v>-4258347</v>
      </c>
      <c r="AK281">
        <v>-16600</v>
      </c>
      <c r="AL281">
        <v>0</v>
      </c>
      <c r="AM281">
        <v>-16600</v>
      </c>
      <c r="AN281">
        <v>3177040</v>
      </c>
      <c r="AO281">
        <v>0</v>
      </c>
      <c r="AP281">
        <v>3177040</v>
      </c>
      <c r="AQ281">
        <v>-1081307</v>
      </c>
      <c r="AR281">
        <v>0</v>
      </c>
      <c r="AS281">
        <v>-1081307</v>
      </c>
      <c r="AT281">
        <v>-4645824</v>
      </c>
      <c r="AU281">
        <v>0</v>
      </c>
      <c r="AV281">
        <v>-4645824</v>
      </c>
      <c r="AW281">
        <v>-43182</v>
      </c>
      <c r="AX281">
        <v>0</v>
      </c>
      <c r="AY281">
        <v>-43182</v>
      </c>
      <c r="AZ281">
        <v>0</v>
      </c>
      <c r="BA281">
        <v>0</v>
      </c>
      <c r="BB281">
        <v>0</v>
      </c>
      <c r="BC281">
        <v>0</v>
      </c>
      <c r="BD281">
        <v>0</v>
      </c>
      <c r="BE281">
        <v>0</v>
      </c>
      <c r="BF281">
        <v>-5770313</v>
      </c>
      <c r="BG281">
        <v>0</v>
      </c>
      <c r="BH281">
        <v>-500000</v>
      </c>
      <c r="BI281">
        <v>0</v>
      </c>
      <c r="BJ281">
        <v>-6270313</v>
      </c>
      <c r="BK281">
        <v>0</v>
      </c>
      <c r="BL281">
        <v>-6270313</v>
      </c>
      <c r="BM281">
        <v>-812710</v>
      </c>
      <c r="BN281">
        <v>0</v>
      </c>
      <c r="BO281">
        <v>-812710</v>
      </c>
      <c r="BP281">
        <v>-5412887</v>
      </c>
      <c r="BQ281">
        <v>0</v>
      </c>
      <c r="BR281">
        <v>-5412887</v>
      </c>
      <c r="BS281">
        <v>-6225597</v>
      </c>
      <c r="BT281">
        <v>0</v>
      </c>
      <c r="BU281">
        <v>0</v>
      </c>
      <c r="BV281">
        <v>0</v>
      </c>
      <c r="BW281">
        <v>-6225597</v>
      </c>
      <c r="BX281">
        <v>0</v>
      </c>
      <c r="BY281">
        <v>-6225597</v>
      </c>
      <c r="BZ281">
        <v>-46730</v>
      </c>
      <c r="CA281">
        <v>0</v>
      </c>
      <c r="CB281">
        <v>-46730</v>
      </c>
      <c r="CC281">
        <v>-28878</v>
      </c>
      <c r="CD281">
        <v>0</v>
      </c>
      <c r="CE281">
        <v>-28878</v>
      </c>
      <c r="CF281">
        <v>-1419</v>
      </c>
      <c r="CG281">
        <v>0</v>
      </c>
      <c r="CH281">
        <v>-1419</v>
      </c>
      <c r="CI281">
        <v>0</v>
      </c>
      <c r="CJ281">
        <v>0</v>
      </c>
      <c r="CK281">
        <v>0</v>
      </c>
      <c r="CL281">
        <v>0</v>
      </c>
      <c r="CM281">
        <v>0</v>
      </c>
      <c r="CN281">
        <v>0</v>
      </c>
      <c r="CO281">
        <v>0</v>
      </c>
      <c r="CP281">
        <v>0</v>
      </c>
      <c r="CQ281">
        <v>0</v>
      </c>
      <c r="CR281">
        <v>0</v>
      </c>
      <c r="CS281">
        <v>0</v>
      </c>
      <c r="CT281">
        <v>-77027</v>
      </c>
      <c r="CU281">
        <v>0</v>
      </c>
      <c r="CV281">
        <v>0</v>
      </c>
      <c r="CW281">
        <v>0</v>
      </c>
      <c r="CX281">
        <v>-77027</v>
      </c>
      <c r="CY281">
        <v>0</v>
      </c>
      <c r="CZ281">
        <v>-77027</v>
      </c>
      <c r="DA281">
        <v>0</v>
      </c>
      <c r="DB281">
        <v>0</v>
      </c>
      <c r="DC281">
        <v>0</v>
      </c>
      <c r="DD281">
        <v>-12000</v>
      </c>
      <c r="DE281">
        <v>0</v>
      </c>
      <c r="DF281">
        <v>-12000</v>
      </c>
      <c r="DG281">
        <v>-10500</v>
      </c>
      <c r="DH281">
        <v>0</v>
      </c>
      <c r="DI281">
        <v>-10500</v>
      </c>
      <c r="DJ281">
        <v>-974378</v>
      </c>
      <c r="DK281">
        <v>0</v>
      </c>
      <c r="DL281">
        <v>-974378</v>
      </c>
      <c r="DM281">
        <v>-996878</v>
      </c>
      <c r="DN281">
        <v>0</v>
      </c>
      <c r="DO281">
        <v>0</v>
      </c>
      <c r="DP281">
        <v>0</v>
      </c>
      <c r="DQ281">
        <v>-996878</v>
      </c>
      <c r="DR281">
        <v>0</v>
      </c>
      <c r="DS281">
        <v>-996878</v>
      </c>
      <c r="DT281">
        <v>129181666</v>
      </c>
      <c r="DU281">
        <v>0</v>
      </c>
      <c r="DV281" s="661">
        <v>129181666</v>
      </c>
      <c r="DW281" t="s">
        <v>1932</v>
      </c>
    </row>
    <row r="282" spans="1:127" ht="12.75" x14ac:dyDescent="0.2">
      <c r="A282" s="605">
        <v>275</v>
      </c>
      <c r="B282" s="606" t="s">
        <v>439</v>
      </c>
      <c r="C282" s="607" t="s">
        <v>1185</v>
      </c>
      <c r="D282" s="608" t="s">
        <v>1186</v>
      </c>
      <c r="E282" s="609" t="s">
        <v>438</v>
      </c>
      <c r="G282">
        <v>142405083</v>
      </c>
      <c r="H282">
        <v>0</v>
      </c>
      <c r="I282">
        <v>142405083</v>
      </c>
      <c r="J282">
        <v>49.9</v>
      </c>
      <c r="K282">
        <v>71060136</v>
      </c>
      <c r="L282">
        <v>0</v>
      </c>
      <c r="M282">
        <v>-1143955</v>
      </c>
      <c r="N282">
        <v>0</v>
      </c>
      <c r="O282">
        <v>69916181</v>
      </c>
      <c r="P282">
        <v>0</v>
      </c>
      <c r="Q282">
        <v>69916181</v>
      </c>
      <c r="R282">
        <v>-300798</v>
      </c>
      <c r="S282">
        <v>0</v>
      </c>
      <c r="T282">
        <v>-300798</v>
      </c>
      <c r="U282">
        <v>69769</v>
      </c>
      <c r="V282">
        <v>0</v>
      </c>
      <c r="W282">
        <v>69769</v>
      </c>
      <c r="X282">
        <v>-231029</v>
      </c>
      <c r="Y282">
        <v>0</v>
      </c>
      <c r="Z282">
        <v>0</v>
      </c>
      <c r="AA282">
        <v>0</v>
      </c>
      <c r="AB282">
        <v>-231029</v>
      </c>
      <c r="AC282">
        <v>0</v>
      </c>
      <c r="AD282">
        <v>-231029</v>
      </c>
      <c r="AE282">
        <v>231029</v>
      </c>
      <c r="AF282">
        <v>0</v>
      </c>
      <c r="AG282">
        <v>231029</v>
      </c>
      <c r="AH282">
        <v>-3296705</v>
      </c>
      <c r="AI282">
        <v>0</v>
      </c>
      <c r="AJ282">
        <v>-3296705</v>
      </c>
      <c r="AK282">
        <v>0</v>
      </c>
      <c r="AL282">
        <v>0</v>
      </c>
      <c r="AM282">
        <v>0</v>
      </c>
      <c r="AN282">
        <v>1411388</v>
      </c>
      <c r="AO282">
        <v>0</v>
      </c>
      <c r="AP282">
        <v>1411388</v>
      </c>
      <c r="AQ282">
        <v>-1885317</v>
      </c>
      <c r="AR282">
        <v>0</v>
      </c>
      <c r="AS282">
        <v>-1885317</v>
      </c>
      <c r="AT282">
        <v>-5372322</v>
      </c>
      <c r="AU282">
        <v>0</v>
      </c>
      <c r="AV282">
        <v>-5372322</v>
      </c>
      <c r="AW282">
        <v>-71096</v>
      </c>
      <c r="AX282">
        <v>0</v>
      </c>
      <c r="AY282">
        <v>-71096</v>
      </c>
      <c r="AZ282">
        <v>-5887</v>
      </c>
      <c r="BA282">
        <v>0</v>
      </c>
      <c r="BB282">
        <v>-5887</v>
      </c>
      <c r="BC282">
        <v>0</v>
      </c>
      <c r="BD282">
        <v>0</v>
      </c>
      <c r="BE282">
        <v>0</v>
      </c>
      <c r="BF282">
        <v>-7334622</v>
      </c>
      <c r="BG282">
        <v>0</v>
      </c>
      <c r="BH282">
        <v>0</v>
      </c>
      <c r="BI282">
        <v>0</v>
      </c>
      <c r="BJ282">
        <v>-7334622</v>
      </c>
      <c r="BK282">
        <v>0</v>
      </c>
      <c r="BL282">
        <v>-7334622</v>
      </c>
      <c r="BM282">
        <v>-11916</v>
      </c>
      <c r="BN282">
        <v>0</v>
      </c>
      <c r="BO282">
        <v>-11916</v>
      </c>
      <c r="BP282">
        <v>-1308511</v>
      </c>
      <c r="BQ282">
        <v>0</v>
      </c>
      <c r="BR282">
        <v>-1308511</v>
      </c>
      <c r="BS282">
        <v>-1320427</v>
      </c>
      <c r="BT282">
        <v>0</v>
      </c>
      <c r="BU282">
        <v>0</v>
      </c>
      <c r="BV282">
        <v>0</v>
      </c>
      <c r="BW282">
        <v>-1320427</v>
      </c>
      <c r="BX282">
        <v>0</v>
      </c>
      <c r="BY282">
        <v>-1320427</v>
      </c>
      <c r="BZ282">
        <v>-134338</v>
      </c>
      <c r="CA282">
        <v>0</v>
      </c>
      <c r="CB282">
        <v>-134338</v>
      </c>
      <c r="CC282">
        <v>-48958</v>
      </c>
      <c r="CD282">
        <v>0</v>
      </c>
      <c r="CE282">
        <v>-48958</v>
      </c>
      <c r="CF282">
        <v>-14996</v>
      </c>
      <c r="CG282">
        <v>0</v>
      </c>
      <c r="CH282">
        <v>-14996</v>
      </c>
      <c r="CI282">
        <v>-8987</v>
      </c>
      <c r="CJ282">
        <v>0</v>
      </c>
      <c r="CK282">
        <v>-8987</v>
      </c>
      <c r="CL282">
        <v>-5786</v>
      </c>
      <c r="CM282">
        <v>0</v>
      </c>
      <c r="CN282">
        <v>-5786</v>
      </c>
      <c r="CO282">
        <v>0</v>
      </c>
      <c r="CP282">
        <v>0</v>
      </c>
      <c r="CQ282">
        <v>0</v>
      </c>
      <c r="CR282">
        <v>0</v>
      </c>
      <c r="CS282">
        <v>0</v>
      </c>
      <c r="CT282">
        <v>-213065</v>
      </c>
      <c r="CU282">
        <v>0</v>
      </c>
      <c r="CV282">
        <v>0</v>
      </c>
      <c r="CW282">
        <v>0</v>
      </c>
      <c r="CX282">
        <v>-213065</v>
      </c>
      <c r="CY282">
        <v>0</v>
      </c>
      <c r="CZ282">
        <v>-213065</v>
      </c>
      <c r="DA282">
        <v>0</v>
      </c>
      <c r="DB282">
        <v>0</v>
      </c>
      <c r="DC282">
        <v>0</v>
      </c>
      <c r="DD282">
        <v>-28167</v>
      </c>
      <c r="DE282">
        <v>0</v>
      </c>
      <c r="DF282">
        <v>-28167</v>
      </c>
      <c r="DG282">
        <v>-44835</v>
      </c>
      <c r="DH282">
        <v>0</v>
      </c>
      <c r="DI282">
        <v>-44835</v>
      </c>
      <c r="DJ282">
        <v>-704498</v>
      </c>
      <c r="DK282">
        <v>0</v>
      </c>
      <c r="DL282">
        <v>-704498</v>
      </c>
      <c r="DM282">
        <v>-777500</v>
      </c>
      <c r="DN282">
        <v>0</v>
      </c>
      <c r="DO282">
        <v>0</v>
      </c>
      <c r="DP282">
        <v>0</v>
      </c>
      <c r="DQ282">
        <v>-777500</v>
      </c>
      <c r="DR282">
        <v>0</v>
      </c>
      <c r="DS282">
        <v>-777500</v>
      </c>
      <c r="DT282">
        <v>60039538</v>
      </c>
      <c r="DU282">
        <v>0</v>
      </c>
      <c r="DV282" s="661">
        <v>60039538</v>
      </c>
      <c r="DW282" t="s">
        <v>1933</v>
      </c>
    </row>
    <row r="283" spans="1:127" ht="12.75" x14ac:dyDescent="0.2">
      <c r="A283" s="605">
        <v>276</v>
      </c>
      <c r="B283" s="606" t="s">
        <v>441</v>
      </c>
      <c r="C283" s="607" t="s">
        <v>524</v>
      </c>
      <c r="D283" s="608" t="s">
        <v>1194</v>
      </c>
      <c r="E283" s="609" t="s">
        <v>559</v>
      </c>
      <c r="G283">
        <v>94018759</v>
      </c>
      <c r="H283">
        <v>0</v>
      </c>
      <c r="I283">
        <v>94018759</v>
      </c>
      <c r="J283">
        <v>49.9</v>
      </c>
      <c r="K283">
        <v>46915361</v>
      </c>
      <c r="L283">
        <v>0</v>
      </c>
      <c r="M283">
        <v>-300000</v>
      </c>
      <c r="N283">
        <v>0</v>
      </c>
      <c r="O283">
        <v>46615361</v>
      </c>
      <c r="P283">
        <v>0</v>
      </c>
      <c r="Q283">
        <v>46615361</v>
      </c>
      <c r="R283">
        <v>-155244</v>
      </c>
      <c r="S283">
        <v>0</v>
      </c>
      <c r="T283">
        <v>-155244</v>
      </c>
      <c r="U283">
        <v>924120</v>
      </c>
      <c r="V283">
        <v>0</v>
      </c>
      <c r="W283">
        <v>924120</v>
      </c>
      <c r="X283">
        <v>768876</v>
      </c>
      <c r="Y283">
        <v>0</v>
      </c>
      <c r="Z283">
        <v>0</v>
      </c>
      <c r="AA283">
        <v>0</v>
      </c>
      <c r="AB283">
        <v>768876</v>
      </c>
      <c r="AC283">
        <v>0</v>
      </c>
      <c r="AD283">
        <v>768876</v>
      </c>
      <c r="AE283">
        <v>-768876</v>
      </c>
      <c r="AF283">
        <v>0</v>
      </c>
      <c r="AG283">
        <v>-768876</v>
      </c>
      <c r="AH283">
        <v>-7135332</v>
      </c>
      <c r="AI283">
        <v>0</v>
      </c>
      <c r="AJ283">
        <v>-7135332</v>
      </c>
      <c r="AK283">
        <v>-24950</v>
      </c>
      <c r="AL283">
        <v>0</v>
      </c>
      <c r="AM283">
        <v>-24950</v>
      </c>
      <c r="AN283">
        <v>722454</v>
      </c>
      <c r="AO283">
        <v>0</v>
      </c>
      <c r="AP283">
        <v>722454</v>
      </c>
      <c r="AQ283">
        <v>-6412878</v>
      </c>
      <c r="AR283">
        <v>0</v>
      </c>
      <c r="AS283">
        <v>-6412878</v>
      </c>
      <c r="AT283">
        <v>-3964904</v>
      </c>
      <c r="AU283">
        <v>0</v>
      </c>
      <c r="AV283">
        <v>-3964904</v>
      </c>
      <c r="AW283">
        <v>-124869</v>
      </c>
      <c r="AX283">
        <v>0</v>
      </c>
      <c r="AY283">
        <v>-124869</v>
      </c>
      <c r="AZ283">
        <v>0</v>
      </c>
      <c r="BA283">
        <v>0</v>
      </c>
      <c r="BB283">
        <v>0</v>
      </c>
      <c r="BC283">
        <v>0</v>
      </c>
      <c r="BD283">
        <v>0</v>
      </c>
      <c r="BE283">
        <v>0</v>
      </c>
      <c r="BF283">
        <v>-10502651</v>
      </c>
      <c r="BG283">
        <v>0</v>
      </c>
      <c r="BH283">
        <v>0</v>
      </c>
      <c r="BI283">
        <v>0</v>
      </c>
      <c r="BJ283">
        <v>-10502651</v>
      </c>
      <c r="BK283">
        <v>0</v>
      </c>
      <c r="BL283">
        <v>-10502651</v>
      </c>
      <c r="BM283">
        <v>0</v>
      </c>
      <c r="BN283">
        <v>0</v>
      </c>
      <c r="BO283">
        <v>0</v>
      </c>
      <c r="BP283">
        <v>-988405</v>
      </c>
      <c r="BQ283">
        <v>0</v>
      </c>
      <c r="BR283">
        <v>-988405</v>
      </c>
      <c r="BS283">
        <v>-988405</v>
      </c>
      <c r="BT283">
        <v>0</v>
      </c>
      <c r="BU283">
        <v>-200000</v>
      </c>
      <c r="BV283">
        <v>0</v>
      </c>
      <c r="BW283">
        <v>-1188405</v>
      </c>
      <c r="BX283">
        <v>0</v>
      </c>
      <c r="BY283">
        <v>-1188405</v>
      </c>
      <c r="BZ283">
        <v>-70031</v>
      </c>
      <c r="CA283">
        <v>0</v>
      </c>
      <c r="CB283">
        <v>-70031</v>
      </c>
      <c r="CC283">
        <v>-359509</v>
      </c>
      <c r="CD283">
        <v>0</v>
      </c>
      <c r="CE283">
        <v>-359509</v>
      </c>
      <c r="CF283">
        <v>-576</v>
      </c>
      <c r="CG283">
        <v>0</v>
      </c>
      <c r="CH283">
        <v>-576</v>
      </c>
      <c r="CI283">
        <v>0</v>
      </c>
      <c r="CJ283">
        <v>0</v>
      </c>
      <c r="CK283">
        <v>0</v>
      </c>
      <c r="CL283">
        <v>0</v>
      </c>
      <c r="CM283">
        <v>0</v>
      </c>
      <c r="CN283">
        <v>0</v>
      </c>
      <c r="CO283">
        <v>0</v>
      </c>
      <c r="CP283">
        <v>0</v>
      </c>
      <c r="CQ283">
        <v>0</v>
      </c>
      <c r="CR283">
        <v>0</v>
      </c>
      <c r="CS283">
        <v>0</v>
      </c>
      <c r="CT283">
        <v>-430116</v>
      </c>
      <c r="CU283">
        <v>0</v>
      </c>
      <c r="CV283">
        <v>0</v>
      </c>
      <c r="CW283">
        <v>0</v>
      </c>
      <c r="CX283">
        <v>-430116</v>
      </c>
      <c r="CY283">
        <v>0</v>
      </c>
      <c r="CZ283">
        <v>-430116</v>
      </c>
      <c r="DA283">
        <v>0</v>
      </c>
      <c r="DB283">
        <v>0</v>
      </c>
      <c r="DC283">
        <v>0</v>
      </c>
      <c r="DD283">
        <v>-6538</v>
      </c>
      <c r="DE283">
        <v>0</v>
      </c>
      <c r="DF283">
        <v>-6538</v>
      </c>
      <c r="DG283">
        <v>-6000</v>
      </c>
      <c r="DH283">
        <v>0</v>
      </c>
      <c r="DI283">
        <v>-6000</v>
      </c>
      <c r="DJ283">
        <v>-745173</v>
      </c>
      <c r="DK283">
        <v>0</v>
      </c>
      <c r="DL283">
        <v>-745173</v>
      </c>
      <c r="DM283">
        <v>-757711</v>
      </c>
      <c r="DN283">
        <v>0</v>
      </c>
      <c r="DO283">
        <v>0</v>
      </c>
      <c r="DP283">
        <v>0</v>
      </c>
      <c r="DQ283">
        <v>-757711</v>
      </c>
      <c r="DR283">
        <v>0</v>
      </c>
      <c r="DS283">
        <v>-757711</v>
      </c>
      <c r="DT283">
        <v>34505354</v>
      </c>
      <c r="DU283">
        <v>0</v>
      </c>
      <c r="DV283" s="661">
        <v>34505354</v>
      </c>
      <c r="DW283" t="s">
        <v>1934</v>
      </c>
    </row>
    <row r="284" spans="1:127" ht="12.75" x14ac:dyDescent="0.2">
      <c r="A284" s="605">
        <v>277</v>
      </c>
      <c r="B284" s="606" t="s">
        <v>443</v>
      </c>
      <c r="C284" s="607" t="s">
        <v>1185</v>
      </c>
      <c r="D284" s="608" t="s">
        <v>1194</v>
      </c>
      <c r="E284" s="609" t="s">
        <v>442</v>
      </c>
      <c r="G284">
        <v>39883865</v>
      </c>
      <c r="H284">
        <v>0</v>
      </c>
      <c r="I284">
        <v>39883865</v>
      </c>
      <c r="J284">
        <v>49.9</v>
      </c>
      <c r="K284">
        <v>19902049</v>
      </c>
      <c r="L284">
        <v>0</v>
      </c>
      <c r="M284">
        <v>0</v>
      </c>
      <c r="N284">
        <v>0</v>
      </c>
      <c r="O284">
        <v>19902049</v>
      </c>
      <c r="P284">
        <v>0</v>
      </c>
      <c r="Q284">
        <v>19902049</v>
      </c>
      <c r="R284">
        <v>-326005</v>
      </c>
      <c r="S284">
        <v>0</v>
      </c>
      <c r="T284">
        <v>-326005</v>
      </c>
      <c r="U284">
        <v>135655</v>
      </c>
      <c r="V284">
        <v>0</v>
      </c>
      <c r="W284">
        <v>135655</v>
      </c>
      <c r="X284">
        <v>-190350</v>
      </c>
      <c r="Y284">
        <v>0</v>
      </c>
      <c r="Z284">
        <v>0</v>
      </c>
      <c r="AA284">
        <v>0</v>
      </c>
      <c r="AB284">
        <v>-190350</v>
      </c>
      <c r="AC284">
        <v>0</v>
      </c>
      <c r="AD284">
        <v>-190350</v>
      </c>
      <c r="AE284">
        <v>190350</v>
      </c>
      <c r="AF284">
        <v>0</v>
      </c>
      <c r="AG284">
        <v>190350</v>
      </c>
      <c r="AH284">
        <v>-4848469</v>
      </c>
      <c r="AI284">
        <v>0</v>
      </c>
      <c r="AJ284">
        <v>-4848469</v>
      </c>
      <c r="AK284">
        <v>-3396</v>
      </c>
      <c r="AL284">
        <v>0</v>
      </c>
      <c r="AM284">
        <v>-3396</v>
      </c>
      <c r="AN284">
        <v>229631</v>
      </c>
      <c r="AO284">
        <v>0</v>
      </c>
      <c r="AP284">
        <v>229631</v>
      </c>
      <c r="AQ284">
        <v>-4618838</v>
      </c>
      <c r="AR284">
        <v>0</v>
      </c>
      <c r="AS284">
        <v>-4618838</v>
      </c>
      <c r="AT284">
        <v>-1599365</v>
      </c>
      <c r="AU284">
        <v>0</v>
      </c>
      <c r="AV284">
        <v>-1599365</v>
      </c>
      <c r="AW284">
        <v>-16712</v>
      </c>
      <c r="AX284">
        <v>0</v>
      </c>
      <c r="AY284">
        <v>-16712</v>
      </c>
      <c r="AZ284">
        <v>-45705</v>
      </c>
      <c r="BA284">
        <v>0</v>
      </c>
      <c r="BB284">
        <v>-45705</v>
      </c>
      <c r="BC284">
        <v>0</v>
      </c>
      <c r="BD284">
        <v>0</v>
      </c>
      <c r="BE284">
        <v>0</v>
      </c>
      <c r="BF284">
        <v>-6280620</v>
      </c>
      <c r="BG284">
        <v>0</v>
      </c>
      <c r="BH284">
        <v>0</v>
      </c>
      <c r="BI284">
        <v>0</v>
      </c>
      <c r="BJ284">
        <v>-6280620</v>
      </c>
      <c r="BK284">
        <v>0</v>
      </c>
      <c r="BL284">
        <v>-6280620</v>
      </c>
      <c r="BM284">
        <v>0</v>
      </c>
      <c r="BN284">
        <v>0</v>
      </c>
      <c r="BO284">
        <v>0</v>
      </c>
      <c r="BP284">
        <v>-447831</v>
      </c>
      <c r="BQ284">
        <v>0</v>
      </c>
      <c r="BR284">
        <v>-447831</v>
      </c>
      <c r="BS284">
        <v>-447831</v>
      </c>
      <c r="BT284">
        <v>0</v>
      </c>
      <c r="BU284">
        <v>0</v>
      </c>
      <c r="BV284">
        <v>0</v>
      </c>
      <c r="BW284">
        <v>-447831</v>
      </c>
      <c r="BX284">
        <v>0</v>
      </c>
      <c r="BY284">
        <v>-447831</v>
      </c>
      <c r="BZ284">
        <v>-112005</v>
      </c>
      <c r="CA284">
        <v>0</v>
      </c>
      <c r="CB284">
        <v>-112005</v>
      </c>
      <c r="CC284">
        <v>-10134</v>
      </c>
      <c r="CD284">
        <v>0</v>
      </c>
      <c r="CE284">
        <v>-10134</v>
      </c>
      <c r="CF284">
        <v>-3592</v>
      </c>
      <c r="CG284">
        <v>0</v>
      </c>
      <c r="CH284">
        <v>-3592</v>
      </c>
      <c r="CI284">
        <v>-9070</v>
      </c>
      <c r="CJ284">
        <v>0</v>
      </c>
      <c r="CK284">
        <v>-9070</v>
      </c>
      <c r="CL284">
        <v>0</v>
      </c>
      <c r="CM284">
        <v>0</v>
      </c>
      <c r="CN284">
        <v>0</v>
      </c>
      <c r="CO284">
        <v>0</v>
      </c>
      <c r="CP284">
        <v>0</v>
      </c>
      <c r="CQ284">
        <v>0</v>
      </c>
      <c r="CR284">
        <v>0</v>
      </c>
      <c r="CS284">
        <v>0</v>
      </c>
      <c r="CT284">
        <v>-134801</v>
      </c>
      <c r="CU284">
        <v>0</v>
      </c>
      <c r="CV284">
        <v>0</v>
      </c>
      <c r="CW284">
        <v>0</v>
      </c>
      <c r="CX284">
        <v>-134801</v>
      </c>
      <c r="CY284">
        <v>0</v>
      </c>
      <c r="CZ284">
        <v>-134801</v>
      </c>
      <c r="DA284">
        <v>-49248</v>
      </c>
      <c r="DB284">
        <v>0</v>
      </c>
      <c r="DC284">
        <v>-49248</v>
      </c>
      <c r="DD284">
        <v>-41183</v>
      </c>
      <c r="DE284">
        <v>0</v>
      </c>
      <c r="DF284">
        <v>-41183</v>
      </c>
      <c r="DG284">
        <v>0</v>
      </c>
      <c r="DH284">
        <v>0</v>
      </c>
      <c r="DI284">
        <v>0</v>
      </c>
      <c r="DJ284">
        <v>-359095</v>
      </c>
      <c r="DK284">
        <v>0</v>
      </c>
      <c r="DL284">
        <v>-359095</v>
      </c>
      <c r="DM284">
        <v>-449526</v>
      </c>
      <c r="DN284">
        <v>0</v>
      </c>
      <c r="DO284">
        <v>0</v>
      </c>
      <c r="DP284">
        <v>0</v>
      </c>
      <c r="DQ284">
        <v>-449526</v>
      </c>
      <c r="DR284">
        <v>0</v>
      </c>
      <c r="DS284">
        <v>-449526</v>
      </c>
      <c r="DT284">
        <v>12398921</v>
      </c>
      <c r="DU284">
        <v>0</v>
      </c>
      <c r="DV284" s="661">
        <v>12398921</v>
      </c>
      <c r="DW284" t="s">
        <v>1935</v>
      </c>
    </row>
    <row r="285" spans="1:127" ht="12.75" x14ac:dyDescent="0.2">
      <c r="A285" s="605">
        <v>278</v>
      </c>
      <c r="B285" s="606" t="s">
        <v>445</v>
      </c>
      <c r="C285" s="607" t="s">
        <v>1196</v>
      </c>
      <c r="D285" s="608" t="s">
        <v>1191</v>
      </c>
      <c r="E285" s="609" t="s">
        <v>444</v>
      </c>
      <c r="G285">
        <v>1028869923</v>
      </c>
      <c r="H285">
        <v>0</v>
      </c>
      <c r="I285">
        <v>1028869923</v>
      </c>
      <c r="J285">
        <v>49.9</v>
      </c>
      <c r="K285">
        <v>513406092</v>
      </c>
      <c r="L285">
        <v>0</v>
      </c>
      <c r="M285">
        <v>7984000</v>
      </c>
      <c r="N285">
        <v>0</v>
      </c>
      <c r="O285">
        <v>521390092</v>
      </c>
      <c r="P285">
        <v>0</v>
      </c>
      <c r="Q285">
        <v>521390092</v>
      </c>
      <c r="R285">
        <v>-6641352</v>
      </c>
      <c r="S285">
        <v>0</v>
      </c>
      <c r="T285">
        <v>-6641352</v>
      </c>
      <c r="U285">
        <v>1135642</v>
      </c>
      <c r="V285">
        <v>0</v>
      </c>
      <c r="W285">
        <v>1135642</v>
      </c>
      <c r="X285">
        <v>-5505710</v>
      </c>
      <c r="Y285">
        <v>0</v>
      </c>
      <c r="Z285">
        <v>0</v>
      </c>
      <c r="AA285">
        <v>0</v>
      </c>
      <c r="AB285">
        <v>-5505710</v>
      </c>
      <c r="AC285">
        <v>0</v>
      </c>
      <c r="AD285">
        <v>-5505710</v>
      </c>
      <c r="AE285">
        <v>5505710</v>
      </c>
      <c r="AF285">
        <v>0</v>
      </c>
      <c r="AG285">
        <v>5505710</v>
      </c>
      <c r="AH285">
        <v>-11474236</v>
      </c>
      <c r="AI285">
        <v>0</v>
      </c>
      <c r="AJ285">
        <v>-11474236</v>
      </c>
      <c r="AK285">
        <v>0</v>
      </c>
      <c r="AL285">
        <v>0</v>
      </c>
      <c r="AM285">
        <v>0</v>
      </c>
      <c r="AN285">
        <v>11575235</v>
      </c>
      <c r="AO285">
        <v>0</v>
      </c>
      <c r="AP285">
        <v>11575235</v>
      </c>
      <c r="AQ285">
        <v>100999</v>
      </c>
      <c r="AR285">
        <v>0</v>
      </c>
      <c r="AS285">
        <v>100999</v>
      </c>
      <c r="AT285">
        <v>-19847036</v>
      </c>
      <c r="AU285">
        <v>0</v>
      </c>
      <c r="AV285">
        <v>-19847036</v>
      </c>
      <c r="AW285">
        <v>0</v>
      </c>
      <c r="AX285">
        <v>0</v>
      </c>
      <c r="AY285">
        <v>0</v>
      </c>
      <c r="AZ285">
        <v>0</v>
      </c>
      <c r="BA285">
        <v>0</v>
      </c>
      <c r="BB285">
        <v>0</v>
      </c>
      <c r="BC285">
        <v>0</v>
      </c>
      <c r="BD285">
        <v>0</v>
      </c>
      <c r="BE285">
        <v>0</v>
      </c>
      <c r="BF285">
        <v>-19746037</v>
      </c>
      <c r="BG285">
        <v>0</v>
      </c>
      <c r="BH285">
        <v>0</v>
      </c>
      <c r="BI285">
        <v>0</v>
      </c>
      <c r="BJ285">
        <v>-19746037</v>
      </c>
      <c r="BK285">
        <v>0</v>
      </c>
      <c r="BL285">
        <v>-19746037</v>
      </c>
      <c r="BM285">
        <v>-100000</v>
      </c>
      <c r="BN285">
        <v>0</v>
      </c>
      <c r="BO285">
        <v>-100000</v>
      </c>
      <c r="BP285">
        <v>-15735487</v>
      </c>
      <c r="BQ285">
        <v>0</v>
      </c>
      <c r="BR285">
        <v>-15735487</v>
      </c>
      <c r="BS285">
        <v>-15835487</v>
      </c>
      <c r="BT285">
        <v>0</v>
      </c>
      <c r="BU285">
        <v>0</v>
      </c>
      <c r="BV285">
        <v>0</v>
      </c>
      <c r="BW285">
        <v>-15835487</v>
      </c>
      <c r="BX285">
        <v>0</v>
      </c>
      <c r="BY285">
        <v>-15835487</v>
      </c>
      <c r="BZ285">
        <v>-497372</v>
      </c>
      <c r="CA285">
        <v>0</v>
      </c>
      <c r="CB285">
        <v>-497372</v>
      </c>
      <c r="CC285">
        <v>-329593</v>
      </c>
      <c r="CD285">
        <v>0</v>
      </c>
      <c r="CE285">
        <v>-329593</v>
      </c>
      <c r="CF285">
        <v>0</v>
      </c>
      <c r="CG285">
        <v>0</v>
      </c>
      <c r="CH285">
        <v>0</v>
      </c>
      <c r="CI285">
        <v>0</v>
      </c>
      <c r="CJ285">
        <v>0</v>
      </c>
      <c r="CK285">
        <v>0</v>
      </c>
      <c r="CL285">
        <v>0</v>
      </c>
      <c r="CM285">
        <v>0</v>
      </c>
      <c r="CN285">
        <v>0</v>
      </c>
      <c r="CO285">
        <v>0</v>
      </c>
      <c r="CP285">
        <v>0</v>
      </c>
      <c r="CQ285">
        <v>0</v>
      </c>
      <c r="CR285">
        <v>0</v>
      </c>
      <c r="CS285">
        <v>0</v>
      </c>
      <c r="CT285">
        <v>-826965</v>
      </c>
      <c r="CU285">
        <v>0</v>
      </c>
      <c r="CV285">
        <v>0</v>
      </c>
      <c r="CW285">
        <v>0</v>
      </c>
      <c r="CX285">
        <v>-826965</v>
      </c>
      <c r="CY285">
        <v>0</v>
      </c>
      <c r="CZ285">
        <v>-826965</v>
      </c>
      <c r="DA285">
        <v>0</v>
      </c>
      <c r="DB285">
        <v>0</v>
      </c>
      <c r="DC285">
        <v>0</v>
      </c>
      <c r="DD285">
        <v>-556203</v>
      </c>
      <c r="DE285">
        <v>0</v>
      </c>
      <c r="DF285">
        <v>-556203</v>
      </c>
      <c r="DG285">
        <v>-136000</v>
      </c>
      <c r="DH285">
        <v>0</v>
      </c>
      <c r="DI285">
        <v>-136000</v>
      </c>
      <c r="DJ285">
        <v>-6281225</v>
      </c>
      <c r="DK285">
        <v>0</v>
      </c>
      <c r="DL285">
        <v>-6281225</v>
      </c>
      <c r="DM285">
        <v>-6973428</v>
      </c>
      <c r="DN285">
        <v>0</v>
      </c>
      <c r="DO285">
        <v>0</v>
      </c>
      <c r="DP285">
        <v>0</v>
      </c>
      <c r="DQ285">
        <v>-6973428</v>
      </c>
      <c r="DR285">
        <v>0</v>
      </c>
      <c r="DS285">
        <v>-6973428</v>
      </c>
      <c r="DT285">
        <v>472502465</v>
      </c>
      <c r="DU285">
        <v>0</v>
      </c>
      <c r="DV285" s="661">
        <v>472502465</v>
      </c>
      <c r="DW285" t="s">
        <v>1936</v>
      </c>
    </row>
    <row r="286" spans="1:127" ht="12.75" x14ac:dyDescent="0.2">
      <c r="A286" s="605">
        <v>279</v>
      </c>
      <c r="B286" s="606" t="s">
        <v>447</v>
      </c>
      <c r="C286" s="607" t="s">
        <v>1192</v>
      </c>
      <c r="D286" s="608" t="s">
        <v>1187</v>
      </c>
      <c r="E286" s="609" t="s">
        <v>446</v>
      </c>
      <c r="G286">
        <v>370618709</v>
      </c>
      <c r="H286">
        <v>0</v>
      </c>
      <c r="I286">
        <v>370618709</v>
      </c>
      <c r="J286">
        <v>49.9</v>
      </c>
      <c r="K286">
        <v>184938736</v>
      </c>
      <c r="L286">
        <v>0</v>
      </c>
      <c r="M286">
        <v>1089372</v>
      </c>
      <c r="N286">
        <v>0</v>
      </c>
      <c r="O286">
        <v>186028108</v>
      </c>
      <c r="P286">
        <v>0</v>
      </c>
      <c r="Q286">
        <v>186028108</v>
      </c>
      <c r="R286">
        <v>-442565.42</v>
      </c>
      <c r="S286">
        <v>0</v>
      </c>
      <c r="T286">
        <v>-442565.42</v>
      </c>
      <c r="U286">
        <v>969594.97</v>
      </c>
      <c r="V286">
        <v>0</v>
      </c>
      <c r="W286">
        <v>969594.97</v>
      </c>
      <c r="X286">
        <v>527029.55000000005</v>
      </c>
      <c r="Y286">
        <v>0</v>
      </c>
      <c r="Z286">
        <v>0</v>
      </c>
      <c r="AA286">
        <v>0</v>
      </c>
      <c r="AB286">
        <v>527029.55000000005</v>
      </c>
      <c r="AC286">
        <v>0</v>
      </c>
      <c r="AD286">
        <v>527029.55000000005</v>
      </c>
      <c r="AE286">
        <v>-527029.55000000005</v>
      </c>
      <c r="AF286">
        <v>0</v>
      </c>
      <c r="AG286">
        <v>-527029.55000000005</v>
      </c>
      <c r="AH286">
        <v>-8768700.4100000001</v>
      </c>
      <c r="AI286">
        <v>0</v>
      </c>
      <c r="AJ286">
        <v>-8768700.4100000001</v>
      </c>
      <c r="AK286">
        <v>0</v>
      </c>
      <c r="AL286">
        <v>0</v>
      </c>
      <c r="AM286">
        <v>0</v>
      </c>
      <c r="AN286">
        <v>3854967.12</v>
      </c>
      <c r="AO286">
        <v>0</v>
      </c>
      <c r="AP286">
        <v>3854967.12</v>
      </c>
      <c r="AQ286">
        <v>-4913733.29</v>
      </c>
      <c r="AR286">
        <v>0</v>
      </c>
      <c r="AS286">
        <v>-4913733.29</v>
      </c>
      <c r="AT286">
        <v>-4906069.38</v>
      </c>
      <c r="AU286">
        <v>0</v>
      </c>
      <c r="AV286">
        <v>-4906069.38</v>
      </c>
      <c r="AW286">
        <v>-72601.600000000006</v>
      </c>
      <c r="AX286">
        <v>0</v>
      </c>
      <c r="AY286">
        <v>-72601.600000000006</v>
      </c>
      <c r="AZ286">
        <v>-652.79999999999995</v>
      </c>
      <c r="BA286">
        <v>0</v>
      </c>
      <c r="BB286">
        <v>-652.79999999999995</v>
      </c>
      <c r="BC286">
        <v>0</v>
      </c>
      <c r="BD286">
        <v>0</v>
      </c>
      <c r="BE286">
        <v>0</v>
      </c>
      <c r="BF286">
        <v>-9893057.0700000003</v>
      </c>
      <c r="BG286">
        <v>0</v>
      </c>
      <c r="BH286">
        <v>0</v>
      </c>
      <c r="BI286">
        <v>0</v>
      </c>
      <c r="BJ286">
        <v>-9893057.0700000003</v>
      </c>
      <c r="BK286">
        <v>0</v>
      </c>
      <c r="BL286">
        <v>-9893057.0700000003</v>
      </c>
      <c r="BM286">
        <v>0</v>
      </c>
      <c r="BN286">
        <v>0</v>
      </c>
      <c r="BO286">
        <v>0</v>
      </c>
      <c r="BP286">
        <v>-4080428.72</v>
      </c>
      <c r="BQ286">
        <v>0</v>
      </c>
      <c r="BR286">
        <v>-4080428.72</v>
      </c>
      <c r="BS286">
        <v>-4080428.72</v>
      </c>
      <c r="BT286">
        <v>0</v>
      </c>
      <c r="BU286">
        <v>-2065371</v>
      </c>
      <c r="BV286">
        <v>0</v>
      </c>
      <c r="BW286">
        <v>-6145799.7200000007</v>
      </c>
      <c r="BX286">
        <v>0</v>
      </c>
      <c r="BY286">
        <v>-6145799.7200000007</v>
      </c>
      <c r="BZ286">
        <v>-50510.84</v>
      </c>
      <c r="CA286">
        <v>0</v>
      </c>
      <c r="CB286">
        <v>-50510.84</v>
      </c>
      <c r="CC286">
        <v>-816213.17</v>
      </c>
      <c r="CD286">
        <v>0</v>
      </c>
      <c r="CE286">
        <v>-816213.17</v>
      </c>
      <c r="CF286">
        <v>-13977.6</v>
      </c>
      <c r="CG286">
        <v>0</v>
      </c>
      <c r="CH286">
        <v>-13977.6</v>
      </c>
      <c r="CI286">
        <v>-652.79999999999995</v>
      </c>
      <c r="CJ286">
        <v>0</v>
      </c>
      <c r="CK286">
        <v>-652.79999999999995</v>
      </c>
      <c r="CL286">
        <v>0</v>
      </c>
      <c r="CM286">
        <v>0</v>
      </c>
      <c r="CN286">
        <v>0</v>
      </c>
      <c r="CO286">
        <v>0</v>
      </c>
      <c r="CP286">
        <v>0</v>
      </c>
      <c r="CQ286">
        <v>0</v>
      </c>
      <c r="CR286">
        <v>0</v>
      </c>
      <c r="CS286">
        <v>0</v>
      </c>
      <c r="CT286">
        <v>-881354.41</v>
      </c>
      <c r="CU286">
        <v>0</v>
      </c>
      <c r="CV286">
        <v>0</v>
      </c>
      <c r="CW286">
        <v>0</v>
      </c>
      <c r="CX286">
        <v>-881354.41</v>
      </c>
      <c r="CY286">
        <v>0</v>
      </c>
      <c r="CZ286">
        <v>-881354.41</v>
      </c>
      <c r="DA286">
        <v>-653</v>
      </c>
      <c r="DB286">
        <v>0</v>
      </c>
      <c r="DC286">
        <v>-653</v>
      </c>
      <c r="DD286">
        <v>-21913.8</v>
      </c>
      <c r="DE286">
        <v>0</v>
      </c>
      <c r="DF286">
        <v>-21913.8</v>
      </c>
      <c r="DG286">
        <v>-10000</v>
      </c>
      <c r="DH286">
        <v>0</v>
      </c>
      <c r="DI286">
        <v>-10000</v>
      </c>
      <c r="DJ286">
        <v>-2278582.08</v>
      </c>
      <c r="DK286">
        <v>0</v>
      </c>
      <c r="DL286">
        <v>-2278582.08</v>
      </c>
      <c r="DM286">
        <v>-2311148.88</v>
      </c>
      <c r="DN286">
        <v>0</v>
      </c>
      <c r="DO286">
        <v>0</v>
      </c>
      <c r="DP286">
        <v>0</v>
      </c>
      <c r="DQ286">
        <v>-2311148.88</v>
      </c>
      <c r="DR286">
        <v>0</v>
      </c>
      <c r="DS286">
        <v>-2311148.88</v>
      </c>
      <c r="DT286">
        <v>167323777.47000003</v>
      </c>
      <c r="DU286">
        <v>0</v>
      </c>
      <c r="DV286" s="661">
        <v>167323777.47000003</v>
      </c>
      <c r="DW286" t="s">
        <v>1937</v>
      </c>
    </row>
    <row r="287" spans="1:127" ht="12.75" x14ac:dyDescent="0.2">
      <c r="A287" s="605">
        <v>280</v>
      </c>
      <c r="B287" s="606" t="s">
        <v>449</v>
      </c>
      <c r="C287" s="607" t="s">
        <v>1185</v>
      </c>
      <c r="D287" s="608" t="s">
        <v>1186</v>
      </c>
      <c r="E287" s="609" t="s">
        <v>448</v>
      </c>
      <c r="G287">
        <v>136860279</v>
      </c>
      <c r="H287">
        <v>0</v>
      </c>
      <c r="I287">
        <v>136860279</v>
      </c>
      <c r="J287">
        <v>49.9</v>
      </c>
      <c r="K287">
        <v>68293279</v>
      </c>
      <c r="L287">
        <v>0</v>
      </c>
      <c r="M287">
        <v>50000</v>
      </c>
      <c r="N287">
        <v>0</v>
      </c>
      <c r="O287">
        <v>68343279</v>
      </c>
      <c r="P287">
        <v>0</v>
      </c>
      <c r="Q287">
        <v>68343279</v>
      </c>
      <c r="R287">
        <v>-195252</v>
      </c>
      <c r="S287">
        <v>0</v>
      </c>
      <c r="T287">
        <v>-195252</v>
      </c>
      <c r="U287">
        <v>267790</v>
      </c>
      <c r="V287">
        <v>0</v>
      </c>
      <c r="W287">
        <v>267790</v>
      </c>
      <c r="X287">
        <v>72538</v>
      </c>
      <c r="Y287">
        <v>0</v>
      </c>
      <c r="Z287">
        <v>0</v>
      </c>
      <c r="AA287">
        <v>0</v>
      </c>
      <c r="AB287">
        <v>72538</v>
      </c>
      <c r="AC287">
        <v>0</v>
      </c>
      <c r="AD287">
        <v>72538</v>
      </c>
      <c r="AE287">
        <v>-72538</v>
      </c>
      <c r="AF287">
        <v>0</v>
      </c>
      <c r="AG287">
        <v>-72538</v>
      </c>
      <c r="AH287">
        <v>-4227688</v>
      </c>
      <c r="AI287">
        <v>0</v>
      </c>
      <c r="AJ287">
        <v>-4227688</v>
      </c>
      <c r="AK287">
        <v>-3106</v>
      </c>
      <c r="AL287">
        <v>0</v>
      </c>
      <c r="AM287">
        <v>-3106</v>
      </c>
      <c r="AN287">
        <v>1280882</v>
      </c>
      <c r="AO287">
        <v>0</v>
      </c>
      <c r="AP287">
        <v>1280882</v>
      </c>
      <c r="AQ287">
        <v>-2946806</v>
      </c>
      <c r="AR287">
        <v>0</v>
      </c>
      <c r="AS287">
        <v>-2946806</v>
      </c>
      <c r="AT287">
        <v>-4986176</v>
      </c>
      <c r="AU287">
        <v>0</v>
      </c>
      <c r="AV287">
        <v>-4986176</v>
      </c>
      <c r="AW287">
        <v>-26184</v>
      </c>
      <c r="AX287">
        <v>0</v>
      </c>
      <c r="AY287">
        <v>-26184</v>
      </c>
      <c r="AZ287">
        <v>-7779</v>
      </c>
      <c r="BA287">
        <v>0</v>
      </c>
      <c r="BB287">
        <v>-7779</v>
      </c>
      <c r="BC287">
        <v>0</v>
      </c>
      <c r="BD287">
        <v>0</v>
      </c>
      <c r="BE287">
        <v>0</v>
      </c>
      <c r="BF287">
        <v>-7966945</v>
      </c>
      <c r="BG287">
        <v>0</v>
      </c>
      <c r="BH287">
        <v>0</v>
      </c>
      <c r="BI287">
        <v>0</v>
      </c>
      <c r="BJ287">
        <v>-7966945</v>
      </c>
      <c r="BK287">
        <v>0</v>
      </c>
      <c r="BL287">
        <v>-7966945</v>
      </c>
      <c r="BM287">
        <v>0</v>
      </c>
      <c r="BN287">
        <v>0</v>
      </c>
      <c r="BO287">
        <v>0</v>
      </c>
      <c r="BP287">
        <v>-1098120</v>
      </c>
      <c r="BQ287">
        <v>0</v>
      </c>
      <c r="BR287">
        <v>-1098120</v>
      </c>
      <c r="BS287">
        <v>-1098120</v>
      </c>
      <c r="BT287">
        <v>0</v>
      </c>
      <c r="BU287">
        <v>0</v>
      </c>
      <c r="BV287">
        <v>0</v>
      </c>
      <c r="BW287">
        <v>-1098120</v>
      </c>
      <c r="BX287">
        <v>0</v>
      </c>
      <c r="BY287">
        <v>-1098120</v>
      </c>
      <c r="BZ287">
        <v>-29800</v>
      </c>
      <c r="CA287">
        <v>0</v>
      </c>
      <c r="CB287">
        <v>-29800</v>
      </c>
      <c r="CC287">
        <v>-10835</v>
      </c>
      <c r="CD287">
        <v>0</v>
      </c>
      <c r="CE287">
        <v>-10835</v>
      </c>
      <c r="CF287">
        <v>-1129</v>
      </c>
      <c r="CG287">
        <v>0</v>
      </c>
      <c r="CH287">
        <v>-1129</v>
      </c>
      <c r="CI287">
        <v>-7779</v>
      </c>
      <c r="CJ287">
        <v>0</v>
      </c>
      <c r="CK287">
        <v>-7779</v>
      </c>
      <c r="CL287">
        <v>-26697</v>
      </c>
      <c r="CM287">
        <v>0</v>
      </c>
      <c r="CN287">
        <v>-26697</v>
      </c>
      <c r="CO287">
        <v>0</v>
      </c>
      <c r="CP287">
        <v>0</v>
      </c>
      <c r="CQ287">
        <v>0</v>
      </c>
      <c r="CR287">
        <v>0</v>
      </c>
      <c r="CS287">
        <v>0</v>
      </c>
      <c r="CT287">
        <v>-76240</v>
      </c>
      <c r="CU287">
        <v>0</v>
      </c>
      <c r="CV287">
        <v>0</v>
      </c>
      <c r="CW287">
        <v>0</v>
      </c>
      <c r="CX287">
        <v>-76240</v>
      </c>
      <c r="CY287">
        <v>0</v>
      </c>
      <c r="CZ287">
        <v>-76240</v>
      </c>
      <c r="DA287">
        <v>0</v>
      </c>
      <c r="DB287">
        <v>0</v>
      </c>
      <c r="DC287">
        <v>0</v>
      </c>
      <c r="DD287">
        <v>-24823</v>
      </c>
      <c r="DE287">
        <v>0</v>
      </c>
      <c r="DF287">
        <v>-24823</v>
      </c>
      <c r="DG287">
        <v>-7675</v>
      </c>
      <c r="DH287">
        <v>0</v>
      </c>
      <c r="DI287">
        <v>-7675</v>
      </c>
      <c r="DJ287">
        <v>-1635387</v>
      </c>
      <c r="DK287">
        <v>0</v>
      </c>
      <c r="DL287">
        <v>-1635387</v>
      </c>
      <c r="DM287">
        <v>-1667885</v>
      </c>
      <c r="DN287">
        <v>0</v>
      </c>
      <c r="DO287">
        <v>0</v>
      </c>
      <c r="DP287">
        <v>0</v>
      </c>
      <c r="DQ287">
        <v>-1667885</v>
      </c>
      <c r="DR287">
        <v>0</v>
      </c>
      <c r="DS287">
        <v>-1667885</v>
      </c>
      <c r="DT287">
        <v>57606627</v>
      </c>
      <c r="DU287">
        <v>0</v>
      </c>
      <c r="DV287" s="661">
        <v>57606627</v>
      </c>
      <c r="DW287" t="s">
        <v>1938</v>
      </c>
    </row>
    <row r="288" spans="1:127" ht="12.75" x14ac:dyDescent="0.2">
      <c r="A288" s="605">
        <v>281</v>
      </c>
      <c r="B288" s="606" t="s">
        <v>451</v>
      </c>
      <c r="C288" s="607" t="s">
        <v>1185</v>
      </c>
      <c r="D288" s="608" t="s">
        <v>1189</v>
      </c>
      <c r="E288" s="609" t="s">
        <v>450</v>
      </c>
      <c r="G288">
        <v>107368192</v>
      </c>
      <c r="H288">
        <v>0</v>
      </c>
      <c r="I288">
        <v>107368192</v>
      </c>
      <c r="J288">
        <v>49.9</v>
      </c>
      <c r="K288">
        <v>53576728</v>
      </c>
      <c r="L288">
        <v>0</v>
      </c>
      <c r="M288">
        <v>150000</v>
      </c>
      <c r="N288">
        <v>0</v>
      </c>
      <c r="O288">
        <v>53726728</v>
      </c>
      <c r="P288">
        <v>0</v>
      </c>
      <c r="Q288">
        <v>53726728</v>
      </c>
      <c r="R288">
        <v>-309514</v>
      </c>
      <c r="S288">
        <v>0</v>
      </c>
      <c r="T288">
        <v>-309514</v>
      </c>
      <c r="U288">
        <v>156245</v>
      </c>
      <c r="V288">
        <v>0</v>
      </c>
      <c r="W288">
        <v>156245</v>
      </c>
      <c r="X288">
        <v>-153269</v>
      </c>
      <c r="Y288">
        <v>0</v>
      </c>
      <c r="Z288">
        <v>0</v>
      </c>
      <c r="AA288">
        <v>0</v>
      </c>
      <c r="AB288">
        <v>-153269</v>
      </c>
      <c r="AC288">
        <v>0</v>
      </c>
      <c r="AD288">
        <v>-153269</v>
      </c>
      <c r="AE288">
        <v>153269</v>
      </c>
      <c r="AF288">
        <v>0</v>
      </c>
      <c r="AG288">
        <v>153269</v>
      </c>
      <c r="AH288">
        <v>-3630196</v>
      </c>
      <c r="AI288">
        <v>0</v>
      </c>
      <c r="AJ288">
        <v>-3630196</v>
      </c>
      <c r="AK288">
        <v>-26177</v>
      </c>
      <c r="AL288">
        <v>0</v>
      </c>
      <c r="AM288">
        <v>-26177</v>
      </c>
      <c r="AN288">
        <v>1016472</v>
      </c>
      <c r="AO288">
        <v>0</v>
      </c>
      <c r="AP288">
        <v>1016472</v>
      </c>
      <c r="AQ288">
        <v>-2613724</v>
      </c>
      <c r="AR288">
        <v>0</v>
      </c>
      <c r="AS288">
        <v>-2613724</v>
      </c>
      <c r="AT288">
        <v>-2199476</v>
      </c>
      <c r="AU288">
        <v>0</v>
      </c>
      <c r="AV288">
        <v>-2199476</v>
      </c>
      <c r="AW288">
        <v>-16732</v>
      </c>
      <c r="AX288">
        <v>0</v>
      </c>
      <c r="AY288">
        <v>-16732</v>
      </c>
      <c r="AZ288">
        <v>-31631</v>
      </c>
      <c r="BA288">
        <v>0</v>
      </c>
      <c r="BB288">
        <v>-31631</v>
      </c>
      <c r="BC288">
        <v>0</v>
      </c>
      <c r="BD288">
        <v>0</v>
      </c>
      <c r="BE288">
        <v>0</v>
      </c>
      <c r="BF288">
        <v>-4861563</v>
      </c>
      <c r="BG288">
        <v>0</v>
      </c>
      <c r="BH288">
        <v>0</v>
      </c>
      <c r="BI288">
        <v>0</v>
      </c>
      <c r="BJ288">
        <v>-4861563</v>
      </c>
      <c r="BK288">
        <v>0</v>
      </c>
      <c r="BL288">
        <v>-4861563</v>
      </c>
      <c r="BM288">
        <v>-100000</v>
      </c>
      <c r="BN288">
        <v>0</v>
      </c>
      <c r="BO288">
        <v>-100000</v>
      </c>
      <c r="BP288">
        <v>-688089</v>
      </c>
      <c r="BQ288">
        <v>0</v>
      </c>
      <c r="BR288">
        <v>-688089</v>
      </c>
      <c r="BS288">
        <v>-788089</v>
      </c>
      <c r="BT288">
        <v>0</v>
      </c>
      <c r="BU288">
        <v>0</v>
      </c>
      <c r="BV288">
        <v>0</v>
      </c>
      <c r="BW288">
        <v>-788089</v>
      </c>
      <c r="BX288">
        <v>0</v>
      </c>
      <c r="BY288">
        <v>-788089</v>
      </c>
      <c r="BZ288">
        <v>-56502</v>
      </c>
      <c r="CA288">
        <v>0</v>
      </c>
      <c r="CB288">
        <v>-56502</v>
      </c>
      <c r="CC288">
        <v>-131991</v>
      </c>
      <c r="CD288">
        <v>0</v>
      </c>
      <c r="CE288">
        <v>-131991</v>
      </c>
      <c r="CF288">
        <v>-174</v>
      </c>
      <c r="CG288">
        <v>0</v>
      </c>
      <c r="CH288">
        <v>-174</v>
      </c>
      <c r="CI288">
        <v>-31631</v>
      </c>
      <c r="CJ288">
        <v>0</v>
      </c>
      <c r="CK288">
        <v>-31631</v>
      </c>
      <c r="CL288">
        <v>-68860</v>
      </c>
      <c r="CM288">
        <v>0</v>
      </c>
      <c r="CN288">
        <v>-68860</v>
      </c>
      <c r="CO288">
        <v>-41250</v>
      </c>
      <c r="CP288">
        <v>0</v>
      </c>
      <c r="CQ288">
        <v>-41250</v>
      </c>
      <c r="CR288">
        <v>0</v>
      </c>
      <c r="CS288">
        <v>0</v>
      </c>
      <c r="CT288">
        <v>-330408</v>
      </c>
      <c r="CU288">
        <v>0</v>
      </c>
      <c r="CV288">
        <v>0</v>
      </c>
      <c r="CW288">
        <v>0</v>
      </c>
      <c r="CX288">
        <v>-330408</v>
      </c>
      <c r="CY288">
        <v>0</v>
      </c>
      <c r="CZ288">
        <v>-330408</v>
      </c>
      <c r="DA288">
        <v>-31631</v>
      </c>
      <c r="DB288">
        <v>0</v>
      </c>
      <c r="DC288">
        <v>-31631</v>
      </c>
      <c r="DD288">
        <v>-151492</v>
      </c>
      <c r="DE288">
        <v>0</v>
      </c>
      <c r="DF288">
        <v>-151492</v>
      </c>
      <c r="DG288">
        <v>0</v>
      </c>
      <c r="DH288">
        <v>0</v>
      </c>
      <c r="DI288">
        <v>0</v>
      </c>
      <c r="DJ288">
        <v>-626165</v>
      </c>
      <c r="DK288">
        <v>0</v>
      </c>
      <c r="DL288">
        <v>-626165</v>
      </c>
      <c r="DM288">
        <v>-809288</v>
      </c>
      <c r="DN288">
        <v>0</v>
      </c>
      <c r="DO288">
        <v>0</v>
      </c>
      <c r="DP288">
        <v>0</v>
      </c>
      <c r="DQ288">
        <v>-809288</v>
      </c>
      <c r="DR288">
        <v>0</v>
      </c>
      <c r="DS288">
        <v>-809288</v>
      </c>
      <c r="DT288">
        <v>46784111</v>
      </c>
      <c r="DU288">
        <v>0</v>
      </c>
      <c r="DV288" s="661">
        <v>46784111</v>
      </c>
      <c r="DW288" t="s">
        <v>1939</v>
      </c>
    </row>
    <row r="289" spans="1:127" ht="12.75" x14ac:dyDescent="0.2">
      <c r="A289" s="605">
        <v>282</v>
      </c>
      <c r="B289" s="606" t="s">
        <v>453</v>
      </c>
      <c r="C289" s="607" t="s">
        <v>1185</v>
      </c>
      <c r="D289" s="608" t="s">
        <v>1186</v>
      </c>
      <c r="E289" s="609" t="s">
        <v>452</v>
      </c>
      <c r="G289">
        <v>135138377</v>
      </c>
      <c r="H289">
        <v>10307440</v>
      </c>
      <c r="I289">
        <v>145445817</v>
      </c>
      <c r="J289">
        <v>49.9</v>
      </c>
      <c r="K289">
        <v>67434050</v>
      </c>
      <c r="L289">
        <v>5143413</v>
      </c>
      <c r="M289">
        <v>0</v>
      </c>
      <c r="N289">
        <v>0</v>
      </c>
      <c r="O289">
        <v>67434050</v>
      </c>
      <c r="P289">
        <v>5143413</v>
      </c>
      <c r="Q289">
        <v>72577463</v>
      </c>
      <c r="R289">
        <v>-172178</v>
      </c>
      <c r="S289">
        <v>-2882</v>
      </c>
      <c r="T289">
        <v>-175060</v>
      </c>
      <c r="U289">
        <v>2943125</v>
      </c>
      <c r="V289">
        <v>0</v>
      </c>
      <c r="W289">
        <v>2943125</v>
      </c>
      <c r="X289">
        <v>2770947</v>
      </c>
      <c r="Y289">
        <v>-2882</v>
      </c>
      <c r="Z289">
        <v>0</v>
      </c>
      <c r="AA289">
        <v>0</v>
      </c>
      <c r="AB289">
        <v>2770947</v>
      </c>
      <c r="AC289">
        <v>-2882</v>
      </c>
      <c r="AD289">
        <v>2768065</v>
      </c>
      <c r="AE289">
        <v>-2770947</v>
      </c>
      <c r="AF289">
        <v>2882</v>
      </c>
      <c r="AG289">
        <v>-2768065</v>
      </c>
      <c r="AH289">
        <v>-2774451</v>
      </c>
      <c r="AI289">
        <v>-38648</v>
      </c>
      <c r="AJ289">
        <v>-2813099</v>
      </c>
      <c r="AK289">
        <v>0</v>
      </c>
      <c r="AL289">
        <v>0</v>
      </c>
      <c r="AM289">
        <v>0</v>
      </c>
      <c r="AN289">
        <v>1359385</v>
      </c>
      <c r="AO289">
        <v>117010</v>
      </c>
      <c r="AP289">
        <v>1476395</v>
      </c>
      <c r="AQ289">
        <v>-1415066</v>
      </c>
      <c r="AR289">
        <v>78362</v>
      </c>
      <c r="AS289">
        <v>-1336704</v>
      </c>
      <c r="AT289">
        <v>-6261291</v>
      </c>
      <c r="AU289">
        <v>-87818</v>
      </c>
      <c r="AV289">
        <v>-6349109</v>
      </c>
      <c r="AW289">
        <v>-105431</v>
      </c>
      <c r="AX289">
        <v>0</v>
      </c>
      <c r="AY289">
        <v>-105431</v>
      </c>
      <c r="AZ289">
        <v>-23666</v>
      </c>
      <c r="BA289">
        <v>0</v>
      </c>
      <c r="BB289">
        <v>-23666</v>
      </c>
      <c r="BC289">
        <v>0</v>
      </c>
      <c r="BD289">
        <v>0</v>
      </c>
      <c r="BE289">
        <v>0</v>
      </c>
      <c r="BF289">
        <v>-7805454</v>
      </c>
      <c r="BG289">
        <v>-9456</v>
      </c>
      <c r="BH289">
        <v>0</v>
      </c>
      <c r="BI289">
        <v>0</v>
      </c>
      <c r="BJ289">
        <v>-7805454</v>
      </c>
      <c r="BK289">
        <v>-9456</v>
      </c>
      <c r="BL289">
        <v>-7814910</v>
      </c>
      <c r="BM289">
        <v>0</v>
      </c>
      <c r="BN289">
        <v>0</v>
      </c>
      <c r="BO289">
        <v>0</v>
      </c>
      <c r="BP289">
        <v>-1559213</v>
      </c>
      <c r="BQ289">
        <v>-23352</v>
      </c>
      <c r="BR289">
        <v>-1582565</v>
      </c>
      <c r="BS289">
        <v>-1559213</v>
      </c>
      <c r="BT289">
        <v>-23352</v>
      </c>
      <c r="BU289">
        <v>0</v>
      </c>
      <c r="BV289">
        <v>0</v>
      </c>
      <c r="BW289">
        <v>-1559213</v>
      </c>
      <c r="BX289">
        <v>-23352</v>
      </c>
      <c r="BY289">
        <v>-1582565</v>
      </c>
      <c r="BZ289">
        <v>-176760</v>
      </c>
      <c r="CA289">
        <v>-348</v>
      </c>
      <c r="CB289">
        <v>-177108</v>
      </c>
      <c r="CC289">
        <v>-6290</v>
      </c>
      <c r="CD289">
        <v>0</v>
      </c>
      <c r="CE289">
        <v>-6290</v>
      </c>
      <c r="CF289">
        <v>-6589</v>
      </c>
      <c r="CG289">
        <v>0</v>
      </c>
      <c r="CH289">
        <v>-6589</v>
      </c>
      <c r="CI289">
        <v>0</v>
      </c>
      <c r="CJ289">
        <v>0</v>
      </c>
      <c r="CK289">
        <v>0</v>
      </c>
      <c r="CL289">
        <v>0</v>
      </c>
      <c r="CM289">
        <v>0</v>
      </c>
      <c r="CN289">
        <v>0</v>
      </c>
      <c r="CO289">
        <v>0</v>
      </c>
      <c r="CP289">
        <v>-581378</v>
      </c>
      <c r="CQ289">
        <v>-581378</v>
      </c>
      <c r="CR289">
        <v>-581378</v>
      </c>
      <c r="CS289">
        <v>0</v>
      </c>
      <c r="CT289">
        <v>-189639</v>
      </c>
      <c r="CU289">
        <v>-581726</v>
      </c>
      <c r="CV289">
        <v>0</v>
      </c>
      <c r="CW289">
        <v>0</v>
      </c>
      <c r="CX289">
        <v>-189639</v>
      </c>
      <c r="CY289">
        <v>-581726</v>
      </c>
      <c r="CZ289">
        <v>-771365</v>
      </c>
      <c r="DA289">
        <v>-23666</v>
      </c>
      <c r="DB289">
        <v>0</v>
      </c>
      <c r="DC289">
        <v>-23666</v>
      </c>
      <c r="DD289">
        <v>-33699</v>
      </c>
      <c r="DE289">
        <v>0</v>
      </c>
      <c r="DF289">
        <v>-33699</v>
      </c>
      <c r="DG289">
        <v>-9580</v>
      </c>
      <c r="DH289">
        <v>0</v>
      </c>
      <c r="DI289">
        <v>-9580</v>
      </c>
      <c r="DJ289">
        <v>-644062</v>
      </c>
      <c r="DK289">
        <v>0</v>
      </c>
      <c r="DL289">
        <v>-644062</v>
      </c>
      <c r="DM289">
        <v>-711007</v>
      </c>
      <c r="DN289">
        <v>0</v>
      </c>
      <c r="DO289">
        <v>0</v>
      </c>
      <c r="DP289">
        <v>0</v>
      </c>
      <c r="DQ289">
        <v>-711007</v>
      </c>
      <c r="DR289">
        <v>0</v>
      </c>
      <c r="DS289">
        <v>-711007</v>
      </c>
      <c r="DT289">
        <v>59939684</v>
      </c>
      <c r="DU289">
        <v>4525997</v>
      </c>
      <c r="DV289" s="661">
        <v>64465681</v>
      </c>
      <c r="DW289" t="s">
        <v>1940</v>
      </c>
    </row>
    <row r="290" spans="1:127" ht="12.75" x14ac:dyDescent="0.2">
      <c r="A290" s="605">
        <v>283</v>
      </c>
      <c r="B290" s="606" t="s">
        <v>455</v>
      </c>
      <c r="C290" s="607" t="s">
        <v>1192</v>
      </c>
      <c r="D290" s="608" t="s">
        <v>1193</v>
      </c>
      <c r="E290" s="609" t="s">
        <v>454</v>
      </c>
      <c r="G290">
        <v>327473654</v>
      </c>
      <c r="H290">
        <v>262520</v>
      </c>
      <c r="I290">
        <v>327736174</v>
      </c>
      <c r="J290">
        <v>49.9</v>
      </c>
      <c r="K290">
        <v>163409353</v>
      </c>
      <c r="L290">
        <v>130997</v>
      </c>
      <c r="M290">
        <v>2080083</v>
      </c>
      <c r="N290">
        <v>0</v>
      </c>
      <c r="O290">
        <v>165489436</v>
      </c>
      <c r="P290">
        <v>130997</v>
      </c>
      <c r="Q290">
        <v>165620433</v>
      </c>
      <c r="R290">
        <v>-122801</v>
      </c>
      <c r="S290">
        <v>0</v>
      </c>
      <c r="T290">
        <v>-122801</v>
      </c>
      <c r="U290">
        <v>266</v>
      </c>
      <c r="V290">
        <v>0</v>
      </c>
      <c r="W290">
        <v>266</v>
      </c>
      <c r="X290">
        <v>-122535</v>
      </c>
      <c r="Y290">
        <v>0</v>
      </c>
      <c r="Z290">
        <v>0</v>
      </c>
      <c r="AA290">
        <v>0</v>
      </c>
      <c r="AB290">
        <v>-122535</v>
      </c>
      <c r="AC290">
        <v>0</v>
      </c>
      <c r="AD290">
        <v>-122535</v>
      </c>
      <c r="AE290">
        <v>122535</v>
      </c>
      <c r="AF290">
        <v>0</v>
      </c>
      <c r="AG290">
        <v>122535</v>
      </c>
      <c r="AH290">
        <v>-14267656</v>
      </c>
      <c r="AI290">
        <v>0</v>
      </c>
      <c r="AJ290">
        <v>-14267656</v>
      </c>
      <c r="AK290">
        <v>-10000</v>
      </c>
      <c r="AL290">
        <v>0</v>
      </c>
      <c r="AM290">
        <v>-10000</v>
      </c>
      <c r="AN290">
        <v>3028720</v>
      </c>
      <c r="AO290">
        <v>2977</v>
      </c>
      <c r="AP290">
        <v>3031697</v>
      </c>
      <c r="AQ290">
        <v>-11238936</v>
      </c>
      <c r="AR290">
        <v>2977</v>
      </c>
      <c r="AS290">
        <v>-11235959</v>
      </c>
      <c r="AT290">
        <v>-7839330</v>
      </c>
      <c r="AU290">
        <v>0</v>
      </c>
      <c r="AV290">
        <v>-7839330</v>
      </c>
      <c r="AW290">
        <v>-106102</v>
      </c>
      <c r="AX290">
        <v>0</v>
      </c>
      <c r="AY290">
        <v>-106102</v>
      </c>
      <c r="AZ290">
        <v>-13977</v>
      </c>
      <c r="BA290">
        <v>0</v>
      </c>
      <c r="BB290">
        <v>-13977</v>
      </c>
      <c r="BC290">
        <v>0</v>
      </c>
      <c r="BD290">
        <v>0</v>
      </c>
      <c r="BE290">
        <v>0</v>
      </c>
      <c r="BF290">
        <v>-19198345</v>
      </c>
      <c r="BG290">
        <v>2977</v>
      </c>
      <c r="BH290">
        <v>0</v>
      </c>
      <c r="BI290">
        <v>0</v>
      </c>
      <c r="BJ290">
        <v>-19198345</v>
      </c>
      <c r="BK290">
        <v>2977</v>
      </c>
      <c r="BL290">
        <v>-19195368</v>
      </c>
      <c r="BM290">
        <v>0</v>
      </c>
      <c r="BN290">
        <v>0</v>
      </c>
      <c r="BO290">
        <v>0</v>
      </c>
      <c r="BP290">
        <v>-5200000</v>
      </c>
      <c r="BQ290">
        <v>0</v>
      </c>
      <c r="BR290">
        <v>-5200000</v>
      </c>
      <c r="BS290">
        <v>-5200000</v>
      </c>
      <c r="BT290">
        <v>0</v>
      </c>
      <c r="BU290">
        <v>0</v>
      </c>
      <c r="BV290">
        <v>0</v>
      </c>
      <c r="BW290">
        <v>-5200000</v>
      </c>
      <c r="BX290">
        <v>0</v>
      </c>
      <c r="BY290">
        <v>-5200000</v>
      </c>
      <c r="BZ290">
        <v>-630020</v>
      </c>
      <c r="CA290">
        <v>0</v>
      </c>
      <c r="CB290">
        <v>-630020</v>
      </c>
      <c r="CC290">
        <v>-414220</v>
      </c>
      <c r="CD290">
        <v>0</v>
      </c>
      <c r="CE290">
        <v>-414220</v>
      </c>
      <c r="CF290">
        <v>-18640</v>
      </c>
      <c r="CG290">
        <v>0</v>
      </c>
      <c r="CH290">
        <v>-18640</v>
      </c>
      <c r="CI290">
        <v>0</v>
      </c>
      <c r="CJ290">
        <v>0</v>
      </c>
      <c r="CK290">
        <v>0</v>
      </c>
      <c r="CL290">
        <v>0</v>
      </c>
      <c r="CM290">
        <v>0</v>
      </c>
      <c r="CN290">
        <v>0</v>
      </c>
      <c r="CO290">
        <v>0</v>
      </c>
      <c r="CP290">
        <v>-112040</v>
      </c>
      <c r="CQ290">
        <v>-112040</v>
      </c>
      <c r="CR290">
        <v>-112040</v>
      </c>
      <c r="CS290">
        <v>0</v>
      </c>
      <c r="CT290">
        <v>-1062880</v>
      </c>
      <c r="CU290">
        <v>-112040</v>
      </c>
      <c r="CV290">
        <v>0</v>
      </c>
      <c r="CW290">
        <v>0</v>
      </c>
      <c r="CX290">
        <v>-1062880</v>
      </c>
      <c r="CY290">
        <v>-112040</v>
      </c>
      <c r="CZ290">
        <v>-1174920</v>
      </c>
      <c r="DA290">
        <v>0</v>
      </c>
      <c r="DB290">
        <v>0</v>
      </c>
      <c r="DC290">
        <v>0</v>
      </c>
      <c r="DD290">
        <v>-159393</v>
      </c>
      <c r="DE290">
        <v>0</v>
      </c>
      <c r="DF290">
        <v>-159393</v>
      </c>
      <c r="DG290">
        <v>-23833</v>
      </c>
      <c r="DH290">
        <v>0</v>
      </c>
      <c r="DI290">
        <v>-23833</v>
      </c>
      <c r="DJ290">
        <v>-2029922</v>
      </c>
      <c r="DK290">
        <v>0</v>
      </c>
      <c r="DL290">
        <v>-2029922</v>
      </c>
      <c r="DM290">
        <v>-2213148</v>
      </c>
      <c r="DN290">
        <v>0</v>
      </c>
      <c r="DO290">
        <v>0</v>
      </c>
      <c r="DP290">
        <v>0</v>
      </c>
      <c r="DQ290">
        <v>-2213148</v>
      </c>
      <c r="DR290">
        <v>0</v>
      </c>
      <c r="DS290">
        <v>-2213148</v>
      </c>
      <c r="DT290">
        <v>137692528</v>
      </c>
      <c r="DU290">
        <v>21934</v>
      </c>
      <c r="DV290" s="661">
        <v>137714462</v>
      </c>
      <c r="DW290" t="s">
        <v>1941</v>
      </c>
    </row>
    <row r="291" spans="1:127" ht="12.75" x14ac:dyDescent="0.2">
      <c r="A291" s="605">
        <v>284</v>
      </c>
      <c r="B291" s="606" t="s">
        <v>457</v>
      </c>
      <c r="C291" s="607" t="s">
        <v>1192</v>
      </c>
      <c r="D291" s="608" t="s">
        <v>1195</v>
      </c>
      <c r="E291" s="609" t="s">
        <v>456</v>
      </c>
      <c r="G291">
        <v>190496084</v>
      </c>
      <c r="H291">
        <v>440350</v>
      </c>
      <c r="I291">
        <v>190936434</v>
      </c>
      <c r="J291">
        <v>49.9</v>
      </c>
      <c r="K291">
        <v>95057546</v>
      </c>
      <c r="L291">
        <v>219735</v>
      </c>
      <c r="M291">
        <v>250000</v>
      </c>
      <c r="N291">
        <v>0</v>
      </c>
      <c r="O291">
        <v>95307546</v>
      </c>
      <c r="P291">
        <v>219735</v>
      </c>
      <c r="Q291">
        <v>95527281</v>
      </c>
      <c r="R291">
        <v>-603670</v>
      </c>
      <c r="S291">
        <v>-1679</v>
      </c>
      <c r="T291">
        <v>-605349</v>
      </c>
      <c r="U291">
        <v>413099</v>
      </c>
      <c r="V291">
        <v>0</v>
      </c>
      <c r="W291">
        <v>413099</v>
      </c>
      <c r="X291">
        <v>-190571</v>
      </c>
      <c r="Y291">
        <v>-1679</v>
      </c>
      <c r="Z291">
        <v>0</v>
      </c>
      <c r="AA291">
        <v>0</v>
      </c>
      <c r="AB291">
        <v>-190571</v>
      </c>
      <c r="AC291">
        <v>-1679</v>
      </c>
      <c r="AD291">
        <v>-192250</v>
      </c>
      <c r="AE291">
        <v>190571</v>
      </c>
      <c r="AF291">
        <v>1679</v>
      </c>
      <c r="AG291">
        <v>192250</v>
      </c>
      <c r="AH291">
        <v>-10325871</v>
      </c>
      <c r="AI291">
        <v>-1415</v>
      </c>
      <c r="AJ291">
        <v>-10327286</v>
      </c>
      <c r="AK291">
        <v>-19567</v>
      </c>
      <c r="AL291">
        <v>0</v>
      </c>
      <c r="AM291">
        <v>-19567</v>
      </c>
      <c r="AN291">
        <v>1700359</v>
      </c>
      <c r="AO291">
        <v>4368</v>
      </c>
      <c r="AP291">
        <v>1704727</v>
      </c>
      <c r="AQ291">
        <v>-8625512</v>
      </c>
      <c r="AR291">
        <v>2953</v>
      </c>
      <c r="AS291">
        <v>-8622559</v>
      </c>
      <c r="AT291">
        <v>-5893244</v>
      </c>
      <c r="AU291">
        <v>0</v>
      </c>
      <c r="AV291">
        <v>-5893244</v>
      </c>
      <c r="AW291">
        <v>-54554</v>
      </c>
      <c r="AX291">
        <v>0</v>
      </c>
      <c r="AY291">
        <v>-54554</v>
      </c>
      <c r="AZ291">
        <v>0</v>
      </c>
      <c r="BA291">
        <v>0</v>
      </c>
      <c r="BB291">
        <v>0</v>
      </c>
      <c r="BC291">
        <v>0</v>
      </c>
      <c r="BD291">
        <v>0</v>
      </c>
      <c r="BE291">
        <v>0</v>
      </c>
      <c r="BF291">
        <v>-14573310</v>
      </c>
      <c r="BG291">
        <v>2953</v>
      </c>
      <c r="BH291">
        <v>0</v>
      </c>
      <c r="BI291">
        <v>0</v>
      </c>
      <c r="BJ291">
        <v>-14573310</v>
      </c>
      <c r="BK291">
        <v>2953</v>
      </c>
      <c r="BL291">
        <v>-14570357</v>
      </c>
      <c r="BM291">
        <v>0</v>
      </c>
      <c r="BN291">
        <v>0</v>
      </c>
      <c r="BO291">
        <v>0</v>
      </c>
      <c r="BP291">
        <v>-1848726</v>
      </c>
      <c r="BQ291">
        <v>0</v>
      </c>
      <c r="BR291">
        <v>-1848726</v>
      </c>
      <c r="BS291">
        <v>-1848726</v>
      </c>
      <c r="BT291">
        <v>0</v>
      </c>
      <c r="BU291">
        <v>0</v>
      </c>
      <c r="BV291">
        <v>0</v>
      </c>
      <c r="BW291">
        <v>-1848726</v>
      </c>
      <c r="BX291">
        <v>0</v>
      </c>
      <c r="BY291">
        <v>-1848726</v>
      </c>
      <c r="BZ291">
        <v>-133169</v>
      </c>
      <c r="CA291">
        <v>0</v>
      </c>
      <c r="CB291">
        <v>-133169</v>
      </c>
      <c r="CC291">
        <v>-27883</v>
      </c>
      <c r="CD291">
        <v>0</v>
      </c>
      <c r="CE291">
        <v>-27883</v>
      </c>
      <c r="CF291">
        <v>-3590</v>
      </c>
      <c r="CG291">
        <v>0</v>
      </c>
      <c r="CH291">
        <v>-3590</v>
      </c>
      <c r="CI291">
        <v>0</v>
      </c>
      <c r="CJ291">
        <v>0</v>
      </c>
      <c r="CK291">
        <v>0</v>
      </c>
      <c r="CL291">
        <v>0</v>
      </c>
      <c r="CM291">
        <v>0</v>
      </c>
      <c r="CN291">
        <v>0</v>
      </c>
      <c r="CO291">
        <v>0</v>
      </c>
      <c r="CP291">
        <v>-18338</v>
      </c>
      <c r="CQ291">
        <v>-18338</v>
      </c>
      <c r="CR291">
        <v>-18338</v>
      </c>
      <c r="CS291">
        <v>0</v>
      </c>
      <c r="CT291">
        <v>-164642</v>
      </c>
      <c r="CU291">
        <v>-18338</v>
      </c>
      <c r="CV291">
        <v>0</v>
      </c>
      <c r="CW291">
        <v>0</v>
      </c>
      <c r="CX291">
        <v>-164642</v>
      </c>
      <c r="CY291">
        <v>-18338</v>
      </c>
      <c r="CZ291">
        <v>-182980</v>
      </c>
      <c r="DA291">
        <v>0</v>
      </c>
      <c r="DB291">
        <v>0</v>
      </c>
      <c r="DC291">
        <v>0</v>
      </c>
      <c r="DD291">
        <v>-19783</v>
      </c>
      <c r="DE291">
        <v>0</v>
      </c>
      <c r="DF291">
        <v>-19783</v>
      </c>
      <c r="DG291">
        <v>0</v>
      </c>
      <c r="DH291">
        <v>0</v>
      </c>
      <c r="DI291">
        <v>0</v>
      </c>
      <c r="DJ291">
        <v>-924722</v>
      </c>
      <c r="DK291">
        <v>0</v>
      </c>
      <c r="DL291">
        <v>-924722</v>
      </c>
      <c r="DM291">
        <v>-944505</v>
      </c>
      <c r="DN291">
        <v>0</v>
      </c>
      <c r="DO291">
        <v>0</v>
      </c>
      <c r="DP291">
        <v>0</v>
      </c>
      <c r="DQ291">
        <v>-944505</v>
      </c>
      <c r="DR291">
        <v>0</v>
      </c>
      <c r="DS291">
        <v>-944505</v>
      </c>
      <c r="DT291">
        <v>77585792</v>
      </c>
      <c r="DU291">
        <v>202671</v>
      </c>
      <c r="DV291" s="661">
        <v>77788463</v>
      </c>
      <c r="DW291" t="s">
        <v>1942</v>
      </c>
    </row>
    <row r="292" spans="1:127" ht="12.75" x14ac:dyDescent="0.2">
      <c r="A292" s="605">
        <v>285</v>
      </c>
      <c r="B292" s="606" t="s">
        <v>459</v>
      </c>
      <c r="C292" s="607" t="s">
        <v>1190</v>
      </c>
      <c r="D292" s="608" t="s">
        <v>1191</v>
      </c>
      <c r="E292" s="609" t="s">
        <v>458</v>
      </c>
      <c r="G292">
        <v>178271165</v>
      </c>
      <c r="H292">
        <v>0</v>
      </c>
      <c r="I292">
        <v>178271165</v>
      </c>
      <c r="J292">
        <v>49.9</v>
      </c>
      <c r="K292">
        <v>88957311</v>
      </c>
      <c r="L292">
        <v>0</v>
      </c>
      <c r="M292">
        <v>1137684</v>
      </c>
      <c r="N292">
        <v>0</v>
      </c>
      <c r="O292">
        <v>90094995</v>
      </c>
      <c r="P292">
        <v>0</v>
      </c>
      <c r="Q292">
        <v>90094995</v>
      </c>
      <c r="R292">
        <v>-1087622</v>
      </c>
      <c r="S292">
        <v>0</v>
      </c>
      <c r="T292">
        <v>-1087622</v>
      </c>
      <c r="U292">
        <v>241928</v>
      </c>
      <c r="V292">
        <v>0</v>
      </c>
      <c r="W292">
        <v>241928</v>
      </c>
      <c r="X292">
        <v>-845694</v>
      </c>
      <c r="Y292">
        <v>0</v>
      </c>
      <c r="Z292">
        <v>0</v>
      </c>
      <c r="AA292">
        <v>0</v>
      </c>
      <c r="AB292">
        <v>-845694</v>
      </c>
      <c r="AC292">
        <v>0</v>
      </c>
      <c r="AD292">
        <v>-845694</v>
      </c>
      <c r="AE292">
        <v>845694</v>
      </c>
      <c r="AF292">
        <v>0</v>
      </c>
      <c r="AG292">
        <v>845694</v>
      </c>
      <c r="AH292">
        <v>-9300454</v>
      </c>
      <c r="AI292">
        <v>0</v>
      </c>
      <c r="AJ292">
        <v>-9300454</v>
      </c>
      <c r="AK292">
        <v>0</v>
      </c>
      <c r="AL292">
        <v>0</v>
      </c>
      <c r="AM292">
        <v>0</v>
      </c>
      <c r="AN292">
        <v>1445721</v>
      </c>
      <c r="AO292">
        <v>0</v>
      </c>
      <c r="AP292">
        <v>1445721</v>
      </c>
      <c r="AQ292">
        <v>-7854733</v>
      </c>
      <c r="AR292">
        <v>0</v>
      </c>
      <c r="AS292">
        <v>-7854733</v>
      </c>
      <c r="AT292">
        <v>-7288368</v>
      </c>
      <c r="AU292">
        <v>0</v>
      </c>
      <c r="AV292">
        <v>-7288368</v>
      </c>
      <c r="AW292">
        <v>-69951</v>
      </c>
      <c r="AX292">
        <v>0</v>
      </c>
      <c r="AY292">
        <v>-69951</v>
      </c>
      <c r="AZ292">
        <v>0</v>
      </c>
      <c r="BA292">
        <v>0</v>
      </c>
      <c r="BB292">
        <v>0</v>
      </c>
      <c r="BC292">
        <v>0</v>
      </c>
      <c r="BD292">
        <v>0</v>
      </c>
      <c r="BE292">
        <v>0</v>
      </c>
      <c r="BF292">
        <v>-15213052</v>
      </c>
      <c r="BG292">
        <v>0</v>
      </c>
      <c r="BH292">
        <v>0</v>
      </c>
      <c r="BI292">
        <v>0</v>
      </c>
      <c r="BJ292">
        <v>-15213052</v>
      </c>
      <c r="BK292">
        <v>0</v>
      </c>
      <c r="BL292">
        <v>-15213052</v>
      </c>
      <c r="BM292">
        <v>0</v>
      </c>
      <c r="BN292">
        <v>0</v>
      </c>
      <c r="BO292">
        <v>0</v>
      </c>
      <c r="BP292">
        <v>-1500000</v>
      </c>
      <c r="BQ292">
        <v>0</v>
      </c>
      <c r="BR292">
        <v>-1500000</v>
      </c>
      <c r="BS292">
        <v>-1500000</v>
      </c>
      <c r="BT292">
        <v>0</v>
      </c>
      <c r="BU292">
        <v>0</v>
      </c>
      <c r="BV292">
        <v>0</v>
      </c>
      <c r="BW292">
        <v>-1500000</v>
      </c>
      <c r="BX292">
        <v>0</v>
      </c>
      <c r="BY292">
        <v>-1500000</v>
      </c>
      <c r="BZ292">
        <v>-227245</v>
      </c>
      <c r="CA292">
        <v>0</v>
      </c>
      <c r="CB292">
        <v>-227245</v>
      </c>
      <c r="CC292">
        <v>-299324</v>
      </c>
      <c r="CD292">
        <v>0</v>
      </c>
      <c r="CE292">
        <v>-299324</v>
      </c>
      <c r="CF292">
        <v>-2378</v>
      </c>
      <c r="CG292">
        <v>0</v>
      </c>
      <c r="CH292">
        <v>-2378</v>
      </c>
      <c r="CI292">
        <v>0</v>
      </c>
      <c r="CJ292">
        <v>0</v>
      </c>
      <c r="CK292">
        <v>0</v>
      </c>
      <c r="CL292">
        <v>0</v>
      </c>
      <c r="CM292">
        <v>0</v>
      </c>
      <c r="CN292">
        <v>0</v>
      </c>
      <c r="CO292">
        <v>0</v>
      </c>
      <c r="CP292">
        <v>0</v>
      </c>
      <c r="CQ292">
        <v>0</v>
      </c>
      <c r="CR292">
        <v>0</v>
      </c>
      <c r="CS292">
        <v>0</v>
      </c>
      <c r="CT292">
        <v>-528947</v>
      </c>
      <c r="CU292">
        <v>0</v>
      </c>
      <c r="CV292">
        <v>0</v>
      </c>
      <c r="CW292">
        <v>0</v>
      </c>
      <c r="CX292">
        <v>-528947</v>
      </c>
      <c r="CY292">
        <v>0</v>
      </c>
      <c r="CZ292">
        <v>-528947</v>
      </c>
      <c r="DA292">
        <v>0</v>
      </c>
      <c r="DB292">
        <v>0</v>
      </c>
      <c r="DC292">
        <v>0</v>
      </c>
      <c r="DD292">
        <v>-201980</v>
      </c>
      <c r="DE292">
        <v>0</v>
      </c>
      <c r="DF292">
        <v>-201980</v>
      </c>
      <c r="DG292">
        <v>-32000</v>
      </c>
      <c r="DH292">
        <v>0</v>
      </c>
      <c r="DI292">
        <v>-32000</v>
      </c>
      <c r="DJ292">
        <v>-2454286</v>
      </c>
      <c r="DK292">
        <v>0</v>
      </c>
      <c r="DL292">
        <v>-2454286</v>
      </c>
      <c r="DM292">
        <v>-2688266</v>
      </c>
      <c r="DN292">
        <v>0</v>
      </c>
      <c r="DO292">
        <v>0</v>
      </c>
      <c r="DP292">
        <v>0</v>
      </c>
      <c r="DQ292">
        <v>-2688266</v>
      </c>
      <c r="DR292">
        <v>0</v>
      </c>
      <c r="DS292">
        <v>-2688266</v>
      </c>
      <c r="DT292">
        <v>69319036</v>
      </c>
      <c r="DU292">
        <v>0</v>
      </c>
      <c r="DV292" s="661">
        <v>69319036</v>
      </c>
      <c r="DW292" t="s">
        <v>1943</v>
      </c>
    </row>
    <row r="293" spans="1:127" ht="12.75" x14ac:dyDescent="0.2">
      <c r="A293" s="605">
        <v>286</v>
      </c>
      <c r="B293" s="606" t="s">
        <v>461</v>
      </c>
      <c r="C293" s="607" t="s">
        <v>1196</v>
      </c>
      <c r="D293" s="608" t="s">
        <v>1191</v>
      </c>
      <c r="E293" s="609" t="s">
        <v>460</v>
      </c>
      <c r="G293">
        <v>287613682</v>
      </c>
      <c r="H293">
        <v>22401529</v>
      </c>
      <c r="I293">
        <v>310015211</v>
      </c>
      <c r="J293">
        <v>49.9</v>
      </c>
      <c r="K293">
        <v>143519227</v>
      </c>
      <c r="L293">
        <v>11178363</v>
      </c>
      <c r="M293">
        <v>0</v>
      </c>
      <c r="N293">
        <v>0</v>
      </c>
      <c r="O293">
        <v>143519227</v>
      </c>
      <c r="P293">
        <v>11178363</v>
      </c>
      <c r="Q293">
        <v>154697590</v>
      </c>
      <c r="R293">
        <v>-802722</v>
      </c>
      <c r="S293">
        <v>-56539</v>
      </c>
      <c r="T293">
        <v>-859261</v>
      </c>
      <c r="U293">
        <v>91719</v>
      </c>
      <c r="V293">
        <v>0</v>
      </c>
      <c r="W293">
        <v>91719</v>
      </c>
      <c r="X293">
        <v>-711003</v>
      </c>
      <c r="Y293">
        <v>-56539</v>
      </c>
      <c r="Z293">
        <v>0</v>
      </c>
      <c r="AA293">
        <v>0</v>
      </c>
      <c r="AB293">
        <v>-711003</v>
      </c>
      <c r="AC293">
        <v>-56539</v>
      </c>
      <c r="AD293">
        <v>-767542</v>
      </c>
      <c r="AE293">
        <v>711003</v>
      </c>
      <c r="AF293">
        <v>56539</v>
      </c>
      <c r="AG293">
        <v>767542</v>
      </c>
      <c r="AH293">
        <v>-7794177</v>
      </c>
      <c r="AI293">
        <v>-265861</v>
      </c>
      <c r="AJ293">
        <v>-8060038</v>
      </c>
      <c r="AK293">
        <v>-10218</v>
      </c>
      <c r="AL293">
        <v>0</v>
      </c>
      <c r="AM293">
        <v>-10218</v>
      </c>
      <c r="AN293">
        <v>2607947</v>
      </c>
      <c r="AO293">
        <v>239171</v>
      </c>
      <c r="AP293">
        <v>2847118</v>
      </c>
      <c r="AQ293">
        <v>-5186230</v>
      </c>
      <c r="AR293">
        <v>-26690</v>
      </c>
      <c r="AS293">
        <v>-5212920</v>
      </c>
      <c r="AT293">
        <v>-13660940</v>
      </c>
      <c r="AU293">
        <v>-7987</v>
      </c>
      <c r="AV293">
        <v>-13668927</v>
      </c>
      <c r="AW293">
        <v>-23470</v>
      </c>
      <c r="AX293">
        <v>0</v>
      </c>
      <c r="AY293">
        <v>-23470</v>
      </c>
      <c r="AZ293">
        <v>0</v>
      </c>
      <c r="BA293">
        <v>0</v>
      </c>
      <c r="BB293">
        <v>0</v>
      </c>
      <c r="BC293">
        <v>0</v>
      </c>
      <c r="BD293">
        <v>0</v>
      </c>
      <c r="BE293">
        <v>0</v>
      </c>
      <c r="BF293">
        <v>-18870640</v>
      </c>
      <c r="BG293">
        <v>-34677</v>
      </c>
      <c r="BH293">
        <v>0</v>
      </c>
      <c r="BI293">
        <v>0</v>
      </c>
      <c r="BJ293">
        <v>-18870640</v>
      </c>
      <c r="BK293">
        <v>-34677</v>
      </c>
      <c r="BL293">
        <v>-18905317</v>
      </c>
      <c r="BM293">
        <v>-5000</v>
      </c>
      <c r="BN293">
        <v>0</v>
      </c>
      <c r="BO293">
        <v>-5000</v>
      </c>
      <c r="BP293">
        <v>-2627483</v>
      </c>
      <c r="BQ293">
        <v>-167629</v>
      </c>
      <c r="BR293">
        <v>-2795112</v>
      </c>
      <c r="BS293">
        <v>-2632483</v>
      </c>
      <c r="BT293">
        <v>-167629</v>
      </c>
      <c r="BU293">
        <v>0</v>
      </c>
      <c r="BV293">
        <v>0</v>
      </c>
      <c r="BW293">
        <v>-2632483</v>
      </c>
      <c r="BX293">
        <v>-167629</v>
      </c>
      <c r="BY293">
        <v>-2800112</v>
      </c>
      <c r="BZ293">
        <v>-201094</v>
      </c>
      <c r="CA293">
        <v>0</v>
      </c>
      <c r="CB293">
        <v>-201094</v>
      </c>
      <c r="CC293">
        <v>-943080</v>
      </c>
      <c r="CD293">
        <v>0</v>
      </c>
      <c r="CE293">
        <v>-943080</v>
      </c>
      <c r="CF293">
        <v>-863</v>
      </c>
      <c r="CG293">
        <v>0</v>
      </c>
      <c r="CH293">
        <v>-863</v>
      </c>
      <c r="CI293">
        <v>0</v>
      </c>
      <c r="CJ293">
        <v>0</v>
      </c>
      <c r="CK293">
        <v>0</v>
      </c>
      <c r="CL293">
        <v>0</v>
      </c>
      <c r="CM293">
        <v>0</v>
      </c>
      <c r="CN293">
        <v>0</v>
      </c>
      <c r="CO293">
        <v>0</v>
      </c>
      <c r="CP293">
        <v>0</v>
      </c>
      <c r="CQ293">
        <v>0</v>
      </c>
      <c r="CR293">
        <v>0</v>
      </c>
      <c r="CS293">
        <v>0</v>
      </c>
      <c r="CT293">
        <v>-1145037</v>
      </c>
      <c r="CU293">
        <v>0</v>
      </c>
      <c r="CV293">
        <v>0</v>
      </c>
      <c r="CW293">
        <v>0</v>
      </c>
      <c r="CX293">
        <v>-1145037</v>
      </c>
      <c r="CY293">
        <v>0</v>
      </c>
      <c r="CZ293">
        <v>-1145037</v>
      </c>
      <c r="DA293">
        <v>0</v>
      </c>
      <c r="DB293">
        <v>0</v>
      </c>
      <c r="DC293">
        <v>0</v>
      </c>
      <c r="DD293">
        <v>-94323</v>
      </c>
      <c r="DE293">
        <v>-4024</v>
      </c>
      <c r="DF293">
        <v>-98347</v>
      </c>
      <c r="DG293">
        <v>-43572</v>
      </c>
      <c r="DH293">
        <v>0</v>
      </c>
      <c r="DI293">
        <v>-43572</v>
      </c>
      <c r="DJ293">
        <v>-3422151</v>
      </c>
      <c r="DK293">
        <v>-2245</v>
      </c>
      <c r="DL293">
        <v>-3424396</v>
      </c>
      <c r="DM293">
        <v>-3560046</v>
      </c>
      <c r="DN293">
        <v>-6269</v>
      </c>
      <c r="DO293">
        <v>0</v>
      </c>
      <c r="DP293">
        <v>0</v>
      </c>
      <c r="DQ293">
        <v>-3560046</v>
      </c>
      <c r="DR293">
        <v>-6269</v>
      </c>
      <c r="DS293">
        <v>-3566315</v>
      </c>
      <c r="DT293">
        <v>116600018</v>
      </c>
      <c r="DU293">
        <v>10913249</v>
      </c>
      <c r="DV293" s="661">
        <v>127513267</v>
      </c>
      <c r="DW293" t="s">
        <v>1944</v>
      </c>
    </row>
    <row r="294" spans="1:127" ht="12.75" x14ac:dyDescent="0.2">
      <c r="A294" s="605">
        <v>287</v>
      </c>
      <c r="B294" s="606" t="s">
        <v>463</v>
      </c>
      <c r="C294" s="607" t="s">
        <v>524</v>
      </c>
      <c r="D294" s="608" t="s">
        <v>1187</v>
      </c>
      <c r="E294" s="609" t="s">
        <v>545</v>
      </c>
      <c r="G294">
        <v>246945309</v>
      </c>
      <c r="H294">
        <v>2758830</v>
      </c>
      <c r="I294">
        <v>249704139</v>
      </c>
      <c r="J294">
        <v>49.9</v>
      </c>
      <c r="K294">
        <v>123225709</v>
      </c>
      <c r="L294">
        <v>1376656</v>
      </c>
      <c r="M294">
        <v>0</v>
      </c>
      <c r="N294">
        <v>0</v>
      </c>
      <c r="O294">
        <v>123225709</v>
      </c>
      <c r="P294">
        <v>1376656</v>
      </c>
      <c r="Q294">
        <v>124602365</v>
      </c>
      <c r="R294">
        <v>-317803</v>
      </c>
      <c r="S294">
        <v>0</v>
      </c>
      <c r="T294">
        <v>-317803</v>
      </c>
      <c r="U294">
        <v>2696233</v>
      </c>
      <c r="V294">
        <v>4699</v>
      </c>
      <c r="W294">
        <v>2700932</v>
      </c>
      <c r="X294">
        <v>2378430</v>
      </c>
      <c r="Y294">
        <v>4699</v>
      </c>
      <c r="Z294">
        <v>0</v>
      </c>
      <c r="AA294">
        <v>0</v>
      </c>
      <c r="AB294">
        <v>2378430</v>
      </c>
      <c r="AC294">
        <v>4699</v>
      </c>
      <c r="AD294">
        <v>2383129</v>
      </c>
      <c r="AE294">
        <v>-2378430</v>
      </c>
      <c r="AF294">
        <v>-4699</v>
      </c>
      <c r="AG294">
        <v>-2383129</v>
      </c>
      <c r="AH294">
        <v>-6618944</v>
      </c>
      <c r="AI294">
        <v>-14915</v>
      </c>
      <c r="AJ294">
        <v>-6633859</v>
      </c>
      <c r="AK294">
        <v>0</v>
      </c>
      <c r="AL294">
        <v>0</v>
      </c>
      <c r="AM294">
        <v>0</v>
      </c>
      <c r="AN294">
        <v>2454586</v>
      </c>
      <c r="AO294">
        <v>30179</v>
      </c>
      <c r="AP294">
        <v>2484765</v>
      </c>
      <c r="AQ294">
        <v>-4164358</v>
      </c>
      <c r="AR294">
        <v>15264</v>
      </c>
      <c r="AS294">
        <v>-4149094</v>
      </c>
      <c r="AT294">
        <v>-4813457</v>
      </c>
      <c r="AU294">
        <v>0</v>
      </c>
      <c r="AV294">
        <v>-4813457</v>
      </c>
      <c r="AW294">
        <v>-76451</v>
      </c>
      <c r="AX294">
        <v>0</v>
      </c>
      <c r="AY294">
        <v>-76451</v>
      </c>
      <c r="AZ294">
        <v>0</v>
      </c>
      <c r="BA294">
        <v>0</v>
      </c>
      <c r="BB294">
        <v>0</v>
      </c>
      <c r="BC294">
        <v>0</v>
      </c>
      <c r="BD294">
        <v>0</v>
      </c>
      <c r="BE294">
        <v>0</v>
      </c>
      <c r="BF294">
        <v>-9054266</v>
      </c>
      <c r="BG294">
        <v>15264</v>
      </c>
      <c r="BH294">
        <v>0</v>
      </c>
      <c r="BI294">
        <v>0</v>
      </c>
      <c r="BJ294">
        <v>-9054266</v>
      </c>
      <c r="BK294">
        <v>15264</v>
      </c>
      <c r="BL294">
        <v>-9039002</v>
      </c>
      <c r="BM294">
        <v>0</v>
      </c>
      <c r="BN294">
        <v>0</v>
      </c>
      <c r="BO294">
        <v>0</v>
      </c>
      <c r="BP294">
        <v>-2154165</v>
      </c>
      <c r="BQ294">
        <v>-3591</v>
      </c>
      <c r="BR294">
        <v>-2157756</v>
      </c>
      <c r="BS294">
        <v>-2154165</v>
      </c>
      <c r="BT294">
        <v>-3591</v>
      </c>
      <c r="BU294">
        <v>0</v>
      </c>
      <c r="BV294">
        <v>0</v>
      </c>
      <c r="BW294">
        <v>-2154165</v>
      </c>
      <c r="BX294">
        <v>-3591</v>
      </c>
      <c r="BY294">
        <v>-2157756</v>
      </c>
      <c r="BZ294">
        <v>-172954</v>
      </c>
      <c r="CA294">
        <v>0</v>
      </c>
      <c r="CB294">
        <v>-172954</v>
      </c>
      <c r="CC294">
        <v>-790265</v>
      </c>
      <c r="CD294">
        <v>0</v>
      </c>
      <c r="CE294">
        <v>-790265</v>
      </c>
      <c r="CF294">
        <v>-3921</v>
      </c>
      <c r="CG294">
        <v>0</v>
      </c>
      <c r="CH294">
        <v>-3921</v>
      </c>
      <c r="CI294">
        <v>0</v>
      </c>
      <c r="CJ294">
        <v>0</v>
      </c>
      <c r="CK294">
        <v>0</v>
      </c>
      <c r="CL294">
        <v>-4210</v>
      </c>
      <c r="CM294">
        <v>0</v>
      </c>
      <c r="CN294">
        <v>-4210</v>
      </c>
      <c r="CO294">
        <v>0</v>
      </c>
      <c r="CP294">
        <v>-298789</v>
      </c>
      <c r="CQ294">
        <v>-298789</v>
      </c>
      <c r="CR294">
        <v>-298789</v>
      </c>
      <c r="CS294">
        <v>0</v>
      </c>
      <c r="CT294">
        <v>-971350</v>
      </c>
      <c r="CU294">
        <v>-298789</v>
      </c>
      <c r="CV294">
        <v>0</v>
      </c>
      <c r="CW294">
        <v>0</v>
      </c>
      <c r="CX294">
        <v>-971350</v>
      </c>
      <c r="CY294">
        <v>-298789</v>
      </c>
      <c r="CZ294">
        <v>-1270139</v>
      </c>
      <c r="DA294">
        <v>-4515</v>
      </c>
      <c r="DB294">
        <v>0</v>
      </c>
      <c r="DC294">
        <v>-4515</v>
      </c>
      <c r="DD294">
        <v>-32285</v>
      </c>
      <c r="DE294">
        <v>0</v>
      </c>
      <c r="DF294">
        <v>-32285</v>
      </c>
      <c r="DG294">
        <v>-10000</v>
      </c>
      <c r="DH294">
        <v>0</v>
      </c>
      <c r="DI294">
        <v>-10000</v>
      </c>
      <c r="DJ294">
        <v>-1817068</v>
      </c>
      <c r="DK294">
        <v>0</v>
      </c>
      <c r="DL294">
        <v>-1817068</v>
      </c>
      <c r="DM294">
        <v>-1863868</v>
      </c>
      <c r="DN294">
        <v>0</v>
      </c>
      <c r="DO294">
        <v>0</v>
      </c>
      <c r="DP294">
        <v>0</v>
      </c>
      <c r="DQ294">
        <v>-1863868</v>
      </c>
      <c r="DR294">
        <v>0</v>
      </c>
      <c r="DS294">
        <v>-1863868</v>
      </c>
      <c r="DT294">
        <v>111560490</v>
      </c>
      <c r="DU294">
        <v>1094239</v>
      </c>
      <c r="DV294" s="661">
        <v>112654729</v>
      </c>
      <c r="DW294" t="s">
        <v>1945</v>
      </c>
    </row>
    <row r="295" spans="1:127" ht="12.75" x14ac:dyDescent="0.2">
      <c r="A295" s="605">
        <v>288</v>
      </c>
      <c r="B295" s="606" t="s">
        <v>465</v>
      </c>
      <c r="C295" s="607" t="s">
        <v>1185</v>
      </c>
      <c r="D295" s="608" t="s">
        <v>1195</v>
      </c>
      <c r="E295" s="609" t="s">
        <v>464</v>
      </c>
      <c r="G295">
        <v>170471524</v>
      </c>
      <c r="H295">
        <v>0</v>
      </c>
      <c r="I295">
        <v>170471524</v>
      </c>
      <c r="J295">
        <v>49.9</v>
      </c>
      <c r="K295">
        <v>85065290</v>
      </c>
      <c r="L295">
        <v>0</v>
      </c>
      <c r="M295">
        <v>0</v>
      </c>
      <c r="N295">
        <v>0</v>
      </c>
      <c r="O295">
        <v>85065290</v>
      </c>
      <c r="P295">
        <v>0</v>
      </c>
      <c r="Q295">
        <v>85065290</v>
      </c>
      <c r="R295">
        <v>-277493</v>
      </c>
      <c r="S295">
        <v>0</v>
      </c>
      <c r="T295">
        <v>-277493</v>
      </c>
      <c r="U295">
        <v>258765</v>
      </c>
      <c r="V295">
        <v>0</v>
      </c>
      <c r="W295">
        <v>258765</v>
      </c>
      <c r="X295">
        <v>-18728</v>
      </c>
      <c r="Y295">
        <v>0</v>
      </c>
      <c r="Z295">
        <v>0</v>
      </c>
      <c r="AA295">
        <v>0</v>
      </c>
      <c r="AB295">
        <v>-18728</v>
      </c>
      <c r="AC295">
        <v>0</v>
      </c>
      <c r="AD295">
        <v>-18728</v>
      </c>
      <c r="AE295">
        <v>18728</v>
      </c>
      <c r="AF295">
        <v>0</v>
      </c>
      <c r="AG295">
        <v>18728</v>
      </c>
      <c r="AH295">
        <v>-5534972</v>
      </c>
      <c r="AI295">
        <v>0</v>
      </c>
      <c r="AJ295">
        <v>-5534972</v>
      </c>
      <c r="AK295">
        <v>0</v>
      </c>
      <c r="AL295">
        <v>0</v>
      </c>
      <c r="AM295">
        <v>0</v>
      </c>
      <c r="AN295">
        <v>1622688</v>
      </c>
      <c r="AO295">
        <v>0</v>
      </c>
      <c r="AP295">
        <v>1622688</v>
      </c>
      <c r="AQ295">
        <v>-3912284</v>
      </c>
      <c r="AR295">
        <v>0</v>
      </c>
      <c r="AS295">
        <v>-3912284</v>
      </c>
      <c r="AT295">
        <v>-4984606</v>
      </c>
      <c r="AU295">
        <v>0</v>
      </c>
      <c r="AV295">
        <v>-4984606</v>
      </c>
      <c r="AW295">
        <v>-62788</v>
      </c>
      <c r="AX295">
        <v>0</v>
      </c>
      <c r="AY295">
        <v>-62788</v>
      </c>
      <c r="AZ295">
        <v>-8115</v>
      </c>
      <c r="BA295">
        <v>0</v>
      </c>
      <c r="BB295">
        <v>-8115</v>
      </c>
      <c r="BC295">
        <v>0</v>
      </c>
      <c r="BD295">
        <v>0</v>
      </c>
      <c r="BE295">
        <v>0</v>
      </c>
      <c r="BF295">
        <v>-8967793</v>
      </c>
      <c r="BG295">
        <v>0</v>
      </c>
      <c r="BH295">
        <v>0</v>
      </c>
      <c r="BI295">
        <v>0</v>
      </c>
      <c r="BJ295">
        <v>-8967793</v>
      </c>
      <c r="BK295">
        <v>0</v>
      </c>
      <c r="BL295">
        <v>-8967793</v>
      </c>
      <c r="BM295">
        <v>0</v>
      </c>
      <c r="BN295">
        <v>0</v>
      </c>
      <c r="BO295">
        <v>0</v>
      </c>
      <c r="BP295">
        <v>-1513916</v>
      </c>
      <c r="BQ295">
        <v>0</v>
      </c>
      <c r="BR295">
        <v>-1513916</v>
      </c>
      <c r="BS295">
        <v>-1513916</v>
      </c>
      <c r="BT295">
        <v>0</v>
      </c>
      <c r="BU295">
        <v>0</v>
      </c>
      <c r="BV295">
        <v>0</v>
      </c>
      <c r="BW295">
        <v>-1513916</v>
      </c>
      <c r="BX295">
        <v>0</v>
      </c>
      <c r="BY295">
        <v>-1513916</v>
      </c>
      <c r="BZ295">
        <v>-8280</v>
      </c>
      <c r="CA295">
        <v>0</v>
      </c>
      <c r="CB295">
        <v>-8280</v>
      </c>
      <c r="CC295">
        <v>-75166</v>
      </c>
      <c r="CD295">
        <v>0</v>
      </c>
      <c r="CE295">
        <v>-75166</v>
      </c>
      <c r="CF295">
        <v>0</v>
      </c>
      <c r="CG295">
        <v>0</v>
      </c>
      <c r="CH295">
        <v>0</v>
      </c>
      <c r="CI295">
        <v>0</v>
      </c>
      <c r="CJ295">
        <v>0</v>
      </c>
      <c r="CK295">
        <v>0</v>
      </c>
      <c r="CL295">
        <v>0</v>
      </c>
      <c r="CM295">
        <v>0</v>
      </c>
      <c r="CN295">
        <v>0</v>
      </c>
      <c r="CO295">
        <v>0</v>
      </c>
      <c r="CP295">
        <v>0</v>
      </c>
      <c r="CQ295">
        <v>0</v>
      </c>
      <c r="CR295">
        <v>0</v>
      </c>
      <c r="CS295">
        <v>0</v>
      </c>
      <c r="CT295">
        <v>-83446</v>
      </c>
      <c r="CU295">
        <v>0</v>
      </c>
      <c r="CV295">
        <v>0</v>
      </c>
      <c r="CW295">
        <v>0</v>
      </c>
      <c r="CX295">
        <v>-83446</v>
      </c>
      <c r="CY295">
        <v>0</v>
      </c>
      <c r="CZ295">
        <v>-83446</v>
      </c>
      <c r="DA295">
        <v>-12045</v>
      </c>
      <c r="DB295">
        <v>0</v>
      </c>
      <c r="DC295">
        <v>-12045</v>
      </c>
      <c r="DD295">
        <v>-31138</v>
      </c>
      <c r="DE295">
        <v>0</v>
      </c>
      <c r="DF295">
        <v>-31138</v>
      </c>
      <c r="DG295">
        <v>0</v>
      </c>
      <c r="DH295">
        <v>0</v>
      </c>
      <c r="DI295">
        <v>0</v>
      </c>
      <c r="DJ295">
        <v>-2134074</v>
      </c>
      <c r="DK295">
        <v>0</v>
      </c>
      <c r="DL295">
        <v>-2134074</v>
      </c>
      <c r="DM295">
        <v>-2177257</v>
      </c>
      <c r="DN295">
        <v>0</v>
      </c>
      <c r="DO295">
        <v>0</v>
      </c>
      <c r="DP295">
        <v>0</v>
      </c>
      <c r="DQ295">
        <v>-2177257</v>
      </c>
      <c r="DR295">
        <v>0</v>
      </c>
      <c r="DS295">
        <v>-2177257</v>
      </c>
      <c r="DT295">
        <v>72304150</v>
      </c>
      <c r="DU295">
        <v>0</v>
      </c>
      <c r="DV295" s="661">
        <v>72304150</v>
      </c>
      <c r="DW295" t="s">
        <v>1946</v>
      </c>
    </row>
    <row r="296" spans="1:127" ht="12.75" x14ac:dyDescent="0.2">
      <c r="A296" s="605">
        <v>289</v>
      </c>
      <c r="B296" s="606" t="s">
        <v>467</v>
      </c>
      <c r="C296" s="607" t="s">
        <v>1185</v>
      </c>
      <c r="D296" s="608" t="s">
        <v>1189</v>
      </c>
      <c r="E296" s="609" t="s">
        <v>466</v>
      </c>
      <c r="G296">
        <v>148565026</v>
      </c>
      <c r="H296">
        <v>0</v>
      </c>
      <c r="I296">
        <v>148565026</v>
      </c>
      <c r="J296">
        <v>49.9</v>
      </c>
      <c r="K296">
        <v>74133948</v>
      </c>
      <c r="L296">
        <v>0</v>
      </c>
      <c r="M296">
        <v>0</v>
      </c>
      <c r="N296">
        <v>0</v>
      </c>
      <c r="O296">
        <v>74133948</v>
      </c>
      <c r="P296">
        <v>0</v>
      </c>
      <c r="Q296">
        <v>74133948</v>
      </c>
      <c r="R296">
        <v>-320046</v>
      </c>
      <c r="S296">
        <v>0</v>
      </c>
      <c r="T296">
        <v>-320046</v>
      </c>
      <c r="U296">
        <v>1998156</v>
      </c>
      <c r="V296">
        <v>0</v>
      </c>
      <c r="W296">
        <v>1998156</v>
      </c>
      <c r="X296">
        <v>1678110</v>
      </c>
      <c r="Y296">
        <v>0</v>
      </c>
      <c r="Z296">
        <v>0</v>
      </c>
      <c r="AA296">
        <v>0</v>
      </c>
      <c r="AB296">
        <v>1678110</v>
      </c>
      <c r="AC296">
        <v>0</v>
      </c>
      <c r="AD296">
        <v>1678110</v>
      </c>
      <c r="AE296">
        <v>-1678110</v>
      </c>
      <c r="AF296">
        <v>0</v>
      </c>
      <c r="AG296">
        <v>-1678110</v>
      </c>
      <c r="AH296">
        <v>-2860805</v>
      </c>
      <c r="AI296">
        <v>0</v>
      </c>
      <c r="AJ296">
        <v>-2860805</v>
      </c>
      <c r="AK296">
        <v>-14245</v>
      </c>
      <c r="AL296">
        <v>0</v>
      </c>
      <c r="AM296">
        <v>-14245</v>
      </c>
      <c r="AN296">
        <v>1545178</v>
      </c>
      <c r="AO296">
        <v>0</v>
      </c>
      <c r="AP296">
        <v>1545178</v>
      </c>
      <c r="AQ296">
        <v>-1315627</v>
      </c>
      <c r="AR296">
        <v>0</v>
      </c>
      <c r="AS296">
        <v>-1315627</v>
      </c>
      <c r="AT296">
        <v>-3777920</v>
      </c>
      <c r="AU296">
        <v>0</v>
      </c>
      <c r="AV296">
        <v>-3777920</v>
      </c>
      <c r="AW296">
        <v>0</v>
      </c>
      <c r="AX296">
        <v>0</v>
      </c>
      <c r="AY296">
        <v>0</v>
      </c>
      <c r="AZ296">
        <v>0</v>
      </c>
      <c r="BA296">
        <v>0</v>
      </c>
      <c r="BB296">
        <v>0</v>
      </c>
      <c r="BC296">
        <v>0</v>
      </c>
      <c r="BD296">
        <v>0</v>
      </c>
      <c r="BE296">
        <v>0</v>
      </c>
      <c r="BF296">
        <v>-5093547</v>
      </c>
      <c r="BG296">
        <v>0</v>
      </c>
      <c r="BH296">
        <v>0</v>
      </c>
      <c r="BI296">
        <v>0</v>
      </c>
      <c r="BJ296">
        <v>-5093547</v>
      </c>
      <c r="BK296">
        <v>0</v>
      </c>
      <c r="BL296">
        <v>-5093547</v>
      </c>
      <c r="BM296">
        <v>-79996</v>
      </c>
      <c r="BN296">
        <v>0</v>
      </c>
      <c r="BO296">
        <v>-79996</v>
      </c>
      <c r="BP296">
        <v>-1924632</v>
      </c>
      <c r="BQ296">
        <v>0</v>
      </c>
      <c r="BR296">
        <v>-1924632</v>
      </c>
      <c r="BS296">
        <v>-2004628</v>
      </c>
      <c r="BT296">
        <v>0</v>
      </c>
      <c r="BU296">
        <v>0</v>
      </c>
      <c r="BV296">
        <v>0</v>
      </c>
      <c r="BW296">
        <v>-2004628</v>
      </c>
      <c r="BX296">
        <v>0</v>
      </c>
      <c r="BY296">
        <v>-2004628</v>
      </c>
      <c r="BZ296">
        <v>-135132</v>
      </c>
      <c r="CA296">
        <v>0</v>
      </c>
      <c r="CB296">
        <v>-135132</v>
      </c>
      <c r="CC296">
        <v>0</v>
      </c>
      <c r="CD296">
        <v>0</v>
      </c>
      <c r="CE296">
        <v>0</v>
      </c>
      <c r="CF296">
        <v>0</v>
      </c>
      <c r="CG296">
        <v>0</v>
      </c>
      <c r="CH296">
        <v>0</v>
      </c>
      <c r="CI296">
        <v>0</v>
      </c>
      <c r="CJ296">
        <v>0</v>
      </c>
      <c r="CK296">
        <v>0</v>
      </c>
      <c r="CL296">
        <v>0</v>
      </c>
      <c r="CM296">
        <v>0</v>
      </c>
      <c r="CN296">
        <v>0</v>
      </c>
      <c r="CO296">
        <v>0</v>
      </c>
      <c r="CP296">
        <v>0</v>
      </c>
      <c r="CQ296">
        <v>0</v>
      </c>
      <c r="CR296">
        <v>0</v>
      </c>
      <c r="CS296">
        <v>0</v>
      </c>
      <c r="CT296">
        <v>-135132</v>
      </c>
      <c r="CU296">
        <v>0</v>
      </c>
      <c r="CV296">
        <v>0</v>
      </c>
      <c r="CW296">
        <v>0</v>
      </c>
      <c r="CX296">
        <v>-135132</v>
      </c>
      <c r="CY296">
        <v>0</v>
      </c>
      <c r="CZ296">
        <v>-135132</v>
      </c>
      <c r="DA296">
        <v>0</v>
      </c>
      <c r="DB296">
        <v>0</v>
      </c>
      <c r="DC296">
        <v>0</v>
      </c>
      <c r="DD296">
        <v>-16292</v>
      </c>
      <c r="DE296">
        <v>0</v>
      </c>
      <c r="DF296">
        <v>-16292</v>
      </c>
      <c r="DG296">
        <v>-6208</v>
      </c>
      <c r="DH296">
        <v>0</v>
      </c>
      <c r="DI296">
        <v>-6208</v>
      </c>
      <c r="DJ296">
        <v>-980430</v>
      </c>
      <c r="DK296">
        <v>0</v>
      </c>
      <c r="DL296">
        <v>-980430</v>
      </c>
      <c r="DM296">
        <v>-1002930</v>
      </c>
      <c r="DN296">
        <v>0</v>
      </c>
      <c r="DO296">
        <v>0</v>
      </c>
      <c r="DP296">
        <v>0</v>
      </c>
      <c r="DQ296">
        <v>-1002930</v>
      </c>
      <c r="DR296">
        <v>0</v>
      </c>
      <c r="DS296">
        <v>-1002930</v>
      </c>
      <c r="DT296">
        <v>67575821</v>
      </c>
      <c r="DU296">
        <v>0</v>
      </c>
      <c r="DV296" s="661">
        <v>67575821</v>
      </c>
      <c r="DW296" t="s">
        <v>1947</v>
      </c>
    </row>
    <row r="297" spans="1:127" ht="12.75" x14ac:dyDescent="0.2">
      <c r="A297" s="605">
        <v>290</v>
      </c>
      <c r="B297" s="606" t="s">
        <v>469</v>
      </c>
      <c r="C297" s="607" t="s">
        <v>1185</v>
      </c>
      <c r="D297" s="608" t="s">
        <v>1186</v>
      </c>
      <c r="E297" s="609" t="s">
        <v>468</v>
      </c>
      <c r="G297">
        <v>105299342</v>
      </c>
      <c r="H297">
        <v>0</v>
      </c>
      <c r="I297">
        <v>105299342</v>
      </c>
      <c r="J297">
        <v>49.9</v>
      </c>
      <c r="K297">
        <v>52544372</v>
      </c>
      <c r="L297">
        <v>0</v>
      </c>
      <c r="M297">
        <v>-430000</v>
      </c>
      <c r="N297">
        <v>0</v>
      </c>
      <c r="O297">
        <v>52114372</v>
      </c>
      <c r="P297">
        <v>0</v>
      </c>
      <c r="Q297">
        <v>52114372</v>
      </c>
      <c r="R297">
        <v>-524874</v>
      </c>
      <c r="S297">
        <v>0</v>
      </c>
      <c r="T297">
        <v>-524874</v>
      </c>
      <c r="U297">
        <v>24351</v>
      </c>
      <c r="V297">
        <v>0</v>
      </c>
      <c r="W297">
        <v>24351</v>
      </c>
      <c r="X297">
        <v>-500523</v>
      </c>
      <c r="Y297">
        <v>0</v>
      </c>
      <c r="Z297">
        <v>0</v>
      </c>
      <c r="AA297">
        <v>0</v>
      </c>
      <c r="AB297">
        <v>-500523</v>
      </c>
      <c r="AC297">
        <v>0</v>
      </c>
      <c r="AD297">
        <v>-500523</v>
      </c>
      <c r="AE297">
        <v>500523</v>
      </c>
      <c r="AF297">
        <v>0</v>
      </c>
      <c r="AG297">
        <v>500523</v>
      </c>
      <c r="AH297">
        <v>-4261453</v>
      </c>
      <c r="AI297">
        <v>0</v>
      </c>
      <c r="AJ297">
        <v>-4261453</v>
      </c>
      <c r="AK297">
        <v>0</v>
      </c>
      <c r="AL297">
        <v>0</v>
      </c>
      <c r="AM297">
        <v>0</v>
      </c>
      <c r="AN297">
        <v>877133</v>
      </c>
      <c r="AO297">
        <v>0</v>
      </c>
      <c r="AP297">
        <v>877133</v>
      </c>
      <c r="AQ297">
        <v>-3384320</v>
      </c>
      <c r="AR297">
        <v>0</v>
      </c>
      <c r="AS297">
        <v>-3384320</v>
      </c>
      <c r="AT297">
        <v>-6472472</v>
      </c>
      <c r="AU297">
        <v>0</v>
      </c>
      <c r="AV297">
        <v>-6472472</v>
      </c>
      <c r="AW297">
        <v>-41224</v>
      </c>
      <c r="AX297">
        <v>0</v>
      </c>
      <c r="AY297">
        <v>-41224</v>
      </c>
      <c r="AZ297">
        <v>-6042</v>
      </c>
      <c r="BA297">
        <v>0</v>
      </c>
      <c r="BB297">
        <v>-6042</v>
      </c>
      <c r="BC297">
        <v>0</v>
      </c>
      <c r="BD297">
        <v>0</v>
      </c>
      <c r="BE297">
        <v>0</v>
      </c>
      <c r="BF297">
        <v>-9904058</v>
      </c>
      <c r="BG297">
        <v>0</v>
      </c>
      <c r="BH297">
        <v>0</v>
      </c>
      <c r="BI297">
        <v>0</v>
      </c>
      <c r="BJ297">
        <v>-9904058</v>
      </c>
      <c r="BK297">
        <v>0</v>
      </c>
      <c r="BL297">
        <v>-9904058</v>
      </c>
      <c r="BM297">
        <v>-21506</v>
      </c>
      <c r="BN297">
        <v>0</v>
      </c>
      <c r="BO297">
        <v>-21506</v>
      </c>
      <c r="BP297">
        <v>-901200</v>
      </c>
      <c r="BQ297">
        <v>0</v>
      </c>
      <c r="BR297">
        <v>-901200</v>
      </c>
      <c r="BS297">
        <v>-922706</v>
      </c>
      <c r="BT297">
        <v>0</v>
      </c>
      <c r="BU297">
        <v>0</v>
      </c>
      <c r="BV297">
        <v>0</v>
      </c>
      <c r="BW297">
        <v>-922706</v>
      </c>
      <c r="BX297">
        <v>0</v>
      </c>
      <c r="BY297">
        <v>-922706</v>
      </c>
      <c r="BZ297">
        <v>-89863</v>
      </c>
      <c r="CA297">
        <v>0</v>
      </c>
      <c r="CB297">
        <v>-89863</v>
      </c>
      <c r="CC297">
        <v>-523544</v>
      </c>
      <c r="CD297">
        <v>0</v>
      </c>
      <c r="CE297">
        <v>-523544</v>
      </c>
      <c r="CF297">
        <v>0</v>
      </c>
      <c r="CG297">
        <v>0</v>
      </c>
      <c r="CH297">
        <v>0</v>
      </c>
      <c r="CI297">
        <v>0</v>
      </c>
      <c r="CJ297">
        <v>0</v>
      </c>
      <c r="CK297">
        <v>0</v>
      </c>
      <c r="CL297">
        <v>-7525</v>
      </c>
      <c r="CM297">
        <v>0</v>
      </c>
      <c r="CN297">
        <v>-7525</v>
      </c>
      <c r="CO297">
        <v>0</v>
      </c>
      <c r="CP297">
        <v>0</v>
      </c>
      <c r="CQ297">
        <v>0</v>
      </c>
      <c r="CR297">
        <v>0</v>
      </c>
      <c r="CS297">
        <v>0</v>
      </c>
      <c r="CT297">
        <v>-620932</v>
      </c>
      <c r="CU297">
        <v>0</v>
      </c>
      <c r="CV297">
        <v>0</v>
      </c>
      <c r="CW297">
        <v>0</v>
      </c>
      <c r="CX297">
        <v>-620932</v>
      </c>
      <c r="CY297">
        <v>0</v>
      </c>
      <c r="CZ297">
        <v>-620932</v>
      </c>
      <c r="DA297">
        <v>-6042</v>
      </c>
      <c r="DB297">
        <v>0</v>
      </c>
      <c r="DC297">
        <v>-6042</v>
      </c>
      <c r="DD297">
        <v>-42637</v>
      </c>
      <c r="DE297">
        <v>0</v>
      </c>
      <c r="DF297">
        <v>-42637</v>
      </c>
      <c r="DG297">
        <v>-14108</v>
      </c>
      <c r="DH297">
        <v>0</v>
      </c>
      <c r="DI297">
        <v>-14108</v>
      </c>
      <c r="DJ297">
        <v>-1851478</v>
      </c>
      <c r="DK297">
        <v>0</v>
      </c>
      <c r="DL297">
        <v>-1851478</v>
      </c>
      <c r="DM297">
        <v>-1914265</v>
      </c>
      <c r="DN297">
        <v>0</v>
      </c>
      <c r="DO297">
        <v>0</v>
      </c>
      <c r="DP297">
        <v>0</v>
      </c>
      <c r="DQ297">
        <v>-1914265</v>
      </c>
      <c r="DR297">
        <v>0</v>
      </c>
      <c r="DS297">
        <v>-1914265</v>
      </c>
      <c r="DT297">
        <v>38251888</v>
      </c>
      <c r="DU297">
        <v>0</v>
      </c>
      <c r="DV297" s="661">
        <v>38251888</v>
      </c>
      <c r="DW297" t="s">
        <v>1948</v>
      </c>
    </row>
    <row r="298" spans="1:127" ht="12.75" x14ac:dyDescent="0.2">
      <c r="A298" s="605">
        <v>291</v>
      </c>
      <c r="B298" s="606" t="s">
        <v>471</v>
      </c>
      <c r="C298" s="607" t="s">
        <v>1185</v>
      </c>
      <c r="D298" s="608" t="s">
        <v>1186</v>
      </c>
      <c r="E298" s="609" t="s">
        <v>470</v>
      </c>
      <c r="G298">
        <v>94947227</v>
      </c>
      <c r="H298">
        <v>0</v>
      </c>
      <c r="I298">
        <v>94947227</v>
      </c>
      <c r="J298">
        <v>49.9</v>
      </c>
      <c r="K298">
        <v>47378666</v>
      </c>
      <c r="L298">
        <v>0</v>
      </c>
      <c r="M298">
        <v>0</v>
      </c>
      <c r="N298">
        <v>0</v>
      </c>
      <c r="O298">
        <v>47378666</v>
      </c>
      <c r="P298">
        <v>0</v>
      </c>
      <c r="Q298">
        <v>47378666</v>
      </c>
      <c r="R298">
        <v>-348042</v>
      </c>
      <c r="S298">
        <v>0</v>
      </c>
      <c r="T298">
        <v>-348042</v>
      </c>
      <c r="U298">
        <v>71292</v>
      </c>
      <c r="V298">
        <v>0</v>
      </c>
      <c r="W298">
        <v>71292</v>
      </c>
      <c r="X298">
        <v>-276750</v>
      </c>
      <c r="Y298">
        <v>0</v>
      </c>
      <c r="Z298">
        <v>0</v>
      </c>
      <c r="AA298">
        <v>0</v>
      </c>
      <c r="AB298">
        <v>-276750</v>
      </c>
      <c r="AC298">
        <v>0</v>
      </c>
      <c r="AD298">
        <v>-276750</v>
      </c>
      <c r="AE298">
        <v>276750</v>
      </c>
      <c r="AF298">
        <v>0</v>
      </c>
      <c r="AG298">
        <v>276750</v>
      </c>
      <c r="AH298">
        <v>-8924711</v>
      </c>
      <c r="AI298">
        <v>0</v>
      </c>
      <c r="AJ298">
        <v>-8924711</v>
      </c>
      <c r="AK298">
        <v>-22145</v>
      </c>
      <c r="AL298">
        <v>0</v>
      </c>
      <c r="AM298">
        <v>-22145</v>
      </c>
      <c r="AN298">
        <v>604127</v>
      </c>
      <c r="AO298">
        <v>0</v>
      </c>
      <c r="AP298">
        <v>604127</v>
      </c>
      <c r="AQ298">
        <v>-8320584</v>
      </c>
      <c r="AR298">
        <v>0</v>
      </c>
      <c r="AS298">
        <v>-8320584</v>
      </c>
      <c r="AT298">
        <v>-3399572</v>
      </c>
      <c r="AU298">
        <v>0</v>
      </c>
      <c r="AV298">
        <v>-3399572</v>
      </c>
      <c r="AW298">
        <v>-100042</v>
      </c>
      <c r="AX298">
        <v>0</v>
      </c>
      <c r="AY298">
        <v>-100042</v>
      </c>
      <c r="AZ298">
        <v>-35663</v>
      </c>
      <c r="BA298">
        <v>0</v>
      </c>
      <c r="BB298">
        <v>-35663</v>
      </c>
      <c r="BC298">
        <v>0</v>
      </c>
      <c r="BD298">
        <v>0</v>
      </c>
      <c r="BE298">
        <v>0</v>
      </c>
      <c r="BF298">
        <v>-11855861</v>
      </c>
      <c r="BG298">
        <v>0</v>
      </c>
      <c r="BH298">
        <v>0</v>
      </c>
      <c r="BI298">
        <v>0</v>
      </c>
      <c r="BJ298">
        <v>-11855861</v>
      </c>
      <c r="BK298">
        <v>0</v>
      </c>
      <c r="BL298">
        <v>-11855861</v>
      </c>
      <c r="BM298">
        <v>-10000</v>
      </c>
      <c r="BN298">
        <v>0</v>
      </c>
      <c r="BO298">
        <v>-10000</v>
      </c>
      <c r="BP298">
        <v>-416015</v>
      </c>
      <c r="BQ298">
        <v>0</v>
      </c>
      <c r="BR298">
        <v>-416015</v>
      </c>
      <c r="BS298">
        <v>-426015</v>
      </c>
      <c r="BT298">
        <v>0</v>
      </c>
      <c r="BU298">
        <v>0</v>
      </c>
      <c r="BV298">
        <v>0</v>
      </c>
      <c r="BW298">
        <v>-426015</v>
      </c>
      <c r="BX298">
        <v>0</v>
      </c>
      <c r="BY298">
        <v>-426015</v>
      </c>
      <c r="BZ298">
        <v>-97207</v>
      </c>
      <c r="CA298">
        <v>0</v>
      </c>
      <c r="CB298">
        <v>-97207</v>
      </c>
      <c r="CC298">
        <v>-5000</v>
      </c>
      <c r="CD298">
        <v>0</v>
      </c>
      <c r="CE298">
        <v>-5000</v>
      </c>
      <c r="CF298">
        <v>0</v>
      </c>
      <c r="CG298">
        <v>0</v>
      </c>
      <c r="CH298">
        <v>0</v>
      </c>
      <c r="CI298">
        <v>0</v>
      </c>
      <c r="CJ298">
        <v>0</v>
      </c>
      <c r="CK298">
        <v>0</v>
      </c>
      <c r="CL298">
        <v>-5000</v>
      </c>
      <c r="CM298">
        <v>0</v>
      </c>
      <c r="CN298">
        <v>-5000</v>
      </c>
      <c r="CO298">
        <v>0</v>
      </c>
      <c r="CP298">
        <v>0</v>
      </c>
      <c r="CQ298">
        <v>0</v>
      </c>
      <c r="CR298">
        <v>0</v>
      </c>
      <c r="CS298">
        <v>0</v>
      </c>
      <c r="CT298">
        <v>-107207</v>
      </c>
      <c r="CU298">
        <v>0</v>
      </c>
      <c r="CV298">
        <v>0</v>
      </c>
      <c r="CW298">
        <v>0</v>
      </c>
      <c r="CX298">
        <v>-107207</v>
      </c>
      <c r="CY298">
        <v>0</v>
      </c>
      <c r="CZ298">
        <v>-107207</v>
      </c>
      <c r="DA298">
        <v>-35663</v>
      </c>
      <c r="DB298">
        <v>0</v>
      </c>
      <c r="DC298">
        <v>-35663</v>
      </c>
      <c r="DD298">
        <v>-63589</v>
      </c>
      <c r="DE298">
        <v>0</v>
      </c>
      <c r="DF298">
        <v>-63589</v>
      </c>
      <c r="DG298">
        <v>-8958</v>
      </c>
      <c r="DH298">
        <v>0</v>
      </c>
      <c r="DI298">
        <v>-8958</v>
      </c>
      <c r="DJ298">
        <v>-1084309</v>
      </c>
      <c r="DK298">
        <v>0</v>
      </c>
      <c r="DL298">
        <v>-1084309</v>
      </c>
      <c r="DM298">
        <v>-1192519</v>
      </c>
      <c r="DN298">
        <v>0</v>
      </c>
      <c r="DO298">
        <v>0</v>
      </c>
      <c r="DP298">
        <v>0</v>
      </c>
      <c r="DQ298">
        <v>-1192519</v>
      </c>
      <c r="DR298">
        <v>0</v>
      </c>
      <c r="DS298">
        <v>-1192519</v>
      </c>
      <c r="DT298">
        <v>33520314</v>
      </c>
      <c r="DU298">
        <v>0</v>
      </c>
      <c r="DV298" s="661">
        <v>33520314</v>
      </c>
      <c r="DW298" t="s">
        <v>1949</v>
      </c>
    </row>
    <row r="299" spans="1:127" ht="12.75" x14ac:dyDescent="0.2">
      <c r="A299" s="605">
        <v>292</v>
      </c>
      <c r="B299" s="606" t="s">
        <v>473</v>
      </c>
      <c r="C299" s="607" t="s">
        <v>1185</v>
      </c>
      <c r="D299" s="608" t="s">
        <v>1188</v>
      </c>
      <c r="E299" s="609" t="s">
        <v>472</v>
      </c>
      <c r="G299">
        <v>72706729</v>
      </c>
      <c r="H299">
        <v>0</v>
      </c>
      <c r="I299">
        <v>72706729</v>
      </c>
      <c r="J299">
        <v>49.9</v>
      </c>
      <c r="K299">
        <v>36280658</v>
      </c>
      <c r="L299">
        <v>0</v>
      </c>
      <c r="M299">
        <v>0</v>
      </c>
      <c r="N299">
        <v>0</v>
      </c>
      <c r="O299">
        <v>36280658</v>
      </c>
      <c r="P299">
        <v>0</v>
      </c>
      <c r="Q299">
        <v>36280658</v>
      </c>
      <c r="R299">
        <v>-146669</v>
      </c>
      <c r="S299">
        <v>0</v>
      </c>
      <c r="T299">
        <v>-146669</v>
      </c>
      <c r="U299">
        <v>235225</v>
      </c>
      <c r="V299">
        <v>0</v>
      </c>
      <c r="W299">
        <v>235225</v>
      </c>
      <c r="X299">
        <v>88556</v>
      </c>
      <c r="Y299">
        <v>0</v>
      </c>
      <c r="Z299">
        <v>0</v>
      </c>
      <c r="AA299">
        <v>0</v>
      </c>
      <c r="AB299">
        <v>88556</v>
      </c>
      <c r="AC299">
        <v>0</v>
      </c>
      <c r="AD299">
        <v>88556</v>
      </c>
      <c r="AE299">
        <v>-88556</v>
      </c>
      <c r="AF299">
        <v>0</v>
      </c>
      <c r="AG299">
        <v>-88556</v>
      </c>
      <c r="AH299">
        <v>-3587927</v>
      </c>
      <c r="AI299">
        <v>0</v>
      </c>
      <c r="AJ299">
        <v>-3587927</v>
      </c>
      <c r="AK299">
        <v>0</v>
      </c>
      <c r="AL299">
        <v>0</v>
      </c>
      <c r="AM299">
        <v>0</v>
      </c>
      <c r="AN299">
        <v>669045</v>
      </c>
      <c r="AO299">
        <v>0</v>
      </c>
      <c r="AP299">
        <v>669045</v>
      </c>
      <c r="AQ299">
        <v>-2918882</v>
      </c>
      <c r="AR299">
        <v>0</v>
      </c>
      <c r="AS299">
        <v>-2918882</v>
      </c>
      <c r="AT299">
        <v>-2061762</v>
      </c>
      <c r="AU299">
        <v>0</v>
      </c>
      <c r="AV299">
        <v>-2061762</v>
      </c>
      <c r="AW299">
        <v>-1557</v>
      </c>
      <c r="AX299">
        <v>0</v>
      </c>
      <c r="AY299">
        <v>-1557</v>
      </c>
      <c r="AZ299">
        <v>-2625</v>
      </c>
      <c r="BA299">
        <v>0</v>
      </c>
      <c r="BB299">
        <v>-2625</v>
      </c>
      <c r="BC299">
        <v>0</v>
      </c>
      <c r="BD299">
        <v>0</v>
      </c>
      <c r="BE299">
        <v>0</v>
      </c>
      <c r="BF299">
        <v>-4984826</v>
      </c>
      <c r="BG299">
        <v>0</v>
      </c>
      <c r="BH299">
        <v>0</v>
      </c>
      <c r="BI299">
        <v>0</v>
      </c>
      <c r="BJ299">
        <v>-4984826</v>
      </c>
      <c r="BK299">
        <v>0</v>
      </c>
      <c r="BL299">
        <v>-4984826</v>
      </c>
      <c r="BM299">
        <v>-65882</v>
      </c>
      <c r="BN299">
        <v>0</v>
      </c>
      <c r="BO299">
        <v>-65882</v>
      </c>
      <c r="BP299">
        <v>-1254729</v>
      </c>
      <c r="BQ299">
        <v>0</v>
      </c>
      <c r="BR299">
        <v>-1254729</v>
      </c>
      <c r="BS299">
        <v>-1320611</v>
      </c>
      <c r="BT299">
        <v>0</v>
      </c>
      <c r="BU299">
        <v>0</v>
      </c>
      <c r="BV299">
        <v>0</v>
      </c>
      <c r="BW299">
        <v>-1320611</v>
      </c>
      <c r="BX299">
        <v>0</v>
      </c>
      <c r="BY299">
        <v>-1320611</v>
      </c>
      <c r="BZ299">
        <v>-88799</v>
      </c>
      <c r="CA299">
        <v>0</v>
      </c>
      <c r="CB299">
        <v>-88799</v>
      </c>
      <c r="CC299">
        <v>-11889</v>
      </c>
      <c r="CD299">
        <v>0</v>
      </c>
      <c r="CE299">
        <v>-11889</v>
      </c>
      <c r="CF299">
        <v>-389</v>
      </c>
      <c r="CG299">
        <v>0</v>
      </c>
      <c r="CH299">
        <v>-389</v>
      </c>
      <c r="CI299">
        <v>-2625</v>
      </c>
      <c r="CJ299">
        <v>0</v>
      </c>
      <c r="CK299">
        <v>-2625</v>
      </c>
      <c r="CL299">
        <v>0</v>
      </c>
      <c r="CM299">
        <v>0</v>
      </c>
      <c r="CN299">
        <v>0</v>
      </c>
      <c r="CO299">
        <v>0</v>
      </c>
      <c r="CP299">
        <v>0</v>
      </c>
      <c r="CQ299">
        <v>0</v>
      </c>
      <c r="CR299">
        <v>0</v>
      </c>
      <c r="CS299">
        <v>0</v>
      </c>
      <c r="CT299">
        <v>-103702</v>
      </c>
      <c r="CU299">
        <v>0</v>
      </c>
      <c r="CV299">
        <v>0</v>
      </c>
      <c r="CW299">
        <v>0</v>
      </c>
      <c r="CX299">
        <v>-103702</v>
      </c>
      <c r="CY299">
        <v>0</v>
      </c>
      <c r="CZ299">
        <v>-103702</v>
      </c>
      <c r="DA299">
        <v>0</v>
      </c>
      <c r="DB299">
        <v>0</v>
      </c>
      <c r="DC299">
        <v>0</v>
      </c>
      <c r="DD299">
        <v>0</v>
      </c>
      <c r="DE299">
        <v>0</v>
      </c>
      <c r="DF299">
        <v>0</v>
      </c>
      <c r="DG299">
        <v>-1532</v>
      </c>
      <c r="DH299">
        <v>0</v>
      </c>
      <c r="DI299">
        <v>-1532</v>
      </c>
      <c r="DJ299">
        <v>-354668</v>
      </c>
      <c r="DK299">
        <v>0</v>
      </c>
      <c r="DL299">
        <v>-354668</v>
      </c>
      <c r="DM299">
        <v>-356200</v>
      </c>
      <c r="DN299">
        <v>0</v>
      </c>
      <c r="DO299">
        <v>0</v>
      </c>
      <c r="DP299">
        <v>0</v>
      </c>
      <c r="DQ299">
        <v>-356200</v>
      </c>
      <c r="DR299">
        <v>0</v>
      </c>
      <c r="DS299">
        <v>-356200</v>
      </c>
      <c r="DT299">
        <v>29603875</v>
      </c>
      <c r="DU299">
        <v>0</v>
      </c>
      <c r="DV299" s="661">
        <v>29603875</v>
      </c>
      <c r="DW299" t="s">
        <v>1950</v>
      </c>
    </row>
    <row r="300" spans="1:127" ht="12.75" x14ac:dyDescent="0.2">
      <c r="A300" s="605">
        <v>293</v>
      </c>
      <c r="B300" s="606" t="s">
        <v>475</v>
      </c>
      <c r="C300" s="607" t="s">
        <v>1185</v>
      </c>
      <c r="D300" s="608" t="s">
        <v>1189</v>
      </c>
      <c r="E300" s="609" t="s">
        <v>474</v>
      </c>
      <c r="G300">
        <v>146240124</v>
      </c>
      <c r="H300">
        <v>0</v>
      </c>
      <c r="I300">
        <v>146240124</v>
      </c>
      <c r="J300">
        <v>49.9</v>
      </c>
      <c r="K300">
        <v>72973822</v>
      </c>
      <c r="L300">
        <v>0</v>
      </c>
      <c r="M300">
        <v>-1423429</v>
      </c>
      <c r="N300">
        <v>0</v>
      </c>
      <c r="O300">
        <v>71550393</v>
      </c>
      <c r="P300">
        <v>0</v>
      </c>
      <c r="Q300">
        <v>71550393</v>
      </c>
      <c r="R300">
        <v>-322175</v>
      </c>
      <c r="S300">
        <v>0</v>
      </c>
      <c r="T300">
        <v>-322175</v>
      </c>
      <c r="U300">
        <v>447735</v>
      </c>
      <c r="V300">
        <v>0</v>
      </c>
      <c r="W300">
        <v>447735</v>
      </c>
      <c r="X300">
        <v>125560</v>
      </c>
      <c r="Y300">
        <v>0</v>
      </c>
      <c r="Z300">
        <v>0</v>
      </c>
      <c r="AA300">
        <v>0</v>
      </c>
      <c r="AB300">
        <v>125560</v>
      </c>
      <c r="AC300">
        <v>0</v>
      </c>
      <c r="AD300">
        <v>125560</v>
      </c>
      <c r="AE300">
        <v>-125560</v>
      </c>
      <c r="AF300">
        <v>0</v>
      </c>
      <c r="AG300">
        <v>-125560</v>
      </c>
      <c r="AH300">
        <v>-2472681</v>
      </c>
      <c r="AI300">
        <v>0</v>
      </c>
      <c r="AJ300">
        <v>-2472681</v>
      </c>
      <c r="AK300">
        <v>0</v>
      </c>
      <c r="AL300">
        <v>0</v>
      </c>
      <c r="AM300">
        <v>0</v>
      </c>
      <c r="AN300">
        <v>1546493</v>
      </c>
      <c r="AO300">
        <v>0</v>
      </c>
      <c r="AP300">
        <v>1546493</v>
      </c>
      <c r="AQ300">
        <v>-926188</v>
      </c>
      <c r="AR300">
        <v>0</v>
      </c>
      <c r="AS300">
        <v>-926188</v>
      </c>
      <c r="AT300">
        <v>-7158523</v>
      </c>
      <c r="AU300">
        <v>0</v>
      </c>
      <c r="AV300">
        <v>-7158523</v>
      </c>
      <c r="AW300">
        <v>-62423</v>
      </c>
      <c r="AX300">
        <v>0</v>
      </c>
      <c r="AY300">
        <v>-62423</v>
      </c>
      <c r="AZ300">
        <v>0</v>
      </c>
      <c r="BA300">
        <v>0</v>
      </c>
      <c r="BB300">
        <v>0</v>
      </c>
      <c r="BC300">
        <v>0</v>
      </c>
      <c r="BD300">
        <v>0</v>
      </c>
      <c r="BE300">
        <v>0</v>
      </c>
      <c r="BF300">
        <v>-8147134</v>
      </c>
      <c r="BG300">
        <v>0</v>
      </c>
      <c r="BH300">
        <v>-81471</v>
      </c>
      <c r="BI300">
        <v>0</v>
      </c>
      <c r="BJ300">
        <v>-8228605</v>
      </c>
      <c r="BK300">
        <v>0</v>
      </c>
      <c r="BL300">
        <v>-8228605</v>
      </c>
      <c r="BM300">
        <v>-115031</v>
      </c>
      <c r="BN300">
        <v>0</v>
      </c>
      <c r="BO300">
        <v>-115031</v>
      </c>
      <c r="BP300">
        <v>-701361</v>
      </c>
      <c r="BQ300">
        <v>0</v>
      </c>
      <c r="BR300">
        <v>-701361</v>
      </c>
      <c r="BS300">
        <v>-816392</v>
      </c>
      <c r="BT300">
        <v>0</v>
      </c>
      <c r="BU300">
        <v>-81639</v>
      </c>
      <c r="BV300">
        <v>0</v>
      </c>
      <c r="BW300">
        <v>-898031</v>
      </c>
      <c r="BX300">
        <v>0</v>
      </c>
      <c r="BY300">
        <v>-898031</v>
      </c>
      <c r="BZ300">
        <v>-224388</v>
      </c>
      <c r="CA300">
        <v>0</v>
      </c>
      <c r="CB300">
        <v>-224388</v>
      </c>
      <c r="CC300">
        <v>-40486</v>
      </c>
      <c r="CD300">
        <v>0</v>
      </c>
      <c r="CE300">
        <v>-40486</v>
      </c>
      <c r="CF300">
        <v>-8748</v>
      </c>
      <c r="CG300">
        <v>0</v>
      </c>
      <c r="CH300">
        <v>-8748</v>
      </c>
      <c r="CI300">
        <v>0</v>
      </c>
      <c r="CJ300">
        <v>0</v>
      </c>
      <c r="CK300">
        <v>0</v>
      </c>
      <c r="CL300">
        <v>0</v>
      </c>
      <c r="CM300">
        <v>0</v>
      </c>
      <c r="CN300">
        <v>0</v>
      </c>
      <c r="CO300">
        <v>0</v>
      </c>
      <c r="CP300">
        <v>0</v>
      </c>
      <c r="CQ300">
        <v>0</v>
      </c>
      <c r="CR300">
        <v>0</v>
      </c>
      <c r="CS300">
        <v>0</v>
      </c>
      <c r="CT300">
        <v>-273622</v>
      </c>
      <c r="CU300">
        <v>0</v>
      </c>
      <c r="CV300">
        <v>-8209</v>
      </c>
      <c r="CW300">
        <v>0</v>
      </c>
      <c r="CX300">
        <v>-281831</v>
      </c>
      <c r="CY300">
        <v>0</v>
      </c>
      <c r="CZ300">
        <v>-281831</v>
      </c>
      <c r="DA300">
        <v>0</v>
      </c>
      <c r="DB300">
        <v>0</v>
      </c>
      <c r="DC300">
        <v>0</v>
      </c>
      <c r="DD300">
        <v>-45594</v>
      </c>
      <c r="DE300">
        <v>0</v>
      </c>
      <c r="DF300">
        <v>-45594</v>
      </c>
      <c r="DG300">
        <v>-8192</v>
      </c>
      <c r="DH300">
        <v>0</v>
      </c>
      <c r="DI300">
        <v>-8192</v>
      </c>
      <c r="DJ300">
        <v>-1353661</v>
      </c>
      <c r="DK300">
        <v>0</v>
      </c>
      <c r="DL300">
        <v>-1353661</v>
      </c>
      <c r="DM300">
        <v>-1407447</v>
      </c>
      <c r="DN300">
        <v>0</v>
      </c>
      <c r="DO300">
        <v>-39000</v>
      </c>
      <c r="DP300">
        <v>0</v>
      </c>
      <c r="DQ300">
        <v>-1446447</v>
      </c>
      <c r="DR300">
        <v>0</v>
      </c>
      <c r="DS300">
        <v>-1446447</v>
      </c>
      <c r="DT300">
        <v>60821039</v>
      </c>
      <c r="DU300">
        <v>0</v>
      </c>
      <c r="DV300" s="661">
        <v>60821039</v>
      </c>
      <c r="DW300" t="s">
        <v>1951</v>
      </c>
    </row>
    <row r="301" spans="1:127" ht="12.75" x14ac:dyDescent="0.2">
      <c r="A301" s="605">
        <v>294</v>
      </c>
      <c r="B301" s="606" t="s">
        <v>477</v>
      </c>
      <c r="C301" s="607" t="s">
        <v>524</v>
      </c>
      <c r="D301" s="608" t="s">
        <v>1186</v>
      </c>
      <c r="E301" s="609" t="s">
        <v>533</v>
      </c>
      <c r="G301">
        <v>206013981</v>
      </c>
      <c r="H301">
        <v>0</v>
      </c>
      <c r="I301">
        <v>206013981</v>
      </c>
      <c r="J301">
        <v>49.9</v>
      </c>
      <c r="K301">
        <v>102800977</v>
      </c>
      <c r="L301">
        <v>0</v>
      </c>
      <c r="M301">
        <v>-890000</v>
      </c>
      <c r="N301">
        <v>0</v>
      </c>
      <c r="O301">
        <v>101910977</v>
      </c>
      <c r="P301">
        <v>0</v>
      </c>
      <c r="Q301">
        <v>101910977</v>
      </c>
      <c r="R301">
        <v>-657938</v>
      </c>
      <c r="S301">
        <v>0</v>
      </c>
      <c r="T301">
        <v>-657938</v>
      </c>
      <c r="U301">
        <v>1459746</v>
      </c>
      <c r="V301">
        <v>0</v>
      </c>
      <c r="W301">
        <v>1459746</v>
      </c>
      <c r="X301">
        <v>801808</v>
      </c>
      <c r="Y301">
        <v>0</v>
      </c>
      <c r="Z301">
        <v>0</v>
      </c>
      <c r="AA301">
        <v>0</v>
      </c>
      <c r="AB301">
        <v>801808</v>
      </c>
      <c r="AC301">
        <v>0</v>
      </c>
      <c r="AD301">
        <v>801808</v>
      </c>
      <c r="AE301">
        <v>-801808</v>
      </c>
      <c r="AF301">
        <v>0</v>
      </c>
      <c r="AG301">
        <v>-801808</v>
      </c>
      <c r="AH301">
        <v>-5326173</v>
      </c>
      <c r="AI301">
        <v>0</v>
      </c>
      <c r="AJ301">
        <v>-5326173</v>
      </c>
      <c r="AK301">
        <v>-6770</v>
      </c>
      <c r="AL301">
        <v>0</v>
      </c>
      <c r="AM301">
        <v>-6770</v>
      </c>
      <c r="AN301">
        <v>1960828</v>
      </c>
      <c r="AO301">
        <v>0</v>
      </c>
      <c r="AP301">
        <v>1960828</v>
      </c>
      <c r="AQ301">
        <v>-3365345</v>
      </c>
      <c r="AR301">
        <v>0</v>
      </c>
      <c r="AS301">
        <v>-3365345</v>
      </c>
      <c r="AT301">
        <v>-5112894</v>
      </c>
      <c r="AU301">
        <v>0</v>
      </c>
      <c r="AV301">
        <v>-5112894</v>
      </c>
      <c r="AW301">
        <v>-78568</v>
      </c>
      <c r="AX301">
        <v>0</v>
      </c>
      <c r="AY301">
        <v>-78568</v>
      </c>
      <c r="AZ301">
        <v>-6629</v>
      </c>
      <c r="BA301">
        <v>0</v>
      </c>
      <c r="BB301">
        <v>-6629</v>
      </c>
      <c r="BC301">
        <v>0</v>
      </c>
      <c r="BD301">
        <v>0</v>
      </c>
      <c r="BE301">
        <v>0</v>
      </c>
      <c r="BF301">
        <v>-8563436</v>
      </c>
      <c r="BG301">
        <v>0</v>
      </c>
      <c r="BH301">
        <v>0</v>
      </c>
      <c r="BI301">
        <v>0</v>
      </c>
      <c r="BJ301">
        <v>-8563436</v>
      </c>
      <c r="BK301">
        <v>0</v>
      </c>
      <c r="BL301">
        <v>-8563436</v>
      </c>
      <c r="BM301">
        <v>0</v>
      </c>
      <c r="BN301">
        <v>0</v>
      </c>
      <c r="BO301">
        <v>0</v>
      </c>
      <c r="BP301">
        <v>-2727559</v>
      </c>
      <c r="BQ301">
        <v>0</v>
      </c>
      <c r="BR301">
        <v>-2727559</v>
      </c>
      <c r="BS301">
        <v>-2727559</v>
      </c>
      <c r="BT301">
        <v>0</v>
      </c>
      <c r="BU301">
        <v>0</v>
      </c>
      <c r="BV301">
        <v>0</v>
      </c>
      <c r="BW301">
        <v>-2727559</v>
      </c>
      <c r="BX301">
        <v>0</v>
      </c>
      <c r="BY301">
        <v>-2727559</v>
      </c>
      <c r="BZ301">
        <v>-68174</v>
      </c>
      <c r="CA301">
        <v>0</v>
      </c>
      <c r="CB301">
        <v>-68174</v>
      </c>
      <c r="CC301">
        <v>0</v>
      </c>
      <c r="CD301">
        <v>0</v>
      </c>
      <c r="CE301">
        <v>0</v>
      </c>
      <c r="CF301">
        <v>-8589</v>
      </c>
      <c r="CG301">
        <v>0</v>
      </c>
      <c r="CH301">
        <v>-8589</v>
      </c>
      <c r="CI301">
        <v>-5985</v>
      </c>
      <c r="CJ301">
        <v>0</v>
      </c>
      <c r="CK301">
        <v>-5985</v>
      </c>
      <c r="CL301">
        <v>-5933</v>
      </c>
      <c r="CM301">
        <v>0</v>
      </c>
      <c r="CN301">
        <v>-5933</v>
      </c>
      <c r="CO301">
        <v>0</v>
      </c>
      <c r="CP301">
        <v>0</v>
      </c>
      <c r="CQ301">
        <v>0</v>
      </c>
      <c r="CR301">
        <v>0</v>
      </c>
      <c r="CS301">
        <v>0</v>
      </c>
      <c r="CT301">
        <v>-88681</v>
      </c>
      <c r="CU301">
        <v>0</v>
      </c>
      <c r="CV301">
        <v>0</v>
      </c>
      <c r="CW301">
        <v>0</v>
      </c>
      <c r="CX301">
        <v>-88681</v>
      </c>
      <c r="CY301">
        <v>0</v>
      </c>
      <c r="CZ301">
        <v>-88681</v>
      </c>
      <c r="DA301">
        <v>-1099</v>
      </c>
      <c r="DB301">
        <v>0</v>
      </c>
      <c r="DC301">
        <v>-1099</v>
      </c>
      <c r="DD301">
        <v>-52158</v>
      </c>
      <c r="DE301">
        <v>0</v>
      </c>
      <c r="DF301">
        <v>-52158</v>
      </c>
      <c r="DG301">
        <v>-15741</v>
      </c>
      <c r="DH301">
        <v>0</v>
      </c>
      <c r="DI301">
        <v>-15741</v>
      </c>
      <c r="DJ301">
        <v>-967860</v>
      </c>
      <c r="DK301">
        <v>0</v>
      </c>
      <c r="DL301">
        <v>-967860</v>
      </c>
      <c r="DM301">
        <v>-1036858</v>
      </c>
      <c r="DN301">
        <v>0</v>
      </c>
      <c r="DO301">
        <v>0</v>
      </c>
      <c r="DP301">
        <v>0</v>
      </c>
      <c r="DQ301">
        <v>-1036858</v>
      </c>
      <c r="DR301">
        <v>0</v>
      </c>
      <c r="DS301">
        <v>-1036858</v>
      </c>
      <c r="DT301">
        <v>90296251</v>
      </c>
      <c r="DU301">
        <v>0</v>
      </c>
      <c r="DV301" s="661">
        <v>90296251</v>
      </c>
      <c r="DW301" t="s">
        <v>1952</v>
      </c>
    </row>
    <row r="302" spans="1:127" ht="12.75" x14ac:dyDescent="0.2">
      <c r="A302" s="605">
        <v>295</v>
      </c>
      <c r="B302" s="606" t="s">
        <v>479</v>
      </c>
      <c r="C302" s="607" t="s">
        <v>1185</v>
      </c>
      <c r="D302" s="608" t="s">
        <v>1194</v>
      </c>
      <c r="E302" s="609" t="s">
        <v>478</v>
      </c>
      <c r="G302">
        <v>32313249</v>
      </c>
      <c r="H302">
        <v>0</v>
      </c>
      <c r="I302">
        <v>32313249</v>
      </c>
      <c r="J302">
        <v>49.9</v>
      </c>
      <c r="K302">
        <v>16124311</v>
      </c>
      <c r="L302">
        <v>0</v>
      </c>
      <c r="M302">
        <v>0</v>
      </c>
      <c r="N302">
        <v>0</v>
      </c>
      <c r="O302">
        <v>16124311</v>
      </c>
      <c r="P302">
        <v>0</v>
      </c>
      <c r="Q302">
        <v>16124311</v>
      </c>
      <c r="R302">
        <v>-164649</v>
      </c>
      <c r="S302">
        <v>0</v>
      </c>
      <c r="T302">
        <v>-164649</v>
      </c>
      <c r="U302">
        <v>2825</v>
      </c>
      <c r="V302">
        <v>0</v>
      </c>
      <c r="W302">
        <v>2825</v>
      </c>
      <c r="X302">
        <v>-161824</v>
      </c>
      <c r="Y302">
        <v>0</v>
      </c>
      <c r="Z302">
        <v>0</v>
      </c>
      <c r="AA302">
        <v>0</v>
      </c>
      <c r="AB302">
        <v>-161824</v>
      </c>
      <c r="AC302">
        <v>0</v>
      </c>
      <c r="AD302">
        <v>-161824</v>
      </c>
      <c r="AE302">
        <v>161824</v>
      </c>
      <c r="AF302">
        <v>0</v>
      </c>
      <c r="AG302">
        <v>161824</v>
      </c>
      <c r="AH302">
        <v>-2938593</v>
      </c>
      <c r="AI302">
        <v>0</v>
      </c>
      <c r="AJ302">
        <v>-2938593</v>
      </c>
      <c r="AK302">
        <v>0</v>
      </c>
      <c r="AL302">
        <v>0</v>
      </c>
      <c r="AM302">
        <v>0</v>
      </c>
      <c r="AN302">
        <v>209606</v>
      </c>
      <c r="AO302">
        <v>0</v>
      </c>
      <c r="AP302">
        <v>209606</v>
      </c>
      <c r="AQ302">
        <v>-2728987</v>
      </c>
      <c r="AR302">
        <v>0</v>
      </c>
      <c r="AS302">
        <v>-2728987</v>
      </c>
      <c r="AT302">
        <v>-1418169</v>
      </c>
      <c r="AU302">
        <v>0</v>
      </c>
      <c r="AV302">
        <v>-1418169</v>
      </c>
      <c r="AW302">
        <v>-78078</v>
      </c>
      <c r="AX302">
        <v>0</v>
      </c>
      <c r="AY302">
        <v>-78078</v>
      </c>
      <c r="AZ302">
        <v>-42572</v>
      </c>
      <c r="BA302">
        <v>0</v>
      </c>
      <c r="BB302">
        <v>-42572</v>
      </c>
      <c r="BC302">
        <v>0</v>
      </c>
      <c r="BD302">
        <v>0</v>
      </c>
      <c r="BE302">
        <v>0</v>
      </c>
      <c r="BF302">
        <v>-4267806</v>
      </c>
      <c r="BG302">
        <v>0</v>
      </c>
      <c r="BH302">
        <v>0</v>
      </c>
      <c r="BI302">
        <v>0</v>
      </c>
      <c r="BJ302">
        <v>-4267806</v>
      </c>
      <c r="BK302">
        <v>0</v>
      </c>
      <c r="BL302">
        <v>-4267806</v>
      </c>
      <c r="BM302">
        <v>-10000</v>
      </c>
      <c r="BN302">
        <v>0</v>
      </c>
      <c r="BO302">
        <v>-10000</v>
      </c>
      <c r="BP302">
        <v>-388332</v>
      </c>
      <c r="BQ302">
        <v>0</v>
      </c>
      <c r="BR302">
        <v>-388332</v>
      </c>
      <c r="BS302">
        <v>-398332</v>
      </c>
      <c r="BT302">
        <v>0</v>
      </c>
      <c r="BU302">
        <v>0</v>
      </c>
      <c r="BV302">
        <v>0</v>
      </c>
      <c r="BW302">
        <v>-398332</v>
      </c>
      <c r="BX302">
        <v>0</v>
      </c>
      <c r="BY302">
        <v>-398332</v>
      </c>
      <c r="BZ302">
        <v>-47159</v>
      </c>
      <c r="CA302">
        <v>0</v>
      </c>
      <c r="CB302">
        <v>-47159</v>
      </c>
      <c r="CC302">
        <v>-10000</v>
      </c>
      <c r="CD302">
        <v>0</v>
      </c>
      <c r="CE302">
        <v>-10000</v>
      </c>
      <c r="CF302">
        <v>-8057</v>
      </c>
      <c r="CG302">
        <v>0</v>
      </c>
      <c r="CH302">
        <v>-8057</v>
      </c>
      <c r="CI302">
        <v>0</v>
      </c>
      <c r="CJ302">
        <v>0</v>
      </c>
      <c r="CK302">
        <v>0</v>
      </c>
      <c r="CL302">
        <v>0</v>
      </c>
      <c r="CM302">
        <v>0</v>
      </c>
      <c r="CN302">
        <v>0</v>
      </c>
      <c r="CO302">
        <v>0</v>
      </c>
      <c r="CP302">
        <v>0</v>
      </c>
      <c r="CQ302">
        <v>0</v>
      </c>
      <c r="CR302">
        <v>0</v>
      </c>
      <c r="CS302">
        <v>0</v>
      </c>
      <c r="CT302">
        <v>-65216</v>
      </c>
      <c r="CU302">
        <v>0</v>
      </c>
      <c r="CV302">
        <v>0</v>
      </c>
      <c r="CW302">
        <v>0</v>
      </c>
      <c r="CX302">
        <v>-65216</v>
      </c>
      <c r="CY302">
        <v>0</v>
      </c>
      <c r="CZ302">
        <v>-65216</v>
      </c>
      <c r="DA302">
        <v>-42572</v>
      </c>
      <c r="DB302">
        <v>0</v>
      </c>
      <c r="DC302">
        <v>-42572</v>
      </c>
      <c r="DD302">
        <v>-28152</v>
      </c>
      <c r="DE302">
        <v>0</v>
      </c>
      <c r="DF302">
        <v>-28152</v>
      </c>
      <c r="DG302">
        <v>-3198</v>
      </c>
      <c r="DH302">
        <v>0</v>
      </c>
      <c r="DI302">
        <v>-3198</v>
      </c>
      <c r="DJ302">
        <v>-515834</v>
      </c>
      <c r="DK302">
        <v>0</v>
      </c>
      <c r="DL302">
        <v>-515834</v>
      </c>
      <c r="DM302">
        <v>-589756</v>
      </c>
      <c r="DN302">
        <v>0</v>
      </c>
      <c r="DO302">
        <v>0</v>
      </c>
      <c r="DP302">
        <v>0</v>
      </c>
      <c r="DQ302">
        <v>-589756</v>
      </c>
      <c r="DR302">
        <v>0</v>
      </c>
      <c r="DS302">
        <v>-589756</v>
      </c>
      <c r="DT302">
        <v>10641377</v>
      </c>
      <c r="DU302">
        <v>0</v>
      </c>
      <c r="DV302" s="661">
        <v>10641377</v>
      </c>
      <c r="DW302" t="s">
        <v>1953</v>
      </c>
    </row>
    <row r="303" spans="1:127" ht="12.75" x14ac:dyDescent="0.2">
      <c r="A303" s="605">
        <v>296</v>
      </c>
      <c r="B303" s="606" t="s">
        <v>481</v>
      </c>
      <c r="C303" s="607" t="s">
        <v>1185</v>
      </c>
      <c r="D303" s="608" t="s">
        <v>1187</v>
      </c>
      <c r="E303" s="609" t="s">
        <v>480</v>
      </c>
      <c r="G303">
        <v>80054960</v>
      </c>
      <c r="H303">
        <v>0</v>
      </c>
      <c r="I303">
        <v>80054960</v>
      </c>
      <c r="J303">
        <v>49.9</v>
      </c>
      <c r="K303">
        <v>39947425</v>
      </c>
      <c r="L303">
        <v>0</v>
      </c>
      <c r="M303">
        <v>-319</v>
      </c>
      <c r="N303">
        <v>0</v>
      </c>
      <c r="O303">
        <v>39947106</v>
      </c>
      <c r="P303">
        <v>0</v>
      </c>
      <c r="Q303">
        <v>39947106</v>
      </c>
      <c r="R303">
        <v>-154686</v>
      </c>
      <c r="S303">
        <v>0</v>
      </c>
      <c r="T303">
        <v>-154686</v>
      </c>
      <c r="U303">
        <v>209619</v>
      </c>
      <c r="V303">
        <v>0</v>
      </c>
      <c r="W303">
        <v>209619</v>
      </c>
      <c r="X303">
        <v>54933</v>
      </c>
      <c r="Y303">
        <v>0</v>
      </c>
      <c r="Z303">
        <v>0</v>
      </c>
      <c r="AA303">
        <v>0</v>
      </c>
      <c r="AB303">
        <v>54933</v>
      </c>
      <c r="AC303">
        <v>0</v>
      </c>
      <c r="AD303">
        <v>54933</v>
      </c>
      <c r="AE303">
        <v>-54933</v>
      </c>
      <c r="AF303">
        <v>0</v>
      </c>
      <c r="AG303">
        <v>-54933</v>
      </c>
      <c r="AH303">
        <v>-3869584</v>
      </c>
      <c r="AI303">
        <v>0</v>
      </c>
      <c r="AJ303">
        <v>-3869584</v>
      </c>
      <c r="AK303">
        <v>-16642</v>
      </c>
      <c r="AL303">
        <v>0</v>
      </c>
      <c r="AM303">
        <v>-16642</v>
      </c>
      <c r="AN303">
        <v>698209</v>
      </c>
      <c r="AO303">
        <v>0</v>
      </c>
      <c r="AP303">
        <v>698209</v>
      </c>
      <c r="AQ303">
        <v>-3171375</v>
      </c>
      <c r="AR303">
        <v>0</v>
      </c>
      <c r="AS303">
        <v>-3171375</v>
      </c>
      <c r="AT303">
        <v>-2997903</v>
      </c>
      <c r="AU303">
        <v>0</v>
      </c>
      <c r="AV303">
        <v>-2997903</v>
      </c>
      <c r="AW303">
        <v>0</v>
      </c>
      <c r="AX303">
        <v>0</v>
      </c>
      <c r="AY303">
        <v>0</v>
      </c>
      <c r="AZ303">
        <v>-1523</v>
      </c>
      <c r="BA303">
        <v>0</v>
      </c>
      <c r="BB303">
        <v>-1523</v>
      </c>
      <c r="BC303">
        <v>0</v>
      </c>
      <c r="BD303">
        <v>0</v>
      </c>
      <c r="BE303">
        <v>0</v>
      </c>
      <c r="BF303">
        <v>-6170801</v>
      </c>
      <c r="BG303">
        <v>0</v>
      </c>
      <c r="BH303">
        <v>0</v>
      </c>
      <c r="BI303">
        <v>0</v>
      </c>
      <c r="BJ303">
        <v>-6170801</v>
      </c>
      <c r="BK303">
        <v>0</v>
      </c>
      <c r="BL303">
        <v>-6170801</v>
      </c>
      <c r="BM303">
        <v>-71116</v>
      </c>
      <c r="BN303">
        <v>0</v>
      </c>
      <c r="BO303">
        <v>-71116</v>
      </c>
      <c r="BP303">
        <v>-390707</v>
      </c>
      <c r="BQ303">
        <v>0</v>
      </c>
      <c r="BR303">
        <v>-390707</v>
      </c>
      <c r="BS303">
        <v>-461823</v>
      </c>
      <c r="BT303">
        <v>0</v>
      </c>
      <c r="BU303">
        <v>0</v>
      </c>
      <c r="BV303">
        <v>0</v>
      </c>
      <c r="BW303">
        <v>-461823</v>
      </c>
      <c r="BX303">
        <v>0</v>
      </c>
      <c r="BY303">
        <v>-461823</v>
      </c>
      <c r="BZ303">
        <v>-12183</v>
      </c>
      <c r="CA303">
        <v>0</v>
      </c>
      <c r="CB303">
        <v>-12183</v>
      </c>
      <c r="CC303">
        <v>-26486</v>
      </c>
      <c r="CD303">
        <v>0</v>
      </c>
      <c r="CE303">
        <v>-26486</v>
      </c>
      <c r="CF303">
        <v>0</v>
      </c>
      <c r="CG303">
        <v>0</v>
      </c>
      <c r="CH303">
        <v>0</v>
      </c>
      <c r="CI303">
        <v>0</v>
      </c>
      <c r="CJ303">
        <v>0</v>
      </c>
      <c r="CK303">
        <v>0</v>
      </c>
      <c r="CL303">
        <v>0</v>
      </c>
      <c r="CM303">
        <v>0</v>
      </c>
      <c r="CN303">
        <v>0</v>
      </c>
      <c r="CO303">
        <v>0</v>
      </c>
      <c r="CP303">
        <v>0</v>
      </c>
      <c r="CQ303">
        <v>0</v>
      </c>
      <c r="CR303">
        <v>0</v>
      </c>
      <c r="CS303">
        <v>0</v>
      </c>
      <c r="CT303">
        <v>-38669</v>
      </c>
      <c r="CU303">
        <v>0</v>
      </c>
      <c r="CV303">
        <v>0</v>
      </c>
      <c r="CW303">
        <v>0</v>
      </c>
      <c r="CX303">
        <v>-38669</v>
      </c>
      <c r="CY303">
        <v>0</v>
      </c>
      <c r="CZ303">
        <v>-38669</v>
      </c>
      <c r="DA303">
        <v>-1523</v>
      </c>
      <c r="DB303">
        <v>0</v>
      </c>
      <c r="DC303">
        <v>-1523</v>
      </c>
      <c r="DD303">
        <v>-5956</v>
      </c>
      <c r="DE303">
        <v>0</v>
      </c>
      <c r="DF303">
        <v>-5956</v>
      </c>
      <c r="DG303">
        <v>-4815</v>
      </c>
      <c r="DH303">
        <v>0</v>
      </c>
      <c r="DI303">
        <v>-4815</v>
      </c>
      <c r="DJ303">
        <v>-534221</v>
      </c>
      <c r="DK303">
        <v>0</v>
      </c>
      <c r="DL303">
        <v>-534221</v>
      </c>
      <c r="DM303">
        <v>-546515</v>
      </c>
      <c r="DN303">
        <v>0</v>
      </c>
      <c r="DO303">
        <v>0</v>
      </c>
      <c r="DP303">
        <v>0</v>
      </c>
      <c r="DQ303">
        <v>-546515</v>
      </c>
      <c r="DR303">
        <v>0</v>
      </c>
      <c r="DS303">
        <v>-546515</v>
      </c>
      <c r="DT303">
        <v>32784231</v>
      </c>
      <c r="DU303">
        <v>0</v>
      </c>
      <c r="DV303" s="661">
        <v>32784231</v>
      </c>
      <c r="DW303" t="s">
        <v>1954</v>
      </c>
    </row>
    <row r="304" spans="1:127" ht="12.75" x14ac:dyDescent="0.2">
      <c r="A304" s="605">
        <v>297</v>
      </c>
      <c r="B304" s="606" t="s">
        <v>483</v>
      </c>
      <c r="C304" s="607" t="s">
        <v>1185</v>
      </c>
      <c r="D304" s="608" t="s">
        <v>1188</v>
      </c>
      <c r="E304" s="609" t="s">
        <v>482</v>
      </c>
      <c r="G304">
        <v>48990689</v>
      </c>
      <c r="H304">
        <v>0</v>
      </c>
      <c r="I304">
        <v>48990689</v>
      </c>
      <c r="J304">
        <v>49.9</v>
      </c>
      <c r="K304">
        <v>24446354</v>
      </c>
      <c r="L304">
        <v>0</v>
      </c>
      <c r="M304">
        <v>0</v>
      </c>
      <c r="N304">
        <v>0</v>
      </c>
      <c r="O304">
        <v>24446354</v>
      </c>
      <c r="P304">
        <v>0</v>
      </c>
      <c r="Q304">
        <v>24446354</v>
      </c>
      <c r="R304">
        <v>-265773</v>
      </c>
      <c r="S304">
        <v>0</v>
      </c>
      <c r="T304">
        <v>-265773</v>
      </c>
      <c r="U304">
        <v>68902</v>
      </c>
      <c r="V304">
        <v>0</v>
      </c>
      <c r="W304">
        <v>68902</v>
      </c>
      <c r="X304">
        <v>-196871</v>
      </c>
      <c r="Y304">
        <v>0</v>
      </c>
      <c r="Z304">
        <v>0</v>
      </c>
      <c r="AA304">
        <v>0</v>
      </c>
      <c r="AB304">
        <v>-196871</v>
      </c>
      <c r="AC304">
        <v>0</v>
      </c>
      <c r="AD304">
        <v>-196871</v>
      </c>
      <c r="AE304">
        <v>196871</v>
      </c>
      <c r="AF304">
        <v>0</v>
      </c>
      <c r="AG304">
        <v>196871</v>
      </c>
      <c r="AH304">
        <v>-2908515</v>
      </c>
      <c r="AI304">
        <v>0</v>
      </c>
      <c r="AJ304">
        <v>-2908515</v>
      </c>
      <c r="AK304">
        <v>-4990</v>
      </c>
      <c r="AL304">
        <v>0</v>
      </c>
      <c r="AM304">
        <v>-4990</v>
      </c>
      <c r="AN304">
        <v>377812</v>
      </c>
      <c r="AO304">
        <v>0</v>
      </c>
      <c r="AP304">
        <v>377812</v>
      </c>
      <c r="AQ304">
        <v>-2530703</v>
      </c>
      <c r="AR304">
        <v>0</v>
      </c>
      <c r="AS304">
        <v>-2530703</v>
      </c>
      <c r="AT304">
        <v>-1777440</v>
      </c>
      <c r="AU304">
        <v>0</v>
      </c>
      <c r="AV304">
        <v>-1777440</v>
      </c>
      <c r="AW304">
        <v>-43680</v>
      </c>
      <c r="AX304">
        <v>0</v>
      </c>
      <c r="AY304">
        <v>-43680</v>
      </c>
      <c r="AZ304">
        <v>-33471</v>
      </c>
      <c r="BA304">
        <v>0</v>
      </c>
      <c r="BB304">
        <v>-33471</v>
      </c>
      <c r="BC304">
        <v>0</v>
      </c>
      <c r="BD304">
        <v>0</v>
      </c>
      <c r="BE304">
        <v>0</v>
      </c>
      <c r="BF304">
        <v>-4385294</v>
      </c>
      <c r="BG304">
        <v>0</v>
      </c>
      <c r="BH304">
        <v>0</v>
      </c>
      <c r="BI304">
        <v>0</v>
      </c>
      <c r="BJ304">
        <v>-4385294</v>
      </c>
      <c r="BK304">
        <v>0</v>
      </c>
      <c r="BL304">
        <v>-4385294</v>
      </c>
      <c r="BM304">
        <v>0</v>
      </c>
      <c r="BN304">
        <v>0</v>
      </c>
      <c r="BO304">
        <v>0</v>
      </c>
      <c r="BP304">
        <v>-498561</v>
      </c>
      <c r="BQ304">
        <v>0</v>
      </c>
      <c r="BR304">
        <v>-498561</v>
      </c>
      <c r="BS304">
        <v>-498561</v>
      </c>
      <c r="BT304">
        <v>0</v>
      </c>
      <c r="BU304">
        <v>0</v>
      </c>
      <c r="BV304">
        <v>0</v>
      </c>
      <c r="BW304">
        <v>-498561</v>
      </c>
      <c r="BX304">
        <v>0</v>
      </c>
      <c r="BY304">
        <v>-498561</v>
      </c>
      <c r="BZ304">
        <v>-59514</v>
      </c>
      <c r="CA304">
        <v>0</v>
      </c>
      <c r="CB304">
        <v>-59514</v>
      </c>
      <c r="CC304">
        <v>0</v>
      </c>
      <c r="CD304">
        <v>0</v>
      </c>
      <c r="CE304">
        <v>0</v>
      </c>
      <c r="CF304">
        <v>-1498</v>
      </c>
      <c r="CG304">
        <v>0</v>
      </c>
      <c r="CH304">
        <v>-1498</v>
      </c>
      <c r="CI304">
        <v>-2458</v>
      </c>
      <c r="CJ304">
        <v>0</v>
      </c>
      <c r="CK304">
        <v>-2458</v>
      </c>
      <c r="CL304">
        <v>-31013</v>
      </c>
      <c r="CM304">
        <v>0</v>
      </c>
      <c r="CN304">
        <v>-31013</v>
      </c>
      <c r="CO304">
        <v>0</v>
      </c>
      <c r="CP304">
        <v>0</v>
      </c>
      <c r="CQ304">
        <v>0</v>
      </c>
      <c r="CR304">
        <v>0</v>
      </c>
      <c r="CS304">
        <v>0</v>
      </c>
      <c r="CT304">
        <v>-94483</v>
      </c>
      <c r="CU304">
        <v>0</v>
      </c>
      <c r="CV304">
        <v>0</v>
      </c>
      <c r="CW304">
        <v>0</v>
      </c>
      <c r="CX304">
        <v>-94483</v>
      </c>
      <c r="CY304">
        <v>0</v>
      </c>
      <c r="CZ304">
        <v>-94483</v>
      </c>
      <c r="DA304">
        <v>-31031</v>
      </c>
      <c r="DB304">
        <v>0</v>
      </c>
      <c r="DC304">
        <v>-31031</v>
      </c>
      <c r="DD304">
        <v>-34502</v>
      </c>
      <c r="DE304">
        <v>0</v>
      </c>
      <c r="DF304">
        <v>-34502</v>
      </c>
      <c r="DG304">
        <v>-4000</v>
      </c>
      <c r="DH304">
        <v>0</v>
      </c>
      <c r="DI304">
        <v>-4000</v>
      </c>
      <c r="DJ304">
        <v>-196227</v>
      </c>
      <c r="DK304">
        <v>0</v>
      </c>
      <c r="DL304">
        <v>-196227</v>
      </c>
      <c r="DM304">
        <v>-265760</v>
      </c>
      <c r="DN304">
        <v>0</v>
      </c>
      <c r="DO304">
        <v>0</v>
      </c>
      <c r="DP304">
        <v>0</v>
      </c>
      <c r="DQ304">
        <v>-265760</v>
      </c>
      <c r="DR304">
        <v>0</v>
      </c>
      <c r="DS304">
        <v>-265760</v>
      </c>
      <c r="DT304">
        <v>19005385</v>
      </c>
      <c r="DU304">
        <v>0</v>
      </c>
      <c r="DV304" s="661">
        <v>19005385</v>
      </c>
      <c r="DW304" t="s">
        <v>1955</v>
      </c>
    </row>
    <row r="305" spans="1:127" ht="12.75" x14ac:dyDescent="0.2">
      <c r="A305" s="605">
        <v>298</v>
      </c>
      <c r="B305" s="606" t="s">
        <v>485</v>
      </c>
      <c r="C305" s="607" t="s">
        <v>1185</v>
      </c>
      <c r="D305" s="608" t="s">
        <v>1186</v>
      </c>
      <c r="E305" s="609" t="s">
        <v>484</v>
      </c>
      <c r="G305">
        <v>100177253</v>
      </c>
      <c r="H305">
        <v>0</v>
      </c>
      <c r="I305">
        <v>100177253</v>
      </c>
      <c r="J305">
        <v>49.9</v>
      </c>
      <c r="K305">
        <v>49988449</v>
      </c>
      <c r="L305">
        <v>0</v>
      </c>
      <c r="M305">
        <v>188672</v>
      </c>
      <c r="N305">
        <v>0</v>
      </c>
      <c r="O305">
        <v>50177121</v>
      </c>
      <c r="P305">
        <v>0</v>
      </c>
      <c r="Q305">
        <v>50177121</v>
      </c>
      <c r="R305">
        <v>-422818</v>
      </c>
      <c r="S305">
        <v>0</v>
      </c>
      <c r="T305">
        <v>-422818</v>
      </c>
      <c r="U305">
        <v>55964</v>
      </c>
      <c r="V305">
        <v>0</v>
      </c>
      <c r="W305">
        <v>55964</v>
      </c>
      <c r="X305">
        <v>-366854</v>
      </c>
      <c r="Y305">
        <v>0</v>
      </c>
      <c r="Z305">
        <v>0</v>
      </c>
      <c r="AA305">
        <v>0</v>
      </c>
      <c r="AB305">
        <v>-366854</v>
      </c>
      <c r="AC305">
        <v>0</v>
      </c>
      <c r="AD305">
        <v>-366854</v>
      </c>
      <c r="AE305">
        <v>366854</v>
      </c>
      <c r="AF305">
        <v>0</v>
      </c>
      <c r="AG305">
        <v>366854</v>
      </c>
      <c r="AH305">
        <v>-4337036</v>
      </c>
      <c r="AI305">
        <v>0</v>
      </c>
      <c r="AJ305">
        <v>-4337036</v>
      </c>
      <c r="AK305">
        <v>-2083</v>
      </c>
      <c r="AL305">
        <v>0</v>
      </c>
      <c r="AM305">
        <v>-2083</v>
      </c>
      <c r="AN305">
        <v>801920</v>
      </c>
      <c r="AO305">
        <v>0</v>
      </c>
      <c r="AP305">
        <v>801920</v>
      </c>
      <c r="AQ305">
        <v>-3535116</v>
      </c>
      <c r="AR305">
        <v>0</v>
      </c>
      <c r="AS305">
        <v>-3535116</v>
      </c>
      <c r="AT305">
        <v>-3497992</v>
      </c>
      <c r="AU305">
        <v>0</v>
      </c>
      <c r="AV305">
        <v>-3497992</v>
      </c>
      <c r="AW305">
        <v>-55388</v>
      </c>
      <c r="AX305">
        <v>0</v>
      </c>
      <c r="AY305">
        <v>-55388</v>
      </c>
      <c r="AZ305">
        <v>-32680</v>
      </c>
      <c r="BA305">
        <v>0</v>
      </c>
      <c r="BB305">
        <v>-32680</v>
      </c>
      <c r="BC305">
        <v>0</v>
      </c>
      <c r="BD305">
        <v>0</v>
      </c>
      <c r="BE305">
        <v>0</v>
      </c>
      <c r="BF305">
        <v>-7121176</v>
      </c>
      <c r="BG305">
        <v>0</v>
      </c>
      <c r="BH305">
        <v>0</v>
      </c>
      <c r="BI305">
        <v>0</v>
      </c>
      <c r="BJ305">
        <v>-7121176</v>
      </c>
      <c r="BK305">
        <v>0</v>
      </c>
      <c r="BL305">
        <v>-7121176</v>
      </c>
      <c r="BM305">
        <v>0</v>
      </c>
      <c r="BN305">
        <v>0</v>
      </c>
      <c r="BO305">
        <v>0</v>
      </c>
      <c r="BP305">
        <v>-1063131</v>
      </c>
      <c r="BQ305">
        <v>0</v>
      </c>
      <c r="BR305">
        <v>-1063131</v>
      </c>
      <c r="BS305">
        <v>-1063131</v>
      </c>
      <c r="BT305">
        <v>0</v>
      </c>
      <c r="BU305">
        <v>0</v>
      </c>
      <c r="BV305">
        <v>0</v>
      </c>
      <c r="BW305">
        <v>-1063131</v>
      </c>
      <c r="BX305">
        <v>0</v>
      </c>
      <c r="BY305">
        <v>-1063131</v>
      </c>
      <c r="BZ305">
        <v>-112010</v>
      </c>
      <c r="CA305">
        <v>0</v>
      </c>
      <c r="CB305">
        <v>-112010</v>
      </c>
      <c r="CC305">
        <v>-9920</v>
      </c>
      <c r="CD305">
        <v>0</v>
      </c>
      <c r="CE305">
        <v>-9920</v>
      </c>
      <c r="CF305">
        <v>0</v>
      </c>
      <c r="CG305">
        <v>0</v>
      </c>
      <c r="CH305">
        <v>0</v>
      </c>
      <c r="CI305">
        <v>0</v>
      </c>
      <c r="CJ305">
        <v>0</v>
      </c>
      <c r="CK305">
        <v>0</v>
      </c>
      <c r="CL305">
        <v>0</v>
      </c>
      <c r="CM305">
        <v>0</v>
      </c>
      <c r="CN305">
        <v>0</v>
      </c>
      <c r="CO305">
        <v>0</v>
      </c>
      <c r="CP305">
        <v>0</v>
      </c>
      <c r="CQ305">
        <v>0</v>
      </c>
      <c r="CR305">
        <v>0</v>
      </c>
      <c r="CS305">
        <v>0</v>
      </c>
      <c r="CT305">
        <v>-121930</v>
      </c>
      <c r="CU305">
        <v>0</v>
      </c>
      <c r="CV305">
        <v>0</v>
      </c>
      <c r="CW305">
        <v>0</v>
      </c>
      <c r="CX305">
        <v>-121930</v>
      </c>
      <c r="CY305">
        <v>0</v>
      </c>
      <c r="CZ305">
        <v>-121930</v>
      </c>
      <c r="DA305">
        <v>-32680</v>
      </c>
      <c r="DB305">
        <v>0</v>
      </c>
      <c r="DC305">
        <v>-32680</v>
      </c>
      <c r="DD305">
        <v>-72349</v>
      </c>
      <c r="DE305">
        <v>0</v>
      </c>
      <c r="DF305">
        <v>-72349</v>
      </c>
      <c r="DG305">
        <v>-15980</v>
      </c>
      <c r="DH305">
        <v>0</v>
      </c>
      <c r="DI305">
        <v>-15980</v>
      </c>
      <c r="DJ305">
        <v>-1101714</v>
      </c>
      <c r="DK305">
        <v>0</v>
      </c>
      <c r="DL305">
        <v>-1101714</v>
      </c>
      <c r="DM305">
        <v>-1222723</v>
      </c>
      <c r="DN305">
        <v>0</v>
      </c>
      <c r="DO305">
        <v>0</v>
      </c>
      <c r="DP305">
        <v>0</v>
      </c>
      <c r="DQ305">
        <v>-1222723</v>
      </c>
      <c r="DR305">
        <v>0</v>
      </c>
      <c r="DS305">
        <v>-1222723</v>
      </c>
      <c r="DT305">
        <v>40281307</v>
      </c>
      <c r="DU305">
        <v>0</v>
      </c>
      <c r="DV305" s="661">
        <v>40281307</v>
      </c>
      <c r="DW305" t="s">
        <v>1956</v>
      </c>
    </row>
    <row r="306" spans="1:127" ht="12.75" x14ac:dyDescent="0.2">
      <c r="A306" s="605">
        <v>299</v>
      </c>
      <c r="B306" s="606" t="s">
        <v>1132</v>
      </c>
      <c r="C306" s="607" t="s">
        <v>1185</v>
      </c>
      <c r="D306" s="608" t="s">
        <v>1194</v>
      </c>
      <c r="E306" s="609" t="s">
        <v>1131</v>
      </c>
      <c r="G306">
        <v>178420948</v>
      </c>
      <c r="H306">
        <v>720000</v>
      </c>
      <c r="I306">
        <v>179140948</v>
      </c>
      <c r="J306">
        <v>49.9</v>
      </c>
      <c r="K306">
        <v>89032053</v>
      </c>
      <c r="L306">
        <v>359280</v>
      </c>
      <c r="M306">
        <v>0</v>
      </c>
      <c r="N306">
        <v>0</v>
      </c>
      <c r="O306">
        <v>89032053</v>
      </c>
      <c r="P306">
        <v>359280</v>
      </c>
      <c r="Q306">
        <v>89391333</v>
      </c>
      <c r="R306">
        <v>-249868</v>
      </c>
      <c r="S306">
        <v>0</v>
      </c>
      <c r="T306">
        <v>-249868</v>
      </c>
      <c r="U306">
        <v>158623</v>
      </c>
      <c r="V306">
        <v>0</v>
      </c>
      <c r="W306">
        <v>158623</v>
      </c>
      <c r="X306">
        <v>-91245</v>
      </c>
      <c r="Y306">
        <v>0</v>
      </c>
      <c r="Z306">
        <v>0</v>
      </c>
      <c r="AA306">
        <v>0</v>
      </c>
      <c r="AB306">
        <v>-91245</v>
      </c>
      <c r="AC306">
        <v>0</v>
      </c>
      <c r="AD306">
        <v>-91245</v>
      </c>
      <c r="AE306">
        <v>91245</v>
      </c>
      <c r="AF306">
        <v>0</v>
      </c>
      <c r="AG306">
        <v>91245</v>
      </c>
      <c r="AH306">
        <v>-6232013</v>
      </c>
      <c r="AI306">
        <v>0</v>
      </c>
      <c r="AJ306">
        <v>-6232013</v>
      </c>
      <c r="AK306">
        <v>-1837</v>
      </c>
      <c r="AL306">
        <v>0</v>
      </c>
      <c r="AM306">
        <v>-1837</v>
      </c>
      <c r="AN306">
        <v>1594883</v>
      </c>
      <c r="AO306">
        <v>9360</v>
      </c>
      <c r="AP306">
        <v>1604243</v>
      </c>
      <c r="AQ306">
        <v>-4637130</v>
      </c>
      <c r="AR306">
        <v>9360</v>
      </c>
      <c r="AS306">
        <v>-4627770</v>
      </c>
      <c r="AT306">
        <v>-5036887</v>
      </c>
      <c r="AU306">
        <v>0</v>
      </c>
      <c r="AV306">
        <v>-5036887</v>
      </c>
      <c r="AW306">
        <v>-44657</v>
      </c>
      <c r="AX306">
        <v>0</v>
      </c>
      <c r="AY306">
        <v>-44657</v>
      </c>
      <c r="AZ306">
        <v>-50606</v>
      </c>
      <c r="BA306">
        <v>0</v>
      </c>
      <c r="BB306">
        <v>-50606</v>
      </c>
      <c r="BC306">
        <v>0</v>
      </c>
      <c r="BD306">
        <v>0</v>
      </c>
      <c r="BE306">
        <v>0</v>
      </c>
      <c r="BF306">
        <v>-9769280</v>
      </c>
      <c r="BG306">
        <v>9360</v>
      </c>
      <c r="BH306">
        <v>0</v>
      </c>
      <c r="BI306">
        <v>0</v>
      </c>
      <c r="BJ306">
        <v>-9769280</v>
      </c>
      <c r="BK306">
        <v>9360</v>
      </c>
      <c r="BL306">
        <v>-9759920</v>
      </c>
      <c r="BM306">
        <v>-28455</v>
      </c>
      <c r="BN306">
        <v>0</v>
      </c>
      <c r="BO306">
        <v>-28455</v>
      </c>
      <c r="BP306">
        <v>-1864827</v>
      </c>
      <c r="BQ306">
        <v>0</v>
      </c>
      <c r="BR306">
        <v>-1864827</v>
      </c>
      <c r="BS306">
        <v>-1893282</v>
      </c>
      <c r="BT306">
        <v>0</v>
      </c>
      <c r="BU306">
        <v>0</v>
      </c>
      <c r="BV306">
        <v>0</v>
      </c>
      <c r="BW306">
        <v>-1893282</v>
      </c>
      <c r="BX306">
        <v>0</v>
      </c>
      <c r="BY306">
        <v>-1893282</v>
      </c>
      <c r="BZ306">
        <v>-65819</v>
      </c>
      <c r="CA306">
        <v>0</v>
      </c>
      <c r="CB306">
        <v>-65819</v>
      </c>
      <c r="CC306">
        <v>-19995</v>
      </c>
      <c r="CD306">
        <v>0</v>
      </c>
      <c r="CE306">
        <v>-19995</v>
      </c>
      <c r="CF306">
        <v>-5612</v>
      </c>
      <c r="CG306">
        <v>0</v>
      </c>
      <c r="CH306">
        <v>-5612</v>
      </c>
      <c r="CI306">
        <v>-947</v>
      </c>
      <c r="CJ306">
        <v>0</v>
      </c>
      <c r="CK306">
        <v>-947</v>
      </c>
      <c r="CL306">
        <v>-1132</v>
      </c>
      <c r="CM306">
        <v>0</v>
      </c>
      <c r="CN306">
        <v>-1132</v>
      </c>
      <c r="CO306">
        <v>0</v>
      </c>
      <c r="CP306">
        <v>0</v>
      </c>
      <c r="CQ306">
        <v>0</v>
      </c>
      <c r="CR306">
        <v>0</v>
      </c>
      <c r="CS306">
        <v>0</v>
      </c>
      <c r="CT306">
        <v>-93505</v>
      </c>
      <c r="CU306">
        <v>0</v>
      </c>
      <c r="CV306">
        <v>0</v>
      </c>
      <c r="CW306">
        <v>0</v>
      </c>
      <c r="CX306">
        <v>-93505</v>
      </c>
      <c r="CY306">
        <v>0</v>
      </c>
      <c r="CZ306">
        <v>-93505</v>
      </c>
      <c r="DA306">
        <v>-49659</v>
      </c>
      <c r="DB306">
        <v>0</v>
      </c>
      <c r="DC306">
        <v>-49659</v>
      </c>
      <c r="DD306">
        <v>-20872</v>
      </c>
      <c r="DE306">
        <v>0</v>
      </c>
      <c r="DF306">
        <v>-20872</v>
      </c>
      <c r="DG306">
        <v>-12000</v>
      </c>
      <c r="DH306">
        <v>0</v>
      </c>
      <c r="DI306">
        <v>-12000</v>
      </c>
      <c r="DJ306">
        <v>-1548263</v>
      </c>
      <c r="DK306">
        <v>0</v>
      </c>
      <c r="DL306">
        <v>-1548263</v>
      </c>
      <c r="DM306">
        <v>-1630794</v>
      </c>
      <c r="DN306">
        <v>0</v>
      </c>
      <c r="DO306">
        <v>0</v>
      </c>
      <c r="DP306">
        <v>0</v>
      </c>
      <c r="DQ306">
        <v>-1630794</v>
      </c>
      <c r="DR306">
        <v>0</v>
      </c>
      <c r="DS306">
        <v>-1630794</v>
      </c>
      <c r="DT306">
        <v>75553947</v>
      </c>
      <c r="DU306">
        <v>368640</v>
      </c>
      <c r="DV306" s="661">
        <v>75922587</v>
      </c>
      <c r="DW306" t="s">
        <v>1957</v>
      </c>
    </row>
    <row r="307" spans="1:127" ht="12.75" x14ac:dyDescent="0.2">
      <c r="A307" s="605">
        <v>300</v>
      </c>
      <c r="B307" s="606" t="s">
        <v>487</v>
      </c>
      <c r="C307" s="607" t="s">
        <v>1196</v>
      </c>
      <c r="D307" s="608" t="s">
        <v>1191</v>
      </c>
      <c r="E307" s="609" t="s">
        <v>486</v>
      </c>
      <c r="G307">
        <v>5126374135</v>
      </c>
      <c r="H307">
        <v>0</v>
      </c>
      <c r="I307">
        <v>5126374135</v>
      </c>
      <c r="J307">
        <v>49.9</v>
      </c>
      <c r="K307">
        <v>2558060693</v>
      </c>
      <c r="L307">
        <v>0</v>
      </c>
      <c r="M307">
        <v>3500000</v>
      </c>
      <c r="N307">
        <v>0</v>
      </c>
      <c r="O307">
        <v>2561560693</v>
      </c>
      <c r="P307">
        <v>0</v>
      </c>
      <c r="Q307">
        <v>2561560693</v>
      </c>
      <c r="R307">
        <v>-4561955</v>
      </c>
      <c r="S307">
        <v>0</v>
      </c>
      <c r="T307">
        <v>-4561955</v>
      </c>
      <c r="U307">
        <v>1776124</v>
      </c>
      <c r="V307">
        <v>0</v>
      </c>
      <c r="W307">
        <v>1776124</v>
      </c>
      <c r="X307">
        <v>-2785831</v>
      </c>
      <c r="Y307">
        <v>0</v>
      </c>
      <c r="Z307">
        <v>0</v>
      </c>
      <c r="AA307">
        <v>0</v>
      </c>
      <c r="AB307">
        <v>-2785831</v>
      </c>
      <c r="AC307">
        <v>0</v>
      </c>
      <c r="AD307">
        <v>-2785831</v>
      </c>
      <c r="AE307">
        <v>2785831</v>
      </c>
      <c r="AF307">
        <v>0</v>
      </c>
      <c r="AG307">
        <v>2785831</v>
      </c>
      <c r="AH307">
        <v>-6299882</v>
      </c>
      <c r="AI307">
        <v>0</v>
      </c>
      <c r="AJ307">
        <v>-6299882</v>
      </c>
      <c r="AK307">
        <v>0</v>
      </c>
      <c r="AL307">
        <v>0</v>
      </c>
      <c r="AM307">
        <v>0</v>
      </c>
      <c r="AN307">
        <v>62732129</v>
      </c>
      <c r="AO307">
        <v>0</v>
      </c>
      <c r="AP307">
        <v>62732129</v>
      </c>
      <c r="AQ307">
        <v>56432247</v>
      </c>
      <c r="AR307">
        <v>0</v>
      </c>
      <c r="AS307">
        <v>56432247</v>
      </c>
      <c r="AT307">
        <v>-88775934</v>
      </c>
      <c r="AU307">
        <v>0</v>
      </c>
      <c r="AV307">
        <v>-88775934</v>
      </c>
      <c r="AW307">
        <v>-23789</v>
      </c>
      <c r="AX307">
        <v>0</v>
      </c>
      <c r="AY307">
        <v>-23789</v>
      </c>
      <c r="AZ307">
        <v>0</v>
      </c>
      <c r="BA307">
        <v>0</v>
      </c>
      <c r="BB307">
        <v>0</v>
      </c>
      <c r="BC307">
        <v>0</v>
      </c>
      <c r="BD307">
        <v>0</v>
      </c>
      <c r="BE307">
        <v>0</v>
      </c>
      <c r="BF307">
        <v>-32367476</v>
      </c>
      <c r="BG307">
        <v>0</v>
      </c>
      <c r="BH307">
        <v>0</v>
      </c>
      <c r="BI307">
        <v>0</v>
      </c>
      <c r="BJ307">
        <v>-32367476</v>
      </c>
      <c r="BK307">
        <v>0</v>
      </c>
      <c r="BL307">
        <v>-32367476</v>
      </c>
      <c r="BM307">
        <v>-2074516</v>
      </c>
      <c r="BN307">
        <v>0</v>
      </c>
      <c r="BO307">
        <v>-2074516</v>
      </c>
      <c r="BP307">
        <v>-132000000</v>
      </c>
      <c r="BQ307">
        <v>0</v>
      </c>
      <c r="BR307">
        <v>-132000000</v>
      </c>
      <c r="BS307">
        <v>-134074516</v>
      </c>
      <c r="BT307">
        <v>0</v>
      </c>
      <c r="BU307">
        <v>0</v>
      </c>
      <c r="BV307">
        <v>0</v>
      </c>
      <c r="BW307">
        <v>-134074516</v>
      </c>
      <c r="BX307">
        <v>0</v>
      </c>
      <c r="BY307">
        <v>-134074516</v>
      </c>
      <c r="BZ307">
        <v>-301464</v>
      </c>
      <c r="CA307">
        <v>0</v>
      </c>
      <c r="CB307">
        <v>-301464</v>
      </c>
      <c r="CC307">
        <v>-4409</v>
      </c>
      <c r="CD307">
        <v>0</v>
      </c>
      <c r="CE307">
        <v>-4409</v>
      </c>
      <c r="CF307">
        <v>-1487</v>
      </c>
      <c r="CG307">
        <v>0</v>
      </c>
      <c r="CH307">
        <v>-1487</v>
      </c>
      <c r="CI307">
        <v>0</v>
      </c>
      <c r="CJ307">
        <v>0</v>
      </c>
      <c r="CK307">
        <v>0</v>
      </c>
      <c r="CL307">
        <v>0</v>
      </c>
      <c r="CM307">
        <v>0</v>
      </c>
      <c r="CN307">
        <v>0</v>
      </c>
      <c r="CO307">
        <v>0</v>
      </c>
      <c r="CP307">
        <v>0</v>
      </c>
      <c r="CQ307">
        <v>0</v>
      </c>
      <c r="CR307">
        <v>0</v>
      </c>
      <c r="CS307">
        <v>0</v>
      </c>
      <c r="CT307">
        <v>-307360</v>
      </c>
      <c r="CU307">
        <v>0</v>
      </c>
      <c r="CV307">
        <v>0</v>
      </c>
      <c r="CW307">
        <v>0</v>
      </c>
      <c r="CX307">
        <v>-307360</v>
      </c>
      <c r="CY307">
        <v>0</v>
      </c>
      <c r="CZ307">
        <v>-307360</v>
      </c>
      <c r="DA307">
        <v>0</v>
      </c>
      <c r="DB307">
        <v>0</v>
      </c>
      <c r="DC307">
        <v>0</v>
      </c>
      <c r="DD307">
        <v>-65639</v>
      </c>
      <c r="DE307">
        <v>0</v>
      </c>
      <c r="DF307">
        <v>-65639</v>
      </c>
      <c r="DG307">
        <v>-331508</v>
      </c>
      <c r="DH307">
        <v>0</v>
      </c>
      <c r="DI307">
        <v>-331508</v>
      </c>
      <c r="DJ307">
        <v>-7391462</v>
      </c>
      <c r="DK307">
        <v>0</v>
      </c>
      <c r="DL307">
        <v>-7391462</v>
      </c>
      <c r="DM307">
        <v>-7788609</v>
      </c>
      <c r="DN307">
        <v>0</v>
      </c>
      <c r="DO307">
        <v>0</v>
      </c>
      <c r="DP307">
        <v>0</v>
      </c>
      <c r="DQ307">
        <v>-7788609</v>
      </c>
      <c r="DR307">
        <v>0</v>
      </c>
      <c r="DS307">
        <v>-7788609</v>
      </c>
      <c r="DT307">
        <v>2384236901</v>
      </c>
      <c r="DU307">
        <v>0</v>
      </c>
      <c r="DV307" s="661">
        <v>2384236901</v>
      </c>
      <c r="DW307" t="s">
        <v>1958</v>
      </c>
    </row>
    <row r="308" spans="1:127" ht="12.75" x14ac:dyDescent="0.2">
      <c r="A308" s="605">
        <v>301</v>
      </c>
      <c r="B308" s="606" t="s">
        <v>489</v>
      </c>
      <c r="C308" s="611" t="s">
        <v>1192</v>
      </c>
      <c r="D308" s="612" t="s">
        <v>1187</v>
      </c>
      <c r="E308" s="609" t="s">
        <v>488</v>
      </c>
      <c r="G308">
        <v>214040409</v>
      </c>
      <c r="H308">
        <v>0</v>
      </c>
      <c r="I308">
        <v>214040409</v>
      </c>
      <c r="J308">
        <v>49.9</v>
      </c>
      <c r="K308">
        <v>106806164</v>
      </c>
      <c r="L308">
        <v>0</v>
      </c>
      <c r="M308">
        <v>0</v>
      </c>
      <c r="N308">
        <v>0</v>
      </c>
      <c r="O308">
        <v>106806164</v>
      </c>
      <c r="P308">
        <v>0</v>
      </c>
      <c r="Q308">
        <v>106806164</v>
      </c>
      <c r="R308">
        <v>-445715</v>
      </c>
      <c r="S308">
        <v>0</v>
      </c>
      <c r="T308">
        <v>-445715</v>
      </c>
      <c r="U308">
        <v>1379783</v>
      </c>
      <c r="V308">
        <v>0</v>
      </c>
      <c r="W308">
        <v>1379783</v>
      </c>
      <c r="X308">
        <v>934068</v>
      </c>
      <c r="Y308">
        <v>0</v>
      </c>
      <c r="Z308">
        <v>0</v>
      </c>
      <c r="AA308">
        <v>0</v>
      </c>
      <c r="AB308">
        <v>934068</v>
      </c>
      <c r="AC308">
        <v>0</v>
      </c>
      <c r="AD308">
        <v>934068</v>
      </c>
      <c r="AE308">
        <v>-934068</v>
      </c>
      <c r="AF308">
        <v>0</v>
      </c>
      <c r="AG308">
        <v>-934068</v>
      </c>
      <c r="AH308">
        <v>-11674982</v>
      </c>
      <c r="AI308">
        <v>0</v>
      </c>
      <c r="AJ308">
        <v>-11674982</v>
      </c>
      <c r="AK308">
        <v>-8503</v>
      </c>
      <c r="AL308">
        <v>0</v>
      </c>
      <c r="AM308">
        <v>-8503</v>
      </c>
      <c r="AN308">
        <v>1850836</v>
      </c>
      <c r="AO308">
        <v>0</v>
      </c>
      <c r="AP308">
        <v>1850836</v>
      </c>
      <c r="AQ308">
        <v>-9824146</v>
      </c>
      <c r="AR308">
        <v>0</v>
      </c>
      <c r="AS308">
        <v>-9824146</v>
      </c>
      <c r="AT308">
        <v>-6232410</v>
      </c>
      <c r="AU308">
        <v>0</v>
      </c>
      <c r="AV308">
        <v>-6232410</v>
      </c>
      <c r="AW308">
        <v>-154050</v>
      </c>
      <c r="AX308">
        <v>0</v>
      </c>
      <c r="AY308">
        <v>-154050</v>
      </c>
      <c r="AZ308">
        <v>0</v>
      </c>
      <c r="BA308">
        <v>0</v>
      </c>
      <c r="BB308">
        <v>0</v>
      </c>
      <c r="BC308">
        <v>0</v>
      </c>
      <c r="BD308">
        <v>0</v>
      </c>
      <c r="BE308">
        <v>0</v>
      </c>
      <c r="BF308">
        <v>-16210606</v>
      </c>
      <c r="BG308">
        <v>0</v>
      </c>
      <c r="BH308">
        <v>0</v>
      </c>
      <c r="BI308">
        <v>0</v>
      </c>
      <c r="BJ308">
        <v>-16210606</v>
      </c>
      <c r="BK308">
        <v>0</v>
      </c>
      <c r="BL308">
        <v>-16210606</v>
      </c>
      <c r="BM308">
        <v>0</v>
      </c>
      <c r="BN308">
        <v>0</v>
      </c>
      <c r="BO308">
        <v>0</v>
      </c>
      <c r="BP308">
        <v>-2048025</v>
      </c>
      <c r="BQ308">
        <v>0</v>
      </c>
      <c r="BR308">
        <v>-2048025</v>
      </c>
      <c r="BS308">
        <v>-2048025</v>
      </c>
      <c r="BT308">
        <v>0</v>
      </c>
      <c r="BU308">
        <v>0</v>
      </c>
      <c r="BV308">
        <v>0</v>
      </c>
      <c r="BW308">
        <v>-2048025</v>
      </c>
      <c r="BX308">
        <v>0</v>
      </c>
      <c r="BY308">
        <v>-2048025</v>
      </c>
      <c r="BZ308">
        <v>-704824</v>
      </c>
      <c r="CA308">
        <v>0</v>
      </c>
      <c r="CB308">
        <v>-704824</v>
      </c>
      <c r="CC308">
        <v>-199385</v>
      </c>
      <c r="CD308">
        <v>0</v>
      </c>
      <c r="CE308">
        <v>-199385</v>
      </c>
      <c r="CF308">
        <v>-7275</v>
      </c>
      <c r="CG308">
        <v>0</v>
      </c>
      <c r="CH308">
        <v>-7275</v>
      </c>
      <c r="CI308">
        <v>0</v>
      </c>
      <c r="CJ308">
        <v>0</v>
      </c>
      <c r="CK308">
        <v>0</v>
      </c>
      <c r="CL308">
        <v>0</v>
      </c>
      <c r="CM308">
        <v>0</v>
      </c>
      <c r="CN308">
        <v>0</v>
      </c>
      <c r="CO308">
        <v>0</v>
      </c>
      <c r="CP308">
        <v>0</v>
      </c>
      <c r="CQ308">
        <v>0</v>
      </c>
      <c r="CR308">
        <v>0</v>
      </c>
      <c r="CS308">
        <v>0</v>
      </c>
      <c r="CT308">
        <v>-911484</v>
      </c>
      <c r="CU308">
        <v>0</v>
      </c>
      <c r="CV308">
        <v>0</v>
      </c>
      <c r="CW308">
        <v>0</v>
      </c>
      <c r="CX308">
        <v>-911484</v>
      </c>
      <c r="CY308">
        <v>0</v>
      </c>
      <c r="CZ308">
        <v>-911484</v>
      </c>
      <c r="DA308">
        <v>0</v>
      </c>
      <c r="DB308">
        <v>0</v>
      </c>
      <c r="DC308">
        <v>0</v>
      </c>
      <c r="DD308">
        <v>-25211</v>
      </c>
      <c r="DE308">
        <v>0</v>
      </c>
      <c r="DF308">
        <v>-25211</v>
      </c>
      <c r="DG308">
        <v>-5000</v>
      </c>
      <c r="DH308">
        <v>0</v>
      </c>
      <c r="DI308">
        <v>-5000</v>
      </c>
      <c r="DJ308">
        <v>-1795914</v>
      </c>
      <c r="DK308">
        <v>0</v>
      </c>
      <c r="DL308">
        <v>-1795914</v>
      </c>
      <c r="DM308">
        <v>-1826125</v>
      </c>
      <c r="DN308">
        <v>0</v>
      </c>
      <c r="DO308">
        <v>0</v>
      </c>
      <c r="DP308">
        <v>0</v>
      </c>
      <c r="DQ308">
        <v>-1826125</v>
      </c>
      <c r="DR308">
        <v>0</v>
      </c>
      <c r="DS308">
        <v>-1826125</v>
      </c>
      <c r="DT308">
        <v>86743992</v>
      </c>
      <c r="DU308">
        <v>0</v>
      </c>
      <c r="DV308" s="661">
        <v>86743992</v>
      </c>
      <c r="DW308" t="s">
        <v>1959</v>
      </c>
    </row>
    <row r="309" spans="1:127" ht="12.75" x14ac:dyDescent="0.2">
      <c r="A309" s="605">
        <v>302</v>
      </c>
      <c r="B309" s="606" t="s">
        <v>491</v>
      </c>
      <c r="C309" s="607" t="s">
        <v>524</v>
      </c>
      <c r="D309" s="608" t="s">
        <v>1194</v>
      </c>
      <c r="E309" s="609" t="s">
        <v>490</v>
      </c>
      <c r="G309">
        <v>389296636</v>
      </c>
      <c r="H309">
        <v>0</v>
      </c>
      <c r="I309">
        <v>389296636</v>
      </c>
      <c r="J309">
        <v>49.9</v>
      </c>
      <c r="K309">
        <v>194259021</v>
      </c>
      <c r="L309">
        <v>0</v>
      </c>
      <c r="M309">
        <v>-1942590</v>
      </c>
      <c r="N309">
        <v>0</v>
      </c>
      <c r="O309">
        <v>192316431</v>
      </c>
      <c r="P309">
        <v>0</v>
      </c>
      <c r="Q309">
        <v>192316431</v>
      </c>
      <c r="R309">
        <v>-996549</v>
      </c>
      <c r="S309">
        <v>0</v>
      </c>
      <c r="T309">
        <v>-996549</v>
      </c>
      <c r="U309">
        <v>1406383</v>
      </c>
      <c r="V309">
        <v>0</v>
      </c>
      <c r="W309">
        <v>1406383</v>
      </c>
      <c r="X309">
        <v>409834</v>
      </c>
      <c r="Y309">
        <v>0</v>
      </c>
      <c r="Z309">
        <v>6148</v>
      </c>
      <c r="AA309">
        <v>0</v>
      </c>
      <c r="AB309">
        <v>415982</v>
      </c>
      <c r="AC309">
        <v>0</v>
      </c>
      <c r="AD309">
        <v>415982</v>
      </c>
      <c r="AE309">
        <v>-415982</v>
      </c>
      <c r="AF309">
        <v>0</v>
      </c>
      <c r="AG309">
        <v>-415982</v>
      </c>
      <c r="AH309">
        <v>-18332799</v>
      </c>
      <c r="AI309">
        <v>0</v>
      </c>
      <c r="AJ309">
        <v>-18332799</v>
      </c>
      <c r="AK309">
        <v>-33023</v>
      </c>
      <c r="AL309">
        <v>0</v>
      </c>
      <c r="AM309">
        <v>-33023</v>
      </c>
      <c r="AN309">
        <v>3424359</v>
      </c>
      <c r="AO309">
        <v>0</v>
      </c>
      <c r="AP309">
        <v>3424359</v>
      </c>
      <c r="AQ309">
        <v>-14908440</v>
      </c>
      <c r="AR309">
        <v>0</v>
      </c>
      <c r="AS309">
        <v>-14908440</v>
      </c>
      <c r="AT309">
        <v>-12646483</v>
      </c>
      <c r="AU309">
        <v>0</v>
      </c>
      <c r="AV309">
        <v>-12646483</v>
      </c>
      <c r="AW309">
        <v>-106286</v>
      </c>
      <c r="AX309">
        <v>0</v>
      </c>
      <c r="AY309">
        <v>-106286</v>
      </c>
      <c r="AZ309">
        <v>-157459</v>
      </c>
      <c r="BA309">
        <v>0</v>
      </c>
      <c r="BB309">
        <v>-157459</v>
      </c>
      <c r="BC309">
        <v>0</v>
      </c>
      <c r="BD309">
        <v>0</v>
      </c>
      <c r="BE309">
        <v>0</v>
      </c>
      <c r="BF309">
        <v>-27818668</v>
      </c>
      <c r="BG309">
        <v>0</v>
      </c>
      <c r="BH309">
        <v>-417280</v>
      </c>
      <c r="BI309">
        <v>0</v>
      </c>
      <c r="BJ309">
        <v>-28235948</v>
      </c>
      <c r="BK309">
        <v>0</v>
      </c>
      <c r="BL309">
        <v>-28235948</v>
      </c>
      <c r="BM309">
        <v>-30000</v>
      </c>
      <c r="BN309">
        <v>0</v>
      </c>
      <c r="BO309">
        <v>-30000</v>
      </c>
      <c r="BP309">
        <v>-3084573</v>
      </c>
      <c r="BQ309">
        <v>0</v>
      </c>
      <c r="BR309">
        <v>-3084573</v>
      </c>
      <c r="BS309">
        <v>-3114573</v>
      </c>
      <c r="BT309">
        <v>0</v>
      </c>
      <c r="BU309">
        <v>-46719</v>
      </c>
      <c r="BV309">
        <v>0</v>
      </c>
      <c r="BW309">
        <v>-3161292</v>
      </c>
      <c r="BX309">
        <v>0</v>
      </c>
      <c r="BY309">
        <v>-3161292</v>
      </c>
      <c r="BZ309">
        <v>-234928</v>
      </c>
      <c r="CA309">
        <v>0</v>
      </c>
      <c r="CB309">
        <v>-234928</v>
      </c>
      <c r="CC309">
        <v>-464001</v>
      </c>
      <c r="CD309">
        <v>0</v>
      </c>
      <c r="CE309">
        <v>-464001</v>
      </c>
      <c r="CF309">
        <v>-1556</v>
      </c>
      <c r="CG309">
        <v>0</v>
      </c>
      <c r="CH309">
        <v>-1556</v>
      </c>
      <c r="CI309">
        <v>0</v>
      </c>
      <c r="CJ309">
        <v>0</v>
      </c>
      <c r="CK309">
        <v>0</v>
      </c>
      <c r="CL309">
        <v>0</v>
      </c>
      <c r="CM309">
        <v>0</v>
      </c>
      <c r="CN309">
        <v>0</v>
      </c>
      <c r="CO309">
        <v>-70000</v>
      </c>
      <c r="CP309">
        <v>0</v>
      </c>
      <c r="CQ309">
        <v>-70000</v>
      </c>
      <c r="CR309">
        <v>0</v>
      </c>
      <c r="CS309">
        <v>0</v>
      </c>
      <c r="CT309">
        <v>-770485</v>
      </c>
      <c r="CU309">
        <v>0</v>
      </c>
      <c r="CV309">
        <v>-11557</v>
      </c>
      <c r="CW309">
        <v>0</v>
      </c>
      <c r="CX309">
        <v>-782042</v>
      </c>
      <c r="CY309">
        <v>0</v>
      </c>
      <c r="CZ309">
        <v>-782042</v>
      </c>
      <c r="DA309">
        <v>-159585</v>
      </c>
      <c r="DB309">
        <v>0</v>
      </c>
      <c r="DC309">
        <v>-159585</v>
      </c>
      <c r="DD309">
        <v>-183651</v>
      </c>
      <c r="DE309">
        <v>0</v>
      </c>
      <c r="DF309">
        <v>-183651</v>
      </c>
      <c r="DG309">
        <v>-26566</v>
      </c>
      <c r="DH309">
        <v>0</v>
      </c>
      <c r="DI309">
        <v>-26566</v>
      </c>
      <c r="DJ309">
        <v>-2693565</v>
      </c>
      <c r="DK309">
        <v>0</v>
      </c>
      <c r="DL309">
        <v>-2693565</v>
      </c>
      <c r="DM309">
        <v>-3063367</v>
      </c>
      <c r="DN309">
        <v>0</v>
      </c>
      <c r="DO309">
        <v>-45951</v>
      </c>
      <c r="DP309">
        <v>0</v>
      </c>
      <c r="DQ309">
        <v>-3109318</v>
      </c>
      <c r="DR309">
        <v>0</v>
      </c>
      <c r="DS309">
        <v>-3109318</v>
      </c>
      <c r="DT309">
        <v>157443813</v>
      </c>
      <c r="DU309">
        <v>0</v>
      </c>
      <c r="DV309" s="661">
        <v>157443813</v>
      </c>
      <c r="DW309" t="s">
        <v>1960</v>
      </c>
    </row>
    <row r="310" spans="1:127" ht="12.75" x14ac:dyDescent="0.2">
      <c r="A310" s="605">
        <v>303</v>
      </c>
      <c r="B310" s="606" t="s">
        <v>493</v>
      </c>
      <c r="C310" s="607" t="s">
        <v>1185</v>
      </c>
      <c r="D310" s="608" t="s">
        <v>1186</v>
      </c>
      <c r="E310" s="609" t="s">
        <v>492</v>
      </c>
      <c r="G310">
        <v>155560069</v>
      </c>
      <c r="H310">
        <v>0</v>
      </c>
      <c r="I310">
        <v>155560069</v>
      </c>
      <c r="J310">
        <v>49.9</v>
      </c>
      <c r="K310">
        <v>77624474</v>
      </c>
      <c r="L310">
        <v>0</v>
      </c>
      <c r="M310">
        <v>0</v>
      </c>
      <c r="N310">
        <v>0</v>
      </c>
      <c r="O310">
        <v>77624474</v>
      </c>
      <c r="P310">
        <v>0</v>
      </c>
      <c r="Q310">
        <v>77624474</v>
      </c>
      <c r="R310">
        <v>-471390</v>
      </c>
      <c r="S310">
        <v>0</v>
      </c>
      <c r="T310">
        <v>-471390</v>
      </c>
      <c r="U310">
        <v>319009</v>
      </c>
      <c r="V310">
        <v>0</v>
      </c>
      <c r="W310">
        <v>319009</v>
      </c>
      <c r="X310">
        <v>-152381</v>
      </c>
      <c r="Y310">
        <v>0</v>
      </c>
      <c r="Z310">
        <v>0</v>
      </c>
      <c r="AA310">
        <v>0</v>
      </c>
      <c r="AB310">
        <v>-152381</v>
      </c>
      <c r="AC310">
        <v>0</v>
      </c>
      <c r="AD310">
        <v>-152381</v>
      </c>
      <c r="AE310">
        <v>152381</v>
      </c>
      <c r="AF310">
        <v>0</v>
      </c>
      <c r="AG310">
        <v>152381</v>
      </c>
      <c r="AH310">
        <v>-4634830</v>
      </c>
      <c r="AI310">
        <v>0</v>
      </c>
      <c r="AJ310">
        <v>-4634830</v>
      </c>
      <c r="AK310">
        <v>-21491</v>
      </c>
      <c r="AL310">
        <v>0</v>
      </c>
      <c r="AM310">
        <v>-21491</v>
      </c>
      <c r="AN310">
        <v>1430243</v>
      </c>
      <c r="AO310">
        <v>0</v>
      </c>
      <c r="AP310">
        <v>1430243</v>
      </c>
      <c r="AQ310">
        <v>-3204587</v>
      </c>
      <c r="AR310">
        <v>0</v>
      </c>
      <c r="AS310">
        <v>-3204587</v>
      </c>
      <c r="AT310">
        <v>-4637035</v>
      </c>
      <c r="AU310">
        <v>0</v>
      </c>
      <c r="AV310">
        <v>-4637035</v>
      </c>
      <c r="AW310">
        <v>-47211</v>
      </c>
      <c r="AX310">
        <v>0</v>
      </c>
      <c r="AY310">
        <v>-47211</v>
      </c>
      <c r="AZ310">
        <v>-8970</v>
      </c>
      <c r="BA310">
        <v>0</v>
      </c>
      <c r="BB310">
        <v>-8970</v>
      </c>
      <c r="BC310">
        <v>-5000</v>
      </c>
      <c r="BD310">
        <v>0</v>
      </c>
      <c r="BE310">
        <v>-5000</v>
      </c>
      <c r="BF310">
        <v>-7902803</v>
      </c>
      <c r="BG310">
        <v>0</v>
      </c>
      <c r="BH310">
        <v>0</v>
      </c>
      <c r="BI310">
        <v>0</v>
      </c>
      <c r="BJ310">
        <v>-7902803</v>
      </c>
      <c r="BK310">
        <v>0</v>
      </c>
      <c r="BL310">
        <v>-7902803</v>
      </c>
      <c r="BM310">
        <v>-25000</v>
      </c>
      <c r="BN310">
        <v>0</v>
      </c>
      <c r="BO310">
        <v>-25000</v>
      </c>
      <c r="BP310">
        <v>-1340555</v>
      </c>
      <c r="BQ310">
        <v>0</v>
      </c>
      <c r="BR310">
        <v>-1340555</v>
      </c>
      <c r="BS310">
        <v>-1365555</v>
      </c>
      <c r="BT310">
        <v>0</v>
      </c>
      <c r="BU310">
        <v>0</v>
      </c>
      <c r="BV310">
        <v>0</v>
      </c>
      <c r="BW310">
        <v>-1365555</v>
      </c>
      <c r="BX310">
        <v>0</v>
      </c>
      <c r="BY310">
        <v>-1365555</v>
      </c>
      <c r="BZ310">
        <v>-61086</v>
      </c>
      <c r="CA310">
        <v>0</v>
      </c>
      <c r="CB310">
        <v>-61086</v>
      </c>
      <c r="CC310">
        <v>-231884</v>
      </c>
      <c r="CD310">
        <v>0</v>
      </c>
      <c r="CE310">
        <v>-231884</v>
      </c>
      <c r="CF310">
        <v>-4270</v>
      </c>
      <c r="CG310">
        <v>0</v>
      </c>
      <c r="CH310">
        <v>-4270</v>
      </c>
      <c r="CI310">
        <v>0</v>
      </c>
      <c r="CJ310">
        <v>0</v>
      </c>
      <c r="CK310">
        <v>0</v>
      </c>
      <c r="CL310">
        <v>0</v>
      </c>
      <c r="CM310">
        <v>0</v>
      </c>
      <c r="CN310">
        <v>0</v>
      </c>
      <c r="CO310">
        <v>0</v>
      </c>
      <c r="CP310">
        <v>0</v>
      </c>
      <c r="CQ310">
        <v>0</v>
      </c>
      <c r="CR310">
        <v>0</v>
      </c>
      <c r="CS310">
        <v>0</v>
      </c>
      <c r="CT310">
        <v>-297240</v>
      </c>
      <c r="CU310">
        <v>0</v>
      </c>
      <c r="CV310">
        <v>0</v>
      </c>
      <c r="CW310">
        <v>0</v>
      </c>
      <c r="CX310">
        <v>-297240</v>
      </c>
      <c r="CY310">
        <v>0</v>
      </c>
      <c r="CZ310">
        <v>-297240</v>
      </c>
      <c r="DA310">
        <v>-5962</v>
      </c>
      <c r="DB310">
        <v>0</v>
      </c>
      <c r="DC310">
        <v>-5962</v>
      </c>
      <c r="DD310">
        <v>-89452</v>
      </c>
      <c r="DE310">
        <v>0</v>
      </c>
      <c r="DF310">
        <v>-89452</v>
      </c>
      <c r="DG310">
        <v>-15142</v>
      </c>
      <c r="DH310">
        <v>0</v>
      </c>
      <c r="DI310">
        <v>-15142</v>
      </c>
      <c r="DJ310">
        <v>-1460000</v>
      </c>
      <c r="DK310">
        <v>0</v>
      </c>
      <c r="DL310">
        <v>-1460000</v>
      </c>
      <c r="DM310">
        <v>-1570556</v>
      </c>
      <c r="DN310">
        <v>0</v>
      </c>
      <c r="DO310">
        <v>0</v>
      </c>
      <c r="DP310">
        <v>0</v>
      </c>
      <c r="DQ310">
        <v>-1570556</v>
      </c>
      <c r="DR310">
        <v>0</v>
      </c>
      <c r="DS310">
        <v>-1570556</v>
      </c>
      <c r="DT310">
        <v>66335939</v>
      </c>
      <c r="DU310">
        <v>0</v>
      </c>
      <c r="DV310" s="661">
        <v>66335939</v>
      </c>
      <c r="DW310" t="s">
        <v>1961</v>
      </c>
    </row>
    <row r="311" spans="1:127" ht="12.75" x14ac:dyDescent="0.2">
      <c r="A311" s="605">
        <v>304</v>
      </c>
      <c r="B311" s="606" t="s">
        <v>495</v>
      </c>
      <c r="C311" s="607" t="s">
        <v>524</v>
      </c>
      <c r="D311" s="608" t="s">
        <v>1186</v>
      </c>
      <c r="E311" s="609" t="s">
        <v>908</v>
      </c>
      <c r="G311">
        <v>218490519</v>
      </c>
      <c r="H311">
        <v>0</v>
      </c>
      <c r="I311">
        <v>218490519</v>
      </c>
      <c r="J311">
        <v>49.9</v>
      </c>
      <c r="K311">
        <v>109026769</v>
      </c>
      <c r="L311">
        <v>0</v>
      </c>
      <c r="M311">
        <v>-4100000</v>
      </c>
      <c r="N311">
        <v>0</v>
      </c>
      <c r="O311">
        <v>104926769</v>
      </c>
      <c r="P311">
        <v>0</v>
      </c>
      <c r="Q311">
        <v>104926769</v>
      </c>
      <c r="R311">
        <v>-463916</v>
      </c>
      <c r="S311">
        <v>0</v>
      </c>
      <c r="T311">
        <v>-463916</v>
      </c>
      <c r="U311">
        <v>932338</v>
      </c>
      <c r="V311">
        <v>0</v>
      </c>
      <c r="W311">
        <v>932338</v>
      </c>
      <c r="X311">
        <v>468422</v>
      </c>
      <c r="Y311">
        <v>0</v>
      </c>
      <c r="Z311">
        <v>0</v>
      </c>
      <c r="AA311">
        <v>0</v>
      </c>
      <c r="AB311">
        <v>468422</v>
      </c>
      <c r="AC311">
        <v>0</v>
      </c>
      <c r="AD311">
        <v>468422</v>
      </c>
      <c r="AE311">
        <v>-468422</v>
      </c>
      <c r="AF311">
        <v>0</v>
      </c>
      <c r="AG311">
        <v>-468422</v>
      </c>
      <c r="AH311">
        <v>-3951960</v>
      </c>
      <c r="AI311">
        <v>0</v>
      </c>
      <c r="AJ311">
        <v>-3951960</v>
      </c>
      <c r="AK311">
        <v>0</v>
      </c>
      <c r="AL311">
        <v>0</v>
      </c>
      <c r="AM311">
        <v>0</v>
      </c>
      <c r="AN311">
        <v>2220672</v>
      </c>
      <c r="AO311">
        <v>0</v>
      </c>
      <c r="AP311">
        <v>2220672</v>
      </c>
      <c r="AQ311">
        <v>-1731288</v>
      </c>
      <c r="AR311">
        <v>0</v>
      </c>
      <c r="AS311">
        <v>-1731288</v>
      </c>
      <c r="AT311">
        <v>-7884554</v>
      </c>
      <c r="AU311">
        <v>0</v>
      </c>
      <c r="AV311">
        <v>-7884554</v>
      </c>
      <c r="AW311">
        <v>0</v>
      </c>
      <c r="AX311">
        <v>0</v>
      </c>
      <c r="AY311">
        <v>0</v>
      </c>
      <c r="AZ311">
        <v>-2880</v>
      </c>
      <c r="BA311">
        <v>0</v>
      </c>
      <c r="BB311">
        <v>-2880</v>
      </c>
      <c r="BC311">
        <v>0</v>
      </c>
      <c r="BD311">
        <v>0</v>
      </c>
      <c r="BE311">
        <v>0</v>
      </c>
      <c r="BF311">
        <v>-9618722</v>
      </c>
      <c r="BG311">
        <v>0</v>
      </c>
      <c r="BH311">
        <v>0</v>
      </c>
      <c r="BI311">
        <v>0</v>
      </c>
      <c r="BJ311">
        <v>-9618722</v>
      </c>
      <c r="BK311">
        <v>0</v>
      </c>
      <c r="BL311">
        <v>-9618722</v>
      </c>
      <c r="BM311">
        <v>0</v>
      </c>
      <c r="BN311">
        <v>0</v>
      </c>
      <c r="BO311">
        <v>0</v>
      </c>
      <c r="BP311">
        <v>-2081048</v>
      </c>
      <c r="BQ311">
        <v>0</v>
      </c>
      <c r="BR311">
        <v>-2081048</v>
      </c>
      <c r="BS311">
        <v>-2081048</v>
      </c>
      <c r="BT311">
        <v>0</v>
      </c>
      <c r="BU311">
        <v>0</v>
      </c>
      <c r="BV311">
        <v>0</v>
      </c>
      <c r="BW311">
        <v>-2081048</v>
      </c>
      <c r="BX311">
        <v>0</v>
      </c>
      <c r="BY311">
        <v>-2081048</v>
      </c>
      <c r="BZ311">
        <v>-440959</v>
      </c>
      <c r="CA311">
        <v>0</v>
      </c>
      <c r="CB311">
        <v>-440959</v>
      </c>
      <c r="CC311">
        <v>-182375</v>
      </c>
      <c r="CD311">
        <v>0</v>
      </c>
      <c r="CE311">
        <v>-182375</v>
      </c>
      <c r="CF311">
        <v>0</v>
      </c>
      <c r="CG311">
        <v>0</v>
      </c>
      <c r="CH311">
        <v>0</v>
      </c>
      <c r="CI311">
        <v>0</v>
      </c>
      <c r="CJ311">
        <v>0</v>
      </c>
      <c r="CK311">
        <v>0</v>
      </c>
      <c r="CL311">
        <v>-9543</v>
      </c>
      <c r="CM311">
        <v>0</v>
      </c>
      <c r="CN311">
        <v>-9543</v>
      </c>
      <c r="CO311">
        <v>-71277</v>
      </c>
      <c r="CP311">
        <v>0</v>
      </c>
      <c r="CQ311">
        <v>-71277</v>
      </c>
      <c r="CR311">
        <v>0</v>
      </c>
      <c r="CS311">
        <v>0</v>
      </c>
      <c r="CT311">
        <v>-704154</v>
      </c>
      <c r="CU311">
        <v>0</v>
      </c>
      <c r="CV311">
        <v>0</v>
      </c>
      <c r="CW311">
        <v>0</v>
      </c>
      <c r="CX311">
        <v>-704154</v>
      </c>
      <c r="CY311">
        <v>0</v>
      </c>
      <c r="CZ311">
        <v>-704154</v>
      </c>
      <c r="DA311">
        <v>-6076</v>
      </c>
      <c r="DB311">
        <v>0</v>
      </c>
      <c r="DC311">
        <v>-6076</v>
      </c>
      <c r="DD311">
        <v>-9617</v>
      </c>
      <c r="DE311">
        <v>0</v>
      </c>
      <c r="DF311">
        <v>-9617</v>
      </c>
      <c r="DG311">
        <v>-19</v>
      </c>
      <c r="DH311">
        <v>0</v>
      </c>
      <c r="DI311">
        <v>-19</v>
      </c>
      <c r="DJ311">
        <v>-2174487</v>
      </c>
      <c r="DK311">
        <v>0</v>
      </c>
      <c r="DL311">
        <v>-2174487</v>
      </c>
      <c r="DM311">
        <v>-2190199</v>
      </c>
      <c r="DN311">
        <v>0</v>
      </c>
      <c r="DO311">
        <v>0</v>
      </c>
      <c r="DP311">
        <v>0</v>
      </c>
      <c r="DQ311">
        <v>-2190199</v>
      </c>
      <c r="DR311">
        <v>0</v>
      </c>
      <c r="DS311">
        <v>-2190199</v>
      </c>
      <c r="DT311">
        <v>90801068</v>
      </c>
      <c r="DU311">
        <v>0</v>
      </c>
      <c r="DV311" s="661">
        <v>90801068</v>
      </c>
      <c r="DW311" t="s">
        <v>1962</v>
      </c>
    </row>
    <row r="312" spans="1:127" ht="12.75" x14ac:dyDescent="0.2">
      <c r="A312" s="605">
        <v>305</v>
      </c>
      <c r="B312" s="606" t="s">
        <v>497</v>
      </c>
      <c r="C312" s="607" t="s">
        <v>1192</v>
      </c>
      <c r="D312" s="608" t="s">
        <v>1187</v>
      </c>
      <c r="E312" s="609" t="s">
        <v>496</v>
      </c>
      <c r="G312">
        <v>189378588</v>
      </c>
      <c r="H312">
        <v>2260700</v>
      </c>
      <c r="I312">
        <v>191639288</v>
      </c>
      <c r="J312">
        <v>49.9</v>
      </c>
      <c r="K312">
        <v>94499915</v>
      </c>
      <c r="L312">
        <v>1128089</v>
      </c>
      <c r="M312">
        <v>0</v>
      </c>
      <c r="N312">
        <v>0</v>
      </c>
      <c r="O312">
        <v>94499915</v>
      </c>
      <c r="P312">
        <v>1128089</v>
      </c>
      <c r="Q312">
        <v>95628004</v>
      </c>
      <c r="R312">
        <v>-506652</v>
      </c>
      <c r="S312">
        <v>0</v>
      </c>
      <c r="T312">
        <v>-506652</v>
      </c>
      <c r="U312">
        <v>942555</v>
      </c>
      <c r="V312">
        <v>0</v>
      </c>
      <c r="W312">
        <v>942555</v>
      </c>
      <c r="X312">
        <v>435903</v>
      </c>
      <c r="Y312">
        <v>0</v>
      </c>
      <c r="Z312">
        <v>0</v>
      </c>
      <c r="AA312">
        <v>0</v>
      </c>
      <c r="AB312">
        <v>435903</v>
      </c>
      <c r="AC312">
        <v>0</v>
      </c>
      <c r="AD312">
        <v>435903</v>
      </c>
      <c r="AE312">
        <v>-435903</v>
      </c>
      <c r="AF312">
        <v>0</v>
      </c>
      <c r="AG312">
        <v>-435903</v>
      </c>
      <c r="AH312">
        <v>-10290866</v>
      </c>
      <c r="AI312">
        <v>-26571</v>
      </c>
      <c r="AJ312">
        <v>-10317437</v>
      </c>
      <c r="AK312">
        <v>-30544</v>
      </c>
      <c r="AL312">
        <v>0</v>
      </c>
      <c r="AM312">
        <v>-30544</v>
      </c>
      <c r="AN312">
        <v>1662632</v>
      </c>
      <c r="AO312">
        <v>26545</v>
      </c>
      <c r="AP312">
        <v>1689177</v>
      </c>
      <c r="AQ312">
        <v>-8628234</v>
      </c>
      <c r="AR312">
        <v>-26</v>
      </c>
      <c r="AS312">
        <v>-8628260</v>
      </c>
      <c r="AT312">
        <v>-5940601</v>
      </c>
      <c r="AU312">
        <v>-104653</v>
      </c>
      <c r="AV312">
        <v>-6045254</v>
      </c>
      <c r="AW312">
        <v>-29512</v>
      </c>
      <c r="AX312">
        <v>0</v>
      </c>
      <c r="AY312">
        <v>-29512</v>
      </c>
      <c r="AZ312">
        <v>0</v>
      </c>
      <c r="BA312">
        <v>0</v>
      </c>
      <c r="BB312">
        <v>0</v>
      </c>
      <c r="BC312">
        <v>0</v>
      </c>
      <c r="BD312">
        <v>0</v>
      </c>
      <c r="BE312">
        <v>0</v>
      </c>
      <c r="BF312">
        <v>-14598347</v>
      </c>
      <c r="BG312">
        <v>-104679</v>
      </c>
      <c r="BH312">
        <v>0</v>
      </c>
      <c r="BI312">
        <v>0</v>
      </c>
      <c r="BJ312">
        <v>-14598347</v>
      </c>
      <c r="BK312">
        <v>-104679</v>
      </c>
      <c r="BL312">
        <v>-14703026</v>
      </c>
      <c r="BM312">
        <v>-50000</v>
      </c>
      <c r="BN312">
        <v>0</v>
      </c>
      <c r="BO312">
        <v>-50000</v>
      </c>
      <c r="BP312">
        <v>-2757134</v>
      </c>
      <c r="BQ312">
        <v>-21990</v>
      </c>
      <c r="BR312">
        <v>-2779124</v>
      </c>
      <c r="BS312">
        <v>-2807134</v>
      </c>
      <c r="BT312">
        <v>-21990</v>
      </c>
      <c r="BU312">
        <v>0</v>
      </c>
      <c r="BV312">
        <v>0</v>
      </c>
      <c r="BW312">
        <v>-2807134</v>
      </c>
      <c r="BX312">
        <v>-21990</v>
      </c>
      <c r="BY312">
        <v>-2829124</v>
      </c>
      <c r="BZ312">
        <v>-686515</v>
      </c>
      <c r="CA312">
        <v>-5683</v>
      </c>
      <c r="CB312">
        <v>-692198</v>
      </c>
      <c r="CC312">
        <v>-113650</v>
      </c>
      <c r="CD312">
        <v>0</v>
      </c>
      <c r="CE312">
        <v>-113650</v>
      </c>
      <c r="CF312">
        <v>-7378</v>
      </c>
      <c r="CG312">
        <v>0</v>
      </c>
      <c r="CH312">
        <v>-7378</v>
      </c>
      <c r="CI312">
        <v>0</v>
      </c>
      <c r="CJ312">
        <v>0</v>
      </c>
      <c r="CK312">
        <v>0</v>
      </c>
      <c r="CL312">
        <v>0</v>
      </c>
      <c r="CM312">
        <v>0</v>
      </c>
      <c r="CN312">
        <v>0</v>
      </c>
      <c r="CO312">
        <v>0</v>
      </c>
      <c r="CP312">
        <v>0</v>
      </c>
      <c r="CQ312">
        <v>0</v>
      </c>
      <c r="CR312">
        <v>0</v>
      </c>
      <c r="CS312">
        <v>0</v>
      </c>
      <c r="CT312">
        <v>-807543</v>
      </c>
      <c r="CU312">
        <v>-5683</v>
      </c>
      <c r="CV312">
        <v>0</v>
      </c>
      <c r="CW312">
        <v>0</v>
      </c>
      <c r="CX312">
        <v>-807543</v>
      </c>
      <c r="CY312">
        <v>-5683</v>
      </c>
      <c r="CZ312">
        <v>-813226</v>
      </c>
      <c r="DA312">
        <v>0</v>
      </c>
      <c r="DB312">
        <v>0</v>
      </c>
      <c r="DC312">
        <v>0</v>
      </c>
      <c r="DD312">
        <v>-29722</v>
      </c>
      <c r="DE312">
        <v>0</v>
      </c>
      <c r="DF312">
        <v>-29722</v>
      </c>
      <c r="DG312">
        <v>-15000</v>
      </c>
      <c r="DH312">
        <v>0</v>
      </c>
      <c r="DI312">
        <v>-15000</v>
      </c>
      <c r="DJ312">
        <v>-2299773</v>
      </c>
      <c r="DK312">
        <v>0</v>
      </c>
      <c r="DL312">
        <v>-2299773</v>
      </c>
      <c r="DM312">
        <v>-2344495</v>
      </c>
      <c r="DN312">
        <v>0</v>
      </c>
      <c r="DO312">
        <v>0</v>
      </c>
      <c r="DP312">
        <v>0</v>
      </c>
      <c r="DQ312">
        <v>-2344495</v>
      </c>
      <c r="DR312">
        <v>0</v>
      </c>
      <c r="DS312">
        <v>-2344495</v>
      </c>
      <c r="DT312">
        <v>74378299</v>
      </c>
      <c r="DU312">
        <v>995737</v>
      </c>
      <c r="DV312" s="661">
        <v>75374036</v>
      </c>
      <c r="DW312" t="s">
        <v>1963</v>
      </c>
    </row>
    <row r="313" spans="1:127" ht="12.75" x14ac:dyDescent="0.2">
      <c r="A313" s="605">
        <v>306</v>
      </c>
      <c r="B313" s="606" t="s">
        <v>499</v>
      </c>
      <c r="C313" s="607" t="s">
        <v>1185</v>
      </c>
      <c r="D313" s="608" t="s">
        <v>1186</v>
      </c>
      <c r="E313" s="609" t="s">
        <v>498</v>
      </c>
      <c r="G313">
        <v>115749593</v>
      </c>
      <c r="H313">
        <v>0</v>
      </c>
      <c r="I313">
        <v>115749593</v>
      </c>
      <c r="J313">
        <v>49.9</v>
      </c>
      <c r="K313">
        <v>57759047</v>
      </c>
      <c r="L313">
        <v>0</v>
      </c>
      <c r="M313">
        <v>0</v>
      </c>
      <c r="N313">
        <v>0</v>
      </c>
      <c r="O313">
        <v>57759047</v>
      </c>
      <c r="P313">
        <v>0</v>
      </c>
      <c r="Q313">
        <v>57759047</v>
      </c>
      <c r="R313">
        <v>-122760</v>
      </c>
      <c r="S313">
        <v>0</v>
      </c>
      <c r="T313">
        <v>-122760</v>
      </c>
      <c r="U313">
        <v>147354</v>
      </c>
      <c r="V313">
        <v>0</v>
      </c>
      <c r="W313">
        <v>147354</v>
      </c>
      <c r="X313">
        <v>24594</v>
      </c>
      <c r="Y313">
        <v>0</v>
      </c>
      <c r="Z313">
        <v>0</v>
      </c>
      <c r="AA313">
        <v>0</v>
      </c>
      <c r="AB313">
        <v>24594</v>
      </c>
      <c r="AC313">
        <v>0</v>
      </c>
      <c r="AD313">
        <v>24594</v>
      </c>
      <c r="AE313">
        <v>-24594</v>
      </c>
      <c r="AF313">
        <v>0</v>
      </c>
      <c r="AG313">
        <v>-24594</v>
      </c>
      <c r="AH313">
        <v>-2421868</v>
      </c>
      <c r="AI313">
        <v>0</v>
      </c>
      <c r="AJ313">
        <v>-2421868</v>
      </c>
      <c r="AK313">
        <v>0</v>
      </c>
      <c r="AL313">
        <v>0</v>
      </c>
      <c r="AM313">
        <v>0</v>
      </c>
      <c r="AN313">
        <v>1170836</v>
      </c>
      <c r="AO313">
        <v>0</v>
      </c>
      <c r="AP313">
        <v>1170836</v>
      </c>
      <c r="AQ313">
        <v>-1251032</v>
      </c>
      <c r="AR313">
        <v>0</v>
      </c>
      <c r="AS313">
        <v>-1251032</v>
      </c>
      <c r="AT313">
        <v>-3842235</v>
      </c>
      <c r="AU313">
        <v>0</v>
      </c>
      <c r="AV313">
        <v>-3842235</v>
      </c>
      <c r="AW313">
        <v>0</v>
      </c>
      <c r="AX313">
        <v>0</v>
      </c>
      <c r="AY313">
        <v>0</v>
      </c>
      <c r="AZ313">
        <v>-1024</v>
      </c>
      <c r="BA313">
        <v>0</v>
      </c>
      <c r="BB313">
        <v>-1024</v>
      </c>
      <c r="BC313">
        <v>0</v>
      </c>
      <c r="BD313">
        <v>0</v>
      </c>
      <c r="BE313">
        <v>0</v>
      </c>
      <c r="BF313">
        <v>-5094291</v>
      </c>
      <c r="BG313">
        <v>0</v>
      </c>
      <c r="BH313">
        <v>0</v>
      </c>
      <c r="BI313">
        <v>0</v>
      </c>
      <c r="BJ313">
        <v>-5094291</v>
      </c>
      <c r="BK313">
        <v>0</v>
      </c>
      <c r="BL313">
        <v>-5094291</v>
      </c>
      <c r="BM313">
        <v>0</v>
      </c>
      <c r="BN313">
        <v>0</v>
      </c>
      <c r="BO313">
        <v>0</v>
      </c>
      <c r="BP313">
        <v>-396098</v>
      </c>
      <c r="BQ313">
        <v>0</v>
      </c>
      <c r="BR313">
        <v>-396098</v>
      </c>
      <c r="BS313">
        <v>-396098</v>
      </c>
      <c r="BT313">
        <v>0</v>
      </c>
      <c r="BU313">
        <v>0</v>
      </c>
      <c r="BV313">
        <v>0</v>
      </c>
      <c r="BW313">
        <v>-396098</v>
      </c>
      <c r="BX313">
        <v>0</v>
      </c>
      <c r="BY313">
        <v>-396098</v>
      </c>
      <c r="BZ313">
        <v>-422815</v>
      </c>
      <c r="CA313">
        <v>0</v>
      </c>
      <c r="CB313">
        <v>-422815</v>
      </c>
      <c r="CC313">
        <v>-85006</v>
      </c>
      <c r="CD313">
        <v>0</v>
      </c>
      <c r="CE313">
        <v>-85006</v>
      </c>
      <c r="CF313">
        <v>0</v>
      </c>
      <c r="CG313">
        <v>0</v>
      </c>
      <c r="CH313">
        <v>0</v>
      </c>
      <c r="CI313">
        <v>-1024</v>
      </c>
      <c r="CJ313">
        <v>0</v>
      </c>
      <c r="CK313">
        <v>-1024</v>
      </c>
      <c r="CL313">
        <v>0</v>
      </c>
      <c r="CM313">
        <v>0</v>
      </c>
      <c r="CN313">
        <v>0</v>
      </c>
      <c r="CO313">
        <v>-250000</v>
      </c>
      <c r="CP313">
        <v>0</v>
      </c>
      <c r="CQ313">
        <v>-250000</v>
      </c>
      <c r="CR313">
        <v>0</v>
      </c>
      <c r="CS313">
        <v>0</v>
      </c>
      <c r="CT313">
        <v>-758845</v>
      </c>
      <c r="CU313">
        <v>0</v>
      </c>
      <c r="CV313">
        <v>0</v>
      </c>
      <c r="CW313">
        <v>0</v>
      </c>
      <c r="CX313">
        <v>-758845</v>
      </c>
      <c r="CY313">
        <v>0</v>
      </c>
      <c r="CZ313">
        <v>-758845</v>
      </c>
      <c r="DA313">
        <v>0</v>
      </c>
      <c r="DB313">
        <v>0</v>
      </c>
      <c r="DC313">
        <v>0</v>
      </c>
      <c r="DD313">
        <v>-15028</v>
      </c>
      <c r="DE313">
        <v>0</v>
      </c>
      <c r="DF313">
        <v>-15028</v>
      </c>
      <c r="DG313">
        <v>-8000</v>
      </c>
      <c r="DH313">
        <v>0</v>
      </c>
      <c r="DI313">
        <v>-8000</v>
      </c>
      <c r="DJ313">
        <v>-954227</v>
      </c>
      <c r="DK313">
        <v>0</v>
      </c>
      <c r="DL313">
        <v>-954227</v>
      </c>
      <c r="DM313">
        <v>-977255</v>
      </c>
      <c r="DN313">
        <v>0</v>
      </c>
      <c r="DO313">
        <v>0</v>
      </c>
      <c r="DP313">
        <v>0</v>
      </c>
      <c r="DQ313">
        <v>-977255</v>
      </c>
      <c r="DR313">
        <v>0</v>
      </c>
      <c r="DS313">
        <v>-977255</v>
      </c>
      <c r="DT313">
        <v>50557152</v>
      </c>
      <c r="DU313">
        <v>0</v>
      </c>
      <c r="DV313" s="661">
        <v>50557152</v>
      </c>
      <c r="DW313" t="s">
        <v>1964</v>
      </c>
    </row>
    <row r="314" spans="1:127" ht="12.75" x14ac:dyDescent="0.2">
      <c r="A314" s="605">
        <v>307</v>
      </c>
      <c r="B314" s="606" t="s">
        <v>501</v>
      </c>
      <c r="C314" s="607" t="s">
        <v>524</v>
      </c>
      <c r="D314" s="608" t="s">
        <v>1186</v>
      </c>
      <c r="E314" s="609" t="s">
        <v>536</v>
      </c>
      <c r="G314">
        <v>179910263</v>
      </c>
      <c r="H314">
        <v>0</v>
      </c>
      <c r="I314">
        <v>179910263</v>
      </c>
      <c r="J314">
        <v>49.9</v>
      </c>
      <c r="K314">
        <v>89775221</v>
      </c>
      <c r="L314">
        <v>0</v>
      </c>
      <c r="M314">
        <v>0</v>
      </c>
      <c r="N314">
        <v>0</v>
      </c>
      <c r="O314">
        <v>89775221</v>
      </c>
      <c r="P314">
        <v>0</v>
      </c>
      <c r="Q314">
        <v>89775221</v>
      </c>
      <c r="R314">
        <v>-594513</v>
      </c>
      <c r="S314">
        <v>0</v>
      </c>
      <c r="T314">
        <v>-594513</v>
      </c>
      <c r="U314">
        <v>35665</v>
      </c>
      <c r="V314">
        <v>0</v>
      </c>
      <c r="W314">
        <v>35665</v>
      </c>
      <c r="X314">
        <v>-558848</v>
      </c>
      <c r="Y314">
        <v>0</v>
      </c>
      <c r="Z314">
        <v>0</v>
      </c>
      <c r="AA314">
        <v>0</v>
      </c>
      <c r="AB314">
        <v>-558848</v>
      </c>
      <c r="AC314">
        <v>0</v>
      </c>
      <c r="AD314">
        <v>-558848</v>
      </c>
      <c r="AE314">
        <v>558848</v>
      </c>
      <c r="AF314">
        <v>0</v>
      </c>
      <c r="AG314">
        <v>558848</v>
      </c>
      <c r="AH314">
        <v>-3597771</v>
      </c>
      <c r="AI314">
        <v>0</v>
      </c>
      <c r="AJ314">
        <v>-3597771</v>
      </c>
      <c r="AK314">
        <v>-7571</v>
      </c>
      <c r="AL314">
        <v>0</v>
      </c>
      <c r="AM314">
        <v>-7571</v>
      </c>
      <c r="AN314">
        <v>1823687</v>
      </c>
      <c r="AO314">
        <v>0</v>
      </c>
      <c r="AP314">
        <v>1823687</v>
      </c>
      <c r="AQ314">
        <v>-1774084</v>
      </c>
      <c r="AR314">
        <v>0</v>
      </c>
      <c r="AS314">
        <v>-1774084</v>
      </c>
      <c r="AT314">
        <v>-7269720</v>
      </c>
      <c r="AU314">
        <v>0</v>
      </c>
      <c r="AV314">
        <v>-7269720</v>
      </c>
      <c r="AW314">
        <v>-66560</v>
      </c>
      <c r="AX314">
        <v>0</v>
      </c>
      <c r="AY314">
        <v>-66560</v>
      </c>
      <c r="AZ314">
        <v>-2650</v>
      </c>
      <c r="BA314">
        <v>0</v>
      </c>
      <c r="BB314">
        <v>-2650</v>
      </c>
      <c r="BC314">
        <v>0</v>
      </c>
      <c r="BD314">
        <v>0</v>
      </c>
      <c r="BE314">
        <v>0</v>
      </c>
      <c r="BF314">
        <v>-9113014</v>
      </c>
      <c r="BG314">
        <v>0</v>
      </c>
      <c r="BH314">
        <v>0</v>
      </c>
      <c r="BI314">
        <v>0</v>
      </c>
      <c r="BJ314">
        <v>-9113014</v>
      </c>
      <c r="BK314">
        <v>0</v>
      </c>
      <c r="BL314">
        <v>-9113014</v>
      </c>
      <c r="BM314">
        <v>-400000</v>
      </c>
      <c r="BN314">
        <v>0</v>
      </c>
      <c r="BO314">
        <v>-400000</v>
      </c>
      <c r="BP314">
        <v>-1867617</v>
      </c>
      <c r="BQ314">
        <v>0</v>
      </c>
      <c r="BR314">
        <v>-1867617</v>
      </c>
      <c r="BS314">
        <v>-2267617</v>
      </c>
      <c r="BT314">
        <v>0</v>
      </c>
      <c r="BU314">
        <v>150000</v>
      </c>
      <c r="BV314">
        <v>0</v>
      </c>
      <c r="BW314">
        <v>-2117617</v>
      </c>
      <c r="BX314">
        <v>0</v>
      </c>
      <c r="BY314">
        <v>-2117617</v>
      </c>
      <c r="BZ314">
        <v>-5439</v>
      </c>
      <c r="CA314">
        <v>0</v>
      </c>
      <c r="CB314">
        <v>-5439</v>
      </c>
      <c r="CC314">
        <v>-46614</v>
      </c>
      <c r="CD314">
        <v>0</v>
      </c>
      <c r="CE314">
        <v>-46614</v>
      </c>
      <c r="CF314">
        <v>-466</v>
      </c>
      <c r="CG314">
        <v>0</v>
      </c>
      <c r="CH314">
        <v>-466</v>
      </c>
      <c r="CI314">
        <v>0</v>
      </c>
      <c r="CJ314">
        <v>0</v>
      </c>
      <c r="CK314">
        <v>0</v>
      </c>
      <c r="CL314">
        <v>0</v>
      </c>
      <c r="CM314">
        <v>0</v>
      </c>
      <c r="CN314">
        <v>0</v>
      </c>
      <c r="CO314">
        <v>-30000</v>
      </c>
      <c r="CP314">
        <v>0</v>
      </c>
      <c r="CQ314">
        <v>-30000</v>
      </c>
      <c r="CR314">
        <v>0</v>
      </c>
      <c r="CS314">
        <v>0</v>
      </c>
      <c r="CT314">
        <v>-82519</v>
      </c>
      <c r="CU314">
        <v>0</v>
      </c>
      <c r="CV314">
        <v>0</v>
      </c>
      <c r="CW314">
        <v>0</v>
      </c>
      <c r="CX314">
        <v>-82519</v>
      </c>
      <c r="CY314">
        <v>0</v>
      </c>
      <c r="CZ314">
        <v>-82519</v>
      </c>
      <c r="DA314">
        <v>-2650</v>
      </c>
      <c r="DB314">
        <v>0</v>
      </c>
      <c r="DC314">
        <v>-2650</v>
      </c>
      <c r="DD314">
        <v>-38117</v>
      </c>
      <c r="DE314">
        <v>0</v>
      </c>
      <c r="DF314">
        <v>-38117</v>
      </c>
      <c r="DG314">
        <v>-11000</v>
      </c>
      <c r="DH314">
        <v>0</v>
      </c>
      <c r="DI314">
        <v>-11000</v>
      </c>
      <c r="DJ314">
        <v>-721629</v>
      </c>
      <c r="DK314">
        <v>0</v>
      </c>
      <c r="DL314">
        <v>-721629</v>
      </c>
      <c r="DM314">
        <v>-773396</v>
      </c>
      <c r="DN314">
        <v>0</v>
      </c>
      <c r="DO314">
        <v>0</v>
      </c>
      <c r="DP314">
        <v>0</v>
      </c>
      <c r="DQ314">
        <v>-773396</v>
      </c>
      <c r="DR314">
        <v>0</v>
      </c>
      <c r="DS314">
        <v>-773396</v>
      </c>
      <c r="DT314">
        <v>77129827</v>
      </c>
      <c r="DU314">
        <v>0</v>
      </c>
      <c r="DV314" s="661">
        <v>77129827</v>
      </c>
      <c r="DW314" t="s">
        <v>1965</v>
      </c>
    </row>
    <row r="315" spans="1:127" ht="12.75" x14ac:dyDescent="0.2">
      <c r="A315" s="605">
        <v>308</v>
      </c>
      <c r="B315" s="606" t="s">
        <v>503</v>
      </c>
      <c r="C315" s="607" t="s">
        <v>1192</v>
      </c>
      <c r="D315" s="608" t="s">
        <v>1195</v>
      </c>
      <c r="E315" s="609" t="s">
        <v>502</v>
      </c>
      <c r="G315">
        <v>194810762</v>
      </c>
      <c r="H315">
        <v>781750</v>
      </c>
      <c r="I315">
        <v>195592512</v>
      </c>
      <c r="J315">
        <v>49.9</v>
      </c>
      <c r="K315">
        <v>97210570</v>
      </c>
      <c r="L315">
        <v>390093</v>
      </c>
      <c r="M315">
        <v>0</v>
      </c>
      <c r="N315">
        <v>0</v>
      </c>
      <c r="O315">
        <v>97210570</v>
      </c>
      <c r="P315">
        <v>390093</v>
      </c>
      <c r="Q315">
        <v>97600663</v>
      </c>
      <c r="R315">
        <v>-577473.93999999994</v>
      </c>
      <c r="S315">
        <v>0</v>
      </c>
      <c r="T315">
        <v>-577473.93999999994</v>
      </c>
      <c r="U315">
        <v>0</v>
      </c>
      <c r="V315">
        <v>0</v>
      </c>
      <c r="W315">
        <v>0</v>
      </c>
      <c r="X315">
        <v>-577473.93999999994</v>
      </c>
      <c r="Y315">
        <v>0</v>
      </c>
      <c r="Z315">
        <v>283854.82</v>
      </c>
      <c r="AA315">
        <v>0</v>
      </c>
      <c r="AB315">
        <v>-293619.11999999994</v>
      </c>
      <c r="AC315">
        <v>0</v>
      </c>
      <c r="AD315">
        <v>-293619.11999999994</v>
      </c>
      <c r="AE315">
        <v>293619.11999999994</v>
      </c>
      <c r="AF315">
        <v>0</v>
      </c>
      <c r="AG315">
        <v>293619.11999999994</v>
      </c>
      <c r="AH315">
        <v>-9770198</v>
      </c>
      <c r="AI315">
        <v>0</v>
      </c>
      <c r="AJ315">
        <v>-9770198</v>
      </c>
      <c r="AK315">
        <v>-22205.5</v>
      </c>
      <c r="AL315">
        <v>0</v>
      </c>
      <c r="AM315">
        <v>-22205.5</v>
      </c>
      <c r="AN315">
        <v>1724799</v>
      </c>
      <c r="AO315">
        <v>0</v>
      </c>
      <c r="AP315">
        <v>1724799</v>
      </c>
      <c r="AQ315">
        <v>-8045399</v>
      </c>
      <c r="AR315">
        <v>0</v>
      </c>
      <c r="AS315">
        <v>-8045399</v>
      </c>
      <c r="AT315">
        <v>-6753644.1100000003</v>
      </c>
      <c r="AU315">
        <v>0</v>
      </c>
      <c r="AV315">
        <v>-6753644.1100000003</v>
      </c>
      <c r="AW315">
        <v>-13916.16</v>
      </c>
      <c r="AX315">
        <v>0</v>
      </c>
      <c r="AY315">
        <v>-13916.16</v>
      </c>
      <c r="AZ315">
        <v>0</v>
      </c>
      <c r="BA315">
        <v>0</v>
      </c>
      <c r="BB315">
        <v>0</v>
      </c>
      <c r="BC315">
        <v>0</v>
      </c>
      <c r="BD315">
        <v>0</v>
      </c>
      <c r="BE315">
        <v>0</v>
      </c>
      <c r="BF315">
        <v>-14812959.27</v>
      </c>
      <c r="BG315">
        <v>0</v>
      </c>
      <c r="BH315">
        <v>0</v>
      </c>
      <c r="BI315">
        <v>0</v>
      </c>
      <c r="BJ315">
        <v>-14812959.27</v>
      </c>
      <c r="BK315">
        <v>0</v>
      </c>
      <c r="BL315">
        <v>-14812959.27</v>
      </c>
      <c r="BM315">
        <v>0</v>
      </c>
      <c r="BN315">
        <v>0</v>
      </c>
      <c r="BO315">
        <v>0</v>
      </c>
      <c r="BP315">
        <v>-3099366.9370187069</v>
      </c>
      <c r="BQ315">
        <v>0</v>
      </c>
      <c r="BR315">
        <v>-3099366.9370187069</v>
      </c>
      <c r="BS315">
        <v>-3099366.9370187069</v>
      </c>
      <c r="BT315">
        <v>0</v>
      </c>
      <c r="BU315">
        <v>0</v>
      </c>
      <c r="BV315">
        <v>0</v>
      </c>
      <c r="BW315">
        <v>-3099366.9370187069</v>
      </c>
      <c r="BX315">
        <v>0</v>
      </c>
      <c r="BY315">
        <v>-3099366.9370187069</v>
      </c>
      <c r="BZ315">
        <v>-219090.4</v>
      </c>
      <c r="CA315">
        <v>0</v>
      </c>
      <c r="CB315">
        <v>-219090.4</v>
      </c>
      <c r="CC315">
        <v>-369281.39</v>
      </c>
      <c r="CD315">
        <v>0</v>
      </c>
      <c r="CE315">
        <v>-369281.39</v>
      </c>
      <c r="CF315">
        <v>-1840.64</v>
      </c>
      <c r="CG315">
        <v>0</v>
      </c>
      <c r="CH315">
        <v>-1840.64</v>
      </c>
      <c r="CI315">
        <v>0</v>
      </c>
      <c r="CJ315">
        <v>0</v>
      </c>
      <c r="CK315">
        <v>0</v>
      </c>
      <c r="CL315">
        <v>0</v>
      </c>
      <c r="CM315">
        <v>0</v>
      </c>
      <c r="CN315">
        <v>0</v>
      </c>
      <c r="CO315">
        <v>0</v>
      </c>
      <c r="CP315">
        <v>0</v>
      </c>
      <c r="CQ315">
        <v>0</v>
      </c>
      <c r="CR315">
        <v>0</v>
      </c>
      <c r="CS315">
        <v>0</v>
      </c>
      <c r="CT315">
        <v>-590212.43000000005</v>
      </c>
      <c r="CU315">
        <v>0</v>
      </c>
      <c r="CV315">
        <v>0</v>
      </c>
      <c r="CW315">
        <v>0</v>
      </c>
      <c r="CX315">
        <v>-590212.43000000005</v>
      </c>
      <c r="CY315">
        <v>0</v>
      </c>
      <c r="CZ315">
        <v>-590212.43000000005</v>
      </c>
      <c r="DA315">
        <v>0</v>
      </c>
      <c r="DB315">
        <v>0</v>
      </c>
      <c r="DC315">
        <v>0</v>
      </c>
      <c r="DD315">
        <v>-39366.519999999997</v>
      </c>
      <c r="DE315">
        <v>0</v>
      </c>
      <c r="DF315">
        <v>-39366.519999999997</v>
      </c>
      <c r="DG315">
        <v>-11202</v>
      </c>
      <c r="DH315">
        <v>0</v>
      </c>
      <c r="DI315">
        <v>-11202</v>
      </c>
      <c r="DJ315">
        <v>-1449315.09</v>
      </c>
      <c r="DK315">
        <v>0</v>
      </c>
      <c r="DL315">
        <v>-1449315.09</v>
      </c>
      <c r="DM315">
        <v>-1499883.61</v>
      </c>
      <c r="DN315">
        <v>0</v>
      </c>
      <c r="DO315">
        <v>0</v>
      </c>
      <c r="DP315">
        <v>0</v>
      </c>
      <c r="DQ315">
        <v>-1499883.61</v>
      </c>
      <c r="DR315">
        <v>0</v>
      </c>
      <c r="DS315">
        <v>-1499883.61</v>
      </c>
      <c r="DT315">
        <v>76914528.632981285</v>
      </c>
      <c r="DU315">
        <v>390093</v>
      </c>
      <c r="DV315" s="661">
        <v>77304621.632981285</v>
      </c>
      <c r="DW315" t="s">
        <v>1966</v>
      </c>
    </row>
    <row r="316" spans="1:127" ht="12.75" x14ac:dyDescent="0.2">
      <c r="A316" s="605">
        <v>309</v>
      </c>
      <c r="B316" s="606" t="s">
        <v>505</v>
      </c>
      <c r="C316" s="607" t="s">
        <v>1185</v>
      </c>
      <c r="D316" s="608" t="s">
        <v>1195</v>
      </c>
      <c r="E316" s="609" t="s">
        <v>504</v>
      </c>
      <c r="G316">
        <v>106245152</v>
      </c>
      <c r="H316">
        <v>0</v>
      </c>
      <c r="I316">
        <v>106245152</v>
      </c>
      <c r="J316">
        <v>49.9</v>
      </c>
      <c r="K316">
        <v>53016331</v>
      </c>
      <c r="L316">
        <v>0</v>
      </c>
      <c r="M316">
        <v>0</v>
      </c>
      <c r="N316">
        <v>0</v>
      </c>
      <c r="O316">
        <v>53016331</v>
      </c>
      <c r="P316">
        <v>0</v>
      </c>
      <c r="Q316">
        <v>53016331</v>
      </c>
      <c r="R316">
        <v>-237007</v>
      </c>
      <c r="S316">
        <v>0</v>
      </c>
      <c r="T316">
        <v>-237007</v>
      </c>
      <c r="U316">
        <v>285677</v>
      </c>
      <c r="V316">
        <v>0</v>
      </c>
      <c r="W316">
        <v>285677</v>
      </c>
      <c r="X316">
        <v>48670</v>
      </c>
      <c r="Y316">
        <v>0</v>
      </c>
      <c r="Z316">
        <v>0</v>
      </c>
      <c r="AA316">
        <v>0</v>
      </c>
      <c r="AB316">
        <v>48670</v>
      </c>
      <c r="AC316">
        <v>0</v>
      </c>
      <c r="AD316">
        <v>48670</v>
      </c>
      <c r="AE316">
        <v>-48670</v>
      </c>
      <c r="AF316">
        <v>0</v>
      </c>
      <c r="AG316">
        <v>-48670</v>
      </c>
      <c r="AH316">
        <v>-3432085</v>
      </c>
      <c r="AI316">
        <v>0</v>
      </c>
      <c r="AJ316">
        <v>-3432085</v>
      </c>
      <c r="AK316">
        <v>0</v>
      </c>
      <c r="AL316">
        <v>0</v>
      </c>
      <c r="AM316">
        <v>0</v>
      </c>
      <c r="AN316">
        <v>1037972</v>
      </c>
      <c r="AO316">
        <v>0</v>
      </c>
      <c r="AP316">
        <v>1037972</v>
      </c>
      <c r="AQ316">
        <v>-2394113</v>
      </c>
      <c r="AR316">
        <v>0</v>
      </c>
      <c r="AS316">
        <v>-2394113</v>
      </c>
      <c r="AT316">
        <v>-4567785</v>
      </c>
      <c r="AU316">
        <v>0</v>
      </c>
      <c r="AV316">
        <v>-4567785</v>
      </c>
      <c r="AW316">
        <v>-19046</v>
      </c>
      <c r="AX316">
        <v>0</v>
      </c>
      <c r="AY316">
        <v>-19046</v>
      </c>
      <c r="AZ316">
        <v>0</v>
      </c>
      <c r="BA316">
        <v>0</v>
      </c>
      <c r="BB316">
        <v>0</v>
      </c>
      <c r="BC316">
        <v>0</v>
      </c>
      <c r="BD316">
        <v>0</v>
      </c>
      <c r="BE316">
        <v>0</v>
      </c>
      <c r="BF316">
        <v>-6980944</v>
      </c>
      <c r="BG316">
        <v>0</v>
      </c>
      <c r="BH316">
        <v>0</v>
      </c>
      <c r="BI316">
        <v>0</v>
      </c>
      <c r="BJ316">
        <v>-6980944</v>
      </c>
      <c r="BK316">
        <v>0</v>
      </c>
      <c r="BL316">
        <v>-6980944</v>
      </c>
      <c r="BM316">
        <v>0</v>
      </c>
      <c r="BN316">
        <v>0</v>
      </c>
      <c r="BO316">
        <v>0</v>
      </c>
      <c r="BP316">
        <v>-1594415</v>
      </c>
      <c r="BQ316">
        <v>0</v>
      </c>
      <c r="BR316">
        <v>-1594415</v>
      </c>
      <c r="BS316">
        <v>-1594415</v>
      </c>
      <c r="BT316">
        <v>0</v>
      </c>
      <c r="BU316">
        <v>-1072871</v>
      </c>
      <c r="BV316">
        <v>0</v>
      </c>
      <c r="BW316">
        <v>-2667286</v>
      </c>
      <c r="BX316">
        <v>0</v>
      </c>
      <c r="BY316">
        <v>-2667286</v>
      </c>
      <c r="BZ316">
        <v>-199415</v>
      </c>
      <c r="CA316">
        <v>0</v>
      </c>
      <c r="CB316">
        <v>-199415</v>
      </c>
      <c r="CC316">
        <v>-10340</v>
      </c>
      <c r="CD316">
        <v>0</v>
      </c>
      <c r="CE316">
        <v>-10340</v>
      </c>
      <c r="CF316">
        <v>-4761</v>
      </c>
      <c r="CG316">
        <v>0</v>
      </c>
      <c r="CH316">
        <v>-4761</v>
      </c>
      <c r="CI316">
        <v>0</v>
      </c>
      <c r="CJ316">
        <v>0</v>
      </c>
      <c r="CK316">
        <v>0</v>
      </c>
      <c r="CL316">
        <v>0</v>
      </c>
      <c r="CM316">
        <v>0</v>
      </c>
      <c r="CN316">
        <v>0</v>
      </c>
      <c r="CO316">
        <v>0</v>
      </c>
      <c r="CP316">
        <v>0</v>
      </c>
      <c r="CQ316">
        <v>0</v>
      </c>
      <c r="CR316">
        <v>0</v>
      </c>
      <c r="CS316">
        <v>0</v>
      </c>
      <c r="CT316">
        <v>-214516</v>
      </c>
      <c r="CU316">
        <v>0</v>
      </c>
      <c r="CV316">
        <v>0</v>
      </c>
      <c r="CW316">
        <v>0</v>
      </c>
      <c r="CX316">
        <v>-214516</v>
      </c>
      <c r="CY316">
        <v>0</v>
      </c>
      <c r="CZ316">
        <v>-214516</v>
      </c>
      <c r="DA316">
        <v>0</v>
      </c>
      <c r="DB316">
        <v>0</v>
      </c>
      <c r="DC316">
        <v>0</v>
      </c>
      <c r="DD316">
        <v>-11472</v>
      </c>
      <c r="DE316">
        <v>0</v>
      </c>
      <c r="DF316">
        <v>-11472</v>
      </c>
      <c r="DG316">
        <v>-6801</v>
      </c>
      <c r="DH316">
        <v>0</v>
      </c>
      <c r="DI316">
        <v>-6801</v>
      </c>
      <c r="DJ316">
        <v>-1308163</v>
      </c>
      <c r="DK316">
        <v>0</v>
      </c>
      <c r="DL316">
        <v>-1308163</v>
      </c>
      <c r="DM316">
        <v>-1326436</v>
      </c>
      <c r="DN316">
        <v>0</v>
      </c>
      <c r="DO316">
        <v>0</v>
      </c>
      <c r="DP316">
        <v>0</v>
      </c>
      <c r="DQ316">
        <v>-1326436</v>
      </c>
      <c r="DR316">
        <v>0</v>
      </c>
      <c r="DS316">
        <v>-1326436</v>
      </c>
      <c r="DT316">
        <v>41875819</v>
      </c>
      <c r="DU316">
        <v>0</v>
      </c>
      <c r="DV316" s="661">
        <v>41875819</v>
      </c>
      <c r="DW316" t="s">
        <v>1967</v>
      </c>
    </row>
    <row r="317" spans="1:127" ht="12.75" x14ac:dyDescent="0.2">
      <c r="A317" s="605">
        <v>310</v>
      </c>
      <c r="B317" s="610" t="s">
        <v>507</v>
      </c>
      <c r="C317" s="607" t="s">
        <v>1185</v>
      </c>
      <c r="D317" s="608" t="s">
        <v>1186</v>
      </c>
      <c r="E317" s="613" t="s">
        <v>506</v>
      </c>
      <c r="G317">
        <v>80407069</v>
      </c>
      <c r="H317">
        <v>0</v>
      </c>
      <c r="I317">
        <v>80407069</v>
      </c>
      <c r="J317">
        <v>49.9</v>
      </c>
      <c r="K317">
        <v>40123127</v>
      </c>
      <c r="L317">
        <v>0</v>
      </c>
      <c r="M317">
        <v>0</v>
      </c>
      <c r="N317">
        <v>0</v>
      </c>
      <c r="O317">
        <v>40123127</v>
      </c>
      <c r="P317">
        <v>0</v>
      </c>
      <c r="Q317">
        <v>40123127</v>
      </c>
      <c r="R317">
        <v>-158887</v>
      </c>
      <c r="S317">
        <v>0</v>
      </c>
      <c r="T317">
        <v>-158887</v>
      </c>
      <c r="U317">
        <v>0</v>
      </c>
      <c r="V317">
        <v>0</v>
      </c>
      <c r="W317">
        <v>0</v>
      </c>
      <c r="X317">
        <v>-158887</v>
      </c>
      <c r="Y317">
        <v>0</v>
      </c>
      <c r="Z317">
        <v>86057</v>
      </c>
      <c r="AA317">
        <v>0</v>
      </c>
      <c r="AB317">
        <v>-72830</v>
      </c>
      <c r="AC317">
        <v>0</v>
      </c>
      <c r="AD317">
        <v>-72830</v>
      </c>
      <c r="AE317">
        <v>72830</v>
      </c>
      <c r="AF317">
        <v>0</v>
      </c>
      <c r="AG317">
        <v>72830</v>
      </c>
      <c r="AH317">
        <v>-3723314</v>
      </c>
      <c r="AI317">
        <v>0</v>
      </c>
      <c r="AJ317">
        <v>-3723314</v>
      </c>
      <c r="AK317">
        <v>0</v>
      </c>
      <c r="AL317">
        <v>0</v>
      </c>
      <c r="AM317">
        <v>0</v>
      </c>
      <c r="AN317">
        <v>722875</v>
      </c>
      <c r="AO317">
        <v>0</v>
      </c>
      <c r="AP317">
        <v>722875</v>
      </c>
      <c r="AQ317">
        <v>-3000439</v>
      </c>
      <c r="AR317">
        <v>0</v>
      </c>
      <c r="AS317">
        <v>-3000439</v>
      </c>
      <c r="AT317">
        <v>-3210165</v>
      </c>
      <c r="AU317">
        <v>0</v>
      </c>
      <c r="AV317">
        <v>-3210165</v>
      </c>
      <c r="AW317">
        <v>-42578</v>
      </c>
      <c r="AX317">
        <v>0</v>
      </c>
      <c r="AY317">
        <v>-42578</v>
      </c>
      <c r="AZ317">
        <v>0</v>
      </c>
      <c r="BA317">
        <v>0</v>
      </c>
      <c r="BB317">
        <v>0</v>
      </c>
      <c r="BC317">
        <v>0</v>
      </c>
      <c r="BD317">
        <v>0</v>
      </c>
      <c r="BE317">
        <v>0</v>
      </c>
      <c r="BF317">
        <v>-6253182</v>
      </c>
      <c r="BG317">
        <v>0</v>
      </c>
      <c r="BH317">
        <v>0</v>
      </c>
      <c r="BI317">
        <v>0</v>
      </c>
      <c r="BJ317">
        <v>-6253182</v>
      </c>
      <c r="BK317">
        <v>0</v>
      </c>
      <c r="BL317">
        <v>-6253182</v>
      </c>
      <c r="BM317">
        <v>0</v>
      </c>
      <c r="BN317">
        <v>0</v>
      </c>
      <c r="BO317">
        <v>0</v>
      </c>
      <c r="BP317">
        <v>-350239</v>
      </c>
      <c r="BQ317">
        <v>0</v>
      </c>
      <c r="BR317">
        <v>-350239</v>
      </c>
      <c r="BS317">
        <v>-350239</v>
      </c>
      <c r="BT317">
        <v>0</v>
      </c>
      <c r="BU317">
        <v>0</v>
      </c>
      <c r="BV317">
        <v>0</v>
      </c>
      <c r="BW317">
        <v>-350239</v>
      </c>
      <c r="BX317">
        <v>0</v>
      </c>
      <c r="BY317">
        <v>-350239</v>
      </c>
      <c r="BZ317">
        <v>-195602</v>
      </c>
      <c r="CA317">
        <v>0</v>
      </c>
      <c r="CB317">
        <v>-195602</v>
      </c>
      <c r="CC317">
        <v>-5584</v>
      </c>
      <c r="CD317">
        <v>0</v>
      </c>
      <c r="CE317">
        <v>-5584</v>
      </c>
      <c r="CF317">
        <v>-614</v>
      </c>
      <c r="CG317">
        <v>0</v>
      </c>
      <c r="CH317">
        <v>-614</v>
      </c>
      <c r="CI317">
        <v>0</v>
      </c>
      <c r="CJ317">
        <v>0</v>
      </c>
      <c r="CK317">
        <v>0</v>
      </c>
      <c r="CL317">
        <v>0</v>
      </c>
      <c r="CM317">
        <v>0</v>
      </c>
      <c r="CN317">
        <v>0</v>
      </c>
      <c r="CO317">
        <v>0</v>
      </c>
      <c r="CP317">
        <v>0</v>
      </c>
      <c r="CQ317">
        <v>0</v>
      </c>
      <c r="CR317">
        <v>0</v>
      </c>
      <c r="CS317">
        <v>0</v>
      </c>
      <c r="CT317">
        <v>-201800</v>
      </c>
      <c r="CU317">
        <v>0</v>
      </c>
      <c r="CV317">
        <v>0</v>
      </c>
      <c r="CW317">
        <v>0</v>
      </c>
      <c r="CX317">
        <v>-201800</v>
      </c>
      <c r="CY317">
        <v>0</v>
      </c>
      <c r="CZ317">
        <v>-201800</v>
      </c>
      <c r="DA317">
        <v>0</v>
      </c>
      <c r="DB317">
        <v>0</v>
      </c>
      <c r="DC317">
        <v>0</v>
      </c>
      <c r="DD317">
        <v>-18400</v>
      </c>
      <c r="DE317">
        <v>0</v>
      </c>
      <c r="DF317">
        <v>-18400</v>
      </c>
      <c r="DG317">
        <v>0</v>
      </c>
      <c r="DH317">
        <v>0</v>
      </c>
      <c r="DI317">
        <v>0</v>
      </c>
      <c r="DJ317">
        <v>-917410</v>
      </c>
      <c r="DK317">
        <v>0</v>
      </c>
      <c r="DL317">
        <v>-917410</v>
      </c>
      <c r="DM317">
        <v>-935810</v>
      </c>
      <c r="DN317">
        <v>0</v>
      </c>
      <c r="DO317">
        <v>-454205</v>
      </c>
      <c r="DP317">
        <v>0</v>
      </c>
      <c r="DQ317">
        <v>-1390015</v>
      </c>
      <c r="DR317">
        <v>0</v>
      </c>
      <c r="DS317">
        <v>-1390015</v>
      </c>
      <c r="DT317">
        <v>31855061</v>
      </c>
      <c r="DU317">
        <v>0</v>
      </c>
      <c r="DV317" s="661">
        <v>31855061</v>
      </c>
      <c r="DW317" t="s">
        <v>1968</v>
      </c>
    </row>
    <row r="318" spans="1:127" ht="12.75" x14ac:dyDescent="0.2">
      <c r="A318" s="605">
        <v>311</v>
      </c>
      <c r="B318" s="606" t="s">
        <v>509</v>
      </c>
      <c r="C318" s="607" t="s">
        <v>1185</v>
      </c>
      <c r="D318" s="608" t="s">
        <v>1195</v>
      </c>
      <c r="E318" s="609" t="s">
        <v>508</v>
      </c>
      <c r="G318">
        <v>112336680</v>
      </c>
      <c r="H318">
        <v>0</v>
      </c>
      <c r="I318">
        <v>112336680</v>
      </c>
      <c r="J318">
        <v>49.9</v>
      </c>
      <c r="K318">
        <v>56056003</v>
      </c>
      <c r="L318">
        <v>0</v>
      </c>
      <c r="M318">
        <v>0</v>
      </c>
      <c r="N318">
        <v>0</v>
      </c>
      <c r="O318">
        <v>56056003</v>
      </c>
      <c r="P318">
        <v>0</v>
      </c>
      <c r="Q318">
        <v>56056003</v>
      </c>
      <c r="R318">
        <v>-397939</v>
      </c>
      <c r="S318">
        <v>0</v>
      </c>
      <c r="T318">
        <v>-397939</v>
      </c>
      <c r="U318">
        <v>227874</v>
      </c>
      <c r="V318">
        <v>0</v>
      </c>
      <c r="W318">
        <v>227874</v>
      </c>
      <c r="X318">
        <v>-170065</v>
      </c>
      <c r="Y318">
        <v>0</v>
      </c>
      <c r="Z318">
        <v>0</v>
      </c>
      <c r="AA318">
        <v>0</v>
      </c>
      <c r="AB318">
        <v>-170065</v>
      </c>
      <c r="AC318">
        <v>0</v>
      </c>
      <c r="AD318">
        <v>-170065</v>
      </c>
      <c r="AE318">
        <v>170065</v>
      </c>
      <c r="AF318">
        <v>0</v>
      </c>
      <c r="AG318">
        <v>170065</v>
      </c>
      <c r="AH318">
        <v>-5839748</v>
      </c>
      <c r="AI318">
        <v>0</v>
      </c>
      <c r="AJ318">
        <v>-5839748</v>
      </c>
      <c r="AK318">
        <v>0</v>
      </c>
      <c r="AL318">
        <v>0</v>
      </c>
      <c r="AM318">
        <v>0</v>
      </c>
      <c r="AN318">
        <v>987492</v>
      </c>
      <c r="AO318">
        <v>0</v>
      </c>
      <c r="AP318">
        <v>987492</v>
      </c>
      <c r="AQ318">
        <v>-4852256</v>
      </c>
      <c r="AR318">
        <v>0</v>
      </c>
      <c r="AS318">
        <v>-4852256</v>
      </c>
      <c r="AT318">
        <v>-2327466</v>
      </c>
      <c r="AU318">
        <v>0</v>
      </c>
      <c r="AV318">
        <v>-2327466</v>
      </c>
      <c r="AW318">
        <v>-60819</v>
      </c>
      <c r="AX318">
        <v>0</v>
      </c>
      <c r="AY318">
        <v>-60819</v>
      </c>
      <c r="AZ318">
        <v>-37196</v>
      </c>
      <c r="BA318">
        <v>0</v>
      </c>
      <c r="BB318">
        <v>-37196</v>
      </c>
      <c r="BC318">
        <v>0</v>
      </c>
      <c r="BD318">
        <v>0</v>
      </c>
      <c r="BE318">
        <v>0</v>
      </c>
      <c r="BF318">
        <v>-7277737</v>
      </c>
      <c r="BG318">
        <v>0</v>
      </c>
      <c r="BH318">
        <v>0</v>
      </c>
      <c r="BI318">
        <v>0</v>
      </c>
      <c r="BJ318">
        <v>-7277737</v>
      </c>
      <c r="BK318">
        <v>0</v>
      </c>
      <c r="BL318">
        <v>-7277737</v>
      </c>
      <c r="BM318">
        <v>0</v>
      </c>
      <c r="BN318">
        <v>0</v>
      </c>
      <c r="BO318">
        <v>0</v>
      </c>
      <c r="BP318">
        <v>-1500878</v>
      </c>
      <c r="BQ318">
        <v>0</v>
      </c>
      <c r="BR318">
        <v>-1500878</v>
      </c>
      <c r="BS318">
        <v>-1500878</v>
      </c>
      <c r="BT318">
        <v>0</v>
      </c>
      <c r="BU318">
        <v>-262386</v>
      </c>
      <c r="BV318">
        <v>0</v>
      </c>
      <c r="BW318">
        <v>-1763264</v>
      </c>
      <c r="BX318">
        <v>0</v>
      </c>
      <c r="BY318">
        <v>-1763264</v>
      </c>
      <c r="BZ318">
        <v>-173115</v>
      </c>
      <c r="CA318">
        <v>0</v>
      </c>
      <c r="CB318">
        <v>-173115</v>
      </c>
      <c r="CC318">
        <v>-26280</v>
      </c>
      <c r="CD318">
        <v>0</v>
      </c>
      <c r="CE318">
        <v>-26280</v>
      </c>
      <c r="CF318">
        <v>-11979</v>
      </c>
      <c r="CG318">
        <v>0</v>
      </c>
      <c r="CH318">
        <v>-11979</v>
      </c>
      <c r="CI318">
        <v>0</v>
      </c>
      <c r="CJ318">
        <v>0</v>
      </c>
      <c r="CK318">
        <v>0</v>
      </c>
      <c r="CL318">
        <v>-3409</v>
      </c>
      <c r="CM318">
        <v>0</v>
      </c>
      <c r="CN318">
        <v>-3409</v>
      </c>
      <c r="CO318">
        <v>0</v>
      </c>
      <c r="CP318">
        <v>0</v>
      </c>
      <c r="CQ318">
        <v>0</v>
      </c>
      <c r="CR318">
        <v>0</v>
      </c>
      <c r="CS318">
        <v>0</v>
      </c>
      <c r="CT318">
        <v>-214783</v>
      </c>
      <c r="CU318">
        <v>0</v>
      </c>
      <c r="CV318">
        <v>0</v>
      </c>
      <c r="CW318">
        <v>0</v>
      </c>
      <c r="CX318">
        <v>-214783</v>
      </c>
      <c r="CY318">
        <v>0</v>
      </c>
      <c r="CZ318">
        <v>-214783</v>
      </c>
      <c r="DA318">
        <v>-48923</v>
      </c>
      <c r="DB318">
        <v>0</v>
      </c>
      <c r="DC318">
        <v>-48923</v>
      </c>
      <c r="DD318">
        <v>-28687</v>
      </c>
      <c r="DE318">
        <v>0</v>
      </c>
      <c r="DF318">
        <v>-28687</v>
      </c>
      <c r="DG318">
        <v>-8419</v>
      </c>
      <c r="DH318">
        <v>0</v>
      </c>
      <c r="DI318">
        <v>-8419</v>
      </c>
      <c r="DJ318">
        <v>-1154656</v>
      </c>
      <c r="DK318">
        <v>0</v>
      </c>
      <c r="DL318">
        <v>-1154656</v>
      </c>
      <c r="DM318">
        <v>-1240685</v>
      </c>
      <c r="DN318">
        <v>0</v>
      </c>
      <c r="DO318">
        <v>0</v>
      </c>
      <c r="DP318">
        <v>0</v>
      </c>
      <c r="DQ318">
        <v>-1240685</v>
      </c>
      <c r="DR318">
        <v>0</v>
      </c>
      <c r="DS318">
        <v>-1240685</v>
      </c>
      <c r="DT318">
        <v>45389469</v>
      </c>
      <c r="DU318">
        <v>0</v>
      </c>
      <c r="DV318" s="661">
        <v>45389469</v>
      </c>
      <c r="DW318" t="s">
        <v>1969</v>
      </c>
    </row>
    <row r="319" spans="1:127" ht="12.75" x14ac:dyDescent="0.2">
      <c r="A319" s="605">
        <v>312</v>
      </c>
      <c r="B319" s="606" t="s">
        <v>513</v>
      </c>
      <c r="C319" s="607" t="s">
        <v>1185</v>
      </c>
      <c r="D319" s="608" t="s">
        <v>1187</v>
      </c>
      <c r="E319" s="609" t="s">
        <v>512</v>
      </c>
      <c r="G319">
        <v>64732109</v>
      </c>
      <c r="H319">
        <v>5894420</v>
      </c>
      <c r="I319">
        <v>70626529</v>
      </c>
      <c r="J319">
        <v>49.9</v>
      </c>
      <c r="K319">
        <v>32301322</v>
      </c>
      <c r="L319">
        <v>2941316</v>
      </c>
      <c r="M319">
        <v>0</v>
      </c>
      <c r="N319">
        <v>0</v>
      </c>
      <c r="O319">
        <v>32301322</v>
      </c>
      <c r="P319">
        <v>2941316</v>
      </c>
      <c r="Q319">
        <v>35242638</v>
      </c>
      <c r="R319">
        <v>-183081</v>
      </c>
      <c r="S319">
        <v>-256</v>
      </c>
      <c r="T319">
        <v>-183337</v>
      </c>
      <c r="U319">
        <v>1058035</v>
      </c>
      <c r="V319">
        <v>0</v>
      </c>
      <c r="W319">
        <v>1058035</v>
      </c>
      <c r="X319">
        <v>874954</v>
      </c>
      <c r="Y319">
        <v>-256</v>
      </c>
      <c r="Z319">
        <v>0</v>
      </c>
      <c r="AA319">
        <v>0</v>
      </c>
      <c r="AB319">
        <v>874954</v>
      </c>
      <c r="AC319">
        <v>-256</v>
      </c>
      <c r="AD319">
        <v>874698</v>
      </c>
      <c r="AE319">
        <v>-874954</v>
      </c>
      <c r="AF319">
        <v>256</v>
      </c>
      <c r="AG319">
        <v>-874698</v>
      </c>
      <c r="AH319">
        <v>-5350221</v>
      </c>
      <c r="AI319">
        <v>-47394</v>
      </c>
      <c r="AJ319">
        <v>-5397615</v>
      </c>
      <c r="AK319">
        <v>-23511</v>
      </c>
      <c r="AL319">
        <v>-1846</v>
      </c>
      <c r="AM319">
        <v>-25357</v>
      </c>
      <c r="AN319">
        <v>457024</v>
      </c>
      <c r="AO319">
        <v>72248</v>
      </c>
      <c r="AP319">
        <v>529272</v>
      </c>
      <c r="AQ319">
        <v>-4893197</v>
      </c>
      <c r="AR319">
        <v>24854</v>
      </c>
      <c r="AS319">
        <v>-4868343</v>
      </c>
      <c r="AT319">
        <v>-2065504</v>
      </c>
      <c r="AU319">
        <v>-18432</v>
      </c>
      <c r="AV319">
        <v>-2083936</v>
      </c>
      <c r="AW319">
        <v>-30214</v>
      </c>
      <c r="AX319">
        <v>0</v>
      </c>
      <c r="AY319">
        <v>-30214</v>
      </c>
      <c r="AZ319">
        <v>-205</v>
      </c>
      <c r="BA319">
        <v>0</v>
      </c>
      <c r="BB319">
        <v>-205</v>
      </c>
      <c r="BC319">
        <v>0</v>
      </c>
      <c r="BD319">
        <v>0</v>
      </c>
      <c r="BE319">
        <v>0</v>
      </c>
      <c r="BF319">
        <v>-6989120</v>
      </c>
      <c r="BG319">
        <v>6422</v>
      </c>
      <c r="BH319">
        <v>0</v>
      </c>
      <c r="BI319">
        <v>0</v>
      </c>
      <c r="BJ319">
        <v>-6989120</v>
      </c>
      <c r="BK319">
        <v>6422</v>
      </c>
      <c r="BL319">
        <v>-6982698</v>
      </c>
      <c r="BM319">
        <v>0</v>
      </c>
      <c r="BN319">
        <v>0</v>
      </c>
      <c r="BO319">
        <v>0</v>
      </c>
      <c r="BP319">
        <v>-565608</v>
      </c>
      <c r="BQ319">
        <v>-123091</v>
      </c>
      <c r="BR319">
        <v>-688699</v>
      </c>
      <c r="BS319">
        <v>-565608</v>
      </c>
      <c r="BT319">
        <v>-123091</v>
      </c>
      <c r="BU319">
        <v>0</v>
      </c>
      <c r="BV319">
        <v>0</v>
      </c>
      <c r="BW319">
        <v>-565608</v>
      </c>
      <c r="BX319">
        <v>-123091</v>
      </c>
      <c r="BY319">
        <v>-688699</v>
      </c>
      <c r="BZ319">
        <v>-2866</v>
      </c>
      <c r="CA319">
        <v>0</v>
      </c>
      <c r="CB319">
        <v>-2866</v>
      </c>
      <c r="CC319">
        <v>-64479</v>
      </c>
      <c r="CD319">
        <v>0</v>
      </c>
      <c r="CE319">
        <v>-64479</v>
      </c>
      <c r="CF319">
        <v>0</v>
      </c>
      <c r="CG319">
        <v>0</v>
      </c>
      <c r="CH319">
        <v>0</v>
      </c>
      <c r="CI319">
        <v>0</v>
      </c>
      <c r="CJ319">
        <v>0</v>
      </c>
      <c r="CK319">
        <v>0</v>
      </c>
      <c r="CL319">
        <v>0</v>
      </c>
      <c r="CM319">
        <v>0</v>
      </c>
      <c r="CN319">
        <v>0</v>
      </c>
      <c r="CO319">
        <v>0</v>
      </c>
      <c r="CP319">
        <v>0</v>
      </c>
      <c r="CQ319">
        <v>0</v>
      </c>
      <c r="CR319">
        <v>0</v>
      </c>
      <c r="CS319">
        <v>0</v>
      </c>
      <c r="CT319">
        <v>-67345</v>
      </c>
      <c r="CU319">
        <v>0</v>
      </c>
      <c r="CV319">
        <v>0</v>
      </c>
      <c r="CW319">
        <v>0</v>
      </c>
      <c r="CX319">
        <v>-67345</v>
      </c>
      <c r="CY319">
        <v>0</v>
      </c>
      <c r="CZ319">
        <v>-67345</v>
      </c>
      <c r="DA319">
        <v>0</v>
      </c>
      <c r="DB319">
        <v>0</v>
      </c>
      <c r="DC319">
        <v>0</v>
      </c>
      <c r="DD319">
        <v>-16332</v>
      </c>
      <c r="DE319">
        <v>0</v>
      </c>
      <c r="DF319">
        <v>-16332</v>
      </c>
      <c r="DG319">
        <v>0</v>
      </c>
      <c r="DH319">
        <v>0</v>
      </c>
      <c r="DI319">
        <v>0</v>
      </c>
      <c r="DJ319">
        <v>-855713</v>
      </c>
      <c r="DK319">
        <v>0</v>
      </c>
      <c r="DL319">
        <v>-855713</v>
      </c>
      <c r="DM319">
        <v>-872045</v>
      </c>
      <c r="DN319">
        <v>0</v>
      </c>
      <c r="DO319">
        <v>0</v>
      </c>
      <c r="DP319">
        <v>0</v>
      </c>
      <c r="DQ319">
        <v>-872045</v>
      </c>
      <c r="DR319">
        <v>0</v>
      </c>
      <c r="DS319">
        <v>-872045</v>
      </c>
      <c r="DT319">
        <v>24682158</v>
      </c>
      <c r="DU319">
        <v>2824391</v>
      </c>
      <c r="DV319" s="661">
        <v>27506549</v>
      </c>
      <c r="DW319" t="s">
        <v>1970</v>
      </c>
    </row>
    <row r="320" spans="1:127" ht="12.75" x14ac:dyDescent="0.2">
      <c r="A320" s="605">
        <v>313</v>
      </c>
      <c r="B320" s="606" t="s">
        <v>515</v>
      </c>
      <c r="C320" s="607" t="s">
        <v>1185</v>
      </c>
      <c r="D320" s="608" t="s">
        <v>1195</v>
      </c>
      <c r="E320" s="609" t="s">
        <v>514</v>
      </c>
      <c r="G320">
        <v>75451755</v>
      </c>
      <c r="H320">
        <v>0</v>
      </c>
      <c r="I320">
        <v>75451755</v>
      </c>
      <c r="J320">
        <v>49.9</v>
      </c>
      <c r="K320">
        <v>37650426</v>
      </c>
      <c r="L320">
        <v>0</v>
      </c>
      <c r="M320">
        <v>-150000</v>
      </c>
      <c r="N320">
        <v>0</v>
      </c>
      <c r="O320">
        <v>37500426</v>
      </c>
      <c r="P320">
        <v>0</v>
      </c>
      <c r="Q320">
        <v>37500426</v>
      </c>
      <c r="R320">
        <v>-164320</v>
      </c>
      <c r="S320">
        <v>0</v>
      </c>
      <c r="T320">
        <v>-164320</v>
      </c>
      <c r="U320">
        <v>89248</v>
      </c>
      <c r="V320">
        <v>0</v>
      </c>
      <c r="W320">
        <v>89248</v>
      </c>
      <c r="X320">
        <v>-75072</v>
      </c>
      <c r="Y320">
        <v>0</v>
      </c>
      <c r="Z320">
        <v>0</v>
      </c>
      <c r="AA320">
        <v>0</v>
      </c>
      <c r="AB320">
        <v>-75072</v>
      </c>
      <c r="AC320">
        <v>0</v>
      </c>
      <c r="AD320">
        <v>-75072</v>
      </c>
      <c r="AE320">
        <v>75072</v>
      </c>
      <c r="AF320">
        <v>0</v>
      </c>
      <c r="AG320">
        <v>75072</v>
      </c>
      <c r="AH320">
        <v>-3986210</v>
      </c>
      <c r="AI320">
        <v>0</v>
      </c>
      <c r="AJ320">
        <v>-3986210</v>
      </c>
      <c r="AK320">
        <v>0</v>
      </c>
      <c r="AL320">
        <v>0</v>
      </c>
      <c r="AM320">
        <v>0</v>
      </c>
      <c r="AN320">
        <v>658190</v>
      </c>
      <c r="AO320">
        <v>0</v>
      </c>
      <c r="AP320">
        <v>658190</v>
      </c>
      <c r="AQ320">
        <v>-3328020</v>
      </c>
      <c r="AR320">
        <v>0</v>
      </c>
      <c r="AS320">
        <v>-3328020</v>
      </c>
      <c r="AT320">
        <v>-2363741</v>
      </c>
      <c r="AU320">
        <v>0</v>
      </c>
      <c r="AV320">
        <v>-2363741</v>
      </c>
      <c r="AW320">
        <v>-51429</v>
      </c>
      <c r="AX320">
        <v>0</v>
      </c>
      <c r="AY320">
        <v>-51429</v>
      </c>
      <c r="AZ320">
        <v>-10854</v>
      </c>
      <c r="BA320">
        <v>0</v>
      </c>
      <c r="BB320">
        <v>-10854</v>
      </c>
      <c r="BC320">
        <v>0</v>
      </c>
      <c r="BD320">
        <v>0</v>
      </c>
      <c r="BE320">
        <v>0</v>
      </c>
      <c r="BF320">
        <v>-5754044</v>
      </c>
      <c r="BG320">
        <v>0</v>
      </c>
      <c r="BH320">
        <v>-200000</v>
      </c>
      <c r="BI320">
        <v>0</v>
      </c>
      <c r="BJ320">
        <v>-5954044</v>
      </c>
      <c r="BK320">
        <v>0</v>
      </c>
      <c r="BL320">
        <v>-5954044</v>
      </c>
      <c r="BM320">
        <v>0</v>
      </c>
      <c r="BN320">
        <v>0</v>
      </c>
      <c r="BO320">
        <v>0</v>
      </c>
      <c r="BP320">
        <v>-1051598</v>
      </c>
      <c r="BQ320">
        <v>0</v>
      </c>
      <c r="BR320">
        <v>-1051598</v>
      </c>
      <c r="BS320">
        <v>-1051598</v>
      </c>
      <c r="BT320">
        <v>0</v>
      </c>
      <c r="BU320">
        <v>-150000</v>
      </c>
      <c r="BV320">
        <v>0</v>
      </c>
      <c r="BW320">
        <v>-1201598</v>
      </c>
      <c r="BX320">
        <v>0</v>
      </c>
      <c r="BY320">
        <v>-1201598</v>
      </c>
      <c r="BZ320">
        <v>-83960</v>
      </c>
      <c r="CA320">
        <v>0</v>
      </c>
      <c r="CB320">
        <v>-83960</v>
      </c>
      <c r="CC320">
        <v>-126781</v>
      </c>
      <c r="CD320">
        <v>0</v>
      </c>
      <c r="CE320">
        <v>-126781</v>
      </c>
      <c r="CF320">
        <v>0</v>
      </c>
      <c r="CG320">
        <v>0</v>
      </c>
      <c r="CH320">
        <v>0</v>
      </c>
      <c r="CI320">
        <v>0</v>
      </c>
      <c r="CJ320">
        <v>0</v>
      </c>
      <c r="CK320">
        <v>0</v>
      </c>
      <c r="CL320">
        <v>0</v>
      </c>
      <c r="CM320">
        <v>0</v>
      </c>
      <c r="CN320">
        <v>0</v>
      </c>
      <c r="CO320">
        <v>0</v>
      </c>
      <c r="CP320">
        <v>0</v>
      </c>
      <c r="CQ320">
        <v>0</v>
      </c>
      <c r="CR320">
        <v>0</v>
      </c>
      <c r="CS320">
        <v>0</v>
      </c>
      <c r="CT320">
        <v>-210741</v>
      </c>
      <c r="CU320">
        <v>0</v>
      </c>
      <c r="CV320">
        <v>-50000</v>
      </c>
      <c r="CW320">
        <v>0</v>
      </c>
      <c r="CX320">
        <v>-260741</v>
      </c>
      <c r="CY320">
        <v>0</v>
      </c>
      <c r="CZ320">
        <v>-260741</v>
      </c>
      <c r="DA320">
        <v>-10854</v>
      </c>
      <c r="DB320">
        <v>0</v>
      </c>
      <c r="DC320">
        <v>-10854</v>
      </c>
      <c r="DD320">
        <v>-17958</v>
      </c>
      <c r="DE320">
        <v>0</v>
      </c>
      <c r="DF320">
        <v>-17958</v>
      </c>
      <c r="DG320">
        <v>-3000</v>
      </c>
      <c r="DH320">
        <v>0</v>
      </c>
      <c r="DI320">
        <v>-3000</v>
      </c>
      <c r="DJ320">
        <v>-787617</v>
      </c>
      <c r="DK320">
        <v>0</v>
      </c>
      <c r="DL320">
        <v>-787617</v>
      </c>
      <c r="DM320">
        <v>-819429</v>
      </c>
      <c r="DN320">
        <v>0</v>
      </c>
      <c r="DO320">
        <v>-454808</v>
      </c>
      <c r="DP320">
        <v>0</v>
      </c>
      <c r="DQ320">
        <v>-1274237</v>
      </c>
      <c r="DR320">
        <v>0</v>
      </c>
      <c r="DS320">
        <v>-1274237</v>
      </c>
      <c r="DT320">
        <v>28734734</v>
      </c>
      <c r="DU320">
        <v>0</v>
      </c>
      <c r="DV320" s="661">
        <v>28734734</v>
      </c>
      <c r="DW320" t="s">
        <v>1971</v>
      </c>
    </row>
    <row r="321" spans="1:127" ht="13.5" thickBot="1" x14ac:dyDescent="0.25">
      <c r="A321" s="605">
        <v>314</v>
      </c>
      <c r="B321" s="606" t="s">
        <v>517</v>
      </c>
      <c r="C321" s="607" t="s">
        <v>524</v>
      </c>
      <c r="D321" s="608" t="s">
        <v>1193</v>
      </c>
      <c r="E321" s="609" t="s">
        <v>597</v>
      </c>
      <c r="G321">
        <v>252518911</v>
      </c>
      <c r="H321">
        <v>3514150</v>
      </c>
      <c r="I321">
        <v>256033061</v>
      </c>
      <c r="J321">
        <v>49.9</v>
      </c>
      <c r="K321">
        <v>126006937</v>
      </c>
      <c r="L321">
        <v>1753561</v>
      </c>
      <c r="M321">
        <v>0</v>
      </c>
      <c r="N321">
        <v>0</v>
      </c>
      <c r="O321">
        <v>126006937</v>
      </c>
      <c r="P321">
        <v>1753561</v>
      </c>
      <c r="Q321">
        <v>127760498</v>
      </c>
      <c r="R321">
        <v>-486714</v>
      </c>
      <c r="S321">
        <v>-72211</v>
      </c>
      <c r="T321">
        <v>-558925</v>
      </c>
      <c r="U321">
        <v>989842</v>
      </c>
      <c r="V321">
        <v>15536</v>
      </c>
      <c r="W321">
        <v>1005378</v>
      </c>
      <c r="X321">
        <v>503128</v>
      </c>
      <c r="Y321">
        <v>-56675</v>
      </c>
      <c r="Z321">
        <v>0</v>
      </c>
      <c r="AA321">
        <v>0</v>
      </c>
      <c r="AB321">
        <v>503128</v>
      </c>
      <c r="AC321">
        <v>-56675</v>
      </c>
      <c r="AD321">
        <v>446453</v>
      </c>
      <c r="AE321">
        <v>-503128</v>
      </c>
      <c r="AF321">
        <v>56675</v>
      </c>
      <c r="AG321">
        <v>-446453</v>
      </c>
      <c r="AH321">
        <v>-6512253</v>
      </c>
      <c r="AI321">
        <v>-6523</v>
      </c>
      <c r="AJ321">
        <v>-6518776</v>
      </c>
      <c r="AK321">
        <v>-50000</v>
      </c>
      <c r="AL321">
        <v>0</v>
      </c>
      <c r="AM321">
        <v>-50000</v>
      </c>
      <c r="AN321">
        <v>2506873</v>
      </c>
      <c r="AO321">
        <v>42115</v>
      </c>
      <c r="AP321">
        <v>2548988</v>
      </c>
      <c r="AQ321">
        <v>-4005380</v>
      </c>
      <c r="AR321">
        <v>35592</v>
      </c>
      <c r="AS321">
        <v>-3969788</v>
      </c>
      <c r="AT321">
        <v>-11076963</v>
      </c>
      <c r="AU321">
        <v>-688892</v>
      </c>
      <c r="AV321">
        <v>-11765855</v>
      </c>
      <c r="AW321">
        <v>-98756</v>
      </c>
      <c r="AX321">
        <v>0</v>
      </c>
      <c r="AY321">
        <v>-98756</v>
      </c>
      <c r="AZ321">
        <v>-4360</v>
      </c>
      <c r="BA321">
        <v>0</v>
      </c>
      <c r="BB321">
        <v>-4360</v>
      </c>
      <c r="BC321">
        <v>0</v>
      </c>
      <c r="BD321">
        <v>0</v>
      </c>
      <c r="BE321">
        <v>0</v>
      </c>
      <c r="BF321">
        <v>-15185459</v>
      </c>
      <c r="BG321">
        <v>-653300</v>
      </c>
      <c r="BH321">
        <v>0</v>
      </c>
      <c r="BI321">
        <v>0</v>
      </c>
      <c r="BJ321">
        <v>-15185459</v>
      </c>
      <c r="BK321">
        <v>-653300</v>
      </c>
      <c r="BL321">
        <v>-15838759</v>
      </c>
      <c r="BM321">
        <v>-20000</v>
      </c>
      <c r="BN321">
        <v>0</v>
      </c>
      <c r="BO321">
        <v>-20000</v>
      </c>
      <c r="BP321">
        <v>-2909581</v>
      </c>
      <c r="BQ321">
        <v>-3618</v>
      </c>
      <c r="BR321">
        <v>-2913199</v>
      </c>
      <c r="BS321">
        <v>-2929581</v>
      </c>
      <c r="BT321">
        <v>-3618</v>
      </c>
      <c r="BU321">
        <v>0</v>
      </c>
      <c r="BV321">
        <v>0</v>
      </c>
      <c r="BW321">
        <v>-2929581</v>
      </c>
      <c r="BX321">
        <v>-3618</v>
      </c>
      <c r="BY321">
        <v>-2933199</v>
      </c>
      <c r="BZ321">
        <v>-52801</v>
      </c>
      <c r="CA321">
        <v>-5322</v>
      </c>
      <c r="CB321">
        <v>-58123</v>
      </c>
      <c r="CC321">
        <v>-12055</v>
      </c>
      <c r="CD321">
        <v>0</v>
      </c>
      <c r="CE321">
        <v>-12055</v>
      </c>
      <c r="CF321">
        <v>-8258</v>
      </c>
      <c r="CG321">
        <v>0</v>
      </c>
      <c r="CH321">
        <v>-8258</v>
      </c>
      <c r="CI321">
        <v>0</v>
      </c>
      <c r="CJ321">
        <v>0</v>
      </c>
      <c r="CK321">
        <v>0</v>
      </c>
      <c r="CL321">
        <v>-20931</v>
      </c>
      <c r="CM321">
        <v>0</v>
      </c>
      <c r="CN321">
        <v>-20931</v>
      </c>
      <c r="CO321">
        <v>-43000</v>
      </c>
      <c r="CP321">
        <v>0</v>
      </c>
      <c r="CQ321">
        <v>-43000</v>
      </c>
      <c r="CR321">
        <v>0</v>
      </c>
      <c r="CS321">
        <v>0</v>
      </c>
      <c r="CT321">
        <v>-137045</v>
      </c>
      <c r="CU321">
        <v>-5322</v>
      </c>
      <c r="CV321">
        <v>0</v>
      </c>
      <c r="CW321">
        <v>0</v>
      </c>
      <c r="CX321">
        <v>-137045</v>
      </c>
      <c r="CY321">
        <v>-5322</v>
      </c>
      <c r="CZ321">
        <v>-142367</v>
      </c>
      <c r="DA321">
        <v>-4360</v>
      </c>
      <c r="DB321">
        <v>0</v>
      </c>
      <c r="DC321">
        <v>-4360</v>
      </c>
      <c r="DD321">
        <v>-38871</v>
      </c>
      <c r="DE321">
        <v>0</v>
      </c>
      <c r="DF321">
        <v>-38871</v>
      </c>
      <c r="DG321">
        <v>-22511</v>
      </c>
      <c r="DH321">
        <v>0</v>
      </c>
      <c r="DI321">
        <v>-22511</v>
      </c>
      <c r="DJ321">
        <v>-2356511</v>
      </c>
      <c r="DK321">
        <v>-3307</v>
      </c>
      <c r="DL321">
        <v>-2359818</v>
      </c>
      <c r="DM321">
        <v>-2422253</v>
      </c>
      <c r="DN321">
        <v>-3307</v>
      </c>
      <c r="DO321">
        <v>0</v>
      </c>
      <c r="DP321">
        <v>0</v>
      </c>
      <c r="DQ321">
        <v>-2422253</v>
      </c>
      <c r="DR321">
        <v>-3307</v>
      </c>
      <c r="DS321">
        <v>-2425560</v>
      </c>
      <c r="DT321">
        <v>105835727</v>
      </c>
      <c r="DU321">
        <v>1031339</v>
      </c>
      <c r="DV321" s="661">
        <v>106867066</v>
      </c>
      <c r="DW321" t="s">
        <v>1972</v>
      </c>
    </row>
    <row r="322" spans="1:127" ht="13.5" thickBot="1" x14ac:dyDescent="0.25">
      <c r="A322" s="614">
        <v>315</v>
      </c>
      <c r="B322" s="765" t="s">
        <v>518</v>
      </c>
      <c r="C322" s="615"/>
      <c r="D322" s="766" t="s">
        <v>1189</v>
      </c>
      <c r="E322" s="616" t="s">
        <v>1198</v>
      </c>
      <c r="F322" s="767"/>
      <c r="G322" s="767">
        <v>63406446799</v>
      </c>
      <c r="H322" s="767">
        <v>664944769</v>
      </c>
      <c r="I322" s="767">
        <v>64071391568</v>
      </c>
      <c r="J322" s="767">
        <v>49.9</v>
      </c>
      <c r="K322" s="767">
        <v>31639816959</v>
      </c>
      <c r="L322" s="767">
        <v>331807441</v>
      </c>
      <c r="M322" s="767">
        <v>135937912</v>
      </c>
      <c r="N322" s="767">
        <v>20642995</v>
      </c>
      <c r="O322" s="767">
        <v>31775754871</v>
      </c>
      <c r="P322" s="767">
        <v>352450436</v>
      </c>
      <c r="Q322" s="767">
        <v>32128205307</v>
      </c>
      <c r="R322" s="767">
        <v>-163459235.72999999</v>
      </c>
      <c r="S322" s="767">
        <v>-968194</v>
      </c>
      <c r="T322" s="767">
        <v>-164427429.72999999</v>
      </c>
      <c r="U322" s="767">
        <v>212398435.21000001</v>
      </c>
      <c r="V322" s="767">
        <v>2872197</v>
      </c>
      <c r="W322" s="767">
        <v>215270632.21000001</v>
      </c>
      <c r="X322" s="767">
        <v>48939199.480000004</v>
      </c>
      <c r="Y322" s="767">
        <v>1904003</v>
      </c>
      <c r="Z322" s="767">
        <v>-589312.17999999993</v>
      </c>
      <c r="AA322" s="767">
        <v>-609523</v>
      </c>
      <c r="AB322" s="767">
        <v>48349887.300000004</v>
      </c>
      <c r="AC322" s="767">
        <v>1294480</v>
      </c>
      <c r="AD322" s="767">
        <v>49644367.300000004</v>
      </c>
      <c r="AE322" s="767">
        <v>-48349887.300000004</v>
      </c>
      <c r="AF322" s="767">
        <v>-1294480</v>
      </c>
      <c r="AG322" s="767">
        <v>-49644367.300000004</v>
      </c>
      <c r="AH322" s="767">
        <v>-2008672964.1700001</v>
      </c>
      <c r="AI322" s="767">
        <v>-7246535</v>
      </c>
      <c r="AJ322" s="767">
        <v>-2015919499.1700001</v>
      </c>
      <c r="AK322" s="767">
        <v>-3235123.5</v>
      </c>
      <c r="AL322" s="767">
        <v>-43454</v>
      </c>
      <c r="AM322" s="767">
        <v>-3278577.5</v>
      </c>
      <c r="AN322" s="767">
        <v>629933645.66999996</v>
      </c>
      <c r="AO322" s="767">
        <v>7306048.5</v>
      </c>
      <c r="AP322" s="767">
        <v>637239694.16999996</v>
      </c>
      <c r="AQ322" s="767">
        <v>-1378739318.5</v>
      </c>
      <c r="AR322" s="767">
        <v>59513.5</v>
      </c>
      <c r="AS322" s="767">
        <v>-1378679805</v>
      </c>
      <c r="AT322" s="767">
        <v>-2022563295.23</v>
      </c>
      <c r="AU322" s="767">
        <v>-13698453</v>
      </c>
      <c r="AV322" s="767">
        <v>-2036261748.23</v>
      </c>
      <c r="AW322" s="767">
        <v>-20784039.500000004</v>
      </c>
      <c r="AX322" s="767">
        <v>-18432</v>
      </c>
      <c r="AY322" s="767">
        <v>-20802471.500000004</v>
      </c>
      <c r="AZ322" s="767">
        <v>-4300476.79</v>
      </c>
      <c r="BA322" s="767">
        <v>0</v>
      </c>
      <c r="BB322" s="767">
        <v>-4300476.79</v>
      </c>
      <c r="BC322" s="767">
        <v>-329356</v>
      </c>
      <c r="BD322" s="767">
        <v>0</v>
      </c>
      <c r="BE322" s="767">
        <v>-329356</v>
      </c>
      <c r="BF322" s="767">
        <v>-3426716486.02</v>
      </c>
      <c r="BG322" s="767">
        <v>-13657371.5</v>
      </c>
      <c r="BH322" s="767">
        <v>-23290620</v>
      </c>
      <c r="BI322" s="767">
        <v>-569424</v>
      </c>
      <c r="BJ322" s="767">
        <v>-3450007106.02</v>
      </c>
      <c r="BK322" s="767">
        <v>-14226795.5</v>
      </c>
      <c r="BL322" s="767">
        <v>-3464233901.52</v>
      </c>
      <c r="BM322" s="767">
        <v>-19487712</v>
      </c>
      <c r="BN322" s="767">
        <v>-89953</v>
      </c>
      <c r="BO322" s="767">
        <v>-19577665</v>
      </c>
      <c r="BP322" s="767">
        <v>-856854003.70701873</v>
      </c>
      <c r="BQ322" s="767">
        <v>-17571234</v>
      </c>
      <c r="BR322" s="767">
        <v>-874425237.70701873</v>
      </c>
      <c r="BS322" s="767">
        <v>-876341715.70701873</v>
      </c>
      <c r="BT322" s="767">
        <v>-17661187</v>
      </c>
      <c r="BU322" s="767">
        <v>-64089403</v>
      </c>
      <c r="BV322" s="767">
        <v>-2655186</v>
      </c>
      <c r="BW322" s="767">
        <v>-940431118.70701873</v>
      </c>
      <c r="BX322" s="767">
        <v>-20316373</v>
      </c>
      <c r="BY322" s="767">
        <v>-960747491.70701873</v>
      </c>
      <c r="BZ322" s="767">
        <v>-48408164.420000002</v>
      </c>
      <c r="CA322" s="767">
        <v>-133274</v>
      </c>
      <c r="CB322" s="767">
        <v>-48541438.420000002</v>
      </c>
      <c r="CC322" s="767">
        <v>-36033415.909999996</v>
      </c>
      <c r="CD322" s="767">
        <v>-243306</v>
      </c>
      <c r="CE322" s="767">
        <v>-36276721.909999996</v>
      </c>
      <c r="CF322" s="767">
        <v>-1333446.72</v>
      </c>
      <c r="CG322" s="767">
        <v>0</v>
      </c>
      <c r="CH322" s="767">
        <v>-1333446.72</v>
      </c>
      <c r="CI322" s="767">
        <v>-320449.8</v>
      </c>
      <c r="CJ322" s="767">
        <v>0</v>
      </c>
      <c r="CK322" s="767">
        <v>-320449.8</v>
      </c>
      <c r="CL322" s="767">
        <v>-969231</v>
      </c>
      <c r="CM322" s="767">
        <v>0</v>
      </c>
      <c r="CN322" s="767">
        <v>-969231</v>
      </c>
      <c r="CO322" s="767">
        <v>-8186762</v>
      </c>
      <c r="CP322" s="767">
        <v>-14763577</v>
      </c>
      <c r="CQ322" s="767">
        <v>-22950339</v>
      </c>
      <c r="CR322" s="767">
        <v>-14508389</v>
      </c>
      <c r="CS322" s="767">
        <v>-1930824</v>
      </c>
      <c r="CT322" s="767">
        <v>-95251469.850000009</v>
      </c>
      <c r="CU322" s="767">
        <v>-15140157</v>
      </c>
      <c r="CV322" s="767">
        <v>-1005825</v>
      </c>
      <c r="CW322" s="767">
        <v>-464195</v>
      </c>
      <c r="CX322" s="767">
        <v>-96257294.850000009</v>
      </c>
      <c r="CY322" s="767">
        <v>-15604352</v>
      </c>
      <c r="CZ322" s="767">
        <v>-111861646.85000001</v>
      </c>
      <c r="DA322" s="767">
        <v>-4420499</v>
      </c>
      <c r="DB322" s="767">
        <v>0</v>
      </c>
      <c r="DC322" s="767">
        <v>-4420499</v>
      </c>
      <c r="DD322" s="767">
        <v>-15085681.609999999</v>
      </c>
      <c r="DE322" s="767">
        <v>-31975</v>
      </c>
      <c r="DF322" s="767">
        <v>-15117656.609999999</v>
      </c>
      <c r="DG322" s="767">
        <v>-4553359</v>
      </c>
      <c r="DH322" s="767">
        <v>-20145</v>
      </c>
      <c r="DI322" s="767">
        <v>-4573504</v>
      </c>
      <c r="DJ322" s="767">
        <v>-493381235.14999998</v>
      </c>
      <c r="DK322" s="767">
        <v>-1725235</v>
      </c>
      <c r="DL322" s="767">
        <v>-495106470.14999998</v>
      </c>
      <c r="DM322" s="767">
        <v>-517440774.75999999</v>
      </c>
      <c r="DN322" s="767">
        <v>-1777355</v>
      </c>
      <c r="DO322" s="767">
        <v>-6242130</v>
      </c>
      <c r="DP322" s="767">
        <v>0</v>
      </c>
      <c r="DQ322" s="767">
        <v>-523682904.75999999</v>
      </c>
      <c r="DR322" s="767">
        <v>-1777355</v>
      </c>
      <c r="DS322" s="767">
        <v>-525460259.75999999</v>
      </c>
      <c r="DT322" s="767">
        <v>26813726333.962982</v>
      </c>
      <c r="DU322" s="767">
        <v>301820040.5</v>
      </c>
      <c r="DV322" s="768">
        <v>27115546374.462982</v>
      </c>
    </row>
    <row r="323" spans="1:127" x14ac:dyDescent="0.2">
      <c r="D323" s="618"/>
      <c r="E323" s="619"/>
    </row>
    <row r="324" spans="1:127" x14ac:dyDescent="0.2">
      <c r="D324" s="618"/>
      <c r="E324" s="619"/>
    </row>
    <row r="325" spans="1:127" x14ac:dyDescent="0.2">
      <c r="A325" s="621"/>
      <c r="D325" s="618"/>
      <c r="E325" s="619"/>
    </row>
    <row r="326" spans="1:127" x14ac:dyDescent="0.2">
      <c r="D326" s="618"/>
      <c r="E326" s="619"/>
    </row>
    <row r="327" spans="1:127" x14ac:dyDescent="0.2">
      <c r="D327" s="618"/>
      <c r="E327" s="619"/>
    </row>
  </sheetData>
  <mergeCells count="84">
    <mergeCell ref="U1:W1"/>
    <mergeCell ref="G1:I1"/>
    <mergeCell ref="K1:L1"/>
    <mergeCell ref="M1:N1"/>
    <mergeCell ref="O1:Q1"/>
    <mergeCell ref="R1:T1"/>
    <mergeCell ref="BF1:BG1"/>
    <mergeCell ref="X1:Y1"/>
    <mergeCell ref="Z1:AA1"/>
    <mergeCell ref="AB1:AD1"/>
    <mergeCell ref="AE1:AG1"/>
    <mergeCell ref="AH1:AJ1"/>
    <mergeCell ref="AK1:AM1"/>
    <mergeCell ref="AN1:AP1"/>
    <mergeCell ref="AQ1:AS1"/>
    <mergeCell ref="AT1:AV1"/>
    <mergeCell ref="AW1:AY1"/>
    <mergeCell ref="AZ1:BB1"/>
    <mergeCell ref="CL1:CN1"/>
    <mergeCell ref="BH1:BI1"/>
    <mergeCell ref="BJ1:BL1"/>
    <mergeCell ref="BM1:BO1"/>
    <mergeCell ref="BP1:BR1"/>
    <mergeCell ref="BS1:BT1"/>
    <mergeCell ref="BU1:BV1"/>
    <mergeCell ref="BW1:BY1"/>
    <mergeCell ref="BZ1:CB1"/>
    <mergeCell ref="CC1:CE1"/>
    <mergeCell ref="CF1:CH1"/>
    <mergeCell ref="CI1:CK1"/>
    <mergeCell ref="DQ1:DS1"/>
    <mergeCell ref="CO1:CQ1"/>
    <mergeCell ref="CT1:CU1"/>
    <mergeCell ref="CV1:CW1"/>
    <mergeCell ref="CX1:CZ1"/>
    <mergeCell ref="DA1:DC1"/>
    <mergeCell ref="AT2:AV2"/>
    <mergeCell ref="DT1:DV1"/>
    <mergeCell ref="G2:I2"/>
    <mergeCell ref="K2:L2"/>
    <mergeCell ref="M2:N2"/>
    <mergeCell ref="O2:Q2"/>
    <mergeCell ref="R2:T2"/>
    <mergeCell ref="U2:W2"/>
    <mergeCell ref="X2:Y2"/>
    <mergeCell ref="Z2:AA2"/>
    <mergeCell ref="AB2:AD2"/>
    <mergeCell ref="DD1:DF1"/>
    <mergeCell ref="DG1:DI1"/>
    <mergeCell ref="DM1:DN1"/>
    <mergeCell ref="DO1:DP1"/>
    <mergeCell ref="AE2:AG2"/>
    <mergeCell ref="AH2:AJ2"/>
    <mergeCell ref="AK2:AM2"/>
    <mergeCell ref="AN2:AP2"/>
    <mergeCell ref="AQ2:AS2"/>
    <mergeCell ref="CC2:CE2"/>
    <mergeCell ref="AW2:AY2"/>
    <mergeCell ref="AZ2:BB2"/>
    <mergeCell ref="BF2:BG2"/>
    <mergeCell ref="BH2:BI2"/>
    <mergeCell ref="BJ2:BL2"/>
    <mergeCell ref="BM2:BO2"/>
    <mergeCell ref="BP2:BR2"/>
    <mergeCell ref="BS2:BT2"/>
    <mergeCell ref="BU2:BV2"/>
    <mergeCell ref="BW2:BY2"/>
    <mergeCell ref="BZ2:CB2"/>
    <mergeCell ref="BC2:BE2"/>
    <mergeCell ref="CF2:CH2"/>
    <mergeCell ref="CI2:CK2"/>
    <mergeCell ref="CL2:CN2"/>
    <mergeCell ref="CO2:CQ2"/>
    <mergeCell ref="CT2:CU2"/>
    <mergeCell ref="CV2:CW2"/>
    <mergeCell ref="CX2:CZ2"/>
    <mergeCell ref="DA2:DC2"/>
    <mergeCell ref="DD2:DF2"/>
    <mergeCell ref="DG2:DI2"/>
    <mergeCell ref="DM2:DN2"/>
    <mergeCell ref="DO2:DP2"/>
    <mergeCell ref="DQ2:DS2"/>
    <mergeCell ref="DT2:DV2"/>
    <mergeCell ref="DJ2:D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S327"/>
  <sheetViews>
    <sheetView workbookViewId="0"/>
  </sheetViews>
  <sheetFormatPr defaultRowHeight="15" x14ac:dyDescent="0.2"/>
  <cols>
    <col min="1" max="1" width="7.85546875" style="617" customWidth="1"/>
    <col min="2" max="2" width="8.42578125" style="9" customWidth="1"/>
    <col min="3" max="3" width="6.7109375" style="9" customWidth="1"/>
    <col min="4" max="4" width="8.140625" style="9" customWidth="1"/>
    <col min="5" max="5" width="32.28515625" style="9" customWidth="1"/>
    <col min="6" max="6" width="11" bestFit="1" customWidth="1"/>
    <col min="15" max="15" width="10.28515625" customWidth="1"/>
    <col min="20" max="20" width="10.5703125" customWidth="1"/>
    <col min="21" max="21" width="7.140625" customWidth="1"/>
    <col min="22" max="22" width="7.28515625" customWidth="1"/>
    <col min="23" max="23" width="6.7109375" customWidth="1"/>
    <col min="24" max="24" width="21.140625" customWidth="1"/>
    <col min="25" max="25" width="21" customWidth="1"/>
    <col min="27" max="27" width="10.5703125" customWidth="1"/>
    <col min="45" max="45" width="10.140625" customWidth="1"/>
  </cols>
  <sheetData>
    <row r="1" spans="1:45" ht="13.5" thickBot="1" x14ac:dyDescent="0.25">
      <c r="A1" s="769"/>
      <c r="B1" s="770"/>
      <c r="C1" s="771"/>
      <c r="D1" s="772"/>
      <c r="E1" s="828"/>
      <c r="F1" s="1064"/>
      <c r="G1" s="1064"/>
      <c r="H1" s="1064"/>
      <c r="I1" s="1063"/>
      <c r="J1" s="1063"/>
      <c r="K1" s="1063"/>
      <c r="L1" s="1063"/>
      <c r="M1" s="1063"/>
      <c r="N1" s="1063"/>
      <c r="O1" s="1063"/>
      <c r="P1" s="1063"/>
      <c r="Q1" s="1063"/>
      <c r="R1" s="1063"/>
      <c r="S1" s="1063"/>
      <c r="T1" s="1063"/>
      <c r="U1" s="625"/>
      <c r="V1" s="625"/>
      <c r="W1" s="625"/>
      <c r="X1" s="625"/>
      <c r="Y1" s="625"/>
      <c r="Z1" s="1063"/>
      <c r="AA1" s="1063"/>
      <c r="AB1" s="1063"/>
      <c r="AC1" s="1063"/>
      <c r="AD1" s="1063"/>
      <c r="AE1" s="1063"/>
      <c r="AF1" s="1063"/>
      <c r="AG1" s="1063"/>
      <c r="AH1" s="1063"/>
      <c r="AI1" s="1063"/>
      <c r="AJ1" s="1063"/>
      <c r="AK1" s="1063"/>
      <c r="AL1" s="1063"/>
      <c r="AM1" s="1063"/>
      <c r="AN1" s="1063"/>
      <c r="AO1" s="1063"/>
      <c r="AP1" s="1063"/>
      <c r="AQ1" s="1063"/>
      <c r="AR1" s="1063"/>
    </row>
    <row r="2" spans="1:45" ht="39" thickBot="1" x14ac:dyDescent="0.25">
      <c r="A2" s="788"/>
      <c r="B2" s="789"/>
      <c r="C2" s="790"/>
      <c r="D2" s="791"/>
      <c r="E2" s="791"/>
      <c r="F2" s="1062" t="s">
        <v>1223</v>
      </c>
      <c r="G2" s="1058"/>
      <c r="H2" s="1058"/>
      <c r="I2" s="1046" t="s">
        <v>1556</v>
      </c>
      <c r="J2" s="1058"/>
      <c r="K2" s="1058"/>
      <c r="L2" s="1046" t="s">
        <v>1557</v>
      </c>
      <c r="M2" s="1058"/>
      <c r="N2" s="1058"/>
      <c r="O2" s="1046" t="s">
        <v>1224</v>
      </c>
      <c r="P2" s="1058"/>
      <c r="Q2" s="1058"/>
      <c r="R2" s="1058" t="s">
        <v>1225</v>
      </c>
      <c r="S2" s="1058"/>
      <c r="T2" s="1058"/>
      <c r="U2" s="1046" t="s">
        <v>1236</v>
      </c>
      <c r="V2" s="1058"/>
      <c r="W2" s="1058"/>
      <c r="X2" s="574" t="s">
        <v>1226</v>
      </c>
      <c r="Y2" s="574" t="s">
        <v>1227</v>
      </c>
      <c r="Z2" s="1058" t="s">
        <v>1228</v>
      </c>
      <c r="AA2" s="1058"/>
      <c r="AB2" s="1046" t="s">
        <v>1229</v>
      </c>
      <c r="AC2" s="1058"/>
      <c r="AD2" s="1058"/>
      <c r="AE2" s="1046" t="s">
        <v>1230</v>
      </c>
      <c r="AF2" s="1058"/>
      <c r="AG2" s="1058"/>
      <c r="AH2" s="1058" t="s">
        <v>1231</v>
      </c>
      <c r="AI2" s="1058"/>
      <c r="AJ2" s="1058" t="s">
        <v>1232</v>
      </c>
      <c r="AK2" s="1058"/>
      <c r="AL2" s="1058" t="s">
        <v>1233</v>
      </c>
      <c r="AM2" s="1058"/>
      <c r="AN2" s="1058" t="s">
        <v>1234</v>
      </c>
      <c r="AO2" s="1058"/>
      <c r="AP2" s="1058" t="s">
        <v>1235</v>
      </c>
      <c r="AQ2" s="1058"/>
      <c r="AR2" s="1060"/>
      <c r="AS2" t="s">
        <v>1472</v>
      </c>
    </row>
    <row r="3" spans="1:45" ht="12.75" x14ac:dyDescent="0.2">
      <c r="A3" s="575">
        <v>1</v>
      </c>
      <c r="B3" s="576">
        <v>2</v>
      </c>
      <c r="C3" s="576">
        <v>3</v>
      </c>
      <c r="D3" s="577">
        <v>4</v>
      </c>
      <c r="E3" s="576">
        <v>5</v>
      </c>
      <c r="F3" s="578">
        <v>6</v>
      </c>
      <c r="G3" s="576">
        <v>7</v>
      </c>
      <c r="H3" s="576">
        <v>8</v>
      </c>
      <c r="I3" s="576">
        <v>9</v>
      </c>
      <c r="J3" s="576">
        <v>10</v>
      </c>
      <c r="K3" s="576">
        <v>11</v>
      </c>
      <c r="L3" s="576">
        <v>12</v>
      </c>
      <c r="M3" s="576">
        <v>13</v>
      </c>
      <c r="N3" s="576">
        <v>14</v>
      </c>
      <c r="O3" s="576">
        <v>15</v>
      </c>
      <c r="P3" s="576">
        <v>16</v>
      </c>
      <c r="Q3" s="576">
        <v>17</v>
      </c>
      <c r="R3" s="576">
        <v>18</v>
      </c>
      <c r="S3" s="576">
        <v>19</v>
      </c>
      <c r="T3" s="576">
        <v>20</v>
      </c>
      <c r="U3" s="576">
        <v>21</v>
      </c>
      <c r="V3" s="576">
        <v>22</v>
      </c>
      <c r="W3" s="576">
        <v>23</v>
      </c>
      <c r="X3" s="576">
        <v>24</v>
      </c>
      <c r="Y3" s="576">
        <v>25</v>
      </c>
      <c r="Z3" s="576">
        <v>26</v>
      </c>
      <c r="AA3" s="576">
        <v>27</v>
      </c>
      <c r="AB3" s="576">
        <v>28</v>
      </c>
      <c r="AC3" s="576">
        <v>29</v>
      </c>
      <c r="AD3" s="576">
        <v>30</v>
      </c>
      <c r="AE3" s="576">
        <v>31</v>
      </c>
      <c r="AF3" s="576">
        <v>32</v>
      </c>
      <c r="AG3" s="576">
        <v>33</v>
      </c>
      <c r="AH3" s="576">
        <v>34</v>
      </c>
      <c r="AI3" s="576">
        <v>35</v>
      </c>
      <c r="AJ3" s="576">
        <v>36</v>
      </c>
      <c r="AK3" s="576">
        <v>37</v>
      </c>
      <c r="AL3" s="576">
        <v>38</v>
      </c>
      <c r="AM3" s="576">
        <v>39</v>
      </c>
      <c r="AN3" s="576">
        <v>40</v>
      </c>
      <c r="AO3" s="576">
        <v>41</v>
      </c>
      <c r="AP3" s="576">
        <v>42</v>
      </c>
      <c r="AQ3" s="576">
        <v>43</v>
      </c>
      <c r="AR3" s="623">
        <v>44</v>
      </c>
    </row>
    <row r="4" spans="1:45" ht="12.75" x14ac:dyDescent="0.2">
      <c r="A4" s="575"/>
      <c r="B4" s="580"/>
      <c r="C4" s="581"/>
      <c r="D4" s="582"/>
      <c r="E4" s="572"/>
      <c r="F4" s="583"/>
      <c r="G4" s="584"/>
      <c r="H4" s="584"/>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584"/>
      <c r="AQ4" s="584"/>
      <c r="AR4" s="585"/>
    </row>
    <row r="5" spans="1:45" ht="12.75" x14ac:dyDescent="0.2">
      <c r="A5" s="575"/>
      <c r="B5" s="586" t="s">
        <v>673</v>
      </c>
      <c r="C5" s="586" t="s">
        <v>1183</v>
      </c>
      <c r="D5" s="775" t="s">
        <v>1184</v>
      </c>
      <c r="E5" s="586" t="s">
        <v>672</v>
      </c>
      <c r="F5" s="583"/>
      <c r="G5" s="584"/>
      <c r="H5" s="584"/>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584"/>
      <c r="AQ5" s="584"/>
      <c r="AR5" s="585"/>
    </row>
    <row r="6" spans="1:45" ht="13.5" thickBot="1" x14ac:dyDescent="0.25">
      <c r="A6" s="588"/>
      <c r="B6" s="589"/>
      <c r="C6" s="590"/>
      <c r="D6" s="591"/>
      <c r="E6" s="590"/>
      <c r="F6" s="635"/>
      <c r="G6" s="592"/>
      <c r="H6" s="592"/>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584"/>
      <c r="AQ6" s="584"/>
      <c r="AR6" s="585"/>
    </row>
    <row r="7" spans="1:45" ht="13.5" thickBot="1" x14ac:dyDescent="0.25">
      <c r="A7" s="593"/>
      <c r="B7" s="594"/>
      <c r="C7" s="595"/>
      <c r="D7" s="596"/>
      <c r="E7" s="597"/>
      <c r="F7" s="627">
        <v>3</v>
      </c>
      <c r="G7" s="598">
        <v>4</v>
      </c>
      <c r="H7" s="598">
        <v>5</v>
      </c>
      <c r="I7" s="598">
        <v>6</v>
      </c>
      <c r="J7" s="598">
        <v>7</v>
      </c>
      <c r="K7" s="598">
        <v>8</v>
      </c>
      <c r="L7" s="598">
        <v>9</v>
      </c>
      <c r="M7" s="598">
        <v>10</v>
      </c>
      <c r="N7" s="598">
        <v>11</v>
      </c>
      <c r="O7" s="598">
        <v>12</v>
      </c>
      <c r="P7" s="598">
        <v>13</v>
      </c>
      <c r="Q7" s="598">
        <v>14</v>
      </c>
      <c r="R7" s="598">
        <v>15</v>
      </c>
      <c r="S7" s="598">
        <v>16</v>
      </c>
      <c r="T7" s="598">
        <v>17</v>
      </c>
      <c r="U7" s="598">
        <v>18</v>
      </c>
      <c r="V7" s="598">
        <v>19</v>
      </c>
      <c r="W7" s="598">
        <v>20</v>
      </c>
      <c r="X7" s="598">
        <v>21</v>
      </c>
      <c r="Y7" s="598">
        <v>22</v>
      </c>
      <c r="Z7" s="598">
        <v>23</v>
      </c>
      <c r="AA7" s="598">
        <v>24</v>
      </c>
      <c r="AB7" s="598">
        <v>25</v>
      </c>
      <c r="AC7" s="598">
        <v>26</v>
      </c>
      <c r="AD7" s="598">
        <v>27</v>
      </c>
      <c r="AE7" s="598">
        <v>28</v>
      </c>
      <c r="AF7" s="598">
        <v>29</v>
      </c>
      <c r="AG7" s="598">
        <v>30</v>
      </c>
      <c r="AH7" s="598">
        <v>31</v>
      </c>
      <c r="AI7" s="598">
        <v>32</v>
      </c>
      <c r="AJ7" s="598">
        <v>33</v>
      </c>
      <c r="AK7" s="598">
        <v>34</v>
      </c>
      <c r="AL7" s="598">
        <v>35</v>
      </c>
      <c r="AM7" s="598">
        <v>36</v>
      </c>
      <c r="AN7" s="598">
        <v>37</v>
      </c>
      <c r="AO7" s="598">
        <v>38</v>
      </c>
      <c r="AP7" s="598">
        <v>39</v>
      </c>
      <c r="AQ7" s="598">
        <v>40</v>
      </c>
      <c r="AR7" s="628">
        <v>41</v>
      </c>
    </row>
    <row r="8" spans="1:45" ht="12.75" x14ac:dyDescent="0.2">
      <c r="A8" s="599">
        <v>1</v>
      </c>
      <c r="B8" s="600" t="s">
        <v>675</v>
      </c>
      <c r="C8" s="601" t="s">
        <v>1185</v>
      </c>
      <c r="D8" s="602" t="s">
        <v>1186</v>
      </c>
      <c r="E8" s="603" t="s">
        <v>674</v>
      </c>
      <c r="F8">
        <v>19741295</v>
      </c>
      <c r="G8">
        <v>0</v>
      </c>
      <c r="H8">
        <v>19741295</v>
      </c>
      <c r="I8">
        <v>-100000</v>
      </c>
      <c r="J8">
        <v>0</v>
      </c>
      <c r="K8">
        <v>-100000</v>
      </c>
      <c r="L8">
        <v>-500000</v>
      </c>
      <c r="M8">
        <v>0</v>
      </c>
      <c r="N8">
        <v>-500000</v>
      </c>
      <c r="O8">
        <v>19141295</v>
      </c>
      <c r="P8">
        <v>0</v>
      </c>
      <c r="Q8">
        <v>19141295</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s="751">
        <v>0</v>
      </c>
      <c r="AS8" t="s">
        <v>1661</v>
      </c>
    </row>
    <row r="9" spans="1:45" ht="12.75" x14ac:dyDescent="0.2">
      <c r="A9" s="605">
        <v>2</v>
      </c>
      <c r="B9" s="606" t="s">
        <v>677</v>
      </c>
      <c r="C9" s="607" t="s">
        <v>1185</v>
      </c>
      <c r="D9" s="608" t="s">
        <v>1187</v>
      </c>
      <c r="E9" s="609" t="s">
        <v>676</v>
      </c>
      <c r="F9">
        <v>29685988</v>
      </c>
      <c r="G9">
        <v>0</v>
      </c>
      <c r="H9">
        <v>29685988</v>
      </c>
      <c r="I9">
        <v>-216263</v>
      </c>
      <c r="J9">
        <v>0</v>
      </c>
      <c r="K9">
        <v>-216263</v>
      </c>
      <c r="L9">
        <v>-985271</v>
      </c>
      <c r="M9">
        <v>0</v>
      </c>
      <c r="N9">
        <v>-985271</v>
      </c>
      <c r="O9">
        <v>28484454</v>
      </c>
      <c r="P9">
        <v>0</v>
      </c>
      <c r="Q9">
        <v>28484454</v>
      </c>
      <c r="R9">
        <v>535363</v>
      </c>
      <c r="S9">
        <v>0</v>
      </c>
      <c r="T9">
        <v>535363</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s="661">
        <v>0</v>
      </c>
      <c r="AS9" t="s">
        <v>1662</v>
      </c>
    </row>
    <row r="10" spans="1:45" ht="12.75" x14ac:dyDescent="0.2">
      <c r="A10" s="605">
        <v>3</v>
      </c>
      <c r="B10" s="606" t="s">
        <v>679</v>
      </c>
      <c r="C10" s="607" t="s">
        <v>1185</v>
      </c>
      <c r="D10" s="608" t="s">
        <v>1188</v>
      </c>
      <c r="E10" s="609" t="s">
        <v>678</v>
      </c>
      <c r="F10">
        <v>32878505</v>
      </c>
      <c r="G10">
        <v>0</v>
      </c>
      <c r="H10">
        <v>32878505</v>
      </c>
      <c r="I10">
        <v>-414700</v>
      </c>
      <c r="J10">
        <v>0</v>
      </c>
      <c r="K10">
        <v>-414700</v>
      </c>
      <c r="L10">
        <v>-2203000</v>
      </c>
      <c r="M10">
        <v>0</v>
      </c>
      <c r="N10">
        <v>-2203000</v>
      </c>
      <c r="O10">
        <v>30260805</v>
      </c>
      <c r="P10">
        <v>0</v>
      </c>
      <c r="Q10">
        <v>30260805</v>
      </c>
      <c r="R10">
        <v>8282</v>
      </c>
      <c r="S10">
        <v>0</v>
      </c>
      <c r="T10">
        <v>8282</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s="661">
        <v>0</v>
      </c>
      <c r="AS10" t="s">
        <v>1663</v>
      </c>
    </row>
    <row r="11" spans="1:45" ht="12.75" x14ac:dyDescent="0.2">
      <c r="A11" s="605">
        <v>4</v>
      </c>
      <c r="B11" s="606" t="s">
        <v>681</v>
      </c>
      <c r="C11" s="607" t="s">
        <v>1185</v>
      </c>
      <c r="D11" s="608" t="s">
        <v>1186</v>
      </c>
      <c r="E11" s="609" t="s">
        <v>680</v>
      </c>
      <c r="F11">
        <v>36498976</v>
      </c>
      <c r="G11">
        <v>0</v>
      </c>
      <c r="H11">
        <v>36498976</v>
      </c>
      <c r="I11">
        <v>-153400</v>
      </c>
      <c r="J11">
        <v>0</v>
      </c>
      <c r="K11">
        <v>-153400</v>
      </c>
      <c r="L11">
        <v>-1334000</v>
      </c>
      <c r="M11">
        <v>0</v>
      </c>
      <c r="N11">
        <v>-1334000</v>
      </c>
      <c r="O11">
        <v>35011576</v>
      </c>
      <c r="P11">
        <v>0</v>
      </c>
      <c r="Q11">
        <v>35011576</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s="661">
        <v>0</v>
      </c>
      <c r="AS11" t="s">
        <v>1664</v>
      </c>
    </row>
    <row r="12" spans="1:45" ht="12.75" x14ac:dyDescent="0.2">
      <c r="A12" s="605">
        <v>5</v>
      </c>
      <c r="B12" s="606" t="s">
        <v>683</v>
      </c>
      <c r="C12" s="607" t="s">
        <v>1185</v>
      </c>
      <c r="D12" s="608" t="s">
        <v>1188</v>
      </c>
      <c r="E12" s="609" t="s">
        <v>682</v>
      </c>
      <c r="F12">
        <v>40047260.549999997</v>
      </c>
      <c r="G12">
        <v>0</v>
      </c>
      <c r="H12">
        <v>40047260.549999997</v>
      </c>
      <c r="I12">
        <v>-254307</v>
      </c>
      <c r="J12">
        <v>0</v>
      </c>
      <c r="K12">
        <v>-254307</v>
      </c>
      <c r="L12">
        <v>-1367000</v>
      </c>
      <c r="M12">
        <v>0</v>
      </c>
      <c r="N12">
        <v>-1367000</v>
      </c>
      <c r="O12">
        <v>38425953.549999997</v>
      </c>
      <c r="P12">
        <v>0</v>
      </c>
      <c r="Q12">
        <v>38425953.549999997</v>
      </c>
      <c r="R12">
        <v>24215</v>
      </c>
      <c r="S12">
        <v>0</v>
      </c>
      <c r="T12">
        <v>24215</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s="661">
        <v>0</v>
      </c>
      <c r="AS12" t="s">
        <v>1665</v>
      </c>
    </row>
    <row r="13" spans="1:45" ht="12.75" x14ac:dyDescent="0.2">
      <c r="A13" s="605">
        <v>6</v>
      </c>
      <c r="B13" s="606" t="s">
        <v>685</v>
      </c>
      <c r="C13" s="607" t="s">
        <v>1185</v>
      </c>
      <c r="D13" s="608" t="s">
        <v>1186</v>
      </c>
      <c r="E13" s="609" t="s">
        <v>684</v>
      </c>
      <c r="F13">
        <v>54819236</v>
      </c>
      <c r="G13">
        <v>0</v>
      </c>
      <c r="H13">
        <v>54819236</v>
      </c>
      <c r="I13">
        <v>-265096</v>
      </c>
      <c r="J13">
        <v>0</v>
      </c>
      <c r="K13">
        <v>-265096</v>
      </c>
      <c r="L13">
        <v>-1512519</v>
      </c>
      <c r="M13">
        <v>0</v>
      </c>
      <c r="N13">
        <v>-1512519</v>
      </c>
      <c r="O13">
        <v>53041621</v>
      </c>
      <c r="P13">
        <v>0</v>
      </c>
      <c r="Q13">
        <v>53041621</v>
      </c>
      <c r="R13">
        <v>110785</v>
      </c>
      <c r="S13">
        <v>0</v>
      </c>
      <c r="T13">
        <v>110785</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s="661">
        <v>0</v>
      </c>
      <c r="AS13" t="s">
        <v>1666</v>
      </c>
    </row>
    <row r="14" spans="1:45" ht="12.75" x14ac:dyDescent="0.2">
      <c r="A14" s="605">
        <v>7</v>
      </c>
      <c r="B14" s="606" t="s">
        <v>689</v>
      </c>
      <c r="C14" s="607" t="s">
        <v>1185</v>
      </c>
      <c r="D14" s="608" t="s">
        <v>1189</v>
      </c>
      <c r="E14" s="609" t="s">
        <v>688</v>
      </c>
      <c r="F14">
        <v>24012357</v>
      </c>
      <c r="G14">
        <v>600931</v>
      </c>
      <c r="H14">
        <v>24613288</v>
      </c>
      <c r="I14">
        <v>-82000</v>
      </c>
      <c r="J14">
        <v>0</v>
      </c>
      <c r="K14">
        <v>-82000</v>
      </c>
      <c r="L14">
        <v>-916377</v>
      </c>
      <c r="M14">
        <v>-144000</v>
      </c>
      <c r="N14">
        <v>-1060377</v>
      </c>
      <c r="O14">
        <v>23013980</v>
      </c>
      <c r="P14">
        <v>456931</v>
      </c>
      <c r="Q14">
        <v>23470911</v>
      </c>
      <c r="R14">
        <v>28444</v>
      </c>
      <c r="S14">
        <v>0</v>
      </c>
      <c r="T14">
        <v>28444</v>
      </c>
      <c r="U14">
        <v>0</v>
      </c>
      <c r="V14">
        <v>0</v>
      </c>
      <c r="W14">
        <v>0</v>
      </c>
      <c r="X14">
        <v>0</v>
      </c>
      <c r="Y14">
        <v>0</v>
      </c>
      <c r="Z14">
        <v>456931</v>
      </c>
      <c r="AA14">
        <v>456931</v>
      </c>
      <c r="AB14">
        <v>0</v>
      </c>
      <c r="AC14">
        <v>0</v>
      </c>
      <c r="AD14">
        <v>0</v>
      </c>
      <c r="AE14">
        <v>0</v>
      </c>
      <c r="AF14">
        <v>0</v>
      </c>
      <c r="AG14">
        <v>0</v>
      </c>
      <c r="AH14">
        <v>0</v>
      </c>
      <c r="AI14">
        <v>0</v>
      </c>
      <c r="AJ14">
        <v>0</v>
      </c>
      <c r="AK14">
        <v>0</v>
      </c>
      <c r="AL14">
        <v>0</v>
      </c>
      <c r="AM14">
        <v>0</v>
      </c>
      <c r="AN14">
        <v>0</v>
      </c>
      <c r="AO14">
        <v>0</v>
      </c>
      <c r="AP14">
        <v>0</v>
      </c>
      <c r="AQ14">
        <v>0</v>
      </c>
      <c r="AR14" s="661">
        <v>0</v>
      </c>
      <c r="AS14" t="s">
        <v>1667</v>
      </c>
    </row>
    <row r="15" spans="1:45" ht="12.75" x14ac:dyDescent="0.2">
      <c r="A15" s="605">
        <v>8</v>
      </c>
      <c r="B15" s="606" t="s">
        <v>691</v>
      </c>
      <c r="C15" s="607" t="s">
        <v>1190</v>
      </c>
      <c r="D15" s="608" t="s">
        <v>1191</v>
      </c>
      <c r="E15" s="609" t="s">
        <v>690</v>
      </c>
      <c r="F15">
        <v>64782856</v>
      </c>
      <c r="G15">
        <v>0</v>
      </c>
      <c r="H15">
        <v>64782856</v>
      </c>
      <c r="I15">
        <v>0</v>
      </c>
      <c r="J15">
        <v>0</v>
      </c>
      <c r="K15">
        <v>0</v>
      </c>
      <c r="L15">
        <v>0</v>
      </c>
      <c r="M15">
        <v>0</v>
      </c>
      <c r="N15">
        <v>0</v>
      </c>
      <c r="O15">
        <v>64782856</v>
      </c>
      <c r="P15">
        <v>0</v>
      </c>
      <c r="Q15">
        <v>64782856</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s="661">
        <v>0</v>
      </c>
      <c r="AS15" t="s">
        <v>1668</v>
      </c>
    </row>
    <row r="16" spans="1:45" ht="12.75" x14ac:dyDescent="0.2">
      <c r="A16" s="605">
        <v>9</v>
      </c>
      <c r="B16" s="606" t="s">
        <v>693</v>
      </c>
      <c r="C16" s="607" t="s">
        <v>1190</v>
      </c>
      <c r="D16" s="608" t="s">
        <v>1191</v>
      </c>
      <c r="E16" s="609" t="s">
        <v>692</v>
      </c>
      <c r="F16">
        <v>96278393</v>
      </c>
      <c r="G16">
        <v>20687085</v>
      </c>
      <c r="H16">
        <v>116965478</v>
      </c>
      <c r="I16">
        <v>-1395266</v>
      </c>
      <c r="J16">
        <v>-309858</v>
      </c>
      <c r="K16">
        <v>-1705124</v>
      </c>
      <c r="L16">
        <v>-4371833</v>
      </c>
      <c r="M16">
        <v>-970889</v>
      </c>
      <c r="N16">
        <v>-5342722</v>
      </c>
      <c r="O16">
        <v>90511294</v>
      </c>
      <c r="P16">
        <v>19406338</v>
      </c>
      <c r="Q16">
        <v>109917632</v>
      </c>
      <c r="R16">
        <v>0</v>
      </c>
      <c r="S16">
        <v>0</v>
      </c>
      <c r="T16">
        <v>0</v>
      </c>
      <c r="U16">
        <v>0</v>
      </c>
      <c r="V16">
        <v>0</v>
      </c>
      <c r="W16">
        <v>0</v>
      </c>
      <c r="X16">
        <v>-473345</v>
      </c>
      <c r="Y16">
        <v>21053943</v>
      </c>
      <c r="Z16">
        <v>0</v>
      </c>
      <c r="AA16">
        <v>0</v>
      </c>
      <c r="AB16">
        <v>0</v>
      </c>
      <c r="AC16">
        <v>0</v>
      </c>
      <c r="AD16">
        <v>0</v>
      </c>
      <c r="AE16">
        <v>0</v>
      </c>
      <c r="AF16">
        <v>0</v>
      </c>
      <c r="AG16">
        <v>0</v>
      </c>
      <c r="AH16">
        <v>0</v>
      </c>
      <c r="AI16">
        <v>0</v>
      </c>
      <c r="AJ16">
        <v>0</v>
      </c>
      <c r="AK16">
        <v>0</v>
      </c>
      <c r="AL16">
        <v>0</v>
      </c>
      <c r="AM16">
        <v>0</v>
      </c>
      <c r="AN16">
        <v>0</v>
      </c>
      <c r="AO16">
        <v>0</v>
      </c>
      <c r="AP16">
        <v>0</v>
      </c>
      <c r="AQ16">
        <v>0</v>
      </c>
      <c r="AR16" s="661">
        <v>0</v>
      </c>
      <c r="AS16" t="s">
        <v>1669</v>
      </c>
    </row>
    <row r="17" spans="1:45" ht="12.75" x14ac:dyDescent="0.2">
      <c r="A17" s="605">
        <v>10</v>
      </c>
      <c r="B17" s="606" t="s">
        <v>695</v>
      </c>
      <c r="C17" s="607" t="s">
        <v>1192</v>
      </c>
      <c r="D17" s="608" t="s">
        <v>1193</v>
      </c>
      <c r="E17" s="609" t="s">
        <v>694</v>
      </c>
      <c r="F17">
        <v>53608326</v>
      </c>
      <c r="G17">
        <v>775866</v>
      </c>
      <c r="H17">
        <v>54384192</v>
      </c>
      <c r="I17">
        <v>-1631526</v>
      </c>
      <c r="J17">
        <v>0</v>
      </c>
      <c r="K17">
        <v>-1631526</v>
      </c>
      <c r="L17">
        <v>-2719210</v>
      </c>
      <c r="M17">
        <v>0</v>
      </c>
      <c r="N17">
        <v>-2719210</v>
      </c>
      <c r="O17">
        <v>49257590</v>
      </c>
      <c r="P17">
        <v>775866</v>
      </c>
      <c r="Q17">
        <v>50033456</v>
      </c>
      <c r="R17">
        <v>50176</v>
      </c>
      <c r="S17">
        <v>0</v>
      </c>
      <c r="T17">
        <v>50176</v>
      </c>
      <c r="U17">
        <v>0</v>
      </c>
      <c r="V17">
        <v>0</v>
      </c>
      <c r="W17">
        <v>0</v>
      </c>
      <c r="X17">
        <v>0</v>
      </c>
      <c r="Y17">
        <v>94500</v>
      </c>
      <c r="Z17">
        <v>681366</v>
      </c>
      <c r="AA17">
        <v>681366</v>
      </c>
      <c r="AB17">
        <v>0</v>
      </c>
      <c r="AC17">
        <v>0</v>
      </c>
      <c r="AD17">
        <v>0</v>
      </c>
      <c r="AE17">
        <v>0</v>
      </c>
      <c r="AF17">
        <v>129306</v>
      </c>
      <c r="AG17">
        <v>129306</v>
      </c>
      <c r="AH17">
        <v>0</v>
      </c>
      <c r="AI17">
        <v>0</v>
      </c>
      <c r="AJ17">
        <v>0</v>
      </c>
      <c r="AK17">
        <v>0</v>
      </c>
      <c r="AL17">
        <v>0</v>
      </c>
      <c r="AM17">
        <v>0</v>
      </c>
      <c r="AN17">
        <v>0</v>
      </c>
      <c r="AO17">
        <v>0</v>
      </c>
      <c r="AP17">
        <v>0</v>
      </c>
      <c r="AQ17">
        <v>129306</v>
      </c>
      <c r="AR17" s="661">
        <v>129306</v>
      </c>
      <c r="AS17" t="s">
        <v>1670</v>
      </c>
    </row>
    <row r="18" spans="1:45" ht="12.75" x14ac:dyDescent="0.2">
      <c r="A18" s="605">
        <v>11</v>
      </c>
      <c r="B18" s="606" t="s">
        <v>697</v>
      </c>
      <c r="C18" s="607" t="s">
        <v>1185</v>
      </c>
      <c r="D18" s="608" t="s">
        <v>1187</v>
      </c>
      <c r="E18" s="609" t="s">
        <v>696</v>
      </c>
      <c r="F18">
        <v>23118088</v>
      </c>
      <c r="G18">
        <v>0</v>
      </c>
      <c r="H18">
        <v>23118088</v>
      </c>
      <c r="I18">
        <v>-92937</v>
      </c>
      <c r="J18">
        <v>0</v>
      </c>
      <c r="K18">
        <v>-92937</v>
      </c>
      <c r="L18">
        <v>-375500</v>
      </c>
      <c r="M18">
        <v>0</v>
      </c>
      <c r="N18" s="51">
        <v>-375500</v>
      </c>
      <c r="O18">
        <v>22649651</v>
      </c>
      <c r="P18">
        <v>0</v>
      </c>
      <c r="Q18">
        <v>22649651</v>
      </c>
      <c r="R18">
        <v>162485</v>
      </c>
      <c r="S18">
        <v>0</v>
      </c>
      <c r="T18">
        <v>162485</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s="661">
        <v>0</v>
      </c>
      <c r="AS18" t="s">
        <v>1671</v>
      </c>
    </row>
    <row r="19" spans="1:45" ht="12.75" x14ac:dyDescent="0.2">
      <c r="A19" s="605">
        <v>12</v>
      </c>
      <c r="B19" s="606" t="s">
        <v>699</v>
      </c>
      <c r="C19" s="607" t="s">
        <v>1185</v>
      </c>
      <c r="D19" s="608" t="s">
        <v>1189</v>
      </c>
      <c r="E19" s="609" t="s">
        <v>698</v>
      </c>
      <c r="F19">
        <v>84325116</v>
      </c>
      <c r="G19">
        <v>0</v>
      </c>
      <c r="H19">
        <v>84325116</v>
      </c>
      <c r="I19">
        <v>-500000</v>
      </c>
      <c r="J19">
        <v>0</v>
      </c>
      <c r="K19">
        <v>-500000</v>
      </c>
      <c r="L19">
        <v>-4265000</v>
      </c>
      <c r="M19">
        <v>0</v>
      </c>
      <c r="N19">
        <v>-4265000</v>
      </c>
      <c r="O19">
        <v>79560116</v>
      </c>
      <c r="P19">
        <v>0</v>
      </c>
      <c r="Q19">
        <v>79560116</v>
      </c>
      <c r="R19">
        <v>23736</v>
      </c>
      <c r="S19">
        <v>0</v>
      </c>
      <c r="T19">
        <v>23736</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s="661">
        <v>0</v>
      </c>
      <c r="AS19" t="s">
        <v>1672</v>
      </c>
    </row>
    <row r="20" spans="1:45" ht="12.75" x14ac:dyDescent="0.2">
      <c r="A20" s="605">
        <v>13</v>
      </c>
      <c r="B20" s="606" t="s">
        <v>701</v>
      </c>
      <c r="C20" s="607" t="s">
        <v>1185</v>
      </c>
      <c r="D20" s="608" t="s">
        <v>1186</v>
      </c>
      <c r="E20" s="609" t="s">
        <v>917</v>
      </c>
      <c r="F20">
        <v>79926973</v>
      </c>
      <c r="G20">
        <v>1258072</v>
      </c>
      <c r="H20">
        <v>81185045</v>
      </c>
      <c r="I20">
        <v>-750000</v>
      </c>
      <c r="J20">
        <v>-50000</v>
      </c>
      <c r="K20">
        <v>-800000</v>
      </c>
      <c r="L20">
        <v>-2700000</v>
      </c>
      <c r="M20">
        <v>-50000</v>
      </c>
      <c r="N20">
        <v>-2750000</v>
      </c>
      <c r="O20">
        <v>76476973</v>
      </c>
      <c r="P20">
        <v>1158072</v>
      </c>
      <c r="Q20">
        <v>77635045</v>
      </c>
      <c r="R20">
        <v>495245</v>
      </c>
      <c r="S20">
        <v>0</v>
      </c>
      <c r="T20">
        <v>495245</v>
      </c>
      <c r="U20">
        <v>0</v>
      </c>
      <c r="V20">
        <v>0</v>
      </c>
      <c r="W20">
        <v>0</v>
      </c>
      <c r="X20">
        <v>2342</v>
      </c>
      <c r="Y20">
        <v>2282546</v>
      </c>
      <c r="Z20">
        <v>0</v>
      </c>
      <c r="AA20">
        <v>0</v>
      </c>
      <c r="AB20">
        <v>0</v>
      </c>
      <c r="AC20">
        <v>0</v>
      </c>
      <c r="AD20">
        <v>0</v>
      </c>
      <c r="AE20">
        <v>0</v>
      </c>
      <c r="AF20">
        <v>600000</v>
      </c>
      <c r="AG20">
        <v>600000</v>
      </c>
      <c r="AH20">
        <v>0</v>
      </c>
      <c r="AI20">
        <v>0</v>
      </c>
      <c r="AJ20">
        <v>0</v>
      </c>
      <c r="AK20">
        <v>0</v>
      </c>
      <c r="AL20">
        <v>0</v>
      </c>
      <c r="AM20">
        <v>0</v>
      </c>
      <c r="AN20">
        <v>0</v>
      </c>
      <c r="AO20">
        <v>0</v>
      </c>
      <c r="AP20">
        <v>0</v>
      </c>
      <c r="AQ20">
        <v>600000</v>
      </c>
      <c r="AR20" s="661">
        <v>600000</v>
      </c>
      <c r="AS20" t="s">
        <v>1673</v>
      </c>
    </row>
    <row r="21" spans="1:45" ht="12.75" x14ac:dyDescent="0.2">
      <c r="A21" s="605">
        <v>14</v>
      </c>
      <c r="B21" s="606" t="s">
        <v>703</v>
      </c>
      <c r="C21" s="607" t="s">
        <v>1185</v>
      </c>
      <c r="D21" s="608" t="s">
        <v>1188</v>
      </c>
      <c r="E21" s="609" t="s">
        <v>702</v>
      </c>
      <c r="F21">
        <v>48506481</v>
      </c>
      <c r="G21">
        <v>0</v>
      </c>
      <c r="H21">
        <v>48506481</v>
      </c>
      <c r="I21">
        <v>-485000</v>
      </c>
      <c r="J21">
        <v>0</v>
      </c>
      <c r="K21">
        <v>-485000</v>
      </c>
      <c r="L21">
        <v>-1048568</v>
      </c>
      <c r="M21">
        <v>0</v>
      </c>
      <c r="N21">
        <v>-1048568</v>
      </c>
      <c r="O21">
        <v>46972913</v>
      </c>
      <c r="P21">
        <v>0</v>
      </c>
      <c r="Q21">
        <v>46972913</v>
      </c>
      <c r="R21">
        <v>832772</v>
      </c>
      <c r="S21">
        <v>0</v>
      </c>
      <c r="T21">
        <v>832772</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s="661">
        <v>0</v>
      </c>
      <c r="AS21" t="s">
        <v>1674</v>
      </c>
    </row>
    <row r="22" spans="1:45" ht="12.75" x14ac:dyDescent="0.2">
      <c r="A22" s="605">
        <v>15</v>
      </c>
      <c r="B22" s="606" t="s">
        <v>705</v>
      </c>
      <c r="C22" s="607" t="s">
        <v>524</v>
      </c>
      <c r="D22" s="608" t="s">
        <v>1194</v>
      </c>
      <c r="E22" s="609" t="s">
        <v>918</v>
      </c>
      <c r="F22">
        <v>65259749</v>
      </c>
      <c r="G22">
        <v>5962871</v>
      </c>
      <c r="H22">
        <v>71222620</v>
      </c>
      <c r="I22">
        <v>-623290</v>
      </c>
      <c r="J22">
        <v>-63634</v>
      </c>
      <c r="K22">
        <v>-686924</v>
      </c>
      <c r="L22">
        <v>-2959697</v>
      </c>
      <c r="M22">
        <v>-268175</v>
      </c>
      <c r="N22">
        <v>-3227872</v>
      </c>
      <c r="O22">
        <v>61676762</v>
      </c>
      <c r="P22">
        <v>5631062</v>
      </c>
      <c r="Q22">
        <v>67307824</v>
      </c>
      <c r="R22">
        <v>29920</v>
      </c>
      <c r="S22">
        <v>0</v>
      </c>
      <c r="T22">
        <v>29920</v>
      </c>
      <c r="U22">
        <v>0</v>
      </c>
      <c r="V22">
        <v>0</v>
      </c>
      <c r="W22">
        <v>0</v>
      </c>
      <c r="X22">
        <v>18870</v>
      </c>
      <c r="Y22">
        <v>5572237</v>
      </c>
      <c r="Z22">
        <v>94219</v>
      </c>
      <c r="AA22">
        <v>94219</v>
      </c>
      <c r="AB22">
        <v>0</v>
      </c>
      <c r="AC22">
        <v>37000</v>
      </c>
      <c r="AD22">
        <v>37000</v>
      </c>
      <c r="AE22">
        <v>0</v>
      </c>
      <c r="AF22">
        <v>0</v>
      </c>
      <c r="AG22">
        <v>0</v>
      </c>
      <c r="AH22">
        <v>0</v>
      </c>
      <c r="AI22">
        <v>0</v>
      </c>
      <c r="AJ22">
        <v>0</v>
      </c>
      <c r="AK22">
        <v>0</v>
      </c>
      <c r="AL22">
        <v>0</v>
      </c>
      <c r="AM22">
        <v>0</v>
      </c>
      <c r="AN22">
        <v>0</v>
      </c>
      <c r="AO22">
        <v>0</v>
      </c>
      <c r="AP22">
        <v>0</v>
      </c>
      <c r="AQ22">
        <v>0</v>
      </c>
      <c r="AR22" s="661">
        <v>0</v>
      </c>
      <c r="AS22" t="s">
        <v>1675</v>
      </c>
    </row>
    <row r="23" spans="1:45" ht="12.75" x14ac:dyDescent="0.2">
      <c r="A23" s="605">
        <v>16</v>
      </c>
      <c r="B23" s="606" t="s">
        <v>707</v>
      </c>
      <c r="C23" s="607" t="s">
        <v>524</v>
      </c>
      <c r="D23" s="608" t="s">
        <v>1189</v>
      </c>
      <c r="E23" s="609" t="s">
        <v>706</v>
      </c>
      <c r="F23">
        <v>71373228</v>
      </c>
      <c r="G23">
        <v>0</v>
      </c>
      <c r="H23">
        <v>71373228</v>
      </c>
      <c r="I23">
        <v>-570986</v>
      </c>
      <c r="J23">
        <v>0</v>
      </c>
      <c r="K23">
        <v>-570986</v>
      </c>
      <c r="L23">
        <v>-3069049</v>
      </c>
      <c r="M23">
        <v>0</v>
      </c>
      <c r="N23">
        <v>-3069049</v>
      </c>
      <c r="O23">
        <v>67733193</v>
      </c>
      <c r="P23">
        <v>0</v>
      </c>
      <c r="Q23">
        <v>67733193</v>
      </c>
      <c r="R23">
        <v>641609</v>
      </c>
      <c r="S23">
        <v>0</v>
      </c>
      <c r="T23">
        <v>641609</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s="661">
        <v>0</v>
      </c>
      <c r="AS23" t="s">
        <v>1676</v>
      </c>
    </row>
    <row r="24" spans="1:45" ht="12.75" x14ac:dyDescent="0.2">
      <c r="A24" s="605">
        <v>17</v>
      </c>
      <c r="B24" s="606" t="s">
        <v>709</v>
      </c>
      <c r="C24" s="607" t="s">
        <v>1190</v>
      </c>
      <c r="D24" s="608" t="s">
        <v>1191</v>
      </c>
      <c r="E24" s="609" t="s">
        <v>708</v>
      </c>
      <c r="F24">
        <v>80290302</v>
      </c>
      <c r="G24">
        <v>0</v>
      </c>
      <c r="H24">
        <v>80290302</v>
      </c>
      <c r="I24">
        <v>-1210355</v>
      </c>
      <c r="J24">
        <v>0</v>
      </c>
      <c r="K24">
        <v>-1210355</v>
      </c>
      <c r="L24">
        <v>-1806940</v>
      </c>
      <c r="M24">
        <v>0</v>
      </c>
      <c r="N24">
        <v>-1806940</v>
      </c>
      <c r="O24">
        <v>77273007</v>
      </c>
      <c r="P24">
        <v>0</v>
      </c>
      <c r="Q24">
        <v>77273007</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s="661">
        <v>0</v>
      </c>
      <c r="AS24" t="s">
        <v>1677</v>
      </c>
    </row>
    <row r="25" spans="1:45" ht="12.75" x14ac:dyDescent="0.2">
      <c r="A25" s="605">
        <v>18</v>
      </c>
      <c r="B25" s="606" t="s">
        <v>711</v>
      </c>
      <c r="C25" s="607" t="s">
        <v>1192</v>
      </c>
      <c r="D25" s="608" t="s">
        <v>1195</v>
      </c>
      <c r="E25" s="609" t="s">
        <v>710</v>
      </c>
      <c r="F25">
        <v>464159554</v>
      </c>
      <c r="G25">
        <v>22580272</v>
      </c>
      <c r="H25">
        <v>486739826</v>
      </c>
      <c r="I25">
        <v>-9492464</v>
      </c>
      <c r="J25">
        <v>-220967</v>
      </c>
      <c r="K25">
        <v>-9713431</v>
      </c>
      <c r="L25">
        <v>-17646916</v>
      </c>
      <c r="M25">
        <v>-644275</v>
      </c>
      <c r="N25">
        <v>-18291191</v>
      </c>
      <c r="O25">
        <v>437020174</v>
      </c>
      <c r="P25">
        <v>21715030</v>
      </c>
      <c r="Q25">
        <v>458735204</v>
      </c>
      <c r="R25">
        <v>0</v>
      </c>
      <c r="S25">
        <v>0</v>
      </c>
      <c r="T25">
        <v>0</v>
      </c>
      <c r="U25">
        <v>0</v>
      </c>
      <c r="V25">
        <v>0</v>
      </c>
      <c r="W25">
        <v>0</v>
      </c>
      <c r="X25">
        <v>0</v>
      </c>
      <c r="Y25">
        <v>11531912</v>
      </c>
      <c r="Z25">
        <v>10183118</v>
      </c>
      <c r="AA25">
        <v>10183118</v>
      </c>
      <c r="AB25">
        <v>0</v>
      </c>
      <c r="AC25">
        <v>872371</v>
      </c>
      <c r="AD25">
        <v>872371</v>
      </c>
      <c r="AE25">
        <v>0</v>
      </c>
      <c r="AF25">
        <v>0</v>
      </c>
      <c r="AG25">
        <v>0</v>
      </c>
      <c r="AH25">
        <v>0</v>
      </c>
      <c r="AI25">
        <v>0</v>
      </c>
      <c r="AJ25">
        <v>0</v>
      </c>
      <c r="AK25">
        <v>0</v>
      </c>
      <c r="AL25">
        <v>0</v>
      </c>
      <c r="AM25">
        <v>0</v>
      </c>
      <c r="AN25">
        <v>0</v>
      </c>
      <c r="AO25">
        <v>0</v>
      </c>
      <c r="AP25">
        <v>0</v>
      </c>
      <c r="AQ25">
        <v>0</v>
      </c>
      <c r="AR25" s="661">
        <v>0</v>
      </c>
      <c r="AS25" t="s">
        <v>1678</v>
      </c>
    </row>
    <row r="26" spans="1:45" ht="12.75" x14ac:dyDescent="0.2">
      <c r="A26" s="605">
        <v>19</v>
      </c>
      <c r="B26" s="606" t="s">
        <v>713</v>
      </c>
      <c r="C26" s="607" t="s">
        <v>1185</v>
      </c>
      <c r="D26" s="608" t="s">
        <v>1188</v>
      </c>
      <c r="E26" s="609" t="s">
        <v>712</v>
      </c>
      <c r="F26">
        <v>51834419.99000001</v>
      </c>
      <c r="G26">
        <v>0</v>
      </c>
      <c r="H26">
        <v>51834419.99000001</v>
      </c>
      <c r="I26">
        <v>-100000</v>
      </c>
      <c r="J26">
        <v>0</v>
      </c>
      <c r="K26">
        <v>-100000</v>
      </c>
      <c r="L26">
        <v>-1770000</v>
      </c>
      <c r="M26">
        <v>0</v>
      </c>
      <c r="N26">
        <v>-1770000</v>
      </c>
      <c r="O26">
        <v>49964419.99000001</v>
      </c>
      <c r="P26">
        <v>0</v>
      </c>
      <c r="Q26">
        <v>49964419.99000001</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s="661">
        <v>0</v>
      </c>
      <c r="AS26" t="s">
        <v>1679</v>
      </c>
    </row>
    <row r="27" spans="1:45" ht="12.75" x14ac:dyDescent="0.2">
      <c r="A27" s="605">
        <v>20</v>
      </c>
      <c r="B27" s="606" t="s">
        <v>715</v>
      </c>
      <c r="C27" s="607" t="s">
        <v>524</v>
      </c>
      <c r="D27" s="608" t="s">
        <v>1187</v>
      </c>
      <c r="E27" s="609" t="s">
        <v>587</v>
      </c>
      <c r="F27">
        <v>45261669</v>
      </c>
      <c r="G27">
        <v>0</v>
      </c>
      <c r="H27">
        <v>45261669</v>
      </c>
      <c r="I27">
        <v>-700000</v>
      </c>
      <c r="J27">
        <v>0</v>
      </c>
      <c r="K27">
        <v>-700000</v>
      </c>
      <c r="L27">
        <v>-1300000</v>
      </c>
      <c r="M27">
        <v>0</v>
      </c>
      <c r="N27">
        <v>-1300000</v>
      </c>
      <c r="O27">
        <v>43261669</v>
      </c>
      <c r="P27">
        <v>0</v>
      </c>
      <c r="Q27">
        <v>43261669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s="661">
        <v>0</v>
      </c>
      <c r="AS27" t="s">
        <v>1680</v>
      </c>
    </row>
    <row r="28" spans="1:45" ht="12.75" x14ac:dyDescent="0.2">
      <c r="A28" s="605">
        <v>21</v>
      </c>
      <c r="B28" s="606" t="s">
        <v>717</v>
      </c>
      <c r="C28" s="607" t="s">
        <v>524</v>
      </c>
      <c r="D28" s="608" t="s">
        <v>1187</v>
      </c>
      <c r="E28" s="609" t="s">
        <v>589</v>
      </c>
      <c r="F28">
        <v>42145980</v>
      </c>
      <c r="G28">
        <v>1573522</v>
      </c>
      <c r="H28">
        <v>43719502</v>
      </c>
      <c r="I28">
        <v>-1542000</v>
      </c>
      <c r="J28">
        <v>-58000</v>
      </c>
      <c r="K28">
        <v>-1600000</v>
      </c>
      <c r="L28">
        <v>-1735000</v>
      </c>
      <c r="M28">
        <v>-65000</v>
      </c>
      <c r="N28">
        <v>-1800000</v>
      </c>
      <c r="O28">
        <v>38868980</v>
      </c>
      <c r="P28">
        <v>1450522</v>
      </c>
      <c r="Q28">
        <v>40319502</v>
      </c>
      <c r="R28">
        <v>2592</v>
      </c>
      <c r="S28">
        <v>0</v>
      </c>
      <c r="T28">
        <v>2592</v>
      </c>
      <c r="U28">
        <v>0</v>
      </c>
      <c r="V28">
        <v>0</v>
      </c>
      <c r="W28">
        <v>0</v>
      </c>
      <c r="X28">
        <v>0</v>
      </c>
      <c r="Y28">
        <v>1609437</v>
      </c>
      <c r="Z28">
        <v>0</v>
      </c>
      <c r="AA28">
        <v>0</v>
      </c>
      <c r="AB28">
        <v>0</v>
      </c>
      <c r="AC28">
        <v>0</v>
      </c>
      <c r="AD28">
        <v>0</v>
      </c>
      <c r="AE28">
        <v>0</v>
      </c>
      <c r="AF28">
        <v>323998</v>
      </c>
      <c r="AG28">
        <v>323998</v>
      </c>
      <c r="AH28">
        <v>0</v>
      </c>
      <c r="AI28">
        <v>0</v>
      </c>
      <c r="AJ28">
        <v>0</v>
      </c>
      <c r="AK28">
        <v>0</v>
      </c>
      <c r="AL28">
        <v>0</v>
      </c>
      <c r="AM28">
        <v>0</v>
      </c>
      <c r="AN28">
        <v>0</v>
      </c>
      <c r="AO28">
        <v>0</v>
      </c>
      <c r="AP28">
        <v>0</v>
      </c>
      <c r="AQ28">
        <v>323998</v>
      </c>
      <c r="AR28" s="661">
        <v>323998</v>
      </c>
      <c r="AS28" t="s">
        <v>1681</v>
      </c>
    </row>
    <row r="29" spans="1:45" ht="12.75" x14ac:dyDescent="0.2">
      <c r="A29" s="605">
        <v>22</v>
      </c>
      <c r="B29" s="606" t="s">
        <v>719</v>
      </c>
      <c r="C29" s="607" t="s">
        <v>1185</v>
      </c>
      <c r="D29" s="608" t="s">
        <v>1188</v>
      </c>
      <c r="E29" s="609" t="s">
        <v>718</v>
      </c>
      <c r="F29">
        <v>28829025</v>
      </c>
      <c r="G29">
        <v>0</v>
      </c>
      <c r="H29">
        <v>28829025</v>
      </c>
      <c r="I29">
        <v>-146006</v>
      </c>
      <c r="J29">
        <v>0</v>
      </c>
      <c r="K29">
        <v>-146006</v>
      </c>
      <c r="L29">
        <v>-911915</v>
      </c>
      <c r="M29">
        <v>0</v>
      </c>
      <c r="N29">
        <v>-911915</v>
      </c>
      <c r="O29">
        <v>27771104</v>
      </c>
      <c r="P29">
        <v>0</v>
      </c>
      <c r="Q29">
        <v>27771104</v>
      </c>
      <c r="R29">
        <v>57260</v>
      </c>
      <c r="S29">
        <v>0</v>
      </c>
      <c r="T29">
        <v>57260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s="661">
        <v>0</v>
      </c>
      <c r="AS29" t="s">
        <v>1682</v>
      </c>
    </row>
    <row r="30" spans="1:45" ht="12.75" x14ac:dyDescent="0.2">
      <c r="A30" s="605">
        <v>23</v>
      </c>
      <c r="B30" s="606" t="s">
        <v>721</v>
      </c>
      <c r="C30" s="607" t="s">
        <v>1192</v>
      </c>
      <c r="D30" s="608" t="s">
        <v>1187</v>
      </c>
      <c r="E30" s="609" t="s">
        <v>720</v>
      </c>
      <c r="F30">
        <v>93681167</v>
      </c>
      <c r="G30">
        <v>0</v>
      </c>
      <c r="H30">
        <v>93681167</v>
      </c>
      <c r="I30">
        <v>-2941573</v>
      </c>
      <c r="J30">
        <v>0</v>
      </c>
      <c r="K30">
        <v>-2941573</v>
      </c>
      <c r="L30">
        <v>-5515739</v>
      </c>
      <c r="M30">
        <v>0</v>
      </c>
      <c r="N30">
        <v>-5515739</v>
      </c>
      <c r="O30">
        <v>85223855</v>
      </c>
      <c r="P30">
        <v>0</v>
      </c>
      <c r="Q30">
        <v>85223855</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s="661">
        <v>0</v>
      </c>
      <c r="AS30" t="s">
        <v>1683</v>
      </c>
    </row>
    <row r="31" spans="1:45" ht="12.75" x14ac:dyDescent="0.2">
      <c r="A31" s="605">
        <v>24</v>
      </c>
      <c r="B31" s="606" t="s">
        <v>723</v>
      </c>
      <c r="C31" s="607" t="s">
        <v>1185</v>
      </c>
      <c r="D31" s="608" t="s">
        <v>1188</v>
      </c>
      <c r="E31" s="609" t="s">
        <v>722</v>
      </c>
      <c r="F31">
        <v>20958170</v>
      </c>
      <c r="G31">
        <v>0</v>
      </c>
      <c r="H31">
        <v>20958170</v>
      </c>
      <c r="I31">
        <v>-209580</v>
      </c>
      <c r="J31">
        <v>0</v>
      </c>
      <c r="K31">
        <v>-209580</v>
      </c>
      <c r="L31">
        <v>-500000</v>
      </c>
      <c r="M31">
        <v>0</v>
      </c>
      <c r="N31">
        <v>-500000</v>
      </c>
      <c r="O31">
        <v>20248590</v>
      </c>
      <c r="P31">
        <v>0</v>
      </c>
      <c r="Q31">
        <v>20248590</v>
      </c>
      <c r="R31">
        <v>205753</v>
      </c>
      <c r="S31">
        <v>0</v>
      </c>
      <c r="T31">
        <v>205753</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s="661">
        <v>0</v>
      </c>
      <c r="AS31" t="s">
        <v>1684</v>
      </c>
    </row>
    <row r="32" spans="1:45" ht="12.75" x14ac:dyDescent="0.2">
      <c r="A32" s="605">
        <v>25</v>
      </c>
      <c r="B32" s="606" t="s">
        <v>1124</v>
      </c>
      <c r="C32" s="607" t="s">
        <v>524</v>
      </c>
      <c r="D32" s="608" t="s">
        <v>1194</v>
      </c>
      <c r="E32" s="609" t="s">
        <v>1145</v>
      </c>
      <c r="F32">
        <v>151515191</v>
      </c>
      <c r="G32">
        <v>0</v>
      </c>
      <c r="H32">
        <v>151515191</v>
      </c>
      <c r="I32">
        <v>-3700000</v>
      </c>
      <c r="J32">
        <v>0</v>
      </c>
      <c r="K32">
        <v>-3700000</v>
      </c>
      <c r="L32">
        <v>-12800000</v>
      </c>
      <c r="M32">
        <v>0</v>
      </c>
      <c r="N32">
        <v>-12800000</v>
      </c>
      <c r="O32">
        <v>135015191</v>
      </c>
      <c r="P32">
        <v>0</v>
      </c>
      <c r="Q32">
        <v>135015191</v>
      </c>
      <c r="R32">
        <v>318901</v>
      </c>
      <c r="S32">
        <v>0</v>
      </c>
      <c r="T32">
        <v>318901</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s="661">
        <v>0</v>
      </c>
      <c r="AS32" t="s">
        <v>1685</v>
      </c>
    </row>
    <row r="33" spans="1:45" ht="12.75" x14ac:dyDescent="0.2">
      <c r="A33" s="605">
        <v>26</v>
      </c>
      <c r="B33" s="606" t="s">
        <v>725</v>
      </c>
      <c r="C33" s="607" t="s">
        <v>524</v>
      </c>
      <c r="D33" s="608" t="s">
        <v>1186</v>
      </c>
      <c r="E33" s="609" t="s">
        <v>531</v>
      </c>
      <c r="F33">
        <v>73479854</v>
      </c>
      <c r="G33">
        <v>0</v>
      </c>
      <c r="H33">
        <v>73479854</v>
      </c>
      <c r="I33">
        <v>-214988</v>
      </c>
      <c r="J33">
        <v>0</v>
      </c>
      <c r="K33">
        <v>-214988</v>
      </c>
      <c r="L33">
        <v>-3401957</v>
      </c>
      <c r="M33">
        <v>0</v>
      </c>
      <c r="N33">
        <v>-3401957</v>
      </c>
      <c r="O33">
        <v>69862909</v>
      </c>
      <c r="P33">
        <v>0</v>
      </c>
      <c r="Q33">
        <v>69862909</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s="661">
        <v>0</v>
      </c>
      <c r="AS33" t="s">
        <v>1686</v>
      </c>
    </row>
    <row r="34" spans="1:45" ht="12.75" x14ac:dyDescent="0.2">
      <c r="A34" s="605">
        <v>27</v>
      </c>
      <c r="B34" s="606" t="s">
        <v>727</v>
      </c>
      <c r="C34" s="607" t="s">
        <v>1192</v>
      </c>
      <c r="D34" s="608" t="s">
        <v>1193</v>
      </c>
      <c r="E34" s="609" t="s">
        <v>726</v>
      </c>
      <c r="F34">
        <v>143470078</v>
      </c>
      <c r="G34">
        <v>0</v>
      </c>
      <c r="H34">
        <v>143470078</v>
      </c>
      <c r="I34">
        <v>-2499000</v>
      </c>
      <c r="J34">
        <v>0</v>
      </c>
      <c r="K34">
        <v>-2499000</v>
      </c>
      <c r="L34">
        <v>-5710000</v>
      </c>
      <c r="M34">
        <v>0</v>
      </c>
      <c r="N34">
        <v>-5710000</v>
      </c>
      <c r="O34">
        <v>135261078</v>
      </c>
      <c r="P34">
        <v>0</v>
      </c>
      <c r="Q34">
        <v>135261078</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s="661">
        <v>0</v>
      </c>
      <c r="AS34" t="s">
        <v>1687</v>
      </c>
    </row>
    <row r="35" spans="1:45" ht="12.75" x14ac:dyDescent="0.2">
      <c r="A35" s="605">
        <v>28</v>
      </c>
      <c r="B35" s="606" t="s">
        <v>729</v>
      </c>
      <c r="C35" s="607" t="s">
        <v>1185</v>
      </c>
      <c r="D35" s="608" t="s">
        <v>1189</v>
      </c>
      <c r="E35" s="609" t="s">
        <v>728</v>
      </c>
      <c r="F35">
        <v>44260434</v>
      </c>
      <c r="G35">
        <v>0</v>
      </c>
      <c r="H35">
        <v>44260434</v>
      </c>
      <c r="I35">
        <v>-229700</v>
      </c>
      <c r="J35">
        <v>0</v>
      </c>
      <c r="K35">
        <v>-229700</v>
      </c>
      <c r="L35">
        <v>-1106700</v>
      </c>
      <c r="M35">
        <v>0</v>
      </c>
      <c r="N35">
        <v>-1106700</v>
      </c>
      <c r="O35">
        <v>42924034</v>
      </c>
      <c r="P35">
        <v>0</v>
      </c>
      <c r="Q35">
        <v>42924034</v>
      </c>
      <c r="R35">
        <v>186000</v>
      </c>
      <c r="S35">
        <v>0</v>
      </c>
      <c r="T35">
        <v>186000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s="661">
        <v>0</v>
      </c>
      <c r="AS35" t="s">
        <v>1688</v>
      </c>
    </row>
    <row r="36" spans="1:45" ht="12.75" x14ac:dyDescent="0.2">
      <c r="A36" s="605">
        <v>29</v>
      </c>
      <c r="B36" s="606" t="s">
        <v>731</v>
      </c>
      <c r="C36" s="607" t="s">
        <v>1185</v>
      </c>
      <c r="D36" s="608" t="s">
        <v>1189</v>
      </c>
      <c r="E36" s="609" t="s">
        <v>730</v>
      </c>
      <c r="F36">
        <v>35929242</v>
      </c>
      <c r="G36">
        <v>0</v>
      </c>
      <c r="H36">
        <v>35929242</v>
      </c>
      <c r="I36">
        <v>-179646</v>
      </c>
      <c r="J36">
        <v>0</v>
      </c>
      <c r="K36">
        <v>-179646</v>
      </c>
      <c r="L36">
        <v>-1050855</v>
      </c>
      <c r="M36">
        <v>0</v>
      </c>
      <c r="N36">
        <v>-1050855</v>
      </c>
      <c r="O36">
        <v>34698741</v>
      </c>
      <c r="P36">
        <v>0</v>
      </c>
      <c r="Q36">
        <v>34698741</v>
      </c>
      <c r="R36">
        <v>2511918</v>
      </c>
      <c r="S36">
        <v>0</v>
      </c>
      <c r="T36">
        <v>2511918</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s="661">
        <v>0</v>
      </c>
      <c r="AS36" t="s">
        <v>1689</v>
      </c>
    </row>
    <row r="37" spans="1:45" ht="12.75" x14ac:dyDescent="0.2">
      <c r="A37" s="605">
        <v>30</v>
      </c>
      <c r="B37" s="606" t="s">
        <v>733</v>
      </c>
      <c r="C37" s="607" t="s">
        <v>1190</v>
      </c>
      <c r="D37" s="608" t="s">
        <v>1191</v>
      </c>
      <c r="E37" s="609" t="s">
        <v>732</v>
      </c>
      <c r="F37">
        <v>130546414</v>
      </c>
      <c r="G37">
        <v>0</v>
      </c>
      <c r="H37">
        <v>130546414</v>
      </c>
      <c r="I37">
        <v>-1000000</v>
      </c>
      <c r="J37">
        <v>0</v>
      </c>
      <c r="K37">
        <v>-1000000</v>
      </c>
      <c r="L37">
        <v>-2000000</v>
      </c>
      <c r="M37">
        <v>0</v>
      </c>
      <c r="N37">
        <v>-2000000</v>
      </c>
      <c r="O37">
        <v>127546414</v>
      </c>
      <c r="P37">
        <v>0</v>
      </c>
      <c r="Q37">
        <v>127546414</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s="661">
        <v>0</v>
      </c>
      <c r="AS37" t="s">
        <v>1690</v>
      </c>
    </row>
    <row r="38" spans="1:45" ht="12.75" x14ac:dyDescent="0.2">
      <c r="A38" s="605">
        <v>31</v>
      </c>
      <c r="B38" s="606" t="s">
        <v>735</v>
      </c>
      <c r="C38" s="607" t="s">
        <v>1185</v>
      </c>
      <c r="D38" s="608" t="s">
        <v>1189</v>
      </c>
      <c r="E38" s="609" t="s">
        <v>734</v>
      </c>
      <c r="F38">
        <v>27094413</v>
      </c>
      <c r="G38">
        <v>0</v>
      </c>
      <c r="H38">
        <v>27094413</v>
      </c>
      <c r="I38">
        <v>-500000</v>
      </c>
      <c r="J38">
        <v>0</v>
      </c>
      <c r="K38">
        <v>-500000</v>
      </c>
      <c r="L38">
        <v>0</v>
      </c>
      <c r="M38">
        <v>0</v>
      </c>
      <c r="N38">
        <v>0</v>
      </c>
      <c r="O38">
        <v>26594413</v>
      </c>
      <c r="P38">
        <v>0</v>
      </c>
      <c r="Q38">
        <v>26594413</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s="661">
        <v>0</v>
      </c>
      <c r="AS38" t="s">
        <v>1691</v>
      </c>
    </row>
    <row r="39" spans="1:45" ht="12.75" x14ac:dyDescent="0.2">
      <c r="A39" s="605">
        <v>32</v>
      </c>
      <c r="B39" s="606" t="s">
        <v>737</v>
      </c>
      <c r="C39" s="607" t="s">
        <v>524</v>
      </c>
      <c r="D39" s="608" t="s">
        <v>1186</v>
      </c>
      <c r="E39" s="609" t="s">
        <v>916</v>
      </c>
      <c r="F39">
        <v>125866178</v>
      </c>
      <c r="G39">
        <v>0</v>
      </c>
      <c r="H39">
        <v>125866178</v>
      </c>
      <c r="I39">
        <v>-1573327</v>
      </c>
      <c r="J39">
        <v>0</v>
      </c>
      <c r="K39">
        <v>-1573327</v>
      </c>
      <c r="L39">
        <v>-5102265</v>
      </c>
      <c r="M39">
        <v>0</v>
      </c>
      <c r="N39">
        <v>-5102265</v>
      </c>
      <c r="O39">
        <v>119190586</v>
      </c>
      <c r="P39">
        <v>0</v>
      </c>
      <c r="Q39">
        <v>119190586</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s="661">
        <v>0</v>
      </c>
      <c r="AS39" t="s">
        <v>1692</v>
      </c>
    </row>
    <row r="40" spans="1:45" ht="12.75" x14ac:dyDescent="0.2">
      <c r="A40" s="605">
        <v>33</v>
      </c>
      <c r="B40" s="606" t="s">
        <v>739</v>
      </c>
      <c r="C40" s="607" t="s">
        <v>524</v>
      </c>
      <c r="D40" s="608" t="s">
        <v>1194</v>
      </c>
      <c r="E40" s="609" t="s">
        <v>526</v>
      </c>
      <c r="F40">
        <v>199256506</v>
      </c>
      <c r="G40">
        <v>36835694</v>
      </c>
      <c r="H40">
        <v>236092200</v>
      </c>
      <c r="I40">
        <v>-3486989</v>
      </c>
      <c r="J40">
        <v>-644624</v>
      </c>
      <c r="K40">
        <v>-4131613</v>
      </c>
      <c r="L40">
        <v>-9365056</v>
      </c>
      <c r="M40">
        <v>-1731277</v>
      </c>
      <c r="N40">
        <v>-11096333</v>
      </c>
      <c r="O40">
        <v>186404461</v>
      </c>
      <c r="P40">
        <v>34459793</v>
      </c>
      <c r="Q40">
        <v>220864254</v>
      </c>
      <c r="R40">
        <v>19180</v>
      </c>
      <c r="S40">
        <v>153088</v>
      </c>
      <c r="T40">
        <v>172268</v>
      </c>
      <c r="U40">
        <v>0</v>
      </c>
      <c r="V40">
        <v>0</v>
      </c>
      <c r="W40">
        <v>0</v>
      </c>
      <c r="X40">
        <v>-103384</v>
      </c>
      <c r="Y40">
        <v>26593417</v>
      </c>
      <c r="Z40">
        <v>7609904</v>
      </c>
      <c r="AA40">
        <v>7609904</v>
      </c>
      <c r="AB40">
        <v>0</v>
      </c>
      <c r="AC40">
        <v>1614490</v>
      </c>
      <c r="AD40">
        <v>1614490</v>
      </c>
      <c r="AE40">
        <v>0</v>
      </c>
      <c r="AF40">
        <v>0</v>
      </c>
      <c r="AG40">
        <v>0</v>
      </c>
      <c r="AH40">
        <v>0</v>
      </c>
      <c r="AI40">
        <v>0</v>
      </c>
      <c r="AJ40">
        <v>0</v>
      </c>
      <c r="AK40">
        <v>0</v>
      </c>
      <c r="AL40">
        <v>0</v>
      </c>
      <c r="AM40">
        <v>0</v>
      </c>
      <c r="AN40">
        <v>0</v>
      </c>
      <c r="AO40">
        <v>0</v>
      </c>
      <c r="AP40">
        <v>0</v>
      </c>
      <c r="AQ40">
        <v>0</v>
      </c>
      <c r="AR40" s="661">
        <v>0</v>
      </c>
      <c r="AS40" t="s">
        <v>1693</v>
      </c>
    </row>
    <row r="41" spans="1:45" ht="12.75" x14ac:dyDescent="0.2">
      <c r="A41" s="605">
        <v>34</v>
      </c>
      <c r="B41" s="606" t="s">
        <v>741</v>
      </c>
      <c r="C41" s="607" t="s">
        <v>1185</v>
      </c>
      <c r="D41" s="608" t="s">
        <v>1189</v>
      </c>
      <c r="E41" s="609" t="s">
        <v>740</v>
      </c>
      <c r="F41">
        <v>31806013</v>
      </c>
      <c r="G41">
        <v>0</v>
      </c>
      <c r="H41">
        <v>31806013</v>
      </c>
      <c r="I41">
        <v>-226000</v>
      </c>
      <c r="J41">
        <v>0</v>
      </c>
      <c r="K41">
        <v>-226000</v>
      </c>
      <c r="L41">
        <v>-1209467</v>
      </c>
      <c r="M41">
        <v>0</v>
      </c>
      <c r="N41">
        <v>-1209467</v>
      </c>
      <c r="O41">
        <v>30370546</v>
      </c>
      <c r="P41">
        <v>0</v>
      </c>
      <c r="Q41">
        <v>30370546</v>
      </c>
      <c r="R41">
        <v>154806</v>
      </c>
      <c r="S41">
        <v>0</v>
      </c>
      <c r="T41">
        <v>154806</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s="661">
        <v>0</v>
      </c>
      <c r="AS41" t="s">
        <v>1694</v>
      </c>
    </row>
    <row r="42" spans="1:45" ht="12.75" x14ac:dyDescent="0.2">
      <c r="A42" s="605">
        <v>35</v>
      </c>
      <c r="B42" s="606" t="s">
        <v>743</v>
      </c>
      <c r="C42" s="607" t="s">
        <v>1190</v>
      </c>
      <c r="D42" s="608" t="s">
        <v>1191</v>
      </c>
      <c r="E42" s="609" t="s">
        <v>742</v>
      </c>
      <c r="F42">
        <v>97155405</v>
      </c>
      <c r="G42">
        <v>0</v>
      </c>
      <c r="H42">
        <v>97155405</v>
      </c>
      <c r="I42">
        <v>-550000</v>
      </c>
      <c r="J42">
        <v>0</v>
      </c>
      <c r="K42">
        <v>-550000</v>
      </c>
      <c r="L42">
        <v>-2907537</v>
      </c>
      <c r="M42">
        <v>0</v>
      </c>
      <c r="N42">
        <v>-2907537</v>
      </c>
      <c r="O42">
        <v>93697868</v>
      </c>
      <c r="P42">
        <v>0</v>
      </c>
      <c r="Q42">
        <v>93697868</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s="661">
        <v>0</v>
      </c>
      <c r="AS42" t="s">
        <v>1695</v>
      </c>
    </row>
    <row r="43" spans="1:45" ht="12.75" x14ac:dyDescent="0.2">
      <c r="A43" s="605">
        <v>36</v>
      </c>
      <c r="B43" s="606" t="s">
        <v>745</v>
      </c>
      <c r="C43" s="607" t="s">
        <v>1185</v>
      </c>
      <c r="D43" s="608" t="s">
        <v>1195</v>
      </c>
      <c r="E43" s="609" t="s">
        <v>744</v>
      </c>
      <c r="F43">
        <v>26302957</v>
      </c>
      <c r="G43">
        <v>0</v>
      </c>
      <c r="H43">
        <v>26302957</v>
      </c>
      <c r="I43">
        <v>-263029</v>
      </c>
      <c r="J43">
        <v>0</v>
      </c>
      <c r="K43">
        <v>-263029</v>
      </c>
      <c r="L43">
        <v>-786770</v>
      </c>
      <c r="M43">
        <v>0</v>
      </c>
      <c r="N43">
        <v>-786770</v>
      </c>
      <c r="O43">
        <v>25253158</v>
      </c>
      <c r="P43">
        <v>0</v>
      </c>
      <c r="Q43">
        <v>25253158</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s="661">
        <v>0</v>
      </c>
      <c r="AS43" t="s">
        <v>1696</v>
      </c>
    </row>
    <row r="44" spans="1:45" ht="12.75" x14ac:dyDescent="0.2">
      <c r="A44" s="605">
        <v>37</v>
      </c>
      <c r="B44" s="606" t="s">
        <v>747</v>
      </c>
      <c r="C44" s="607" t="s">
        <v>1185</v>
      </c>
      <c r="D44" s="608" t="s">
        <v>1189</v>
      </c>
      <c r="E44" s="609" t="s">
        <v>746</v>
      </c>
      <c r="F44">
        <v>41635458</v>
      </c>
      <c r="G44">
        <v>0</v>
      </c>
      <c r="H44">
        <v>41635458</v>
      </c>
      <c r="I44">
        <v>0</v>
      </c>
      <c r="J44">
        <v>0</v>
      </c>
      <c r="K44">
        <v>0</v>
      </c>
      <c r="L44">
        <v>-200000</v>
      </c>
      <c r="M44">
        <v>0</v>
      </c>
      <c r="N44">
        <v>-200000</v>
      </c>
      <c r="O44">
        <v>41435458</v>
      </c>
      <c r="P44">
        <v>0</v>
      </c>
      <c r="Q44">
        <v>41435458</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s="661">
        <v>0</v>
      </c>
      <c r="AS44" t="s">
        <v>1697</v>
      </c>
    </row>
    <row r="45" spans="1:45" ht="12.75" x14ac:dyDescent="0.2">
      <c r="A45" s="605">
        <v>38</v>
      </c>
      <c r="B45" s="606" t="s">
        <v>749</v>
      </c>
      <c r="C45" s="607" t="s">
        <v>1185</v>
      </c>
      <c r="D45" s="608" t="s">
        <v>1188</v>
      </c>
      <c r="E45" s="609" t="s">
        <v>748</v>
      </c>
      <c r="F45">
        <v>27765031.91</v>
      </c>
      <c r="G45">
        <v>430416.5</v>
      </c>
      <c r="H45">
        <v>28195448.41</v>
      </c>
      <c r="I45">
        <v>-150000</v>
      </c>
      <c r="J45">
        <v>0</v>
      </c>
      <c r="K45">
        <v>-150000</v>
      </c>
      <c r="L45">
        <v>-189100</v>
      </c>
      <c r="M45">
        <v>0</v>
      </c>
      <c r="N45">
        <v>-189100</v>
      </c>
      <c r="O45">
        <v>27425931.91</v>
      </c>
      <c r="P45">
        <v>430416.5</v>
      </c>
      <c r="Q45">
        <v>27856348.41</v>
      </c>
      <c r="R45">
        <v>0</v>
      </c>
      <c r="S45">
        <v>0</v>
      </c>
      <c r="T45">
        <v>0</v>
      </c>
      <c r="U45">
        <v>0</v>
      </c>
      <c r="V45">
        <v>0</v>
      </c>
      <c r="W45">
        <v>0</v>
      </c>
      <c r="X45">
        <v>0</v>
      </c>
      <c r="Y45">
        <v>1266763</v>
      </c>
      <c r="Z45">
        <v>0</v>
      </c>
      <c r="AA45">
        <v>0</v>
      </c>
      <c r="AB45">
        <v>0</v>
      </c>
      <c r="AC45">
        <v>0</v>
      </c>
      <c r="AD45">
        <v>0</v>
      </c>
      <c r="AE45">
        <v>0</v>
      </c>
      <c r="AF45">
        <v>110000</v>
      </c>
      <c r="AG45">
        <v>110000</v>
      </c>
      <c r="AH45">
        <v>0</v>
      </c>
      <c r="AI45">
        <v>0</v>
      </c>
      <c r="AJ45">
        <v>0</v>
      </c>
      <c r="AK45">
        <v>0</v>
      </c>
      <c r="AL45">
        <v>0</v>
      </c>
      <c r="AM45">
        <v>0</v>
      </c>
      <c r="AN45">
        <v>0</v>
      </c>
      <c r="AO45">
        <v>0</v>
      </c>
      <c r="AP45">
        <v>0</v>
      </c>
      <c r="AQ45">
        <v>110000</v>
      </c>
      <c r="AR45" s="661">
        <v>110000</v>
      </c>
      <c r="AS45" t="s">
        <v>1698</v>
      </c>
    </row>
    <row r="46" spans="1:45" ht="12.75" x14ac:dyDescent="0.2">
      <c r="A46" s="605">
        <v>39</v>
      </c>
      <c r="B46" s="606" t="s">
        <v>1488</v>
      </c>
      <c r="C46" s="607" t="s">
        <v>524</v>
      </c>
      <c r="D46" s="659" t="s">
        <v>1186</v>
      </c>
      <c r="E46" s="609" t="s">
        <v>1489</v>
      </c>
      <c r="F46">
        <v>188929981</v>
      </c>
      <c r="G46">
        <v>512143</v>
      </c>
      <c r="H46">
        <v>189442124</v>
      </c>
      <c r="I46">
        <v>-1229446</v>
      </c>
      <c r="J46">
        <v>0</v>
      </c>
      <c r="K46">
        <v>-1229446</v>
      </c>
      <c r="L46">
        <v>-1463562</v>
      </c>
      <c r="M46">
        <v>0</v>
      </c>
      <c r="N46">
        <v>-1463562</v>
      </c>
      <c r="O46">
        <v>186236973</v>
      </c>
      <c r="P46">
        <v>512143</v>
      </c>
      <c r="Q46">
        <v>186749116</v>
      </c>
      <c r="R46">
        <v>235520</v>
      </c>
      <c r="S46">
        <v>0</v>
      </c>
      <c r="T46">
        <v>235520</v>
      </c>
      <c r="U46">
        <v>0</v>
      </c>
      <c r="V46">
        <v>0</v>
      </c>
      <c r="W46">
        <v>0</v>
      </c>
      <c r="X46">
        <v>0</v>
      </c>
      <c r="Y46">
        <v>26680</v>
      </c>
      <c r="Z46">
        <v>485463</v>
      </c>
      <c r="AA46">
        <v>485463</v>
      </c>
      <c r="AB46">
        <v>0</v>
      </c>
      <c r="AC46">
        <v>0</v>
      </c>
      <c r="AD46">
        <v>0</v>
      </c>
      <c r="AE46">
        <v>0</v>
      </c>
      <c r="AF46">
        <v>357184</v>
      </c>
      <c r="AG46">
        <v>357184</v>
      </c>
      <c r="AH46">
        <v>0</v>
      </c>
      <c r="AI46">
        <v>0</v>
      </c>
      <c r="AJ46">
        <v>0</v>
      </c>
      <c r="AK46">
        <v>0</v>
      </c>
      <c r="AL46">
        <v>0</v>
      </c>
      <c r="AM46">
        <v>0</v>
      </c>
      <c r="AN46">
        <v>0</v>
      </c>
      <c r="AO46">
        <v>0</v>
      </c>
      <c r="AP46">
        <v>0</v>
      </c>
      <c r="AQ46">
        <v>357184</v>
      </c>
      <c r="AR46" s="661">
        <v>357184</v>
      </c>
      <c r="AS46" s="118" t="s">
        <v>1657</v>
      </c>
    </row>
    <row r="47" spans="1:45" ht="12.75" x14ac:dyDescent="0.2">
      <c r="A47" s="605">
        <v>40</v>
      </c>
      <c r="B47" s="606" t="s">
        <v>751</v>
      </c>
      <c r="C47" s="607" t="s">
        <v>1185</v>
      </c>
      <c r="D47" s="608" t="s">
        <v>1187</v>
      </c>
      <c r="E47" s="609" t="s">
        <v>750</v>
      </c>
      <c r="F47">
        <v>30662130</v>
      </c>
      <c r="G47">
        <v>0</v>
      </c>
      <c r="H47">
        <v>30662130</v>
      </c>
      <c r="I47">
        <v>0</v>
      </c>
      <c r="J47">
        <v>0</v>
      </c>
      <c r="K47">
        <v>0</v>
      </c>
      <c r="L47">
        <v>0</v>
      </c>
      <c r="M47">
        <v>0</v>
      </c>
      <c r="N47">
        <v>0</v>
      </c>
      <c r="O47">
        <v>30662130</v>
      </c>
      <c r="P47">
        <v>0</v>
      </c>
      <c r="Q47">
        <v>30662130</v>
      </c>
      <c r="R47">
        <v>248375</v>
      </c>
      <c r="S47">
        <v>0</v>
      </c>
      <c r="T47">
        <v>248375</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s="661">
        <v>0</v>
      </c>
      <c r="AS47" t="s">
        <v>1699</v>
      </c>
    </row>
    <row r="48" spans="1:45" ht="12.75" x14ac:dyDescent="0.2">
      <c r="A48" s="605">
        <v>41</v>
      </c>
      <c r="B48" s="606" t="s">
        <v>753</v>
      </c>
      <c r="C48" s="607" t="s">
        <v>1192</v>
      </c>
      <c r="D48" s="608" t="s">
        <v>1187</v>
      </c>
      <c r="E48" s="609" t="s">
        <v>752</v>
      </c>
      <c r="F48">
        <v>52814442</v>
      </c>
      <c r="G48">
        <v>0</v>
      </c>
      <c r="H48">
        <v>52814442</v>
      </c>
      <c r="I48">
        <v>-500000</v>
      </c>
      <c r="J48">
        <v>0</v>
      </c>
      <c r="K48">
        <v>-500000</v>
      </c>
      <c r="L48">
        <v>0</v>
      </c>
      <c r="M48">
        <v>0</v>
      </c>
      <c r="N48">
        <v>0</v>
      </c>
      <c r="O48">
        <v>52314442</v>
      </c>
      <c r="P48">
        <v>0</v>
      </c>
      <c r="Q48">
        <v>52314442</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s="661">
        <v>0</v>
      </c>
      <c r="AS48" t="s">
        <v>1700</v>
      </c>
    </row>
    <row r="49" spans="1:45" ht="12.75" x14ac:dyDescent="0.2">
      <c r="A49" s="605">
        <v>42</v>
      </c>
      <c r="B49" s="606" t="s">
        <v>755</v>
      </c>
      <c r="C49" s="607" t="s">
        <v>1192</v>
      </c>
      <c r="D49" s="608" t="s">
        <v>1193</v>
      </c>
      <c r="E49" s="609" t="s">
        <v>754</v>
      </c>
      <c r="F49">
        <v>59219168</v>
      </c>
      <c r="G49">
        <v>0</v>
      </c>
      <c r="H49">
        <v>59219168</v>
      </c>
      <c r="I49">
        <v>-888288</v>
      </c>
      <c r="J49">
        <v>0</v>
      </c>
      <c r="K49">
        <v>-888288</v>
      </c>
      <c r="L49">
        <v>-3631366</v>
      </c>
      <c r="M49">
        <v>0</v>
      </c>
      <c r="N49">
        <v>-3631366</v>
      </c>
      <c r="O49">
        <v>54699514</v>
      </c>
      <c r="P49">
        <v>0</v>
      </c>
      <c r="Q49">
        <v>54699514</v>
      </c>
      <c r="R49">
        <v>454276</v>
      </c>
      <c r="S49">
        <v>0</v>
      </c>
      <c r="T49">
        <v>454276</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s="661">
        <v>0</v>
      </c>
      <c r="AS49" t="s">
        <v>1701</v>
      </c>
    </row>
    <row r="50" spans="1:45" ht="12.75" x14ac:dyDescent="0.2">
      <c r="A50" s="605">
        <v>43</v>
      </c>
      <c r="B50" s="606" t="s">
        <v>757</v>
      </c>
      <c r="C50" s="607" t="s">
        <v>1185</v>
      </c>
      <c r="D50" s="608" t="s">
        <v>1189</v>
      </c>
      <c r="E50" s="609" t="s">
        <v>756</v>
      </c>
      <c r="F50">
        <v>122435053</v>
      </c>
      <c r="G50">
        <v>0</v>
      </c>
      <c r="H50">
        <v>122435053</v>
      </c>
      <c r="I50">
        <v>-511500</v>
      </c>
      <c r="J50">
        <v>0</v>
      </c>
      <c r="K50">
        <v>-511500</v>
      </c>
      <c r="L50">
        <v>-3842588</v>
      </c>
      <c r="M50">
        <v>0</v>
      </c>
      <c r="N50">
        <v>-3842588</v>
      </c>
      <c r="O50">
        <v>118080965</v>
      </c>
      <c r="P50">
        <v>0</v>
      </c>
      <c r="Q50">
        <v>118080965</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s="661">
        <v>0</v>
      </c>
      <c r="AS50" t="s">
        <v>1702</v>
      </c>
    </row>
    <row r="51" spans="1:45" ht="12.75" x14ac:dyDescent="0.2">
      <c r="A51" s="605">
        <v>44</v>
      </c>
      <c r="B51" s="606" t="s">
        <v>759</v>
      </c>
      <c r="C51" s="607" t="s">
        <v>1196</v>
      </c>
      <c r="D51" s="608" t="s">
        <v>1191</v>
      </c>
      <c r="E51" s="609" t="s">
        <v>758</v>
      </c>
      <c r="F51">
        <v>700206171</v>
      </c>
      <c r="G51">
        <v>0</v>
      </c>
      <c r="H51">
        <v>700206171</v>
      </c>
      <c r="I51">
        <v>-4901443</v>
      </c>
      <c r="J51">
        <v>0</v>
      </c>
      <c r="K51">
        <v>-4901443</v>
      </c>
      <c r="L51">
        <v>-33389969</v>
      </c>
      <c r="M51">
        <v>0</v>
      </c>
      <c r="N51">
        <v>-33389969</v>
      </c>
      <c r="O51">
        <v>661914759</v>
      </c>
      <c r="P51">
        <v>0</v>
      </c>
      <c r="Q51">
        <v>661914759</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s="661">
        <v>0</v>
      </c>
      <c r="AS51" t="s">
        <v>1703</v>
      </c>
    </row>
    <row r="52" spans="1:45" ht="12.75" x14ac:dyDescent="0.2">
      <c r="A52" s="605">
        <v>45</v>
      </c>
      <c r="B52" s="606" t="s">
        <v>761</v>
      </c>
      <c r="C52" s="607" t="s">
        <v>1185</v>
      </c>
      <c r="D52" s="608" t="s">
        <v>1195</v>
      </c>
      <c r="E52" s="609" t="s">
        <v>760</v>
      </c>
      <c r="F52">
        <v>35725798</v>
      </c>
      <c r="G52">
        <v>0</v>
      </c>
      <c r="H52">
        <v>35725798</v>
      </c>
      <c r="I52">
        <v>-250000</v>
      </c>
      <c r="J52">
        <v>0</v>
      </c>
      <c r="K52">
        <v>-250000</v>
      </c>
      <c r="L52">
        <v>-1068116</v>
      </c>
      <c r="M52">
        <v>0</v>
      </c>
      <c r="N52">
        <v>-1068116</v>
      </c>
      <c r="O52">
        <v>34407682</v>
      </c>
      <c r="P52">
        <v>0</v>
      </c>
      <c r="Q52">
        <v>34407682</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s="661">
        <v>0</v>
      </c>
      <c r="AS52" t="s">
        <v>1704</v>
      </c>
    </row>
    <row r="53" spans="1:45" ht="12.75" x14ac:dyDescent="0.2">
      <c r="A53" s="605">
        <v>46</v>
      </c>
      <c r="B53" s="606" t="s">
        <v>763</v>
      </c>
      <c r="C53" s="607" t="s">
        <v>1185</v>
      </c>
      <c r="D53" s="608" t="s">
        <v>1186</v>
      </c>
      <c r="E53" s="609" t="s">
        <v>762</v>
      </c>
      <c r="F53">
        <v>55847959</v>
      </c>
      <c r="G53">
        <v>0</v>
      </c>
      <c r="H53">
        <v>55847959</v>
      </c>
      <c r="I53">
        <v>-613088</v>
      </c>
      <c r="J53">
        <v>0</v>
      </c>
      <c r="K53">
        <v>-613088</v>
      </c>
      <c r="L53">
        <v>-2461000</v>
      </c>
      <c r="M53">
        <v>0</v>
      </c>
      <c r="N53">
        <v>-2461000</v>
      </c>
      <c r="O53">
        <v>52773871</v>
      </c>
      <c r="P53">
        <v>0</v>
      </c>
      <c r="Q53">
        <v>52773871</v>
      </c>
      <c r="R53">
        <v>321470</v>
      </c>
      <c r="S53">
        <v>0</v>
      </c>
      <c r="T53">
        <v>321470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s="661">
        <v>0</v>
      </c>
      <c r="AS53" t="s">
        <v>1705</v>
      </c>
    </row>
    <row r="54" spans="1:45" ht="12.75" x14ac:dyDescent="0.2">
      <c r="A54" s="605">
        <v>47</v>
      </c>
      <c r="B54" s="606" t="s">
        <v>765</v>
      </c>
      <c r="C54" s="607" t="s">
        <v>1185</v>
      </c>
      <c r="D54" s="608" t="s">
        <v>1187</v>
      </c>
      <c r="E54" s="609" t="s">
        <v>764</v>
      </c>
      <c r="F54">
        <v>43209887</v>
      </c>
      <c r="G54">
        <v>1740697</v>
      </c>
      <c r="H54">
        <v>44950584</v>
      </c>
      <c r="I54">
        <v>-370212</v>
      </c>
      <c r="J54">
        <v>-812</v>
      </c>
      <c r="K54">
        <v>-371024</v>
      </c>
      <c r="L54">
        <v>-992903</v>
      </c>
      <c r="M54">
        <v>-36485</v>
      </c>
      <c r="N54">
        <v>-1029388</v>
      </c>
      <c r="O54">
        <v>41846772</v>
      </c>
      <c r="P54">
        <v>1703400</v>
      </c>
      <c r="Q54">
        <v>43550172</v>
      </c>
      <c r="R54">
        <v>370591</v>
      </c>
      <c r="S54">
        <v>5476</v>
      </c>
      <c r="T54">
        <v>376067</v>
      </c>
      <c r="U54">
        <v>0</v>
      </c>
      <c r="V54">
        <v>0</v>
      </c>
      <c r="W54">
        <v>0</v>
      </c>
      <c r="X54">
        <v>426</v>
      </c>
      <c r="Y54">
        <v>1743197</v>
      </c>
      <c r="Z54">
        <v>0</v>
      </c>
      <c r="AA54">
        <v>0</v>
      </c>
      <c r="AB54">
        <v>0</v>
      </c>
      <c r="AC54">
        <v>0</v>
      </c>
      <c r="AD54">
        <v>0</v>
      </c>
      <c r="AE54">
        <v>0</v>
      </c>
      <c r="AF54">
        <v>297594</v>
      </c>
      <c r="AG54">
        <v>297594</v>
      </c>
      <c r="AH54">
        <v>0</v>
      </c>
      <c r="AI54">
        <v>0</v>
      </c>
      <c r="AJ54">
        <v>0</v>
      </c>
      <c r="AK54">
        <v>0</v>
      </c>
      <c r="AL54">
        <v>0</v>
      </c>
      <c r="AM54">
        <v>0</v>
      </c>
      <c r="AN54">
        <v>0</v>
      </c>
      <c r="AO54">
        <v>0</v>
      </c>
      <c r="AP54">
        <v>0</v>
      </c>
      <c r="AQ54">
        <v>297594</v>
      </c>
      <c r="AR54" s="661">
        <v>297594</v>
      </c>
      <c r="AS54" t="s">
        <v>1706</v>
      </c>
    </row>
    <row r="55" spans="1:45" ht="12.75" x14ac:dyDescent="0.2">
      <c r="A55" s="605">
        <v>48</v>
      </c>
      <c r="B55" s="606" t="s">
        <v>767</v>
      </c>
      <c r="C55" s="607" t="s">
        <v>1185</v>
      </c>
      <c r="D55" s="608" t="s">
        <v>1189</v>
      </c>
      <c r="E55" s="609" t="s">
        <v>766</v>
      </c>
      <c r="F55">
        <v>15394820</v>
      </c>
      <c r="G55">
        <v>0</v>
      </c>
      <c r="H55">
        <v>15394820</v>
      </c>
      <c r="I55">
        <v>-153900</v>
      </c>
      <c r="J55">
        <v>0</v>
      </c>
      <c r="K55">
        <v>-153900</v>
      </c>
      <c r="L55">
        <v>-777000</v>
      </c>
      <c r="M55">
        <v>0</v>
      </c>
      <c r="N55">
        <v>-777000</v>
      </c>
      <c r="O55">
        <v>14463920</v>
      </c>
      <c r="P55">
        <v>0</v>
      </c>
      <c r="Q55">
        <v>14463920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s="661">
        <v>0</v>
      </c>
      <c r="AS55" t="s">
        <v>1707</v>
      </c>
    </row>
    <row r="56" spans="1:45" ht="12.75" x14ac:dyDescent="0.2">
      <c r="A56" s="605">
        <v>49</v>
      </c>
      <c r="B56" s="606" t="s">
        <v>769</v>
      </c>
      <c r="C56" s="607" t="s">
        <v>524</v>
      </c>
      <c r="D56" s="608" t="s">
        <v>1189</v>
      </c>
      <c r="E56" s="609" t="s">
        <v>768</v>
      </c>
      <c r="F56">
        <v>101340862</v>
      </c>
      <c r="G56">
        <v>0</v>
      </c>
      <c r="H56">
        <v>101340862</v>
      </c>
      <c r="I56">
        <v>-400000</v>
      </c>
      <c r="J56">
        <v>0</v>
      </c>
      <c r="K56">
        <v>-400000</v>
      </c>
      <c r="L56">
        <v>-3000000</v>
      </c>
      <c r="M56">
        <v>0</v>
      </c>
      <c r="N56">
        <v>-3000000</v>
      </c>
      <c r="O56">
        <v>97940862</v>
      </c>
      <c r="P56">
        <v>0</v>
      </c>
      <c r="Q56">
        <v>97940862</v>
      </c>
      <c r="R56">
        <v>368185</v>
      </c>
      <c r="S56">
        <v>0</v>
      </c>
      <c r="T56">
        <v>368185</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s="661">
        <v>0</v>
      </c>
      <c r="AS56" t="s">
        <v>1708</v>
      </c>
    </row>
    <row r="57" spans="1:45" ht="12.75" x14ac:dyDescent="0.2">
      <c r="A57" s="605">
        <v>50</v>
      </c>
      <c r="B57" s="606" t="s">
        <v>771</v>
      </c>
      <c r="C57" s="607" t="s">
        <v>1185</v>
      </c>
      <c r="D57" s="608" t="s">
        <v>1188</v>
      </c>
      <c r="E57" s="609" t="s">
        <v>770</v>
      </c>
      <c r="F57">
        <v>48413851</v>
      </c>
      <c r="G57">
        <v>871680</v>
      </c>
      <c r="H57">
        <v>49285531</v>
      </c>
      <c r="I57">
        <v>-242069</v>
      </c>
      <c r="J57">
        <v>-4358</v>
      </c>
      <c r="K57">
        <v>-246427</v>
      </c>
      <c r="L57">
        <v>-1936554</v>
      </c>
      <c r="M57">
        <v>-34867</v>
      </c>
      <c r="N57">
        <v>-1971421</v>
      </c>
      <c r="O57">
        <v>46235228</v>
      </c>
      <c r="P57">
        <v>832455</v>
      </c>
      <c r="Q57">
        <v>47067683</v>
      </c>
      <c r="R57">
        <v>234751</v>
      </c>
      <c r="S57">
        <v>0</v>
      </c>
      <c r="T57">
        <v>234751</v>
      </c>
      <c r="U57">
        <v>0</v>
      </c>
      <c r="V57">
        <v>0</v>
      </c>
      <c r="W57">
        <v>0</v>
      </c>
      <c r="X57">
        <v>0</v>
      </c>
      <c r="Y57">
        <v>127427</v>
      </c>
      <c r="Z57">
        <v>705028</v>
      </c>
      <c r="AA57">
        <v>705028</v>
      </c>
      <c r="AB57">
        <v>0</v>
      </c>
      <c r="AC57">
        <v>0</v>
      </c>
      <c r="AD57">
        <v>0</v>
      </c>
      <c r="AE57">
        <v>0</v>
      </c>
      <c r="AF57">
        <v>6400</v>
      </c>
      <c r="AG57">
        <v>6400</v>
      </c>
      <c r="AH57">
        <v>0</v>
      </c>
      <c r="AI57">
        <v>0</v>
      </c>
      <c r="AJ57">
        <v>0</v>
      </c>
      <c r="AK57">
        <v>0</v>
      </c>
      <c r="AL57">
        <v>0</v>
      </c>
      <c r="AM57">
        <v>0</v>
      </c>
      <c r="AN57">
        <v>0</v>
      </c>
      <c r="AO57">
        <v>0</v>
      </c>
      <c r="AP57">
        <v>0</v>
      </c>
      <c r="AQ57">
        <v>6400</v>
      </c>
      <c r="AR57" s="661">
        <v>6400</v>
      </c>
      <c r="AS57" t="s">
        <v>1709</v>
      </c>
    </row>
    <row r="58" spans="1:45" ht="12.75" x14ac:dyDescent="0.2">
      <c r="A58" s="605">
        <v>51</v>
      </c>
      <c r="B58" s="606" t="s">
        <v>773</v>
      </c>
      <c r="C58" s="607" t="s">
        <v>1185</v>
      </c>
      <c r="D58" s="608" t="s">
        <v>1189</v>
      </c>
      <c r="E58" s="609" t="s">
        <v>772</v>
      </c>
      <c r="F58">
        <v>83841409</v>
      </c>
      <c r="G58">
        <v>0</v>
      </c>
      <c r="H58">
        <v>83841409</v>
      </c>
      <c r="I58">
        <v>-1079286</v>
      </c>
      <c r="J58">
        <v>0</v>
      </c>
      <c r="K58">
        <v>-1079286</v>
      </c>
      <c r="L58">
        <v>-2576017</v>
      </c>
      <c r="M58">
        <v>0</v>
      </c>
      <c r="N58">
        <v>-2576017</v>
      </c>
      <c r="O58">
        <v>80186106</v>
      </c>
      <c r="P58">
        <v>0</v>
      </c>
      <c r="Q58">
        <v>80186106</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s="661">
        <v>0</v>
      </c>
      <c r="AS58" t="s">
        <v>1710</v>
      </c>
    </row>
    <row r="59" spans="1:45" ht="12.75" x14ac:dyDescent="0.2">
      <c r="A59" s="605">
        <v>52</v>
      </c>
      <c r="B59" s="606" t="s">
        <v>775</v>
      </c>
      <c r="C59" s="607" t="s">
        <v>1185</v>
      </c>
      <c r="D59" s="608" t="s">
        <v>1194</v>
      </c>
      <c r="E59" s="609" t="s">
        <v>774</v>
      </c>
      <c r="F59">
        <v>57924557</v>
      </c>
      <c r="G59">
        <v>0</v>
      </c>
      <c r="H59">
        <v>57924557</v>
      </c>
      <c r="I59">
        <v>-450000</v>
      </c>
      <c r="J59">
        <v>0</v>
      </c>
      <c r="K59">
        <v>-450000</v>
      </c>
      <c r="L59">
        <v>-700000</v>
      </c>
      <c r="M59">
        <v>0</v>
      </c>
      <c r="N59">
        <v>-700000</v>
      </c>
      <c r="O59">
        <v>56774557</v>
      </c>
      <c r="P59">
        <v>0</v>
      </c>
      <c r="Q59">
        <v>56774557</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s="661">
        <v>0</v>
      </c>
      <c r="AS59" t="s">
        <v>1711</v>
      </c>
    </row>
    <row r="60" spans="1:45" ht="12.75" x14ac:dyDescent="0.2">
      <c r="A60" s="605">
        <v>53</v>
      </c>
      <c r="B60" s="606" t="s">
        <v>777</v>
      </c>
      <c r="C60" s="607" t="s">
        <v>1185</v>
      </c>
      <c r="D60" s="608" t="s">
        <v>1186</v>
      </c>
      <c r="E60" s="609" t="s">
        <v>776</v>
      </c>
      <c r="F60">
        <v>101538937</v>
      </c>
      <c r="G60">
        <v>0</v>
      </c>
      <c r="H60">
        <v>101538937</v>
      </c>
      <c r="I60">
        <v>-526541</v>
      </c>
      <c r="J60">
        <v>0</v>
      </c>
      <c r="K60">
        <v>-526541</v>
      </c>
      <c r="L60">
        <v>-4772330</v>
      </c>
      <c r="M60">
        <v>0</v>
      </c>
      <c r="N60">
        <v>-4772330</v>
      </c>
      <c r="O60">
        <v>96240066</v>
      </c>
      <c r="P60">
        <v>0</v>
      </c>
      <c r="Q60">
        <v>96240066</v>
      </c>
      <c r="R60">
        <v>491016</v>
      </c>
      <c r="S60">
        <v>0</v>
      </c>
      <c r="T60">
        <v>491016</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s="661">
        <v>0</v>
      </c>
      <c r="AS60" t="s">
        <v>1712</v>
      </c>
    </row>
    <row r="61" spans="1:45" ht="12.75" x14ac:dyDescent="0.2">
      <c r="A61" s="605">
        <v>54</v>
      </c>
      <c r="B61" s="606" t="s">
        <v>779</v>
      </c>
      <c r="C61" s="607" t="s">
        <v>524</v>
      </c>
      <c r="D61" s="608" t="s">
        <v>1187</v>
      </c>
      <c r="E61" s="609" t="s">
        <v>778</v>
      </c>
      <c r="F61">
        <v>145152090</v>
      </c>
      <c r="G61">
        <v>2935043</v>
      </c>
      <c r="H61">
        <v>148087133</v>
      </c>
      <c r="I61">
        <v>-1274234</v>
      </c>
      <c r="J61">
        <v>-25766</v>
      </c>
      <c r="K61">
        <v>-1300000</v>
      </c>
      <c r="L61">
        <v>-3375360</v>
      </c>
      <c r="M61">
        <v>0</v>
      </c>
      <c r="N61">
        <v>-3375360</v>
      </c>
      <c r="O61">
        <v>140502496</v>
      </c>
      <c r="P61">
        <v>2909277</v>
      </c>
      <c r="Q61">
        <v>143411773</v>
      </c>
      <c r="R61">
        <v>115509</v>
      </c>
      <c r="S61">
        <v>0</v>
      </c>
      <c r="T61">
        <v>115509</v>
      </c>
      <c r="U61">
        <v>0</v>
      </c>
      <c r="V61">
        <v>0</v>
      </c>
      <c r="W61">
        <v>0</v>
      </c>
      <c r="X61">
        <v>20490</v>
      </c>
      <c r="Y61">
        <v>2413001</v>
      </c>
      <c r="Z61">
        <v>516766</v>
      </c>
      <c r="AA61">
        <v>516766</v>
      </c>
      <c r="AB61">
        <v>0</v>
      </c>
      <c r="AC61">
        <v>0</v>
      </c>
      <c r="AD61">
        <v>0</v>
      </c>
      <c r="AE61">
        <v>0</v>
      </c>
      <c r="AF61">
        <v>356784</v>
      </c>
      <c r="AG61">
        <v>356784</v>
      </c>
      <c r="AH61">
        <v>0</v>
      </c>
      <c r="AI61">
        <v>0</v>
      </c>
      <c r="AJ61">
        <v>0</v>
      </c>
      <c r="AK61">
        <v>0</v>
      </c>
      <c r="AL61">
        <v>0</v>
      </c>
      <c r="AM61">
        <v>0</v>
      </c>
      <c r="AN61">
        <v>0</v>
      </c>
      <c r="AO61">
        <v>0</v>
      </c>
      <c r="AP61">
        <v>0</v>
      </c>
      <c r="AQ61">
        <v>356784</v>
      </c>
      <c r="AR61" s="661">
        <v>356784</v>
      </c>
      <c r="AS61" t="s">
        <v>1713</v>
      </c>
    </row>
    <row r="62" spans="1:45" ht="12.75" x14ac:dyDescent="0.2">
      <c r="A62" s="605">
        <v>55</v>
      </c>
      <c r="B62" s="606" t="s">
        <v>780</v>
      </c>
      <c r="C62" s="607" t="s">
        <v>524</v>
      </c>
      <c r="D62" s="608" t="s">
        <v>1187</v>
      </c>
      <c r="E62" s="609" t="s">
        <v>546</v>
      </c>
      <c r="F62">
        <v>162152969</v>
      </c>
      <c r="G62">
        <v>203593</v>
      </c>
      <c r="H62">
        <v>162356562</v>
      </c>
      <c r="I62">
        <v>-2000000</v>
      </c>
      <c r="J62">
        <v>0</v>
      </c>
      <c r="K62">
        <v>-2000000</v>
      </c>
      <c r="L62">
        <v>-11000000</v>
      </c>
      <c r="M62">
        <v>0</v>
      </c>
      <c r="N62">
        <v>-11000000</v>
      </c>
      <c r="O62">
        <v>149152969</v>
      </c>
      <c r="P62">
        <v>203593</v>
      </c>
      <c r="Q62">
        <v>149356562</v>
      </c>
      <c r="R62">
        <v>600000</v>
      </c>
      <c r="S62">
        <v>0</v>
      </c>
      <c r="T62">
        <v>600000</v>
      </c>
      <c r="U62">
        <v>0</v>
      </c>
      <c r="V62">
        <v>0</v>
      </c>
      <c r="W62">
        <v>0</v>
      </c>
      <c r="X62">
        <v>0</v>
      </c>
      <c r="Y62">
        <v>179277</v>
      </c>
      <c r="Z62">
        <v>24316</v>
      </c>
      <c r="AA62">
        <v>24316</v>
      </c>
      <c r="AB62">
        <v>0</v>
      </c>
      <c r="AC62">
        <v>0</v>
      </c>
      <c r="AD62">
        <v>0</v>
      </c>
      <c r="AE62">
        <v>0</v>
      </c>
      <c r="AF62">
        <v>252146</v>
      </c>
      <c r="AG62">
        <v>252146</v>
      </c>
      <c r="AH62">
        <v>0</v>
      </c>
      <c r="AI62">
        <v>0</v>
      </c>
      <c r="AJ62">
        <v>0</v>
      </c>
      <c r="AK62">
        <v>0</v>
      </c>
      <c r="AL62">
        <v>0</v>
      </c>
      <c r="AM62">
        <v>0</v>
      </c>
      <c r="AN62">
        <v>0</v>
      </c>
      <c r="AO62">
        <v>0</v>
      </c>
      <c r="AP62">
        <v>0</v>
      </c>
      <c r="AQ62">
        <v>252146</v>
      </c>
      <c r="AR62" s="661">
        <v>252146</v>
      </c>
      <c r="AS62" t="s">
        <v>1714</v>
      </c>
    </row>
    <row r="63" spans="1:45" ht="12.75" x14ac:dyDescent="0.2">
      <c r="A63" s="605">
        <v>56</v>
      </c>
      <c r="B63" s="606" t="s">
        <v>782</v>
      </c>
      <c r="C63" s="607" t="s">
        <v>1185</v>
      </c>
      <c r="D63" s="608" t="s">
        <v>1188</v>
      </c>
      <c r="E63" s="609" t="s">
        <v>781</v>
      </c>
      <c r="F63">
        <v>40348421</v>
      </c>
      <c r="G63">
        <v>1919832</v>
      </c>
      <c r="H63">
        <v>42268253</v>
      </c>
      <c r="I63">
        <v>-403484</v>
      </c>
      <c r="J63">
        <v>0</v>
      </c>
      <c r="K63">
        <v>-403484</v>
      </c>
      <c r="L63">
        <v>-1780785</v>
      </c>
      <c r="M63">
        <v>0</v>
      </c>
      <c r="N63">
        <v>-1780785</v>
      </c>
      <c r="O63">
        <v>38164152</v>
      </c>
      <c r="P63">
        <v>1919832</v>
      </c>
      <c r="Q63">
        <v>40083984</v>
      </c>
      <c r="R63">
        <v>52395</v>
      </c>
      <c r="S63">
        <v>0</v>
      </c>
      <c r="T63">
        <v>52395</v>
      </c>
      <c r="U63">
        <v>0</v>
      </c>
      <c r="V63">
        <v>0</v>
      </c>
      <c r="W63">
        <v>0</v>
      </c>
      <c r="X63">
        <v>0</v>
      </c>
      <c r="Y63">
        <v>0</v>
      </c>
      <c r="Z63">
        <v>1919832</v>
      </c>
      <c r="AA63">
        <v>1919832</v>
      </c>
      <c r="AB63">
        <v>0</v>
      </c>
      <c r="AC63">
        <v>0</v>
      </c>
      <c r="AD63">
        <v>0</v>
      </c>
      <c r="AE63">
        <v>0</v>
      </c>
      <c r="AF63">
        <v>0</v>
      </c>
      <c r="AG63">
        <v>0</v>
      </c>
      <c r="AH63">
        <v>0</v>
      </c>
      <c r="AI63">
        <v>0</v>
      </c>
      <c r="AJ63">
        <v>0</v>
      </c>
      <c r="AK63">
        <v>0</v>
      </c>
      <c r="AL63">
        <v>0</v>
      </c>
      <c r="AM63">
        <v>0</v>
      </c>
      <c r="AN63">
        <v>0</v>
      </c>
      <c r="AO63">
        <v>0</v>
      </c>
      <c r="AP63">
        <v>0</v>
      </c>
      <c r="AQ63">
        <v>0</v>
      </c>
      <c r="AR63" s="661">
        <v>0</v>
      </c>
      <c r="AS63" t="s">
        <v>1715</v>
      </c>
    </row>
    <row r="64" spans="1:45" ht="12.75" x14ac:dyDescent="0.2">
      <c r="A64" s="605">
        <v>57</v>
      </c>
      <c r="B64" s="606" t="s">
        <v>784</v>
      </c>
      <c r="C64" s="607" t="s">
        <v>1185</v>
      </c>
      <c r="D64" s="608" t="s">
        <v>1186</v>
      </c>
      <c r="E64" s="609" t="s">
        <v>783</v>
      </c>
      <c r="F64">
        <v>49613398</v>
      </c>
      <c r="G64">
        <v>0</v>
      </c>
      <c r="H64">
        <v>49613398</v>
      </c>
      <c r="I64">
        <v>-250000</v>
      </c>
      <c r="J64">
        <v>0</v>
      </c>
      <c r="K64">
        <v>-250000</v>
      </c>
      <c r="L64">
        <v>-1850000</v>
      </c>
      <c r="M64">
        <v>0</v>
      </c>
      <c r="N64">
        <v>-1850000</v>
      </c>
      <c r="O64">
        <v>47513398</v>
      </c>
      <c r="P64">
        <v>0</v>
      </c>
      <c r="Q64">
        <v>47513398</v>
      </c>
      <c r="R64">
        <v>134727</v>
      </c>
      <c r="S64">
        <v>0</v>
      </c>
      <c r="T64">
        <v>134727</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s="661">
        <v>0</v>
      </c>
      <c r="AS64" t="s">
        <v>1716</v>
      </c>
    </row>
    <row r="65" spans="1:45" ht="12.75" x14ac:dyDescent="0.2">
      <c r="A65" s="605">
        <v>58</v>
      </c>
      <c r="B65" s="606" t="s">
        <v>788</v>
      </c>
      <c r="C65" s="607" t="s">
        <v>1185</v>
      </c>
      <c r="D65" s="608" t="s">
        <v>1187</v>
      </c>
      <c r="E65" s="609" t="s">
        <v>787</v>
      </c>
      <c r="F65">
        <v>26363820</v>
      </c>
      <c r="G65">
        <v>0</v>
      </c>
      <c r="H65">
        <v>26363820</v>
      </c>
      <c r="I65">
        <v>-263639</v>
      </c>
      <c r="J65">
        <v>0</v>
      </c>
      <c r="K65">
        <v>-263639</v>
      </c>
      <c r="L65">
        <v>-1240000</v>
      </c>
      <c r="M65">
        <v>0</v>
      </c>
      <c r="N65">
        <v>-1240000</v>
      </c>
      <c r="O65">
        <v>24860181</v>
      </c>
      <c r="P65">
        <v>0</v>
      </c>
      <c r="Q65">
        <v>24860181</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s="661">
        <v>0</v>
      </c>
      <c r="AS65" t="s">
        <v>1717</v>
      </c>
    </row>
    <row r="66" spans="1:45" ht="12.75" x14ac:dyDescent="0.2">
      <c r="A66" s="605">
        <v>59</v>
      </c>
      <c r="B66" s="606" t="s">
        <v>0</v>
      </c>
      <c r="C66" s="607" t="s">
        <v>1196</v>
      </c>
      <c r="D66" s="608" t="s">
        <v>1191</v>
      </c>
      <c r="E66" s="609" t="s">
        <v>789</v>
      </c>
      <c r="F66">
        <v>1295639467</v>
      </c>
      <c r="G66">
        <v>0</v>
      </c>
      <c r="H66">
        <v>1295639467</v>
      </c>
      <c r="I66">
        <v>-10365116</v>
      </c>
      <c r="J66">
        <v>0</v>
      </c>
      <c r="K66">
        <v>-10365116</v>
      </c>
      <c r="L66">
        <v>-61972707</v>
      </c>
      <c r="M66">
        <v>0</v>
      </c>
      <c r="N66">
        <v>-61972707</v>
      </c>
      <c r="O66">
        <v>1223301644</v>
      </c>
      <c r="P66">
        <v>0</v>
      </c>
      <c r="Q66">
        <v>1223301644</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s="661">
        <v>0</v>
      </c>
      <c r="AS66" t="s">
        <v>1718</v>
      </c>
    </row>
    <row r="67" spans="1:45" ht="12.75" x14ac:dyDescent="0.2">
      <c r="A67" s="605">
        <v>60</v>
      </c>
      <c r="B67" s="606" t="s">
        <v>2</v>
      </c>
      <c r="C67" s="607" t="s">
        <v>1185</v>
      </c>
      <c r="D67" s="608" t="s">
        <v>1189</v>
      </c>
      <c r="E67" s="609" t="s">
        <v>1</v>
      </c>
      <c r="F67">
        <v>66581337</v>
      </c>
      <c r="G67">
        <v>0</v>
      </c>
      <c r="H67">
        <v>66581337</v>
      </c>
      <c r="I67">
        <v>-665813</v>
      </c>
      <c r="J67">
        <v>0</v>
      </c>
      <c r="K67">
        <v>-665813</v>
      </c>
      <c r="L67">
        <v>-1350000</v>
      </c>
      <c r="M67">
        <v>0</v>
      </c>
      <c r="N67">
        <v>-1350000</v>
      </c>
      <c r="O67">
        <v>64565524</v>
      </c>
      <c r="P67">
        <v>0</v>
      </c>
      <c r="Q67">
        <v>64565524</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s="661">
        <v>0</v>
      </c>
      <c r="AS67" t="s">
        <v>1719</v>
      </c>
    </row>
    <row r="68" spans="1:45" ht="12.75" x14ac:dyDescent="0.2">
      <c r="A68" s="605">
        <v>61</v>
      </c>
      <c r="B68" s="606" t="s">
        <v>4</v>
      </c>
      <c r="C68" s="607" t="s">
        <v>1185</v>
      </c>
      <c r="D68" s="608" t="s">
        <v>1187</v>
      </c>
      <c r="E68" s="609" t="s">
        <v>3</v>
      </c>
      <c r="F68">
        <v>41043345</v>
      </c>
      <c r="G68">
        <v>0</v>
      </c>
      <c r="H68">
        <v>41043345</v>
      </c>
      <c r="I68">
        <v>-175000</v>
      </c>
      <c r="J68">
        <v>0</v>
      </c>
      <c r="K68">
        <v>-175000</v>
      </c>
      <c r="L68">
        <v>-1819345</v>
      </c>
      <c r="M68">
        <v>0</v>
      </c>
      <c r="N68">
        <v>-1819345</v>
      </c>
      <c r="O68">
        <v>39049000</v>
      </c>
      <c r="P68">
        <v>0</v>
      </c>
      <c r="Q68">
        <v>39049000</v>
      </c>
      <c r="R68">
        <v>63957</v>
      </c>
      <c r="S68">
        <v>0</v>
      </c>
      <c r="T68">
        <v>63957</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s="661">
        <v>0</v>
      </c>
      <c r="AS68" t="s">
        <v>1720</v>
      </c>
    </row>
    <row r="69" spans="1:45" ht="12.75" x14ac:dyDescent="0.2">
      <c r="A69" s="605">
        <v>62</v>
      </c>
      <c r="B69" s="606" t="s">
        <v>6</v>
      </c>
      <c r="C69" s="607" t="s">
        <v>1185</v>
      </c>
      <c r="D69" s="608" t="s">
        <v>1188</v>
      </c>
      <c r="E69" s="609" t="s">
        <v>5</v>
      </c>
      <c r="F69">
        <v>41807591</v>
      </c>
      <c r="G69">
        <v>0</v>
      </c>
      <c r="H69">
        <v>41807591</v>
      </c>
      <c r="I69">
        <v>-325000</v>
      </c>
      <c r="J69">
        <v>0</v>
      </c>
      <c r="K69">
        <v>-325000</v>
      </c>
      <c r="L69">
        <v>-770000</v>
      </c>
      <c r="M69">
        <v>0</v>
      </c>
      <c r="N69">
        <v>-770000</v>
      </c>
      <c r="O69">
        <v>40712591</v>
      </c>
      <c r="P69">
        <v>0</v>
      </c>
      <c r="Q69">
        <v>40712591</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s="661">
        <v>0</v>
      </c>
      <c r="AS69" t="s">
        <v>1721</v>
      </c>
    </row>
    <row r="70" spans="1:45" ht="12.75" x14ac:dyDescent="0.2">
      <c r="A70" s="605">
        <v>63</v>
      </c>
      <c r="B70" s="606" t="s">
        <v>8</v>
      </c>
      <c r="C70" s="607" t="s">
        <v>524</v>
      </c>
      <c r="D70" s="608" t="s">
        <v>1194</v>
      </c>
      <c r="E70" s="609" t="s">
        <v>7</v>
      </c>
      <c r="F70">
        <v>165311877</v>
      </c>
      <c r="G70">
        <v>852761</v>
      </c>
      <c r="H70">
        <v>166164638</v>
      </c>
      <c r="I70">
        <v>-1160000</v>
      </c>
      <c r="J70">
        <v>0</v>
      </c>
      <c r="K70">
        <v>-1160000</v>
      </c>
      <c r="L70">
        <v>-7810000</v>
      </c>
      <c r="M70">
        <v>0</v>
      </c>
      <c r="N70">
        <v>-7810000</v>
      </c>
      <c r="O70">
        <v>156341877</v>
      </c>
      <c r="P70">
        <v>852761</v>
      </c>
      <c r="Q70">
        <v>157194638</v>
      </c>
      <c r="R70">
        <v>2000000</v>
      </c>
      <c r="S70">
        <v>0</v>
      </c>
      <c r="T70">
        <v>2000000</v>
      </c>
      <c r="U70">
        <v>0</v>
      </c>
      <c r="V70">
        <v>0</v>
      </c>
      <c r="W70">
        <v>0</v>
      </c>
      <c r="X70">
        <v>0</v>
      </c>
      <c r="Y70">
        <v>707943</v>
      </c>
      <c r="Z70">
        <v>215978</v>
      </c>
      <c r="AA70">
        <v>215978</v>
      </c>
      <c r="AB70">
        <v>0</v>
      </c>
      <c r="AC70">
        <v>242043</v>
      </c>
      <c r="AD70">
        <v>242043</v>
      </c>
      <c r="AE70">
        <v>0</v>
      </c>
      <c r="AF70">
        <v>0</v>
      </c>
      <c r="AG70">
        <v>0</v>
      </c>
      <c r="AH70">
        <v>0</v>
      </c>
      <c r="AI70">
        <v>0</v>
      </c>
      <c r="AJ70">
        <v>0</v>
      </c>
      <c r="AK70">
        <v>0</v>
      </c>
      <c r="AL70">
        <v>0</v>
      </c>
      <c r="AM70">
        <v>0</v>
      </c>
      <c r="AN70">
        <v>0</v>
      </c>
      <c r="AO70">
        <v>0</v>
      </c>
      <c r="AP70">
        <v>0</v>
      </c>
      <c r="AQ70">
        <v>0</v>
      </c>
      <c r="AR70" s="661">
        <v>0</v>
      </c>
      <c r="AS70" t="s">
        <v>1722</v>
      </c>
    </row>
    <row r="71" spans="1:45" ht="12.75" x14ac:dyDescent="0.2">
      <c r="A71" s="605">
        <v>64</v>
      </c>
      <c r="B71" s="606" t="s">
        <v>10</v>
      </c>
      <c r="C71" s="607" t="s">
        <v>1185</v>
      </c>
      <c r="D71" s="608" t="s">
        <v>1194</v>
      </c>
      <c r="E71" s="609" t="s">
        <v>9</v>
      </c>
      <c r="F71">
        <v>34039669</v>
      </c>
      <c r="G71">
        <v>0</v>
      </c>
      <c r="H71">
        <v>34039669</v>
      </c>
      <c r="I71">
        <v>-100000</v>
      </c>
      <c r="J71">
        <v>0</v>
      </c>
      <c r="K71">
        <v>-100000</v>
      </c>
      <c r="L71">
        <v>-892960</v>
      </c>
      <c r="M71">
        <v>0</v>
      </c>
      <c r="N71">
        <v>-892960</v>
      </c>
      <c r="O71">
        <v>33046709</v>
      </c>
      <c r="P71">
        <v>0</v>
      </c>
      <c r="Q71">
        <v>33046709</v>
      </c>
      <c r="R71">
        <v>69127</v>
      </c>
      <c r="S71">
        <v>0</v>
      </c>
      <c r="T71">
        <v>69127</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s="661">
        <v>0</v>
      </c>
      <c r="AS71" t="s">
        <v>1723</v>
      </c>
    </row>
    <row r="72" spans="1:45" ht="12.75" x14ac:dyDescent="0.2">
      <c r="A72" s="605">
        <v>65</v>
      </c>
      <c r="B72" s="606" t="s">
        <v>12</v>
      </c>
      <c r="C72" s="607" t="s">
        <v>1192</v>
      </c>
      <c r="D72" s="608" t="s">
        <v>1195</v>
      </c>
      <c r="E72" s="609" t="s">
        <v>11</v>
      </c>
      <c r="F72">
        <v>127075717</v>
      </c>
      <c r="G72">
        <v>0</v>
      </c>
      <c r="H72">
        <v>127075717</v>
      </c>
      <c r="I72">
        <v>-1270757</v>
      </c>
      <c r="J72">
        <v>0</v>
      </c>
      <c r="K72">
        <v>-1270757</v>
      </c>
      <c r="L72">
        <v>-6125050</v>
      </c>
      <c r="M72">
        <v>0</v>
      </c>
      <c r="N72">
        <v>-6125050</v>
      </c>
      <c r="O72">
        <v>119679910</v>
      </c>
      <c r="P72">
        <v>0</v>
      </c>
      <c r="Q72">
        <v>119679910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s="661">
        <v>0</v>
      </c>
      <c r="AS72" t="s">
        <v>1724</v>
      </c>
    </row>
    <row r="73" spans="1:45" ht="12.75" x14ac:dyDescent="0.2">
      <c r="A73" s="605">
        <v>66</v>
      </c>
      <c r="B73" s="606" t="s">
        <v>14</v>
      </c>
      <c r="C73" s="607" t="s">
        <v>1185</v>
      </c>
      <c r="D73" s="608" t="s">
        <v>1193</v>
      </c>
      <c r="E73" s="609" t="s">
        <v>13</v>
      </c>
      <c r="F73">
        <v>18737562</v>
      </c>
      <c r="G73">
        <v>0</v>
      </c>
      <c r="H73">
        <v>18737562</v>
      </c>
      <c r="I73">
        <v>-100000</v>
      </c>
      <c r="J73">
        <v>0</v>
      </c>
      <c r="K73">
        <v>-100000</v>
      </c>
      <c r="L73">
        <v>-200000</v>
      </c>
      <c r="M73">
        <v>0</v>
      </c>
      <c r="N73">
        <v>-200000</v>
      </c>
      <c r="O73">
        <v>18437562</v>
      </c>
      <c r="P73">
        <v>0</v>
      </c>
      <c r="Q73">
        <v>18437562</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s="661">
        <v>0</v>
      </c>
      <c r="AS73" t="s">
        <v>1725</v>
      </c>
    </row>
    <row r="74" spans="1:45" ht="12.75" x14ac:dyDescent="0.2">
      <c r="A74" s="605">
        <v>67</v>
      </c>
      <c r="B74" s="606" t="s">
        <v>16</v>
      </c>
      <c r="C74" s="607" t="s">
        <v>1185</v>
      </c>
      <c r="D74" s="608" t="s">
        <v>1186</v>
      </c>
      <c r="E74" s="609" t="s">
        <v>15</v>
      </c>
      <c r="F74">
        <v>129884622</v>
      </c>
      <c r="G74">
        <v>0</v>
      </c>
      <c r="H74">
        <v>129884622</v>
      </c>
      <c r="I74">
        <v>-649423</v>
      </c>
      <c r="J74">
        <v>0</v>
      </c>
      <c r="K74">
        <v>-649423</v>
      </c>
      <c r="L74">
        <v>-3896538</v>
      </c>
      <c r="M74">
        <v>0</v>
      </c>
      <c r="N74">
        <v>-3896538</v>
      </c>
      <c r="O74">
        <v>125338661</v>
      </c>
      <c r="P74">
        <v>0</v>
      </c>
      <c r="Q74">
        <v>125338661</v>
      </c>
      <c r="R74">
        <v>5120</v>
      </c>
      <c r="S74">
        <v>0</v>
      </c>
      <c r="T74">
        <v>5120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s="661">
        <v>0</v>
      </c>
      <c r="AS74" t="s">
        <v>1726</v>
      </c>
    </row>
    <row r="75" spans="1:45" ht="12.75" x14ac:dyDescent="0.2">
      <c r="A75" s="605">
        <v>68</v>
      </c>
      <c r="B75" s="606" t="s">
        <v>18</v>
      </c>
      <c r="C75" s="607" t="s">
        <v>1190</v>
      </c>
      <c r="D75" s="608" t="s">
        <v>1191</v>
      </c>
      <c r="E75" s="609" t="s">
        <v>17</v>
      </c>
      <c r="F75">
        <v>105182382</v>
      </c>
      <c r="G75">
        <v>23234111</v>
      </c>
      <c r="H75">
        <v>128416493</v>
      </c>
      <c r="I75">
        <v>-1000000</v>
      </c>
      <c r="J75">
        <v>-250000</v>
      </c>
      <c r="K75">
        <v>-1250000</v>
      </c>
      <c r="L75">
        <v>-1000000</v>
      </c>
      <c r="M75">
        <v>-750000</v>
      </c>
      <c r="N75">
        <v>-1750000</v>
      </c>
      <c r="O75">
        <v>103182382</v>
      </c>
      <c r="P75">
        <v>22234111</v>
      </c>
      <c r="Q75">
        <v>125416493</v>
      </c>
      <c r="R75">
        <v>0</v>
      </c>
      <c r="S75">
        <v>0</v>
      </c>
      <c r="T75">
        <v>0</v>
      </c>
      <c r="U75">
        <v>0</v>
      </c>
      <c r="V75">
        <v>0</v>
      </c>
      <c r="W75">
        <v>0</v>
      </c>
      <c r="X75">
        <v>-154713</v>
      </c>
      <c r="Y75">
        <v>20741893</v>
      </c>
      <c r="Z75">
        <v>1337505</v>
      </c>
      <c r="AA75">
        <v>1337505</v>
      </c>
      <c r="AB75">
        <v>0</v>
      </c>
      <c r="AC75">
        <v>0</v>
      </c>
      <c r="AD75">
        <v>0</v>
      </c>
      <c r="AE75">
        <v>0</v>
      </c>
      <c r="AF75">
        <v>0</v>
      </c>
      <c r="AG75">
        <v>0</v>
      </c>
      <c r="AH75">
        <v>0</v>
      </c>
      <c r="AI75">
        <v>0</v>
      </c>
      <c r="AJ75">
        <v>0</v>
      </c>
      <c r="AK75">
        <v>0</v>
      </c>
      <c r="AL75">
        <v>0</v>
      </c>
      <c r="AM75">
        <v>0</v>
      </c>
      <c r="AN75">
        <v>0</v>
      </c>
      <c r="AO75">
        <v>0</v>
      </c>
      <c r="AP75">
        <v>0</v>
      </c>
      <c r="AQ75">
        <v>0</v>
      </c>
      <c r="AR75" s="661">
        <v>0</v>
      </c>
      <c r="AS75" t="s">
        <v>1727</v>
      </c>
    </row>
    <row r="76" spans="1:45" ht="12.75" x14ac:dyDescent="0.2">
      <c r="A76" s="605">
        <v>69</v>
      </c>
      <c r="B76" s="606" t="s">
        <v>20</v>
      </c>
      <c r="C76" s="607" t="s">
        <v>1185</v>
      </c>
      <c r="D76" s="608" t="s">
        <v>1189</v>
      </c>
      <c r="E76" s="609" t="s">
        <v>19</v>
      </c>
      <c r="F76">
        <v>69964320</v>
      </c>
      <c r="G76">
        <v>1246781</v>
      </c>
      <c r="H76">
        <v>71211101</v>
      </c>
      <c r="I76">
        <v>-690000</v>
      </c>
      <c r="J76">
        <v>-12467.81</v>
      </c>
      <c r="K76">
        <v>-702467.81</v>
      </c>
      <c r="L76">
        <v>-2100000</v>
      </c>
      <c r="M76">
        <v>0</v>
      </c>
      <c r="N76">
        <v>-2100000</v>
      </c>
      <c r="O76">
        <v>67174320</v>
      </c>
      <c r="P76">
        <v>1234313.19</v>
      </c>
      <c r="Q76">
        <v>68408633.189999998</v>
      </c>
      <c r="R76">
        <v>38513</v>
      </c>
      <c r="S76">
        <v>0</v>
      </c>
      <c r="T76">
        <v>38513</v>
      </c>
      <c r="U76">
        <v>0</v>
      </c>
      <c r="V76">
        <v>0</v>
      </c>
      <c r="W76">
        <v>0</v>
      </c>
      <c r="X76">
        <v>0</v>
      </c>
      <c r="Y76">
        <v>65623</v>
      </c>
      <c r="Z76">
        <v>1206181.3500000001</v>
      </c>
      <c r="AA76">
        <v>1206181.3500000001</v>
      </c>
      <c r="AB76">
        <v>0</v>
      </c>
      <c r="AC76">
        <v>0</v>
      </c>
      <c r="AD76">
        <v>0</v>
      </c>
      <c r="AE76">
        <v>0</v>
      </c>
      <c r="AF76">
        <v>40000</v>
      </c>
      <c r="AG76">
        <v>40000</v>
      </c>
      <c r="AH76">
        <v>0</v>
      </c>
      <c r="AI76">
        <v>0</v>
      </c>
      <c r="AJ76">
        <v>0</v>
      </c>
      <c r="AK76">
        <v>0</v>
      </c>
      <c r="AL76">
        <v>0</v>
      </c>
      <c r="AM76">
        <v>0</v>
      </c>
      <c r="AN76">
        <v>0</v>
      </c>
      <c r="AO76">
        <v>0</v>
      </c>
      <c r="AP76">
        <v>0</v>
      </c>
      <c r="AQ76">
        <v>40000</v>
      </c>
      <c r="AR76" s="661">
        <v>40000</v>
      </c>
      <c r="AS76" t="s">
        <v>1728</v>
      </c>
    </row>
    <row r="77" spans="1:45" ht="12.75" x14ac:dyDescent="0.2">
      <c r="A77" s="605">
        <v>70</v>
      </c>
      <c r="B77" s="606" t="s">
        <v>22</v>
      </c>
      <c r="C77" s="607" t="s">
        <v>524</v>
      </c>
      <c r="D77" s="608" t="s">
        <v>1197</v>
      </c>
      <c r="E77" s="609" t="s">
        <v>563</v>
      </c>
      <c r="F77">
        <v>37324690</v>
      </c>
      <c r="G77">
        <v>250409</v>
      </c>
      <c r="H77">
        <v>37575099</v>
      </c>
      <c r="I77">
        <v>-400000</v>
      </c>
      <c r="J77">
        <v>0</v>
      </c>
      <c r="K77">
        <v>-400000</v>
      </c>
      <c r="L77">
        <v>0</v>
      </c>
      <c r="M77">
        <v>0</v>
      </c>
      <c r="N77">
        <v>0</v>
      </c>
      <c r="O77">
        <v>36924690</v>
      </c>
      <c r="P77">
        <v>250409</v>
      </c>
      <c r="Q77">
        <v>37175099</v>
      </c>
      <c r="R77">
        <v>0</v>
      </c>
      <c r="S77">
        <v>0</v>
      </c>
      <c r="T77">
        <v>0</v>
      </c>
      <c r="U77">
        <v>0</v>
      </c>
      <c r="V77">
        <v>0</v>
      </c>
      <c r="W77">
        <v>0</v>
      </c>
      <c r="X77">
        <v>0</v>
      </c>
      <c r="Y77">
        <v>30601</v>
      </c>
      <c r="Z77">
        <v>219808</v>
      </c>
      <c r="AA77">
        <v>219808</v>
      </c>
      <c r="AB77">
        <v>0</v>
      </c>
      <c r="AC77">
        <v>0</v>
      </c>
      <c r="AD77">
        <v>0</v>
      </c>
      <c r="AE77">
        <v>0</v>
      </c>
      <c r="AF77">
        <v>22056</v>
      </c>
      <c r="AG77">
        <v>22056</v>
      </c>
      <c r="AH77">
        <v>36341069</v>
      </c>
      <c r="AI77">
        <v>36341069</v>
      </c>
      <c r="AJ77">
        <v>32456830</v>
      </c>
      <c r="AK77">
        <v>32456830</v>
      </c>
      <c r="AL77">
        <v>1942120</v>
      </c>
      <c r="AM77">
        <v>1942120</v>
      </c>
      <c r="AN77">
        <v>0</v>
      </c>
      <c r="AO77">
        <v>0</v>
      </c>
      <c r="AP77">
        <v>1942120</v>
      </c>
      <c r="AQ77">
        <v>22056</v>
      </c>
      <c r="AR77" s="661">
        <v>1964176</v>
      </c>
      <c r="AS77" t="s">
        <v>1729</v>
      </c>
    </row>
    <row r="78" spans="1:45" ht="12.75" x14ac:dyDescent="0.2">
      <c r="A78" s="605">
        <v>71</v>
      </c>
      <c r="B78" s="606" t="s">
        <v>24</v>
      </c>
      <c r="C78" s="607" t="s">
        <v>1185</v>
      </c>
      <c r="D78" s="608" t="s">
        <v>1186</v>
      </c>
      <c r="E78" s="609" t="s">
        <v>23</v>
      </c>
      <c r="F78">
        <v>96563219</v>
      </c>
      <c r="G78">
        <v>0</v>
      </c>
      <c r="H78">
        <v>96563219</v>
      </c>
      <c r="I78">
        <v>-600000</v>
      </c>
      <c r="J78">
        <v>0</v>
      </c>
      <c r="K78">
        <v>-600000</v>
      </c>
      <c r="L78">
        <v>-4966430</v>
      </c>
      <c r="M78">
        <v>0</v>
      </c>
      <c r="N78">
        <v>-4966430</v>
      </c>
      <c r="O78">
        <v>90996789</v>
      </c>
      <c r="P78">
        <v>0</v>
      </c>
      <c r="Q78">
        <v>90996789</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s="661">
        <v>0</v>
      </c>
      <c r="AS78" t="s">
        <v>1730</v>
      </c>
    </row>
    <row r="79" spans="1:45" ht="12.75" x14ac:dyDescent="0.2">
      <c r="A79" s="605">
        <v>72</v>
      </c>
      <c r="B79" s="606" t="s">
        <v>26</v>
      </c>
      <c r="C79" s="607" t="s">
        <v>1185</v>
      </c>
      <c r="D79" s="608" t="s">
        <v>1188</v>
      </c>
      <c r="E79" s="609" t="s">
        <v>25</v>
      </c>
      <c r="F79">
        <v>50753197</v>
      </c>
      <c r="G79">
        <v>0</v>
      </c>
      <c r="H79">
        <v>50753197</v>
      </c>
      <c r="I79">
        <v>-247802</v>
      </c>
      <c r="J79">
        <v>0</v>
      </c>
      <c r="K79">
        <v>-247802</v>
      </c>
      <c r="L79">
        <v>-1188760</v>
      </c>
      <c r="M79">
        <v>0</v>
      </c>
      <c r="N79">
        <v>-1188760</v>
      </c>
      <c r="O79">
        <v>49316635</v>
      </c>
      <c r="P79">
        <v>0</v>
      </c>
      <c r="Q79">
        <v>49316635</v>
      </c>
      <c r="R79">
        <v>1139384</v>
      </c>
      <c r="S79">
        <v>0</v>
      </c>
      <c r="T79">
        <v>1139384</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s="661">
        <v>0</v>
      </c>
      <c r="AS79" t="s">
        <v>1731</v>
      </c>
    </row>
    <row r="80" spans="1:45" ht="12.75" x14ac:dyDescent="0.2">
      <c r="A80" s="605">
        <v>73</v>
      </c>
      <c r="B80" s="606" t="s">
        <v>28</v>
      </c>
      <c r="C80" s="607" t="s">
        <v>524</v>
      </c>
      <c r="D80" s="608" t="s">
        <v>1188</v>
      </c>
      <c r="E80" s="609" t="s">
        <v>553</v>
      </c>
      <c r="F80">
        <v>95967152</v>
      </c>
      <c r="G80">
        <v>126856</v>
      </c>
      <c r="H80">
        <v>96094008</v>
      </c>
      <c r="I80">
        <v>-959672</v>
      </c>
      <c r="J80">
        <v>0</v>
      </c>
      <c r="K80">
        <v>-959672</v>
      </c>
      <c r="L80">
        <v>-2268903</v>
      </c>
      <c r="M80">
        <v>0</v>
      </c>
      <c r="N80">
        <v>-2268903</v>
      </c>
      <c r="O80">
        <v>92738577</v>
      </c>
      <c r="P80">
        <v>126856</v>
      </c>
      <c r="Q80">
        <v>92865433</v>
      </c>
      <c r="R80">
        <v>740352</v>
      </c>
      <c r="S80">
        <v>0</v>
      </c>
      <c r="T80">
        <v>740352</v>
      </c>
      <c r="U80">
        <v>0</v>
      </c>
      <c r="V80">
        <v>0</v>
      </c>
      <c r="W80">
        <v>0</v>
      </c>
      <c r="X80">
        <v>0</v>
      </c>
      <c r="Y80">
        <v>0</v>
      </c>
      <c r="Z80">
        <v>126856</v>
      </c>
      <c r="AA80">
        <v>126856</v>
      </c>
      <c r="AB80">
        <v>0</v>
      </c>
      <c r="AC80">
        <v>0</v>
      </c>
      <c r="AD80">
        <v>0</v>
      </c>
      <c r="AE80">
        <v>0</v>
      </c>
      <c r="AF80">
        <v>38623</v>
      </c>
      <c r="AG80">
        <v>38623</v>
      </c>
      <c r="AH80">
        <v>0</v>
      </c>
      <c r="AI80">
        <v>0</v>
      </c>
      <c r="AJ80">
        <v>0</v>
      </c>
      <c r="AK80">
        <v>0</v>
      </c>
      <c r="AL80">
        <v>0</v>
      </c>
      <c r="AM80">
        <v>0</v>
      </c>
      <c r="AN80">
        <v>0</v>
      </c>
      <c r="AO80">
        <v>0</v>
      </c>
      <c r="AP80">
        <v>0</v>
      </c>
      <c r="AQ80">
        <v>38623</v>
      </c>
      <c r="AR80" s="661">
        <v>38623</v>
      </c>
      <c r="AS80" t="s">
        <v>1732</v>
      </c>
    </row>
    <row r="81" spans="1:45" ht="12.75" x14ac:dyDescent="0.2">
      <c r="A81" s="605">
        <v>74</v>
      </c>
      <c r="B81" s="606" t="s">
        <v>30</v>
      </c>
      <c r="C81" s="607" t="s">
        <v>1185</v>
      </c>
      <c r="D81" s="608" t="s">
        <v>1188</v>
      </c>
      <c r="E81" s="609" t="s">
        <v>29</v>
      </c>
      <c r="F81">
        <v>19253845</v>
      </c>
      <c r="G81">
        <v>0</v>
      </c>
      <c r="H81">
        <v>19253845</v>
      </c>
      <c r="I81">
        <v>-346569</v>
      </c>
      <c r="J81">
        <v>0</v>
      </c>
      <c r="K81">
        <v>-346569</v>
      </c>
      <c r="L81">
        <v>-689642</v>
      </c>
      <c r="M81">
        <v>0</v>
      </c>
      <c r="N81">
        <v>-689642</v>
      </c>
      <c r="O81">
        <v>18217634</v>
      </c>
      <c r="P81">
        <v>0</v>
      </c>
      <c r="Q81">
        <v>18217634</v>
      </c>
      <c r="R81">
        <v>186837</v>
      </c>
      <c r="S81">
        <v>0</v>
      </c>
      <c r="T81">
        <v>186837</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s="661">
        <v>0</v>
      </c>
      <c r="AS81" t="s">
        <v>1733</v>
      </c>
    </row>
    <row r="82" spans="1:45" ht="12.75" x14ac:dyDescent="0.2">
      <c r="A82" s="605">
        <v>75</v>
      </c>
      <c r="B82" s="606" t="s">
        <v>32</v>
      </c>
      <c r="C82" s="607" t="s">
        <v>1192</v>
      </c>
      <c r="D82" s="608" t="s">
        <v>1193</v>
      </c>
      <c r="E82" s="609" t="s">
        <v>31</v>
      </c>
      <c r="F82">
        <v>105082616</v>
      </c>
      <c r="G82">
        <v>0</v>
      </c>
      <c r="H82">
        <v>105082616</v>
      </c>
      <c r="I82">
        <v>-1576239</v>
      </c>
      <c r="J82">
        <v>0</v>
      </c>
      <c r="K82">
        <v>-1576239</v>
      </c>
      <c r="L82">
        <v>-4258807</v>
      </c>
      <c r="M82">
        <v>0</v>
      </c>
      <c r="N82">
        <v>-4258807</v>
      </c>
      <c r="O82">
        <v>99247570</v>
      </c>
      <c r="P82">
        <v>0</v>
      </c>
      <c r="Q82">
        <v>99247570</v>
      </c>
      <c r="R82">
        <v>198524</v>
      </c>
      <c r="S82">
        <v>0</v>
      </c>
      <c r="T82">
        <v>198524</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s="661">
        <v>0</v>
      </c>
      <c r="AS82" t="s">
        <v>1734</v>
      </c>
    </row>
    <row r="83" spans="1:45" ht="12.75" x14ac:dyDescent="0.2">
      <c r="A83" s="605">
        <v>76</v>
      </c>
      <c r="B83" s="606" t="s">
        <v>1126</v>
      </c>
      <c r="C83" s="607" t="s">
        <v>524</v>
      </c>
      <c r="D83" s="608" t="s">
        <v>1194</v>
      </c>
      <c r="E83" s="609" t="s">
        <v>1125</v>
      </c>
      <c r="F83">
        <v>105064532</v>
      </c>
      <c r="G83">
        <v>314408</v>
      </c>
      <c r="H83">
        <v>105378940</v>
      </c>
      <c r="I83">
        <v>-2434254</v>
      </c>
      <c r="J83">
        <v>0</v>
      </c>
      <c r="K83">
        <v>-2434254</v>
      </c>
      <c r="L83">
        <v>-5585084</v>
      </c>
      <c r="M83">
        <v>0</v>
      </c>
      <c r="N83">
        <v>-5585084</v>
      </c>
      <c r="O83">
        <v>97045194</v>
      </c>
      <c r="P83">
        <v>314408</v>
      </c>
      <c r="Q83">
        <v>97359602</v>
      </c>
      <c r="R83">
        <v>680572</v>
      </c>
      <c r="S83">
        <v>0</v>
      </c>
      <c r="T83">
        <v>680572</v>
      </c>
      <c r="U83">
        <v>0</v>
      </c>
      <c r="V83">
        <v>0</v>
      </c>
      <c r="W83">
        <v>0</v>
      </c>
      <c r="X83">
        <v>0</v>
      </c>
      <c r="Y83">
        <v>282048</v>
      </c>
      <c r="Z83">
        <v>32360</v>
      </c>
      <c r="AA83">
        <v>32360</v>
      </c>
      <c r="AB83">
        <v>0</v>
      </c>
      <c r="AC83">
        <v>0</v>
      </c>
      <c r="AD83">
        <v>0</v>
      </c>
      <c r="AE83">
        <v>0</v>
      </c>
      <c r="AF83">
        <v>47862</v>
      </c>
      <c r="AG83">
        <v>47862</v>
      </c>
      <c r="AH83">
        <v>0</v>
      </c>
      <c r="AI83">
        <v>0</v>
      </c>
      <c r="AJ83">
        <v>0</v>
      </c>
      <c r="AK83">
        <v>0</v>
      </c>
      <c r="AL83">
        <v>0</v>
      </c>
      <c r="AM83">
        <v>0</v>
      </c>
      <c r="AN83">
        <v>0</v>
      </c>
      <c r="AO83">
        <v>0</v>
      </c>
      <c r="AP83">
        <v>0</v>
      </c>
      <c r="AQ83">
        <v>47862</v>
      </c>
      <c r="AR83" s="661">
        <v>47862</v>
      </c>
      <c r="AS83" t="s">
        <v>1657</v>
      </c>
    </row>
    <row r="84" spans="1:45" ht="12.75" x14ac:dyDescent="0.2">
      <c r="A84" s="605">
        <v>77</v>
      </c>
      <c r="B84" s="606" t="s">
        <v>42</v>
      </c>
      <c r="C84" s="607" t="s">
        <v>1185</v>
      </c>
      <c r="D84" s="608" t="s">
        <v>1186</v>
      </c>
      <c r="E84" s="609" t="s">
        <v>41</v>
      </c>
      <c r="F84">
        <v>45614820.739999995</v>
      </c>
      <c r="G84">
        <v>0</v>
      </c>
      <c r="H84">
        <v>45614820.739999995</v>
      </c>
      <c r="I84">
        <v>-400000</v>
      </c>
      <c r="J84">
        <v>0</v>
      </c>
      <c r="K84">
        <v>-400000</v>
      </c>
      <c r="L84">
        <v>-1903000</v>
      </c>
      <c r="M84">
        <v>0</v>
      </c>
      <c r="N84">
        <v>-1903000</v>
      </c>
      <c r="O84">
        <v>43311820.739999995</v>
      </c>
      <c r="P84">
        <v>0</v>
      </c>
      <c r="Q84">
        <v>43311820.739999995</v>
      </c>
      <c r="R84">
        <v>1142177</v>
      </c>
      <c r="S84">
        <v>0</v>
      </c>
      <c r="T84">
        <v>1142177</v>
      </c>
      <c r="U84">
        <v>0</v>
      </c>
      <c r="V84">
        <v>0</v>
      </c>
      <c r="W84">
        <v>0</v>
      </c>
      <c r="X84">
        <v>0</v>
      </c>
      <c r="Y84">
        <v>0</v>
      </c>
      <c r="Z84">
        <v>0</v>
      </c>
      <c r="AA84">
        <v>0</v>
      </c>
      <c r="AB84">
        <v>0</v>
      </c>
      <c r="AC84">
        <v>0</v>
      </c>
      <c r="AD84">
        <v>0</v>
      </c>
      <c r="AE84">
        <v>812500</v>
      </c>
      <c r="AF84">
        <v>0</v>
      </c>
      <c r="AG84">
        <v>812500</v>
      </c>
      <c r="AH84">
        <v>0</v>
      </c>
      <c r="AI84">
        <v>0</v>
      </c>
      <c r="AJ84">
        <v>0</v>
      </c>
      <c r="AK84">
        <v>0</v>
      </c>
      <c r="AL84">
        <v>0</v>
      </c>
      <c r="AM84">
        <v>0</v>
      </c>
      <c r="AN84">
        <v>0</v>
      </c>
      <c r="AO84">
        <v>0</v>
      </c>
      <c r="AP84">
        <v>812500</v>
      </c>
      <c r="AQ84">
        <v>0</v>
      </c>
      <c r="AR84" s="661">
        <v>812500</v>
      </c>
      <c r="AS84" t="s">
        <v>1735</v>
      </c>
    </row>
    <row r="85" spans="1:45" ht="12.75" x14ac:dyDescent="0.2">
      <c r="A85" s="605">
        <v>78</v>
      </c>
      <c r="B85" s="606" t="s">
        <v>44</v>
      </c>
      <c r="C85" s="607" t="s">
        <v>1192</v>
      </c>
      <c r="D85" s="608" t="s">
        <v>1195</v>
      </c>
      <c r="E85" s="609" t="s">
        <v>43</v>
      </c>
      <c r="F85">
        <v>93020540</v>
      </c>
      <c r="G85">
        <v>210567</v>
      </c>
      <c r="H85">
        <v>93231107</v>
      </c>
      <c r="I85">
        <v>-1300000</v>
      </c>
      <c r="J85">
        <v>0</v>
      </c>
      <c r="K85">
        <v>-1300000</v>
      </c>
      <c r="L85">
        <v>-4300000</v>
      </c>
      <c r="M85">
        <v>0</v>
      </c>
      <c r="N85">
        <v>-4300000</v>
      </c>
      <c r="O85">
        <v>87420540</v>
      </c>
      <c r="P85">
        <v>210567</v>
      </c>
      <c r="Q85">
        <v>87631107</v>
      </c>
      <c r="R85">
        <v>0</v>
      </c>
      <c r="S85">
        <v>0</v>
      </c>
      <c r="T85">
        <v>0</v>
      </c>
      <c r="U85">
        <v>0</v>
      </c>
      <c r="V85">
        <v>0</v>
      </c>
      <c r="W85">
        <v>0</v>
      </c>
      <c r="X85">
        <v>608</v>
      </c>
      <c r="Y85">
        <v>153484</v>
      </c>
      <c r="Z85">
        <v>90802</v>
      </c>
      <c r="AA85">
        <v>90802</v>
      </c>
      <c r="AB85">
        <v>173786</v>
      </c>
      <c r="AC85">
        <v>286243</v>
      </c>
      <c r="AD85">
        <v>460029</v>
      </c>
      <c r="AE85">
        <v>0</v>
      </c>
      <c r="AF85">
        <v>0</v>
      </c>
      <c r="AG85">
        <v>0</v>
      </c>
      <c r="AH85">
        <v>0</v>
      </c>
      <c r="AI85">
        <v>0</v>
      </c>
      <c r="AJ85">
        <v>0</v>
      </c>
      <c r="AK85">
        <v>0</v>
      </c>
      <c r="AL85">
        <v>0</v>
      </c>
      <c r="AM85">
        <v>0</v>
      </c>
      <c r="AN85">
        <v>0</v>
      </c>
      <c r="AO85">
        <v>0</v>
      </c>
      <c r="AP85">
        <v>0</v>
      </c>
      <c r="AQ85">
        <v>0</v>
      </c>
      <c r="AR85" s="661">
        <v>0</v>
      </c>
      <c r="AS85" t="s">
        <v>1736</v>
      </c>
    </row>
    <row r="86" spans="1:45" ht="12.75" x14ac:dyDescent="0.2">
      <c r="A86" s="605">
        <v>79</v>
      </c>
      <c r="B86" s="606" t="s">
        <v>46</v>
      </c>
      <c r="C86" s="607" t="s">
        <v>524</v>
      </c>
      <c r="D86" s="608" t="s">
        <v>1197</v>
      </c>
      <c r="E86" s="609" t="s">
        <v>45</v>
      </c>
      <c r="F86">
        <v>120785169</v>
      </c>
      <c r="G86">
        <v>35685</v>
      </c>
      <c r="H86">
        <v>120820854</v>
      </c>
      <c r="I86">
        <v>-1206137</v>
      </c>
      <c r="J86">
        <v>0</v>
      </c>
      <c r="K86">
        <v>-1206137</v>
      </c>
      <c r="L86">
        <v>-4275415</v>
      </c>
      <c r="M86">
        <v>0</v>
      </c>
      <c r="N86">
        <v>-4275415</v>
      </c>
      <c r="O86">
        <v>115303617</v>
      </c>
      <c r="P86">
        <v>35685</v>
      </c>
      <c r="Q86">
        <v>115339302</v>
      </c>
      <c r="R86">
        <v>171928</v>
      </c>
      <c r="S86">
        <v>0</v>
      </c>
      <c r="T86">
        <v>171928</v>
      </c>
      <c r="U86">
        <v>0</v>
      </c>
      <c r="V86">
        <v>0</v>
      </c>
      <c r="W86">
        <v>0</v>
      </c>
      <c r="X86">
        <v>0</v>
      </c>
      <c r="Y86">
        <v>0</v>
      </c>
      <c r="Z86">
        <v>35685</v>
      </c>
      <c r="AA86">
        <v>35685</v>
      </c>
      <c r="AB86">
        <v>0</v>
      </c>
      <c r="AC86">
        <v>0</v>
      </c>
      <c r="AD86">
        <v>0</v>
      </c>
      <c r="AE86">
        <v>0</v>
      </c>
      <c r="AF86">
        <v>0</v>
      </c>
      <c r="AG86">
        <v>0</v>
      </c>
      <c r="AH86">
        <v>0</v>
      </c>
      <c r="AI86">
        <v>0</v>
      </c>
      <c r="AJ86">
        <v>0</v>
      </c>
      <c r="AK86">
        <v>0</v>
      </c>
      <c r="AL86">
        <v>0</v>
      </c>
      <c r="AM86">
        <v>0</v>
      </c>
      <c r="AN86">
        <v>0</v>
      </c>
      <c r="AO86">
        <v>0</v>
      </c>
      <c r="AP86">
        <v>0</v>
      </c>
      <c r="AQ86">
        <v>0</v>
      </c>
      <c r="AR86" s="661">
        <v>0</v>
      </c>
      <c r="AS86" t="s">
        <v>1737</v>
      </c>
    </row>
    <row r="87" spans="1:45" ht="12.75" x14ac:dyDescent="0.2">
      <c r="A87" s="605">
        <v>80</v>
      </c>
      <c r="B87" s="606" t="s">
        <v>48</v>
      </c>
      <c r="C87" s="607" t="s">
        <v>1190</v>
      </c>
      <c r="D87" s="608" t="s">
        <v>1191</v>
      </c>
      <c r="E87" s="609" t="s">
        <v>47</v>
      </c>
      <c r="F87">
        <v>163582361</v>
      </c>
      <c r="G87">
        <v>0</v>
      </c>
      <c r="H87">
        <v>163582361</v>
      </c>
      <c r="I87">
        <v>-4089559</v>
      </c>
      <c r="J87">
        <v>0</v>
      </c>
      <c r="K87">
        <v>-4089559</v>
      </c>
      <c r="L87">
        <v>-7688371</v>
      </c>
      <c r="M87">
        <v>0</v>
      </c>
      <c r="N87">
        <v>-7688371</v>
      </c>
      <c r="O87">
        <v>151804431</v>
      </c>
      <c r="P87">
        <v>0</v>
      </c>
      <c r="Q87">
        <v>151804431</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s="661">
        <v>0</v>
      </c>
      <c r="AS87" t="s">
        <v>1738</v>
      </c>
    </row>
    <row r="88" spans="1:45" ht="12.75" x14ac:dyDescent="0.2">
      <c r="A88" s="605">
        <v>81</v>
      </c>
      <c r="B88" s="606" t="s">
        <v>50</v>
      </c>
      <c r="C88" s="607" t="s">
        <v>1185</v>
      </c>
      <c r="D88" s="608" t="s">
        <v>1189</v>
      </c>
      <c r="E88" s="609" t="s">
        <v>49</v>
      </c>
      <c r="F88">
        <v>22340806</v>
      </c>
      <c r="G88">
        <v>276220</v>
      </c>
      <c r="H88">
        <v>22617026</v>
      </c>
      <c r="I88">
        <v>-11284</v>
      </c>
      <c r="J88">
        <v>0</v>
      </c>
      <c r="K88">
        <v>-11284</v>
      </c>
      <c r="L88">
        <v>-770697</v>
      </c>
      <c r="M88">
        <v>0</v>
      </c>
      <c r="N88">
        <v>-770697</v>
      </c>
      <c r="O88">
        <v>21558825</v>
      </c>
      <c r="P88">
        <v>276220</v>
      </c>
      <c r="Q88">
        <v>21835045</v>
      </c>
      <c r="R88">
        <v>674728</v>
      </c>
      <c r="S88">
        <v>0</v>
      </c>
      <c r="T88">
        <v>674728</v>
      </c>
      <c r="U88">
        <v>0</v>
      </c>
      <c r="V88">
        <v>0</v>
      </c>
      <c r="W88">
        <v>0</v>
      </c>
      <c r="X88">
        <v>0</v>
      </c>
      <c r="Y88">
        <v>209271</v>
      </c>
      <c r="Z88">
        <v>66949</v>
      </c>
      <c r="AA88">
        <v>66949</v>
      </c>
      <c r="AB88">
        <v>0</v>
      </c>
      <c r="AC88">
        <v>0</v>
      </c>
      <c r="AD88">
        <v>0</v>
      </c>
      <c r="AE88">
        <v>0</v>
      </c>
      <c r="AF88">
        <v>87812</v>
      </c>
      <c r="AG88">
        <v>87812</v>
      </c>
      <c r="AH88">
        <v>0</v>
      </c>
      <c r="AI88">
        <v>0</v>
      </c>
      <c r="AJ88">
        <v>0</v>
      </c>
      <c r="AK88">
        <v>0</v>
      </c>
      <c r="AL88">
        <v>0</v>
      </c>
      <c r="AM88">
        <v>0</v>
      </c>
      <c r="AN88">
        <v>0</v>
      </c>
      <c r="AO88">
        <v>0</v>
      </c>
      <c r="AP88">
        <v>0</v>
      </c>
      <c r="AQ88">
        <v>87812</v>
      </c>
      <c r="AR88" s="661">
        <v>87812</v>
      </c>
      <c r="AS88" t="s">
        <v>1739</v>
      </c>
    </row>
    <row r="89" spans="1:45" ht="12.75" x14ac:dyDescent="0.2">
      <c r="A89" s="605">
        <v>82</v>
      </c>
      <c r="B89" s="606" t="s">
        <v>52</v>
      </c>
      <c r="C89" s="607" t="s">
        <v>1185</v>
      </c>
      <c r="D89" s="608" t="s">
        <v>1194</v>
      </c>
      <c r="E89" s="609" t="s">
        <v>51</v>
      </c>
      <c r="F89">
        <v>36582981</v>
      </c>
      <c r="G89">
        <v>992626</v>
      </c>
      <c r="H89">
        <v>37575607</v>
      </c>
      <c r="I89">
        <v>-100000</v>
      </c>
      <c r="J89">
        <v>0</v>
      </c>
      <c r="K89">
        <v>-100000</v>
      </c>
      <c r="L89">
        <v>-1694131</v>
      </c>
      <c r="M89">
        <v>-54864</v>
      </c>
      <c r="N89">
        <v>-1748995</v>
      </c>
      <c r="O89">
        <v>34788850</v>
      </c>
      <c r="P89">
        <v>937762</v>
      </c>
      <c r="Q89">
        <v>35726612</v>
      </c>
      <c r="R89">
        <v>373757</v>
      </c>
      <c r="S89">
        <v>0</v>
      </c>
      <c r="T89">
        <v>373757</v>
      </c>
      <c r="U89">
        <v>0</v>
      </c>
      <c r="V89">
        <v>0</v>
      </c>
      <c r="W89">
        <v>0</v>
      </c>
      <c r="X89">
        <v>1905</v>
      </c>
      <c r="Y89">
        <v>684189</v>
      </c>
      <c r="Z89">
        <v>255478</v>
      </c>
      <c r="AA89">
        <v>255478</v>
      </c>
      <c r="AB89">
        <v>0</v>
      </c>
      <c r="AC89">
        <v>0</v>
      </c>
      <c r="AD89">
        <v>0</v>
      </c>
      <c r="AE89">
        <v>0</v>
      </c>
      <c r="AF89">
        <v>350239</v>
      </c>
      <c r="AG89">
        <v>350239</v>
      </c>
      <c r="AH89">
        <v>0</v>
      </c>
      <c r="AI89">
        <v>0</v>
      </c>
      <c r="AJ89">
        <v>0</v>
      </c>
      <c r="AK89">
        <v>0</v>
      </c>
      <c r="AL89">
        <v>0</v>
      </c>
      <c r="AM89">
        <v>0</v>
      </c>
      <c r="AN89">
        <v>0</v>
      </c>
      <c r="AO89">
        <v>0</v>
      </c>
      <c r="AP89">
        <v>0</v>
      </c>
      <c r="AQ89">
        <v>350239</v>
      </c>
      <c r="AR89" s="661">
        <v>350239</v>
      </c>
      <c r="AS89" t="s">
        <v>1740</v>
      </c>
    </row>
    <row r="90" spans="1:45" ht="12.75" x14ac:dyDescent="0.2">
      <c r="A90" s="605">
        <v>83</v>
      </c>
      <c r="B90" s="606" t="s">
        <v>54</v>
      </c>
      <c r="C90" s="607" t="s">
        <v>1185</v>
      </c>
      <c r="D90" s="608" t="s">
        <v>1186</v>
      </c>
      <c r="E90" s="609" t="s">
        <v>53</v>
      </c>
      <c r="F90">
        <v>33379586</v>
      </c>
      <c r="G90">
        <v>27874</v>
      </c>
      <c r="H90">
        <v>33407460</v>
      </c>
      <c r="I90">
        <v>-280901</v>
      </c>
      <c r="J90">
        <v>0</v>
      </c>
      <c r="K90">
        <v>-280901</v>
      </c>
      <c r="L90">
        <v>-1979223</v>
      </c>
      <c r="M90">
        <v>0</v>
      </c>
      <c r="N90">
        <v>-1979223</v>
      </c>
      <c r="O90">
        <v>31119462</v>
      </c>
      <c r="P90">
        <v>27874</v>
      </c>
      <c r="Q90">
        <v>31147336</v>
      </c>
      <c r="R90">
        <v>51272</v>
      </c>
      <c r="S90">
        <v>0</v>
      </c>
      <c r="T90">
        <v>51272</v>
      </c>
      <c r="U90">
        <v>0</v>
      </c>
      <c r="V90">
        <v>0</v>
      </c>
      <c r="W90">
        <v>0</v>
      </c>
      <c r="X90">
        <v>0</v>
      </c>
      <c r="Y90">
        <v>0</v>
      </c>
      <c r="Z90">
        <v>27874</v>
      </c>
      <c r="AA90">
        <v>27874</v>
      </c>
      <c r="AB90">
        <v>0</v>
      </c>
      <c r="AC90">
        <v>0</v>
      </c>
      <c r="AD90">
        <v>0</v>
      </c>
      <c r="AE90">
        <v>0</v>
      </c>
      <c r="AF90">
        <v>21014</v>
      </c>
      <c r="AG90">
        <v>21014</v>
      </c>
      <c r="AH90">
        <v>0</v>
      </c>
      <c r="AI90">
        <v>0</v>
      </c>
      <c r="AJ90">
        <v>0</v>
      </c>
      <c r="AK90">
        <v>0</v>
      </c>
      <c r="AL90">
        <v>0</v>
      </c>
      <c r="AM90">
        <v>0</v>
      </c>
      <c r="AN90">
        <v>0</v>
      </c>
      <c r="AO90">
        <v>0</v>
      </c>
      <c r="AP90">
        <v>0</v>
      </c>
      <c r="AQ90">
        <v>21014</v>
      </c>
      <c r="AR90" s="661">
        <v>21014</v>
      </c>
      <c r="AS90" t="s">
        <v>1741</v>
      </c>
    </row>
    <row r="91" spans="1:45" ht="12.75" x14ac:dyDescent="0.2">
      <c r="A91" s="605">
        <v>84</v>
      </c>
      <c r="B91" s="606" t="s">
        <v>56</v>
      </c>
      <c r="C91" s="607" t="s">
        <v>1185</v>
      </c>
      <c r="D91" s="608" t="s">
        <v>1189</v>
      </c>
      <c r="E91" s="609" t="s">
        <v>55</v>
      </c>
      <c r="F91">
        <v>45679022</v>
      </c>
      <c r="G91">
        <v>0</v>
      </c>
      <c r="H91">
        <v>45679022</v>
      </c>
      <c r="I91">
        <v>-300000</v>
      </c>
      <c r="J91">
        <v>0</v>
      </c>
      <c r="K91">
        <v>-300000</v>
      </c>
      <c r="L91">
        <v>-2474786</v>
      </c>
      <c r="M91">
        <v>0</v>
      </c>
      <c r="N91">
        <v>-2474786</v>
      </c>
      <c r="O91">
        <v>42904236</v>
      </c>
      <c r="P91">
        <v>0</v>
      </c>
      <c r="Q91">
        <v>42904236</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s="661">
        <v>0</v>
      </c>
      <c r="AS91" t="s">
        <v>1742</v>
      </c>
    </row>
    <row r="92" spans="1:45" ht="12.75" x14ac:dyDescent="0.2">
      <c r="A92" s="605">
        <v>85</v>
      </c>
      <c r="B92" s="606" t="s">
        <v>58</v>
      </c>
      <c r="C92" s="607" t="s">
        <v>1185</v>
      </c>
      <c r="D92" s="608" t="s">
        <v>1188</v>
      </c>
      <c r="E92" s="609" t="s">
        <v>57</v>
      </c>
      <c r="F92">
        <v>38415141</v>
      </c>
      <c r="G92">
        <v>0</v>
      </c>
      <c r="H92">
        <v>38415141</v>
      </c>
      <c r="I92">
        <v>-384151</v>
      </c>
      <c r="J92">
        <v>0</v>
      </c>
      <c r="K92">
        <v>-384151</v>
      </c>
      <c r="L92">
        <v>-556340</v>
      </c>
      <c r="M92">
        <v>0</v>
      </c>
      <c r="N92">
        <v>-556340</v>
      </c>
      <c r="O92">
        <v>37474650</v>
      </c>
      <c r="P92">
        <v>0</v>
      </c>
      <c r="Q92">
        <v>37474650</v>
      </c>
      <c r="R92">
        <v>787489</v>
      </c>
      <c r="S92">
        <v>0</v>
      </c>
      <c r="T92">
        <v>787489</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s="661">
        <v>0</v>
      </c>
      <c r="AS92" t="s">
        <v>1743</v>
      </c>
    </row>
    <row r="93" spans="1:45" ht="12.75" x14ac:dyDescent="0.2">
      <c r="A93" s="605">
        <v>86</v>
      </c>
      <c r="B93" s="606" t="s">
        <v>60</v>
      </c>
      <c r="C93" s="607" t="s">
        <v>1185</v>
      </c>
      <c r="D93" s="608" t="s">
        <v>1188</v>
      </c>
      <c r="E93" s="609" t="s">
        <v>59</v>
      </c>
      <c r="F93">
        <v>37039272</v>
      </c>
      <c r="G93">
        <v>0</v>
      </c>
      <c r="H93">
        <v>37039272</v>
      </c>
      <c r="I93">
        <v>-200000</v>
      </c>
      <c r="J93">
        <v>0</v>
      </c>
      <c r="K93">
        <v>-200000</v>
      </c>
      <c r="L93">
        <v>-825000</v>
      </c>
      <c r="M93">
        <v>0</v>
      </c>
      <c r="N93">
        <v>-825000</v>
      </c>
      <c r="O93">
        <v>36014272</v>
      </c>
      <c r="P93">
        <v>0</v>
      </c>
      <c r="Q93">
        <v>36014272</v>
      </c>
      <c r="R93">
        <v>411471</v>
      </c>
      <c r="S93">
        <v>0</v>
      </c>
      <c r="T93">
        <v>411471</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s="661">
        <v>0</v>
      </c>
      <c r="AS93" t="s">
        <v>1744</v>
      </c>
    </row>
    <row r="94" spans="1:45" ht="12.75" x14ac:dyDescent="0.2">
      <c r="A94" s="605">
        <v>87</v>
      </c>
      <c r="B94" s="606" t="s">
        <v>62</v>
      </c>
      <c r="C94" s="607" t="s">
        <v>524</v>
      </c>
      <c r="D94" s="608" t="s">
        <v>1193</v>
      </c>
      <c r="E94" s="609" t="s">
        <v>580</v>
      </c>
      <c r="F94">
        <v>113989384</v>
      </c>
      <c r="G94">
        <v>113152</v>
      </c>
      <c r="H94">
        <v>114102536</v>
      </c>
      <c r="I94">
        <v>-610000</v>
      </c>
      <c r="J94">
        <v>0</v>
      </c>
      <c r="K94">
        <v>-610000</v>
      </c>
      <c r="L94">
        <v>-3402000</v>
      </c>
      <c r="M94">
        <v>0</v>
      </c>
      <c r="N94">
        <v>-3402000</v>
      </c>
      <c r="O94">
        <v>109977384</v>
      </c>
      <c r="P94">
        <v>113152</v>
      </c>
      <c r="Q94">
        <v>110090536</v>
      </c>
      <c r="R94">
        <v>5222150</v>
      </c>
      <c r="S94">
        <v>0</v>
      </c>
      <c r="T94">
        <v>5222150</v>
      </c>
      <c r="U94">
        <v>0</v>
      </c>
      <c r="V94">
        <v>0</v>
      </c>
      <c r="W94">
        <v>0</v>
      </c>
      <c r="X94">
        <v>0</v>
      </c>
      <c r="Y94">
        <v>146006</v>
      </c>
      <c r="Z94">
        <v>0</v>
      </c>
      <c r="AA94">
        <v>0</v>
      </c>
      <c r="AB94">
        <v>0</v>
      </c>
      <c r="AC94">
        <v>0</v>
      </c>
      <c r="AD94">
        <v>0</v>
      </c>
      <c r="AE94">
        <v>30000</v>
      </c>
      <c r="AF94">
        <v>0</v>
      </c>
      <c r="AG94">
        <v>30000</v>
      </c>
      <c r="AH94">
        <v>0</v>
      </c>
      <c r="AI94">
        <v>0</v>
      </c>
      <c r="AJ94">
        <v>0</v>
      </c>
      <c r="AK94">
        <v>0</v>
      </c>
      <c r="AL94">
        <v>0</v>
      </c>
      <c r="AM94">
        <v>0</v>
      </c>
      <c r="AN94">
        <v>0</v>
      </c>
      <c r="AO94">
        <v>0</v>
      </c>
      <c r="AP94">
        <v>30000</v>
      </c>
      <c r="AQ94">
        <v>0</v>
      </c>
      <c r="AR94" s="661">
        <v>30000</v>
      </c>
      <c r="AS94" t="s">
        <v>1745</v>
      </c>
    </row>
    <row r="95" spans="1:45" ht="12.75" x14ac:dyDescent="0.2">
      <c r="A95" s="605">
        <v>88</v>
      </c>
      <c r="B95" s="606" t="s">
        <v>64</v>
      </c>
      <c r="C95" s="607" t="s">
        <v>1185</v>
      </c>
      <c r="D95" s="608" t="s">
        <v>1195</v>
      </c>
      <c r="E95" s="609" t="s">
        <v>63</v>
      </c>
      <c r="F95">
        <v>57626484</v>
      </c>
      <c r="G95">
        <v>0</v>
      </c>
      <c r="H95">
        <v>57626484</v>
      </c>
      <c r="I95">
        <v>-560000</v>
      </c>
      <c r="J95">
        <v>0</v>
      </c>
      <c r="K95">
        <v>-560000</v>
      </c>
      <c r="L95">
        <v>-3716716</v>
      </c>
      <c r="M95">
        <v>0</v>
      </c>
      <c r="N95">
        <v>-3716716</v>
      </c>
      <c r="O95">
        <v>53349768</v>
      </c>
      <c r="P95">
        <v>0</v>
      </c>
      <c r="Q95">
        <v>53349768</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s="661">
        <v>0</v>
      </c>
      <c r="AS95" t="s">
        <v>1746</v>
      </c>
    </row>
    <row r="96" spans="1:45" ht="12.75" x14ac:dyDescent="0.2">
      <c r="A96" s="605">
        <v>89</v>
      </c>
      <c r="B96" s="606" t="s">
        <v>1128</v>
      </c>
      <c r="C96" s="607" t="s">
        <v>1185</v>
      </c>
      <c r="D96" s="608" t="s">
        <v>1189</v>
      </c>
      <c r="E96" s="609" t="s">
        <v>1127</v>
      </c>
      <c r="F96">
        <v>97786089</v>
      </c>
      <c r="G96">
        <v>435429</v>
      </c>
      <c r="H96">
        <v>98221518</v>
      </c>
      <c r="I96">
        <v>-782288</v>
      </c>
      <c r="J96">
        <v>0</v>
      </c>
      <c r="K96">
        <v>-782288</v>
      </c>
      <c r="L96">
        <v>-1280508</v>
      </c>
      <c r="M96">
        <v>0</v>
      </c>
      <c r="N96">
        <v>-1280508</v>
      </c>
      <c r="O96">
        <v>95723293</v>
      </c>
      <c r="P96">
        <v>435429</v>
      </c>
      <c r="Q96">
        <v>96158722</v>
      </c>
      <c r="R96">
        <v>1010507</v>
      </c>
      <c r="S96">
        <v>0</v>
      </c>
      <c r="T96">
        <v>1010507</v>
      </c>
      <c r="U96">
        <v>0</v>
      </c>
      <c r="V96">
        <v>0</v>
      </c>
      <c r="W96">
        <v>0</v>
      </c>
      <c r="X96">
        <v>0</v>
      </c>
      <c r="Y96">
        <v>45875</v>
      </c>
      <c r="Z96">
        <v>435429</v>
      </c>
      <c r="AA96">
        <v>435429</v>
      </c>
      <c r="AB96">
        <v>0</v>
      </c>
      <c r="AC96">
        <v>0</v>
      </c>
      <c r="AD96">
        <v>0</v>
      </c>
      <c r="AE96">
        <v>0</v>
      </c>
      <c r="AF96">
        <v>94133</v>
      </c>
      <c r="AG96">
        <v>94133</v>
      </c>
      <c r="AH96">
        <v>0</v>
      </c>
      <c r="AI96">
        <v>0</v>
      </c>
      <c r="AJ96">
        <v>0</v>
      </c>
      <c r="AK96">
        <v>0</v>
      </c>
      <c r="AL96">
        <v>0</v>
      </c>
      <c r="AM96">
        <v>0</v>
      </c>
      <c r="AN96">
        <v>0</v>
      </c>
      <c r="AO96">
        <v>0</v>
      </c>
      <c r="AP96">
        <v>0</v>
      </c>
      <c r="AQ96">
        <v>94133</v>
      </c>
      <c r="AR96" s="661">
        <v>94133</v>
      </c>
      <c r="AS96" t="s">
        <v>1747</v>
      </c>
    </row>
    <row r="97" spans="1:45" ht="12.75" x14ac:dyDescent="0.2">
      <c r="A97" s="605">
        <v>90</v>
      </c>
      <c r="B97" s="606" t="s">
        <v>66</v>
      </c>
      <c r="C97" s="607" t="s">
        <v>1185</v>
      </c>
      <c r="D97" s="608" t="s">
        <v>1186</v>
      </c>
      <c r="E97" s="609" t="s">
        <v>65</v>
      </c>
      <c r="F97">
        <v>37827602</v>
      </c>
      <c r="G97">
        <v>0</v>
      </c>
      <c r="H97">
        <v>37827602</v>
      </c>
      <c r="I97">
        <v>-220000</v>
      </c>
      <c r="J97">
        <v>0</v>
      </c>
      <c r="K97">
        <v>-220000</v>
      </c>
      <c r="L97">
        <v>-158660</v>
      </c>
      <c r="M97">
        <v>0</v>
      </c>
      <c r="N97">
        <v>-158660</v>
      </c>
      <c r="O97">
        <v>37448942</v>
      </c>
      <c r="P97">
        <v>0</v>
      </c>
      <c r="Q97">
        <v>37448942</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s="661">
        <v>0</v>
      </c>
      <c r="AS97" t="s">
        <v>1748</v>
      </c>
    </row>
    <row r="98" spans="1:45" ht="12.75" x14ac:dyDescent="0.2">
      <c r="A98" s="605">
        <v>91</v>
      </c>
      <c r="B98" s="606" t="s">
        <v>68</v>
      </c>
      <c r="C98" s="607" t="s">
        <v>1185</v>
      </c>
      <c r="D98" s="608" t="s">
        <v>1186</v>
      </c>
      <c r="E98" s="609" t="s">
        <v>67</v>
      </c>
      <c r="F98">
        <v>62104876</v>
      </c>
      <c r="G98">
        <v>0</v>
      </c>
      <c r="H98">
        <v>62104876</v>
      </c>
      <c r="I98">
        <v>-330871</v>
      </c>
      <c r="J98">
        <v>0</v>
      </c>
      <c r="K98">
        <v>-330871</v>
      </c>
      <c r="L98">
        <v>-1374000</v>
      </c>
      <c r="M98">
        <v>0</v>
      </c>
      <c r="N98">
        <v>-1374000</v>
      </c>
      <c r="O98">
        <v>60400005</v>
      </c>
      <c r="P98">
        <v>0</v>
      </c>
      <c r="Q98">
        <v>60400005</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s="661">
        <v>0</v>
      </c>
      <c r="AS98" t="s">
        <v>1749</v>
      </c>
    </row>
    <row r="99" spans="1:45" ht="12.75" x14ac:dyDescent="0.2">
      <c r="A99" s="605">
        <v>92</v>
      </c>
      <c r="B99" s="606" t="s">
        <v>70</v>
      </c>
      <c r="C99" s="607" t="s">
        <v>1185</v>
      </c>
      <c r="D99" s="608" t="s">
        <v>1187</v>
      </c>
      <c r="E99" s="609" t="s">
        <v>69</v>
      </c>
      <c r="F99">
        <v>22210602</v>
      </c>
      <c r="G99">
        <v>0</v>
      </c>
      <c r="H99">
        <v>22210602</v>
      </c>
      <c r="I99">
        <v>-333159</v>
      </c>
      <c r="J99">
        <v>0</v>
      </c>
      <c r="K99">
        <v>-333159</v>
      </c>
      <c r="L99">
        <v>-444212</v>
      </c>
      <c r="M99">
        <v>0</v>
      </c>
      <c r="N99">
        <v>-444212</v>
      </c>
      <c r="O99">
        <v>21433231</v>
      </c>
      <c r="P99">
        <v>0</v>
      </c>
      <c r="Q99">
        <v>21433231</v>
      </c>
      <c r="R99">
        <v>14574</v>
      </c>
      <c r="S99">
        <v>0</v>
      </c>
      <c r="T99">
        <v>14574</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s="661">
        <v>0</v>
      </c>
      <c r="AS99" t="s">
        <v>1750</v>
      </c>
    </row>
    <row r="100" spans="1:45" ht="12.75" x14ac:dyDescent="0.2">
      <c r="A100" s="605">
        <v>93</v>
      </c>
      <c r="B100" s="606" t="s">
        <v>72</v>
      </c>
      <c r="C100" s="607" t="s">
        <v>1185</v>
      </c>
      <c r="D100" s="608" t="s">
        <v>1186</v>
      </c>
      <c r="E100" s="609" t="s">
        <v>71</v>
      </c>
      <c r="F100">
        <v>67370875</v>
      </c>
      <c r="G100">
        <v>0</v>
      </c>
      <c r="H100">
        <v>67370875</v>
      </c>
      <c r="I100">
        <v>-300000</v>
      </c>
      <c r="J100">
        <v>0</v>
      </c>
      <c r="K100">
        <v>-300000</v>
      </c>
      <c r="L100">
        <v>-1347418</v>
      </c>
      <c r="M100">
        <v>0</v>
      </c>
      <c r="N100">
        <v>-1347418</v>
      </c>
      <c r="O100">
        <v>65723457</v>
      </c>
      <c r="P100">
        <v>0</v>
      </c>
      <c r="Q100">
        <v>65723457</v>
      </c>
      <c r="R100">
        <v>14845</v>
      </c>
      <c r="S100">
        <v>0</v>
      </c>
      <c r="T100">
        <v>14845</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s="661">
        <v>0</v>
      </c>
      <c r="AS100" t="s">
        <v>1751</v>
      </c>
    </row>
    <row r="101" spans="1:45" ht="12.75" x14ac:dyDescent="0.2">
      <c r="A101" s="605">
        <v>94</v>
      </c>
      <c r="B101" s="606" t="s">
        <v>74</v>
      </c>
      <c r="C101" s="607" t="s">
        <v>1190</v>
      </c>
      <c r="D101" s="608" t="s">
        <v>1191</v>
      </c>
      <c r="E101" s="609" t="s">
        <v>73</v>
      </c>
      <c r="F101">
        <v>117492663</v>
      </c>
      <c r="G101">
        <v>0</v>
      </c>
      <c r="H101">
        <v>117492663</v>
      </c>
      <c r="I101">
        <v>-1194549</v>
      </c>
      <c r="J101">
        <v>0</v>
      </c>
      <c r="K101">
        <v>-1194549</v>
      </c>
      <c r="L101">
        <v>-2562000</v>
      </c>
      <c r="M101">
        <v>0</v>
      </c>
      <c r="N101">
        <v>-2562000</v>
      </c>
      <c r="O101">
        <v>113736114</v>
      </c>
      <c r="P101">
        <v>0</v>
      </c>
      <c r="Q101">
        <v>113736114</v>
      </c>
      <c r="R101">
        <v>123000</v>
      </c>
      <c r="S101">
        <v>0</v>
      </c>
      <c r="T101">
        <v>123000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s="661">
        <v>0</v>
      </c>
      <c r="AS101" t="s">
        <v>1752</v>
      </c>
    </row>
    <row r="102" spans="1:45" ht="12.75" x14ac:dyDescent="0.2">
      <c r="A102" s="605">
        <v>95</v>
      </c>
      <c r="B102" s="606" t="s">
        <v>76</v>
      </c>
      <c r="C102" s="607" t="s">
        <v>1185</v>
      </c>
      <c r="D102" s="608" t="s">
        <v>1189</v>
      </c>
      <c r="E102" s="609" t="s">
        <v>75</v>
      </c>
      <c r="F102">
        <v>37647321</v>
      </c>
      <c r="G102">
        <v>0</v>
      </c>
      <c r="H102">
        <v>37647321</v>
      </c>
      <c r="I102">
        <v>-565000</v>
      </c>
      <c r="J102">
        <v>0</v>
      </c>
      <c r="K102">
        <v>-565000</v>
      </c>
      <c r="L102">
        <v>-2250000</v>
      </c>
      <c r="M102">
        <v>0</v>
      </c>
      <c r="N102">
        <v>-2250000</v>
      </c>
      <c r="O102">
        <v>34832321</v>
      </c>
      <c r="P102">
        <v>0</v>
      </c>
      <c r="Q102">
        <v>34832321</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s="661">
        <v>0</v>
      </c>
      <c r="AS102" t="s">
        <v>1753</v>
      </c>
    </row>
    <row r="103" spans="1:45" ht="12.75" x14ac:dyDescent="0.2">
      <c r="A103" s="605">
        <v>96</v>
      </c>
      <c r="B103" s="606" t="s">
        <v>78</v>
      </c>
      <c r="C103" s="607" t="s">
        <v>1185</v>
      </c>
      <c r="D103" s="608" t="s">
        <v>1186</v>
      </c>
      <c r="E103" s="609" t="s">
        <v>914</v>
      </c>
      <c r="F103">
        <v>25889644</v>
      </c>
      <c r="G103">
        <v>0</v>
      </c>
      <c r="H103">
        <v>25889644</v>
      </c>
      <c r="I103">
        <v>-258074</v>
      </c>
      <c r="J103">
        <v>0</v>
      </c>
      <c r="K103">
        <v>-258074</v>
      </c>
      <c r="L103">
        <v>-193555</v>
      </c>
      <c r="M103">
        <v>0</v>
      </c>
      <c r="N103">
        <v>-193555</v>
      </c>
      <c r="O103">
        <v>25438015</v>
      </c>
      <c r="P103">
        <v>0</v>
      </c>
      <c r="Q103">
        <v>25438015</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s="661">
        <v>0</v>
      </c>
      <c r="AS103" t="s">
        <v>1754</v>
      </c>
    </row>
    <row r="104" spans="1:45" ht="12.75" x14ac:dyDescent="0.2">
      <c r="A104" s="605">
        <v>97</v>
      </c>
      <c r="B104" s="606" t="s">
        <v>80</v>
      </c>
      <c r="C104" s="607" t="s">
        <v>1185</v>
      </c>
      <c r="D104" s="608" t="s">
        <v>1188</v>
      </c>
      <c r="E104" s="609" t="s">
        <v>79</v>
      </c>
      <c r="F104">
        <v>25876649</v>
      </c>
      <c r="G104">
        <v>0</v>
      </c>
      <c r="H104">
        <v>25876649</v>
      </c>
      <c r="I104">
        <v>-210000</v>
      </c>
      <c r="J104">
        <v>0</v>
      </c>
      <c r="K104">
        <v>-210000</v>
      </c>
      <c r="L104">
        <v>-750000</v>
      </c>
      <c r="M104">
        <v>0</v>
      </c>
      <c r="N104">
        <v>-750000</v>
      </c>
      <c r="O104">
        <v>24916649</v>
      </c>
      <c r="P104">
        <v>0</v>
      </c>
      <c r="Q104">
        <v>24916649</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s="661">
        <v>0</v>
      </c>
      <c r="AS104" t="s">
        <v>1755</v>
      </c>
    </row>
    <row r="105" spans="1:45" ht="12.75" x14ac:dyDescent="0.2">
      <c r="A105" s="605">
        <v>98</v>
      </c>
      <c r="B105" s="606" t="s">
        <v>82</v>
      </c>
      <c r="C105" s="607" t="s">
        <v>1185</v>
      </c>
      <c r="D105" s="608" t="s">
        <v>1194</v>
      </c>
      <c r="E105" s="609" t="s">
        <v>81</v>
      </c>
      <c r="F105">
        <v>83623547</v>
      </c>
      <c r="G105">
        <v>0</v>
      </c>
      <c r="H105">
        <v>83623547</v>
      </c>
      <c r="I105">
        <v>-200000</v>
      </c>
      <c r="J105">
        <v>0</v>
      </c>
      <c r="K105">
        <v>-200000</v>
      </c>
      <c r="L105">
        <v>-3000000</v>
      </c>
      <c r="M105">
        <v>0</v>
      </c>
      <c r="N105">
        <v>-3000000</v>
      </c>
      <c r="O105">
        <v>80423547</v>
      </c>
      <c r="P105">
        <v>0</v>
      </c>
      <c r="Q105">
        <v>80423547</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s="661">
        <v>0</v>
      </c>
      <c r="AS105" t="s">
        <v>1756</v>
      </c>
    </row>
    <row r="106" spans="1:45" ht="12.75" x14ac:dyDescent="0.2">
      <c r="A106" s="605">
        <v>99</v>
      </c>
      <c r="B106" s="606" t="s">
        <v>84</v>
      </c>
      <c r="C106" s="607" t="s">
        <v>1185</v>
      </c>
      <c r="D106" s="608" t="s">
        <v>1186</v>
      </c>
      <c r="E106" s="609" t="s">
        <v>83</v>
      </c>
      <c r="F106">
        <v>42992692</v>
      </c>
      <c r="G106">
        <v>442345</v>
      </c>
      <c r="H106">
        <v>43435037</v>
      </c>
      <c r="I106">
        <v>-279453</v>
      </c>
      <c r="J106">
        <v>-2875</v>
      </c>
      <c r="K106">
        <v>-282328</v>
      </c>
      <c r="L106">
        <v>-1443336</v>
      </c>
      <c r="M106">
        <v>-19456</v>
      </c>
      <c r="N106">
        <v>-1462792</v>
      </c>
      <c r="O106">
        <v>41269903</v>
      </c>
      <c r="P106">
        <v>420014</v>
      </c>
      <c r="Q106">
        <v>41689917</v>
      </c>
      <c r="R106">
        <v>80950</v>
      </c>
      <c r="S106">
        <v>0</v>
      </c>
      <c r="T106">
        <v>80950</v>
      </c>
      <c r="U106">
        <v>0</v>
      </c>
      <c r="V106">
        <v>0</v>
      </c>
      <c r="W106">
        <v>0</v>
      </c>
      <c r="X106">
        <v>0</v>
      </c>
      <c r="Y106">
        <v>115871</v>
      </c>
      <c r="Z106">
        <v>304143</v>
      </c>
      <c r="AA106">
        <v>304143</v>
      </c>
      <c r="AB106">
        <v>0</v>
      </c>
      <c r="AC106">
        <v>0</v>
      </c>
      <c r="AD106">
        <v>0</v>
      </c>
      <c r="AE106">
        <v>0</v>
      </c>
      <c r="AF106">
        <v>246620</v>
      </c>
      <c r="AG106">
        <v>246620</v>
      </c>
      <c r="AH106">
        <v>0</v>
      </c>
      <c r="AI106">
        <v>0</v>
      </c>
      <c r="AJ106">
        <v>0</v>
      </c>
      <c r="AK106">
        <v>0</v>
      </c>
      <c r="AL106">
        <v>0</v>
      </c>
      <c r="AM106">
        <v>0</v>
      </c>
      <c r="AN106">
        <v>0</v>
      </c>
      <c r="AO106">
        <v>0</v>
      </c>
      <c r="AP106">
        <v>0</v>
      </c>
      <c r="AQ106">
        <v>246620</v>
      </c>
      <c r="AR106" s="661">
        <v>246620</v>
      </c>
      <c r="AS106" t="s">
        <v>1757</v>
      </c>
    </row>
    <row r="107" spans="1:45" ht="12.75" x14ac:dyDescent="0.2">
      <c r="A107" s="605">
        <v>100</v>
      </c>
      <c r="B107" s="606" t="s">
        <v>86</v>
      </c>
      <c r="C107" s="607" t="s">
        <v>1185</v>
      </c>
      <c r="D107" s="608" t="s">
        <v>1189</v>
      </c>
      <c r="E107" s="609" t="s">
        <v>85</v>
      </c>
      <c r="F107">
        <v>26135218</v>
      </c>
      <c r="G107">
        <v>0</v>
      </c>
      <c r="H107">
        <v>26135218</v>
      </c>
      <c r="I107">
        <v>-250000</v>
      </c>
      <c r="J107">
        <v>0</v>
      </c>
      <c r="K107">
        <v>-250000</v>
      </c>
      <c r="L107">
        <v>-896977</v>
      </c>
      <c r="M107">
        <v>0</v>
      </c>
      <c r="N107">
        <v>-896977</v>
      </c>
      <c r="O107">
        <v>24988241</v>
      </c>
      <c r="P107">
        <v>0</v>
      </c>
      <c r="Q107">
        <v>24988241</v>
      </c>
      <c r="R107">
        <v>361646</v>
      </c>
      <c r="S107">
        <v>0</v>
      </c>
      <c r="T107">
        <v>361646</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s="661">
        <v>0</v>
      </c>
      <c r="AS107" t="s">
        <v>1758</v>
      </c>
    </row>
    <row r="108" spans="1:45" ht="12.75" x14ac:dyDescent="0.2">
      <c r="A108" s="605">
        <v>101</v>
      </c>
      <c r="B108" s="606" t="s">
        <v>341</v>
      </c>
      <c r="C108" s="607" t="s">
        <v>1185</v>
      </c>
      <c r="D108" s="608" t="s">
        <v>1189</v>
      </c>
      <c r="E108" s="609" t="s">
        <v>1120</v>
      </c>
      <c r="F108">
        <v>29121590</v>
      </c>
      <c r="G108">
        <v>0</v>
      </c>
      <c r="H108">
        <v>29121590</v>
      </c>
      <c r="I108">
        <v>-158243</v>
      </c>
      <c r="J108">
        <v>0</v>
      </c>
      <c r="K108">
        <v>-158243</v>
      </c>
      <c r="L108">
        <v>-1189730</v>
      </c>
      <c r="M108">
        <v>0</v>
      </c>
      <c r="N108">
        <v>-1189730</v>
      </c>
      <c r="O108">
        <v>27773617</v>
      </c>
      <c r="P108">
        <v>0</v>
      </c>
      <c r="Q108">
        <v>27773617</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s="661">
        <v>0</v>
      </c>
      <c r="AS108" t="s">
        <v>1759</v>
      </c>
    </row>
    <row r="109" spans="1:45" ht="12.75" x14ac:dyDescent="0.2">
      <c r="A109" s="605">
        <v>102</v>
      </c>
      <c r="B109" s="606" t="s">
        <v>88</v>
      </c>
      <c r="C109" s="607" t="s">
        <v>1185</v>
      </c>
      <c r="D109" s="608" t="s">
        <v>1194</v>
      </c>
      <c r="E109" s="609" t="s">
        <v>87</v>
      </c>
      <c r="F109">
        <v>13722087</v>
      </c>
      <c r="G109">
        <v>0</v>
      </c>
      <c r="H109">
        <v>13722087</v>
      </c>
      <c r="I109">
        <v>-35000</v>
      </c>
      <c r="J109">
        <v>0</v>
      </c>
      <c r="K109">
        <v>-35000</v>
      </c>
      <c r="L109">
        <v>-100000</v>
      </c>
      <c r="M109">
        <v>0</v>
      </c>
      <c r="N109">
        <v>-100000</v>
      </c>
      <c r="O109">
        <v>13587087</v>
      </c>
      <c r="P109">
        <v>0</v>
      </c>
      <c r="Q109">
        <v>13587087</v>
      </c>
      <c r="R109">
        <v>241131</v>
      </c>
      <c r="S109">
        <v>0</v>
      </c>
      <c r="T109">
        <v>241131</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s="661">
        <v>0</v>
      </c>
      <c r="AS109" t="s">
        <v>1760</v>
      </c>
    </row>
    <row r="110" spans="1:45" ht="12.75" x14ac:dyDescent="0.2">
      <c r="A110" s="605">
        <v>103</v>
      </c>
      <c r="B110" s="606" t="s">
        <v>90</v>
      </c>
      <c r="C110" s="607" t="s">
        <v>1185</v>
      </c>
      <c r="D110" s="608" t="s">
        <v>1187</v>
      </c>
      <c r="E110" s="609" t="s">
        <v>89</v>
      </c>
      <c r="F110">
        <v>24311053</v>
      </c>
      <c r="G110">
        <v>2903728</v>
      </c>
      <c r="H110">
        <v>27214781</v>
      </c>
      <c r="I110">
        <v>-450000</v>
      </c>
      <c r="J110">
        <v>-50000</v>
      </c>
      <c r="K110">
        <v>-500000</v>
      </c>
      <c r="L110">
        <v>-1143325</v>
      </c>
      <c r="M110">
        <v>-136710</v>
      </c>
      <c r="N110">
        <v>-1280035</v>
      </c>
      <c r="O110">
        <v>22717728</v>
      </c>
      <c r="P110">
        <v>2717018</v>
      </c>
      <c r="Q110">
        <v>25434746</v>
      </c>
      <c r="R110">
        <v>59642</v>
      </c>
      <c r="S110">
        <v>0</v>
      </c>
      <c r="T110">
        <v>59642</v>
      </c>
      <c r="U110">
        <v>26368</v>
      </c>
      <c r="V110">
        <v>0</v>
      </c>
      <c r="W110">
        <v>26368</v>
      </c>
      <c r="X110">
        <v>-26037</v>
      </c>
      <c r="Y110">
        <v>3066412</v>
      </c>
      <c r="Z110">
        <v>0</v>
      </c>
      <c r="AA110">
        <v>0</v>
      </c>
      <c r="AB110">
        <v>0</v>
      </c>
      <c r="AC110">
        <v>0</v>
      </c>
      <c r="AD110">
        <v>0</v>
      </c>
      <c r="AE110">
        <v>0</v>
      </c>
      <c r="AF110">
        <v>292339</v>
      </c>
      <c r="AG110">
        <v>292339</v>
      </c>
      <c r="AH110">
        <v>0</v>
      </c>
      <c r="AI110">
        <v>0</v>
      </c>
      <c r="AJ110">
        <v>0</v>
      </c>
      <c r="AK110">
        <v>0</v>
      </c>
      <c r="AL110">
        <v>0</v>
      </c>
      <c r="AM110">
        <v>0</v>
      </c>
      <c r="AN110">
        <v>0</v>
      </c>
      <c r="AO110">
        <v>0</v>
      </c>
      <c r="AP110">
        <v>0</v>
      </c>
      <c r="AQ110">
        <v>292339</v>
      </c>
      <c r="AR110" s="661">
        <v>292339</v>
      </c>
      <c r="AS110" t="s">
        <v>1761</v>
      </c>
    </row>
    <row r="111" spans="1:45" ht="12.75" x14ac:dyDescent="0.2">
      <c r="A111" s="605">
        <v>104</v>
      </c>
      <c r="B111" s="606" t="s">
        <v>92</v>
      </c>
      <c r="C111" s="607" t="s">
        <v>1192</v>
      </c>
      <c r="D111" s="608" t="s">
        <v>1197</v>
      </c>
      <c r="E111" s="609" t="s">
        <v>91</v>
      </c>
      <c r="F111">
        <v>90415173</v>
      </c>
      <c r="G111">
        <v>2504159</v>
      </c>
      <c r="H111">
        <v>92919332</v>
      </c>
      <c r="I111">
        <v>-2899000</v>
      </c>
      <c r="J111">
        <v>-1000</v>
      </c>
      <c r="K111">
        <v>-2900000</v>
      </c>
      <c r="L111">
        <v>-6898162</v>
      </c>
      <c r="M111">
        <v>-101838</v>
      </c>
      <c r="N111">
        <v>-7000000</v>
      </c>
      <c r="O111">
        <v>80618011</v>
      </c>
      <c r="P111">
        <v>2401321</v>
      </c>
      <c r="Q111">
        <v>83019332</v>
      </c>
      <c r="R111">
        <v>0</v>
      </c>
      <c r="S111">
        <v>0</v>
      </c>
      <c r="T111">
        <v>0</v>
      </c>
      <c r="U111">
        <v>0</v>
      </c>
      <c r="V111">
        <v>0</v>
      </c>
      <c r="W111">
        <v>0</v>
      </c>
      <c r="X111">
        <v>-9018</v>
      </c>
      <c r="Y111">
        <v>1434114</v>
      </c>
      <c r="Z111">
        <v>958189</v>
      </c>
      <c r="AA111">
        <v>958189</v>
      </c>
      <c r="AB111">
        <v>0</v>
      </c>
      <c r="AC111">
        <v>0</v>
      </c>
      <c r="AD111">
        <v>0</v>
      </c>
      <c r="AE111">
        <v>0</v>
      </c>
      <c r="AF111">
        <v>0</v>
      </c>
      <c r="AG111">
        <v>0</v>
      </c>
      <c r="AH111">
        <v>0</v>
      </c>
      <c r="AI111">
        <v>0</v>
      </c>
      <c r="AJ111">
        <v>0</v>
      </c>
      <c r="AK111">
        <v>0</v>
      </c>
      <c r="AL111">
        <v>0</v>
      </c>
      <c r="AM111">
        <v>0</v>
      </c>
      <c r="AN111">
        <v>0</v>
      </c>
      <c r="AO111">
        <v>0</v>
      </c>
      <c r="AP111">
        <v>0</v>
      </c>
      <c r="AQ111">
        <v>0</v>
      </c>
      <c r="AR111" s="661">
        <v>0</v>
      </c>
      <c r="AS111" t="s">
        <v>1762</v>
      </c>
    </row>
    <row r="112" spans="1:45" ht="12.75" x14ac:dyDescent="0.2">
      <c r="A112" s="605">
        <v>105</v>
      </c>
      <c r="B112" s="606" t="s">
        <v>94</v>
      </c>
      <c r="C112" s="607" t="s">
        <v>1185</v>
      </c>
      <c r="D112" s="608" t="s">
        <v>1188</v>
      </c>
      <c r="E112" s="609" t="s">
        <v>93</v>
      </c>
      <c r="F112">
        <v>23558765.18</v>
      </c>
      <c r="G112">
        <v>0</v>
      </c>
      <c r="H112">
        <v>23558765.18</v>
      </c>
      <c r="I112">
        <v>-70677</v>
      </c>
      <c r="J112">
        <v>0</v>
      </c>
      <c r="K112">
        <v>-70677</v>
      </c>
      <c r="L112">
        <v>-813226</v>
      </c>
      <c r="M112">
        <v>0</v>
      </c>
      <c r="N112">
        <v>-813226</v>
      </c>
      <c r="O112">
        <v>22674862.18</v>
      </c>
      <c r="P112">
        <v>0</v>
      </c>
      <c r="Q112">
        <v>22674862.18</v>
      </c>
      <c r="R112">
        <v>200072</v>
      </c>
      <c r="S112">
        <v>0</v>
      </c>
      <c r="T112">
        <v>200072</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s="661">
        <v>0</v>
      </c>
      <c r="AS112" t="s">
        <v>1763</v>
      </c>
    </row>
    <row r="113" spans="1:45" ht="12.75" x14ac:dyDescent="0.2">
      <c r="A113" s="605">
        <v>106</v>
      </c>
      <c r="B113" s="606" t="s">
        <v>96</v>
      </c>
      <c r="C113" s="607" t="s">
        <v>1185</v>
      </c>
      <c r="D113" s="608" t="s">
        <v>1194</v>
      </c>
      <c r="E113" s="609" t="s">
        <v>95</v>
      </c>
      <c r="F113">
        <v>57606805</v>
      </c>
      <c r="G113">
        <v>0</v>
      </c>
      <c r="H113">
        <v>57606805</v>
      </c>
      <c r="I113">
        <v>-576068</v>
      </c>
      <c r="J113">
        <v>0</v>
      </c>
      <c r="K113">
        <v>-576068</v>
      </c>
      <c r="L113">
        <v>-1440170</v>
      </c>
      <c r="M113">
        <v>0</v>
      </c>
      <c r="N113">
        <v>-1440170</v>
      </c>
      <c r="O113">
        <v>55590567</v>
      </c>
      <c r="P113">
        <v>0</v>
      </c>
      <c r="Q113">
        <v>55590567</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s="661">
        <v>0</v>
      </c>
      <c r="AS113" t="s">
        <v>1764</v>
      </c>
    </row>
    <row r="114" spans="1:45" ht="12.75" x14ac:dyDescent="0.2">
      <c r="A114" s="605">
        <v>107</v>
      </c>
      <c r="B114" s="606" t="s">
        <v>98</v>
      </c>
      <c r="C114" s="607" t="s">
        <v>1185</v>
      </c>
      <c r="D114" s="608" t="s">
        <v>1186</v>
      </c>
      <c r="E114" s="609" t="s">
        <v>97</v>
      </c>
      <c r="F114">
        <v>17065738</v>
      </c>
      <c r="G114">
        <v>430344</v>
      </c>
      <c r="H114">
        <v>17496082</v>
      </c>
      <c r="I114">
        <v>-170200</v>
      </c>
      <c r="J114">
        <v>-4800</v>
      </c>
      <c r="K114">
        <v>-175000</v>
      </c>
      <c r="L114">
        <v>-972400</v>
      </c>
      <c r="M114">
        <v>-22600</v>
      </c>
      <c r="N114">
        <v>-995000</v>
      </c>
      <c r="O114">
        <v>15923138</v>
      </c>
      <c r="P114">
        <v>402944</v>
      </c>
      <c r="Q114">
        <v>16326082</v>
      </c>
      <c r="R114">
        <v>0</v>
      </c>
      <c r="S114">
        <v>0</v>
      </c>
      <c r="T114">
        <v>0</v>
      </c>
      <c r="U114">
        <v>0</v>
      </c>
      <c r="V114">
        <v>0</v>
      </c>
      <c r="W114">
        <v>0</v>
      </c>
      <c r="X114">
        <v>-16338</v>
      </c>
      <c r="Y114">
        <v>425046</v>
      </c>
      <c r="Z114">
        <v>0</v>
      </c>
      <c r="AA114">
        <v>0</v>
      </c>
      <c r="AB114">
        <v>0</v>
      </c>
      <c r="AC114">
        <v>0</v>
      </c>
      <c r="AD114">
        <v>0</v>
      </c>
      <c r="AE114">
        <v>0</v>
      </c>
      <c r="AF114">
        <v>401730</v>
      </c>
      <c r="AG114">
        <v>401730</v>
      </c>
      <c r="AH114">
        <v>0</v>
      </c>
      <c r="AI114">
        <v>0</v>
      </c>
      <c r="AJ114">
        <v>0</v>
      </c>
      <c r="AK114">
        <v>0</v>
      </c>
      <c r="AL114">
        <v>0</v>
      </c>
      <c r="AM114">
        <v>0</v>
      </c>
      <c r="AN114">
        <v>0</v>
      </c>
      <c r="AO114">
        <v>0</v>
      </c>
      <c r="AP114">
        <v>0</v>
      </c>
      <c r="AQ114">
        <v>401730</v>
      </c>
      <c r="AR114" s="661">
        <v>401730</v>
      </c>
      <c r="AS114" t="s">
        <v>1765</v>
      </c>
    </row>
    <row r="115" spans="1:45" ht="12.75" x14ac:dyDescent="0.2">
      <c r="A115" s="605">
        <v>108</v>
      </c>
      <c r="B115" s="606" t="s">
        <v>100</v>
      </c>
      <c r="C115" s="607" t="s">
        <v>1185</v>
      </c>
      <c r="D115" s="608" t="s">
        <v>1186</v>
      </c>
      <c r="E115" s="609" t="s">
        <v>99</v>
      </c>
      <c r="F115">
        <v>25249070</v>
      </c>
      <c r="G115">
        <v>445000</v>
      </c>
      <c r="H115">
        <v>25694070</v>
      </c>
      <c r="I115">
        <v>-254514</v>
      </c>
      <c r="J115">
        <v>0</v>
      </c>
      <c r="K115">
        <v>-254514</v>
      </c>
      <c r="L115">
        <v>-540000</v>
      </c>
      <c r="M115">
        <v>0</v>
      </c>
      <c r="N115">
        <v>-540000</v>
      </c>
      <c r="O115">
        <v>24454556</v>
      </c>
      <c r="P115">
        <v>445000</v>
      </c>
      <c r="Q115">
        <v>24899556</v>
      </c>
      <c r="R115">
        <v>0</v>
      </c>
      <c r="S115">
        <v>0</v>
      </c>
      <c r="T115">
        <v>0</v>
      </c>
      <c r="U115">
        <v>0</v>
      </c>
      <c r="V115">
        <v>0</v>
      </c>
      <c r="W115">
        <v>0</v>
      </c>
      <c r="X115">
        <v>0</v>
      </c>
      <c r="Y115">
        <v>0</v>
      </c>
      <c r="Z115">
        <v>445000</v>
      </c>
      <c r="AA115">
        <v>445000</v>
      </c>
      <c r="AB115">
        <v>0</v>
      </c>
      <c r="AC115">
        <v>0</v>
      </c>
      <c r="AD115">
        <v>0</v>
      </c>
      <c r="AE115">
        <v>0</v>
      </c>
      <c r="AF115">
        <v>55000</v>
      </c>
      <c r="AG115">
        <v>55000</v>
      </c>
      <c r="AH115">
        <v>0</v>
      </c>
      <c r="AI115">
        <v>0</v>
      </c>
      <c r="AJ115">
        <v>0</v>
      </c>
      <c r="AK115">
        <v>0</v>
      </c>
      <c r="AL115">
        <v>0</v>
      </c>
      <c r="AM115">
        <v>0</v>
      </c>
      <c r="AN115">
        <v>0</v>
      </c>
      <c r="AO115">
        <v>0</v>
      </c>
      <c r="AP115">
        <v>0</v>
      </c>
      <c r="AQ115">
        <v>55000</v>
      </c>
      <c r="AR115" s="661">
        <v>55000</v>
      </c>
      <c r="AS115" t="s">
        <v>1766</v>
      </c>
    </row>
    <row r="116" spans="1:45" ht="12.75" x14ac:dyDescent="0.2">
      <c r="A116" s="605">
        <v>109</v>
      </c>
      <c r="B116" s="606" t="s">
        <v>102</v>
      </c>
      <c r="C116" s="607" t="s">
        <v>1185</v>
      </c>
      <c r="D116" s="608" t="s">
        <v>1189</v>
      </c>
      <c r="E116" s="609" t="s">
        <v>101</v>
      </c>
      <c r="F116">
        <v>31357915</v>
      </c>
      <c r="G116">
        <v>1423280</v>
      </c>
      <c r="H116">
        <v>32781195</v>
      </c>
      <c r="I116">
        <v>-313579</v>
      </c>
      <c r="J116">
        <v>0</v>
      </c>
      <c r="K116">
        <v>-313579</v>
      </c>
      <c r="L116">
        <v>-462000</v>
      </c>
      <c r="M116">
        <v>0</v>
      </c>
      <c r="N116">
        <v>-462000</v>
      </c>
      <c r="O116">
        <v>30582336</v>
      </c>
      <c r="P116">
        <v>1423280</v>
      </c>
      <c r="Q116">
        <v>32005616</v>
      </c>
      <c r="R116">
        <v>60329</v>
      </c>
      <c r="S116">
        <v>0</v>
      </c>
      <c r="T116">
        <v>60329</v>
      </c>
      <c r="U116">
        <v>0</v>
      </c>
      <c r="V116">
        <v>0</v>
      </c>
      <c r="W116">
        <v>0</v>
      </c>
      <c r="X116">
        <v>1033</v>
      </c>
      <c r="Y116">
        <v>326669</v>
      </c>
      <c r="Z116">
        <v>1102810</v>
      </c>
      <c r="AA116">
        <v>1102810</v>
      </c>
      <c r="AB116">
        <v>0</v>
      </c>
      <c r="AC116">
        <v>0</v>
      </c>
      <c r="AD116">
        <v>0</v>
      </c>
      <c r="AE116">
        <v>0</v>
      </c>
      <c r="AF116">
        <v>350643</v>
      </c>
      <c r="AG116">
        <v>350643</v>
      </c>
      <c r="AH116">
        <v>0</v>
      </c>
      <c r="AI116">
        <v>0</v>
      </c>
      <c r="AJ116">
        <v>0</v>
      </c>
      <c r="AK116">
        <v>0</v>
      </c>
      <c r="AL116">
        <v>0</v>
      </c>
      <c r="AM116">
        <v>0</v>
      </c>
      <c r="AN116">
        <v>0</v>
      </c>
      <c r="AO116">
        <v>0</v>
      </c>
      <c r="AP116">
        <v>0</v>
      </c>
      <c r="AQ116">
        <v>350643</v>
      </c>
      <c r="AR116" s="661">
        <v>350643</v>
      </c>
      <c r="AS116" t="s">
        <v>1767</v>
      </c>
    </row>
    <row r="117" spans="1:45" ht="12.75" x14ac:dyDescent="0.2">
      <c r="A117" s="605">
        <v>110</v>
      </c>
      <c r="B117" s="606" t="s">
        <v>104</v>
      </c>
      <c r="C117" s="607" t="s">
        <v>1196</v>
      </c>
      <c r="D117" s="608" t="s">
        <v>1191</v>
      </c>
      <c r="E117" s="609" t="s">
        <v>103</v>
      </c>
      <c r="F117">
        <v>101334309</v>
      </c>
      <c r="G117">
        <v>0</v>
      </c>
      <c r="H117">
        <v>101334309</v>
      </c>
      <c r="I117">
        <v>-1800000</v>
      </c>
      <c r="J117">
        <v>0</v>
      </c>
      <c r="K117">
        <v>-1800000</v>
      </c>
      <c r="L117">
        <v>-1863000</v>
      </c>
      <c r="M117">
        <v>0</v>
      </c>
      <c r="N117">
        <v>-1863000</v>
      </c>
      <c r="O117">
        <v>97671309</v>
      </c>
      <c r="P117">
        <v>0</v>
      </c>
      <c r="Q117">
        <v>97671309</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s="661">
        <v>0</v>
      </c>
      <c r="AS117" t="s">
        <v>1768</v>
      </c>
    </row>
    <row r="118" spans="1:45" ht="12.75" x14ac:dyDescent="0.2">
      <c r="A118" s="605">
        <v>111</v>
      </c>
      <c r="B118" s="606" t="s">
        <v>106</v>
      </c>
      <c r="C118" s="607" t="s">
        <v>1185</v>
      </c>
      <c r="D118" s="608" t="s">
        <v>1186</v>
      </c>
      <c r="E118" s="609" t="s">
        <v>105</v>
      </c>
      <c r="F118">
        <v>90504466</v>
      </c>
      <c r="G118">
        <v>0</v>
      </c>
      <c r="H118">
        <v>90504466</v>
      </c>
      <c r="I118">
        <v>-724036</v>
      </c>
      <c r="J118">
        <v>0</v>
      </c>
      <c r="K118">
        <v>-724036</v>
      </c>
      <c r="L118">
        <v>-3007000</v>
      </c>
      <c r="M118">
        <v>0</v>
      </c>
      <c r="N118">
        <v>-3007000</v>
      </c>
      <c r="O118">
        <v>86773430</v>
      </c>
      <c r="P118">
        <v>0</v>
      </c>
      <c r="Q118">
        <v>86773430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s="661">
        <v>0</v>
      </c>
      <c r="AS118" t="s">
        <v>1769</v>
      </c>
    </row>
    <row r="119" spans="1:45" ht="12.75" x14ac:dyDescent="0.2">
      <c r="A119" s="605">
        <v>112</v>
      </c>
      <c r="B119" s="606" t="s">
        <v>108</v>
      </c>
      <c r="C119" s="607" t="s">
        <v>1196</v>
      </c>
      <c r="D119" s="608" t="s">
        <v>1191</v>
      </c>
      <c r="E119" s="609" t="s">
        <v>107</v>
      </c>
      <c r="F119">
        <v>147198267</v>
      </c>
      <c r="G119">
        <v>0</v>
      </c>
      <c r="H119">
        <v>147198267</v>
      </c>
      <c r="I119">
        <v>-5000000</v>
      </c>
      <c r="J119">
        <v>0</v>
      </c>
      <c r="K119">
        <v>-5000000</v>
      </c>
      <c r="L119">
        <v>-1000000</v>
      </c>
      <c r="M119">
        <v>0</v>
      </c>
      <c r="N119">
        <v>-1000000</v>
      </c>
      <c r="O119">
        <v>141198267</v>
      </c>
      <c r="P119">
        <v>0</v>
      </c>
      <c r="Q119">
        <v>141198267</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s="661">
        <v>0</v>
      </c>
      <c r="AS119" t="s">
        <v>1770</v>
      </c>
    </row>
    <row r="120" spans="1:45" ht="12.75" x14ac:dyDescent="0.2">
      <c r="A120" s="605">
        <v>113</v>
      </c>
      <c r="B120" s="606" t="s">
        <v>110</v>
      </c>
      <c r="C120" s="607" t="s">
        <v>524</v>
      </c>
      <c r="D120" s="608" t="s">
        <v>1187</v>
      </c>
      <c r="E120" s="609" t="s">
        <v>543</v>
      </c>
      <c r="F120">
        <v>56731401</v>
      </c>
      <c r="G120">
        <v>196544</v>
      </c>
      <c r="H120">
        <v>56927945</v>
      </c>
      <c r="I120">
        <v>-750000</v>
      </c>
      <c r="J120">
        <v>0</v>
      </c>
      <c r="K120">
        <v>-750000</v>
      </c>
      <c r="L120">
        <v>0</v>
      </c>
      <c r="M120">
        <v>0</v>
      </c>
      <c r="N120">
        <v>0</v>
      </c>
      <c r="O120">
        <v>55981401</v>
      </c>
      <c r="P120">
        <v>196544</v>
      </c>
      <c r="Q120">
        <v>56177945</v>
      </c>
      <c r="R120">
        <v>0</v>
      </c>
      <c r="S120">
        <v>0</v>
      </c>
      <c r="T120">
        <v>0</v>
      </c>
      <c r="U120">
        <v>0</v>
      </c>
      <c r="V120">
        <v>0</v>
      </c>
      <c r="W120">
        <v>0</v>
      </c>
      <c r="X120">
        <v>0</v>
      </c>
      <c r="Y120">
        <v>34568</v>
      </c>
      <c r="Z120">
        <v>161976</v>
      </c>
      <c r="AA120">
        <v>161976</v>
      </c>
      <c r="AB120">
        <v>36884</v>
      </c>
      <c r="AC120">
        <v>188869</v>
      </c>
      <c r="AD120">
        <v>225753</v>
      </c>
      <c r="AE120">
        <v>0</v>
      </c>
      <c r="AF120">
        <v>0</v>
      </c>
      <c r="AG120">
        <v>0</v>
      </c>
      <c r="AH120">
        <v>0</v>
      </c>
      <c r="AI120">
        <v>0</v>
      </c>
      <c r="AJ120">
        <v>0</v>
      </c>
      <c r="AK120">
        <v>0</v>
      </c>
      <c r="AL120">
        <v>0</v>
      </c>
      <c r="AM120">
        <v>0</v>
      </c>
      <c r="AN120">
        <v>0</v>
      </c>
      <c r="AO120">
        <v>0</v>
      </c>
      <c r="AP120">
        <v>0</v>
      </c>
      <c r="AQ120">
        <v>0</v>
      </c>
      <c r="AR120" s="661">
        <v>0</v>
      </c>
      <c r="AS120" t="s">
        <v>1771</v>
      </c>
    </row>
    <row r="121" spans="1:45" ht="12.75" x14ac:dyDescent="0.2">
      <c r="A121" s="605">
        <v>114</v>
      </c>
      <c r="B121" s="606" t="s">
        <v>112</v>
      </c>
      <c r="C121" s="607" t="s">
        <v>1185</v>
      </c>
      <c r="D121" s="608" t="s">
        <v>1193</v>
      </c>
      <c r="E121" s="609" t="s">
        <v>111</v>
      </c>
      <c r="F121">
        <v>29629013</v>
      </c>
      <c r="G121">
        <v>0</v>
      </c>
      <c r="H121">
        <v>29629013</v>
      </c>
      <c r="I121">
        <v>-296290</v>
      </c>
      <c r="J121">
        <v>0</v>
      </c>
      <c r="K121">
        <v>-296290</v>
      </c>
      <c r="L121">
        <v>-446768</v>
      </c>
      <c r="M121">
        <v>0</v>
      </c>
      <c r="N121">
        <v>-446768</v>
      </c>
      <c r="O121">
        <v>28885955</v>
      </c>
      <c r="P121">
        <v>0</v>
      </c>
      <c r="Q121">
        <v>28885955</v>
      </c>
      <c r="R121">
        <v>68133</v>
      </c>
      <c r="S121">
        <v>0</v>
      </c>
      <c r="T121">
        <v>68133</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s="661">
        <v>0</v>
      </c>
      <c r="AS121" t="s">
        <v>1772</v>
      </c>
    </row>
    <row r="122" spans="1:45" ht="12.75" x14ac:dyDescent="0.2">
      <c r="A122" s="605">
        <v>115</v>
      </c>
      <c r="B122" s="606" t="s">
        <v>114</v>
      </c>
      <c r="C122" s="607" t="s">
        <v>1196</v>
      </c>
      <c r="D122" s="608" t="s">
        <v>1191</v>
      </c>
      <c r="E122" s="609" t="s">
        <v>113</v>
      </c>
      <c r="F122">
        <v>263963846</v>
      </c>
      <c r="G122">
        <v>0</v>
      </c>
      <c r="H122">
        <v>263963846</v>
      </c>
      <c r="I122">
        <v>-6757473</v>
      </c>
      <c r="J122">
        <v>0</v>
      </c>
      <c r="K122">
        <v>-6757473</v>
      </c>
      <c r="L122">
        <v>-23750757</v>
      </c>
      <c r="M122">
        <v>0</v>
      </c>
      <c r="N122">
        <v>-23750757</v>
      </c>
      <c r="O122">
        <v>233455616</v>
      </c>
      <c r="P122">
        <v>0</v>
      </c>
      <c r="Q122">
        <v>233455616</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s="661">
        <v>0</v>
      </c>
      <c r="AS122" t="s">
        <v>1773</v>
      </c>
    </row>
    <row r="123" spans="1:45" ht="12.75" x14ac:dyDescent="0.2">
      <c r="A123" s="605">
        <v>116</v>
      </c>
      <c r="B123" s="606" t="s">
        <v>116</v>
      </c>
      <c r="C123" s="607" t="s">
        <v>1185</v>
      </c>
      <c r="D123" s="608" t="s">
        <v>1188</v>
      </c>
      <c r="E123" s="609" t="s">
        <v>115</v>
      </c>
      <c r="F123">
        <v>47697201</v>
      </c>
      <c r="G123">
        <v>0</v>
      </c>
      <c r="H123">
        <v>47697201</v>
      </c>
      <c r="I123">
        <v>-18800</v>
      </c>
      <c r="J123">
        <v>0</v>
      </c>
      <c r="K123">
        <v>-18800</v>
      </c>
      <c r="L123">
        <v>-250000</v>
      </c>
      <c r="M123">
        <v>0</v>
      </c>
      <c r="N123">
        <v>-250000</v>
      </c>
      <c r="O123">
        <v>47428401</v>
      </c>
      <c r="P123">
        <v>0</v>
      </c>
      <c r="Q123">
        <v>47428401</v>
      </c>
      <c r="R123">
        <v>27318</v>
      </c>
      <c r="S123">
        <v>0</v>
      </c>
      <c r="T123">
        <v>27318</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s="661">
        <v>0</v>
      </c>
      <c r="AS123" t="s">
        <v>1774</v>
      </c>
    </row>
    <row r="124" spans="1:45" ht="12.75" x14ac:dyDescent="0.2">
      <c r="A124" s="605">
        <v>117</v>
      </c>
      <c r="B124" s="606" t="s">
        <v>118</v>
      </c>
      <c r="C124" s="607" t="s">
        <v>1190</v>
      </c>
      <c r="D124" s="608" t="s">
        <v>1191</v>
      </c>
      <c r="E124" s="609" t="s">
        <v>117</v>
      </c>
      <c r="F124">
        <v>79759096</v>
      </c>
      <c r="G124">
        <v>0</v>
      </c>
      <c r="H124">
        <v>79759096</v>
      </c>
      <c r="I124">
        <v>-933537</v>
      </c>
      <c r="J124">
        <v>0</v>
      </c>
      <c r="K124">
        <v>-933537</v>
      </c>
      <c r="L124">
        <v>-4032141</v>
      </c>
      <c r="M124">
        <v>0</v>
      </c>
      <c r="N124">
        <v>-4032141</v>
      </c>
      <c r="O124">
        <v>74793418</v>
      </c>
      <c r="P124">
        <v>0</v>
      </c>
      <c r="Q124">
        <v>74793418</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s="661">
        <v>0</v>
      </c>
      <c r="AS124" t="s">
        <v>1775</v>
      </c>
    </row>
    <row r="125" spans="1:45" ht="12.75" x14ac:dyDescent="0.2">
      <c r="A125" s="605">
        <v>118</v>
      </c>
      <c r="B125" s="606" t="s">
        <v>120</v>
      </c>
      <c r="C125" s="607" t="s">
        <v>1185</v>
      </c>
      <c r="D125" s="608" t="s">
        <v>1189</v>
      </c>
      <c r="E125" s="609" t="s">
        <v>119</v>
      </c>
      <c r="F125">
        <v>44320223</v>
      </c>
      <c r="G125">
        <v>4319244</v>
      </c>
      <c r="H125">
        <v>48639467</v>
      </c>
      <c r="I125">
        <v>-640000</v>
      </c>
      <c r="J125">
        <v>-110000</v>
      </c>
      <c r="K125">
        <v>-750000</v>
      </c>
      <c r="L125">
        <v>-142486</v>
      </c>
      <c r="M125">
        <v>-273924</v>
      </c>
      <c r="N125">
        <v>-416410</v>
      </c>
      <c r="O125">
        <v>43537737</v>
      </c>
      <c r="P125">
        <v>3935320</v>
      </c>
      <c r="Q125">
        <v>47473057</v>
      </c>
      <c r="R125">
        <v>0</v>
      </c>
      <c r="S125">
        <v>0</v>
      </c>
      <c r="T125">
        <v>0</v>
      </c>
      <c r="U125">
        <v>0</v>
      </c>
      <c r="V125">
        <v>0</v>
      </c>
      <c r="W125">
        <v>0</v>
      </c>
      <c r="X125">
        <v>903</v>
      </c>
      <c r="Y125">
        <v>3394318</v>
      </c>
      <c r="Z125">
        <v>541905</v>
      </c>
      <c r="AA125">
        <v>541905</v>
      </c>
      <c r="AB125">
        <v>0</v>
      </c>
      <c r="AC125">
        <v>0</v>
      </c>
      <c r="AD125">
        <v>0</v>
      </c>
      <c r="AE125">
        <v>0</v>
      </c>
      <c r="AF125">
        <v>0</v>
      </c>
      <c r="AG125">
        <v>0</v>
      </c>
      <c r="AH125">
        <v>0</v>
      </c>
      <c r="AI125">
        <v>0</v>
      </c>
      <c r="AJ125">
        <v>0</v>
      </c>
      <c r="AK125">
        <v>0</v>
      </c>
      <c r="AL125">
        <v>0</v>
      </c>
      <c r="AM125">
        <v>0</v>
      </c>
      <c r="AN125">
        <v>0</v>
      </c>
      <c r="AO125">
        <v>0</v>
      </c>
      <c r="AP125">
        <v>0</v>
      </c>
      <c r="AQ125">
        <v>0</v>
      </c>
      <c r="AR125" s="661">
        <v>0</v>
      </c>
      <c r="AS125" t="s">
        <v>1776</v>
      </c>
    </row>
    <row r="126" spans="1:45" ht="12.75" x14ac:dyDescent="0.2">
      <c r="A126" s="605">
        <v>119</v>
      </c>
      <c r="B126" s="606" t="s">
        <v>122</v>
      </c>
      <c r="C126" s="607" t="s">
        <v>1185</v>
      </c>
      <c r="D126" s="608" t="s">
        <v>1193</v>
      </c>
      <c r="E126" s="609" t="s">
        <v>121</v>
      </c>
      <c r="F126">
        <v>66671682</v>
      </c>
      <c r="G126">
        <v>0</v>
      </c>
      <c r="H126">
        <v>66671682</v>
      </c>
      <c r="I126">
        <v>-660000</v>
      </c>
      <c r="J126">
        <v>0</v>
      </c>
      <c r="K126">
        <v>-660000</v>
      </c>
      <c r="L126">
        <v>-3100000</v>
      </c>
      <c r="M126">
        <v>0</v>
      </c>
      <c r="N126">
        <v>-3100000</v>
      </c>
      <c r="O126">
        <v>62911682</v>
      </c>
      <c r="P126">
        <v>0</v>
      </c>
      <c r="Q126">
        <v>62911682</v>
      </c>
      <c r="R126">
        <v>227840</v>
      </c>
      <c r="S126">
        <v>0</v>
      </c>
      <c r="T126">
        <v>227840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s="661">
        <v>0</v>
      </c>
      <c r="AS126" t="s">
        <v>1777</v>
      </c>
    </row>
    <row r="127" spans="1:45" ht="12.75" x14ac:dyDescent="0.2">
      <c r="A127" s="605">
        <v>120</v>
      </c>
      <c r="B127" s="606" t="s">
        <v>124</v>
      </c>
      <c r="C127" s="607" t="s">
        <v>1190</v>
      </c>
      <c r="D127" s="608" t="s">
        <v>1191</v>
      </c>
      <c r="E127" s="609" t="s">
        <v>123</v>
      </c>
      <c r="F127">
        <v>51950306</v>
      </c>
      <c r="G127">
        <v>0</v>
      </c>
      <c r="H127">
        <v>51950306</v>
      </c>
      <c r="I127">
        <v>-1021440</v>
      </c>
      <c r="J127">
        <v>0</v>
      </c>
      <c r="K127">
        <v>-1021440</v>
      </c>
      <c r="L127">
        <v>-1000000</v>
      </c>
      <c r="M127">
        <v>0</v>
      </c>
      <c r="N127">
        <v>-1000000</v>
      </c>
      <c r="O127">
        <v>49928866</v>
      </c>
      <c r="P127">
        <v>0</v>
      </c>
      <c r="Q127">
        <v>49928866</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s="661">
        <v>0</v>
      </c>
      <c r="AS127" t="s">
        <v>1778</v>
      </c>
    </row>
    <row r="128" spans="1:45" ht="12.75" x14ac:dyDescent="0.2">
      <c r="A128" s="605">
        <v>121</v>
      </c>
      <c r="B128" s="606" t="s">
        <v>126</v>
      </c>
      <c r="C128" s="607" t="s">
        <v>1185</v>
      </c>
      <c r="D128" s="608" t="s">
        <v>1186</v>
      </c>
      <c r="E128" s="609" t="s">
        <v>125</v>
      </c>
      <c r="F128">
        <v>30992142</v>
      </c>
      <c r="G128">
        <v>0</v>
      </c>
      <c r="H128">
        <v>30992142</v>
      </c>
      <c r="I128">
        <v>-198149</v>
      </c>
      <c r="J128">
        <v>0</v>
      </c>
      <c r="K128">
        <v>-198149</v>
      </c>
      <c r="L128">
        <v>-32494</v>
      </c>
      <c r="M128">
        <v>0</v>
      </c>
      <c r="N128">
        <v>-32494</v>
      </c>
      <c r="O128">
        <v>30761499</v>
      </c>
      <c r="P128">
        <v>0</v>
      </c>
      <c r="Q128">
        <v>30761499</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s="661">
        <v>0</v>
      </c>
      <c r="AS128" t="s">
        <v>1779</v>
      </c>
    </row>
    <row r="129" spans="1:45" ht="12.75" x14ac:dyDescent="0.2">
      <c r="A129" s="605">
        <v>122</v>
      </c>
      <c r="B129" s="606" t="s">
        <v>128</v>
      </c>
      <c r="C129" s="607" t="s">
        <v>524</v>
      </c>
      <c r="D129" s="608" t="s">
        <v>1197</v>
      </c>
      <c r="E129" s="609" t="s">
        <v>547</v>
      </c>
      <c r="F129">
        <v>33277107.789999999</v>
      </c>
      <c r="G129">
        <v>174799</v>
      </c>
      <c r="H129">
        <v>33451906.789999999</v>
      </c>
      <c r="I129">
        <v>-224740</v>
      </c>
      <c r="J129">
        <v>0</v>
      </c>
      <c r="K129">
        <v>-224740</v>
      </c>
      <c r="L129">
        <v>0</v>
      </c>
      <c r="M129">
        <v>0</v>
      </c>
      <c r="N129">
        <v>0</v>
      </c>
      <c r="O129">
        <v>33052367.789999999</v>
      </c>
      <c r="P129">
        <v>174799</v>
      </c>
      <c r="Q129">
        <v>33227166.789999999</v>
      </c>
      <c r="R129">
        <v>364626</v>
      </c>
      <c r="S129">
        <v>0</v>
      </c>
      <c r="T129">
        <v>364626</v>
      </c>
      <c r="U129">
        <v>0</v>
      </c>
      <c r="V129">
        <v>0</v>
      </c>
      <c r="W129">
        <v>0</v>
      </c>
      <c r="X129">
        <v>4787</v>
      </c>
      <c r="Y129">
        <v>0</v>
      </c>
      <c r="Z129">
        <v>179586</v>
      </c>
      <c r="AA129">
        <v>179586</v>
      </c>
      <c r="AB129">
        <v>0</v>
      </c>
      <c r="AC129">
        <v>0</v>
      </c>
      <c r="AD129">
        <v>0</v>
      </c>
      <c r="AE129">
        <v>3081</v>
      </c>
      <c r="AF129">
        <v>8084</v>
      </c>
      <c r="AG129">
        <v>11165</v>
      </c>
      <c r="AH129">
        <v>32731922.789999999</v>
      </c>
      <c r="AI129">
        <v>32731922.789999999</v>
      </c>
      <c r="AJ129">
        <v>34015155</v>
      </c>
      <c r="AK129">
        <v>34015155</v>
      </c>
      <c r="AL129">
        <v>0</v>
      </c>
      <c r="AM129">
        <v>0</v>
      </c>
      <c r="AN129">
        <v>0</v>
      </c>
      <c r="AO129">
        <v>0</v>
      </c>
      <c r="AP129">
        <v>3081</v>
      </c>
      <c r="AQ129">
        <v>8084</v>
      </c>
      <c r="AR129" s="661">
        <v>11165</v>
      </c>
      <c r="AS129" t="s">
        <v>1780</v>
      </c>
    </row>
    <row r="130" spans="1:45" ht="12.75" x14ac:dyDescent="0.2">
      <c r="A130" s="605">
        <v>123</v>
      </c>
      <c r="B130" s="606" t="s">
        <v>130</v>
      </c>
      <c r="C130" s="607" t="s">
        <v>1185</v>
      </c>
      <c r="D130" s="608" t="s">
        <v>1186</v>
      </c>
      <c r="E130" s="609" t="s">
        <v>129</v>
      </c>
      <c r="F130">
        <v>22933712</v>
      </c>
      <c r="G130">
        <v>0</v>
      </c>
      <c r="H130">
        <v>22933712</v>
      </c>
      <c r="I130">
        <v>-320619</v>
      </c>
      <c r="J130">
        <v>0</v>
      </c>
      <c r="K130">
        <v>-320619</v>
      </c>
      <c r="L130">
        <v>-1559080</v>
      </c>
      <c r="M130">
        <v>0</v>
      </c>
      <c r="N130">
        <v>-1559080</v>
      </c>
      <c r="O130">
        <v>21054013</v>
      </c>
      <c r="P130">
        <v>0</v>
      </c>
      <c r="Q130">
        <v>21054013</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s="661">
        <v>0</v>
      </c>
      <c r="AS130" t="s">
        <v>1781</v>
      </c>
    </row>
    <row r="131" spans="1:45" ht="12.75" x14ac:dyDescent="0.2">
      <c r="A131" s="605">
        <v>124</v>
      </c>
      <c r="B131" s="606" t="s">
        <v>132</v>
      </c>
      <c r="C131" s="607" t="s">
        <v>1185</v>
      </c>
      <c r="D131" s="608" t="s">
        <v>1186</v>
      </c>
      <c r="E131" s="609" t="s">
        <v>131</v>
      </c>
      <c r="F131">
        <v>36260909</v>
      </c>
      <c r="G131">
        <v>0</v>
      </c>
      <c r="H131">
        <v>36260909</v>
      </c>
      <c r="I131">
        <v>-91766</v>
      </c>
      <c r="J131">
        <v>0</v>
      </c>
      <c r="K131">
        <v>-91766</v>
      </c>
      <c r="L131">
        <v>-132949</v>
      </c>
      <c r="M131">
        <v>0</v>
      </c>
      <c r="N131">
        <v>-132949</v>
      </c>
      <c r="O131">
        <v>36036194</v>
      </c>
      <c r="P131">
        <v>0</v>
      </c>
      <c r="Q131">
        <v>36036194</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s="661">
        <v>0</v>
      </c>
      <c r="AS131" t="s">
        <v>1782</v>
      </c>
    </row>
    <row r="132" spans="1:45" ht="12.75" x14ac:dyDescent="0.2">
      <c r="A132" s="605">
        <v>125</v>
      </c>
      <c r="B132" s="606" t="s">
        <v>134</v>
      </c>
      <c r="C132" s="607" t="s">
        <v>1190</v>
      </c>
      <c r="D132" s="608" t="s">
        <v>1191</v>
      </c>
      <c r="E132" s="609" t="s">
        <v>133</v>
      </c>
      <c r="F132">
        <v>83941009</v>
      </c>
      <c r="G132">
        <v>0</v>
      </c>
      <c r="H132">
        <v>83941009</v>
      </c>
      <c r="I132">
        <v>-839410</v>
      </c>
      <c r="J132">
        <v>0</v>
      </c>
      <c r="K132">
        <v>-839410</v>
      </c>
      <c r="L132">
        <v>-4069261</v>
      </c>
      <c r="M132">
        <v>0</v>
      </c>
      <c r="N132">
        <v>-4069261</v>
      </c>
      <c r="O132">
        <v>79032338</v>
      </c>
      <c r="P132">
        <v>0</v>
      </c>
      <c r="Q132">
        <v>79032338</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s="661">
        <v>0</v>
      </c>
      <c r="AS132" t="s">
        <v>1783</v>
      </c>
    </row>
    <row r="133" spans="1:45" ht="12.75" x14ac:dyDescent="0.2">
      <c r="A133" s="605">
        <v>126</v>
      </c>
      <c r="B133" s="606" t="s">
        <v>136</v>
      </c>
      <c r="C133" s="607" t="s">
        <v>524</v>
      </c>
      <c r="D133" s="608" t="s">
        <v>1195</v>
      </c>
      <c r="E133" s="609" t="s">
        <v>576</v>
      </c>
      <c r="F133">
        <v>49041827</v>
      </c>
      <c r="G133">
        <v>464518</v>
      </c>
      <c r="H133">
        <v>49506345</v>
      </c>
      <c r="I133">
        <v>-450000</v>
      </c>
      <c r="J133">
        <v>0</v>
      </c>
      <c r="K133">
        <v>-450000</v>
      </c>
      <c r="L133">
        <v>-2300000</v>
      </c>
      <c r="M133">
        <v>0</v>
      </c>
      <c r="N133">
        <v>-2300000</v>
      </c>
      <c r="O133">
        <v>46291827</v>
      </c>
      <c r="P133">
        <v>464518</v>
      </c>
      <c r="Q133">
        <v>46756345</v>
      </c>
      <c r="R133">
        <v>200000</v>
      </c>
      <c r="S133">
        <v>0</v>
      </c>
      <c r="T133">
        <v>200000</v>
      </c>
      <c r="U133">
        <v>0</v>
      </c>
      <c r="V133">
        <v>0</v>
      </c>
      <c r="W133">
        <v>0</v>
      </c>
      <c r="X133">
        <v>0</v>
      </c>
      <c r="Y133">
        <v>253818</v>
      </c>
      <c r="Z133">
        <v>210700</v>
      </c>
      <c r="AA133">
        <v>210700</v>
      </c>
      <c r="AB133">
        <v>0</v>
      </c>
      <c r="AC133">
        <v>0</v>
      </c>
      <c r="AD133">
        <v>0</v>
      </c>
      <c r="AE133">
        <v>0</v>
      </c>
      <c r="AF133">
        <v>345000</v>
      </c>
      <c r="AG133">
        <v>345000</v>
      </c>
      <c r="AH133">
        <v>0</v>
      </c>
      <c r="AI133">
        <v>0</v>
      </c>
      <c r="AJ133">
        <v>0</v>
      </c>
      <c r="AK133">
        <v>0</v>
      </c>
      <c r="AL133">
        <v>0</v>
      </c>
      <c r="AM133">
        <v>0</v>
      </c>
      <c r="AN133">
        <v>0</v>
      </c>
      <c r="AO133">
        <v>0</v>
      </c>
      <c r="AP133">
        <v>0</v>
      </c>
      <c r="AQ133">
        <v>345000</v>
      </c>
      <c r="AR133" s="661">
        <v>345000</v>
      </c>
      <c r="AS133" t="s">
        <v>1784</v>
      </c>
    </row>
    <row r="134" spans="1:45" ht="12.75" x14ac:dyDescent="0.2">
      <c r="A134" s="605">
        <v>127</v>
      </c>
      <c r="B134" s="606" t="s">
        <v>138</v>
      </c>
      <c r="C134" s="607" t="s">
        <v>1185</v>
      </c>
      <c r="D134" s="608" t="s">
        <v>1189</v>
      </c>
      <c r="E134" s="609" t="s">
        <v>137</v>
      </c>
      <c r="F134">
        <v>49649794</v>
      </c>
      <c r="G134">
        <v>0</v>
      </c>
      <c r="H134">
        <v>49649794</v>
      </c>
      <c r="I134">
        <v>-318000</v>
      </c>
      <c r="J134">
        <v>0</v>
      </c>
      <c r="K134">
        <v>-318000</v>
      </c>
      <c r="L134">
        <v>-2333822</v>
      </c>
      <c r="M134">
        <v>0</v>
      </c>
      <c r="N134">
        <v>-2333822</v>
      </c>
      <c r="O134">
        <v>46997972</v>
      </c>
      <c r="P134">
        <v>0</v>
      </c>
      <c r="Q134">
        <v>46997972</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s="661">
        <v>0</v>
      </c>
      <c r="AS134" t="s">
        <v>1785</v>
      </c>
    </row>
    <row r="135" spans="1:45" ht="12.75" x14ac:dyDescent="0.2">
      <c r="A135" s="605">
        <v>128</v>
      </c>
      <c r="B135" s="606" t="s">
        <v>140</v>
      </c>
      <c r="C135" s="607" t="s">
        <v>1185</v>
      </c>
      <c r="D135" s="608" t="s">
        <v>1188</v>
      </c>
      <c r="E135" s="609" t="s">
        <v>139</v>
      </c>
      <c r="F135">
        <v>27780137</v>
      </c>
      <c r="G135">
        <v>0</v>
      </c>
      <c r="H135">
        <v>27780137</v>
      </c>
      <c r="I135">
        <v>-166681</v>
      </c>
      <c r="J135">
        <v>0</v>
      </c>
      <c r="K135">
        <v>-166681</v>
      </c>
      <c r="L135">
        <v>-1292610</v>
      </c>
      <c r="M135">
        <v>0</v>
      </c>
      <c r="N135">
        <v>-1292610</v>
      </c>
      <c r="O135">
        <v>26320846</v>
      </c>
      <c r="P135">
        <v>0</v>
      </c>
      <c r="Q135">
        <v>26320846</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s="661">
        <v>0</v>
      </c>
      <c r="AS135" t="s">
        <v>1786</v>
      </c>
    </row>
    <row r="136" spans="1:45" ht="12.75" x14ac:dyDescent="0.2">
      <c r="A136" s="605">
        <v>129</v>
      </c>
      <c r="B136" s="606" t="s">
        <v>142</v>
      </c>
      <c r="C136" s="607" t="s">
        <v>1190</v>
      </c>
      <c r="D136" s="608" t="s">
        <v>1191</v>
      </c>
      <c r="E136" s="609" t="s">
        <v>141</v>
      </c>
      <c r="F136">
        <v>387475099</v>
      </c>
      <c r="G136">
        <v>0</v>
      </c>
      <c r="H136">
        <v>387475099</v>
      </c>
      <c r="I136">
        <v>-2000000</v>
      </c>
      <c r="J136">
        <v>0</v>
      </c>
      <c r="K136">
        <v>-2000000</v>
      </c>
      <c r="L136">
        <v>-2400000</v>
      </c>
      <c r="M136">
        <v>0</v>
      </c>
      <c r="N136">
        <v>-2400000</v>
      </c>
      <c r="O136">
        <v>383075099</v>
      </c>
      <c r="P136">
        <v>0</v>
      </c>
      <c r="Q136">
        <v>383075099</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s="661">
        <v>0</v>
      </c>
      <c r="AS136" t="s">
        <v>1787</v>
      </c>
    </row>
    <row r="137" spans="1:45" ht="12.75" x14ac:dyDescent="0.2">
      <c r="A137" s="605">
        <v>130</v>
      </c>
      <c r="B137" s="606" t="s">
        <v>144</v>
      </c>
      <c r="C137" s="607" t="s">
        <v>1185</v>
      </c>
      <c r="D137" s="608" t="s">
        <v>1188</v>
      </c>
      <c r="E137" s="609" t="s">
        <v>143</v>
      </c>
      <c r="F137">
        <v>33680154</v>
      </c>
      <c r="G137">
        <v>1149474</v>
      </c>
      <c r="H137">
        <v>34829628</v>
      </c>
      <c r="I137">
        <v>-336802</v>
      </c>
      <c r="J137">
        <v>-11495</v>
      </c>
      <c r="K137">
        <v>-348297</v>
      </c>
      <c r="L137">
        <v>-1010405</v>
      </c>
      <c r="M137">
        <v>-34484</v>
      </c>
      <c r="N137">
        <v>-1044889</v>
      </c>
      <c r="O137">
        <v>32332947</v>
      </c>
      <c r="P137">
        <v>1103495</v>
      </c>
      <c r="Q137">
        <v>33436442</v>
      </c>
      <c r="R137">
        <v>92844</v>
      </c>
      <c r="S137">
        <v>0</v>
      </c>
      <c r="T137">
        <v>92844</v>
      </c>
      <c r="U137">
        <v>0</v>
      </c>
      <c r="V137">
        <v>0</v>
      </c>
      <c r="W137">
        <v>0</v>
      </c>
      <c r="X137">
        <v>0</v>
      </c>
      <c r="Y137">
        <v>903679</v>
      </c>
      <c r="Z137">
        <v>199816</v>
      </c>
      <c r="AA137">
        <v>199816</v>
      </c>
      <c r="AB137">
        <v>0</v>
      </c>
      <c r="AC137">
        <v>0</v>
      </c>
      <c r="AD137">
        <v>0</v>
      </c>
      <c r="AE137">
        <v>0</v>
      </c>
      <c r="AF137">
        <v>113451</v>
      </c>
      <c r="AG137">
        <v>113451</v>
      </c>
      <c r="AH137">
        <v>0</v>
      </c>
      <c r="AI137">
        <v>0</v>
      </c>
      <c r="AJ137">
        <v>0</v>
      </c>
      <c r="AK137">
        <v>0</v>
      </c>
      <c r="AL137">
        <v>0</v>
      </c>
      <c r="AM137">
        <v>0</v>
      </c>
      <c r="AN137">
        <v>0</v>
      </c>
      <c r="AO137">
        <v>0</v>
      </c>
      <c r="AP137">
        <v>0</v>
      </c>
      <c r="AQ137">
        <v>113451</v>
      </c>
      <c r="AR137" s="661">
        <v>113451</v>
      </c>
      <c r="AS137" t="s">
        <v>1788</v>
      </c>
    </row>
    <row r="138" spans="1:45" ht="12.75" x14ac:dyDescent="0.2">
      <c r="A138" s="605">
        <v>131</v>
      </c>
      <c r="B138" s="606" t="s">
        <v>146</v>
      </c>
      <c r="C138" s="607" t="s">
        <v>1185</v>
      </c>
      <c r="D138" s="608" t="s">
        <v>1186</v>
      </c>
      <c r="E138" s="609" t="s">
        <v>145</v>
      </c>
      <c r="F138">
        <v>46655582</v>
      </c>
      <c r="G138">
        <v>0</v>
      </c>
      <c r="H138">
        <v>46655582</v>
      </c>
      <c r="I138">
        <v>-466500</v>
      </c>
      <c r="J138">
        <v>0</v>
      </c>
      <c r="K138">
        <v>-466500</v>
      </c>
      <c r="L138">
        <v>-2693296</v>
      </c>
      <c r="M138">
        <v>0</v>
      </c>
      <c r="N138">
        <v>-2693296</v>
      </c>
      <c r="O138">
        <v>43495786</v>
      </c>
      <c r="P138">
        <v>0</v>
      </c>
      <c r="Q138">
        <v>43495786</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s="661">
        <v>0</v>
      </c>
      <c r="AS138" t="s">
        <v>1789</v>
      </c>
    </row>
    <row r="139" spans="1:45" ht="12.75" x14ac:dyDescent="0.2">
      <c r="A139" s="605">
        <v>132</v>
      </c>
      <c r="B139" s="606" t="s">
        <v>148</v>
      </c>
      <c r="C139" s="607" t="s">
        <v>1190</v>
      </c>
      <c r="D139" s="608" t="s">
        <v>1191</v>
      </c>
      <c r="E139" s="609" t="s">
        <v>147</v>
      </c>
      <c r="F139">
        <v>210865743</v>
      </c>
      <c r="G139">
        <v>0</v>
      </c>
      <c r="H139">
        <v>210865743</v>
      </c>
      <c r="I139">
        <v>-1500000</v>
      </c>
      <c r="J139">
        <v>0</v>
      </c>
      <c r="K139">
        <v>-1500000</v>
      </c>
      <c r="L139">
        <v>-3000000</v>
      </c>
      <c r="M139">
        <v>0</v>
      </c>
      <c r="N139">
        <v>-3000000</v>
      </c>
      <c r="O139">
        <v>206365743</v>
      </c>
      <c r="P139">
        <v>0</v>
      </c>
      <c r="Q139">
        <v>206365743</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s="661">
        <v>0</v>
      </c>
      <c r="AS139" t="s">
        <v>1790</v>
      </c>
    </row>
    <row r="140" spans="1:45" ht="12.75" x14ac:dyDescent="0.2">
      <c r="A140" s="605">
        <v>133</v>
      </c>
      <c r="B140" s="606" t="s">
        <v>150</v>
      </c>
      <c r="C140" s="607" t="s">
        <v>1185</v>
      </c>
      <c r="D140" s="608" t="s">
        <v>1189</v>
      </c>
      <c r="E140" s="609" t="s">
        <v>149</v>
      </c>
      <c r="F140">
        <v>63005148</v>
      </c>
      <c r="G140">
        <v>1730166</v>
      </c>
      <c r="H140">
        <v>64735314</v>
      </c>
      <c r="I140">
        <v>-100000</v>
      </c>
      <c r="J140">
        <v>0</v>
      </c>
      <c r="K140">
        <v>-100000</v>
      </c>
      <c r="L140">
        <v>-300000</v>
      </c>
      <c r="M140">
        <v>0</v>
      </c>
      <c r="N140">
        <v>-300000</v>
      </c>
      <c r="O140">
        <v>62605148</v>
      </c>
      <c r="P140">
        <v>1730166</v>
      </c>
      <c r="Q140">
        <v>64335314</v>
      </c>
      <c r="R140">
        <v>997019</v>
      </c>
      <c r="S140">
        <v>0</v>
      </c>
      <c r="T140">
        <v>997019</v>
      </c>
      <c r="U140">
        <v>0</v>
      </c>
      <c r="V140">
        <v>0</v>
      </c>
      <c r="W140">
        <v>0</v>
      </c>
      <c r="X140">
        <v>180</v>
      </c>
      <c r="Y140">
        <v>787871</v>
      </c>
      <c r="Z140">
        <v>942475</v>
      </c>
      <c r="AA140">
        <v>942475</v>
      </c>
      <c r="AB140">
        <v>0</v>
      </c>
      <c r="AC140">
        <v>0</v>
      </c>
      <c r="AD140">
        <v>0</v>
      </c>
      <c r="AE140">
        <v>0</v>
      </c>
      <c r="AF140">
        <v>245189</v>
      </c>
      <c r="AG140">
        <v>245189</v>
      </c>
      <c r="AH140">
        <v>0</v>
      </c>
      <c r="AI140">
        <v>0</v>
      </c>
      <c r="AJ140">
        <v>0</v>
      </c>
      <c r="AK140">
        <v>0</v>
      </c>
      <c r="AL140">
        <v>0</v>
      </c>
      <c r="AM140">
        <v>0</v>
      </c>
      <c r="AN140">
        <v>0</v>
      </c>
      <c r="AO140">
        <v>0</v>
      </c>
      <c r="AP140">
        <v>0</v>
      </c>
      <c r="AQ140">
        <v>245189</v>
      </c>
      <c r="AR140" s="661">
        <v>245189</v>
      </c>
      <c r="AS140" t="s">
        <v>1791</v>
      </c>
    </row>
    <row r="141" spans="1:45" ht="12.75" x14ac:dyDescent="0.2">
      <c r="A141" s="605">
        <v>134</v>
      </c>
      <c r="B141" s="606" t="s">
        <v>152</v>
      </c>
      <c r="C141" s="607" t="s">
        <v>1185</v>
      </c>
      <c r="D141" s="608" t="s">
        <v>1187</v>
      </c>
      <c r="E141" s="609" t="s">
        <v>151</v>
      </c>
      <c r="F141">
        <v>20176607</v>
      </c>
      <c r="G141">
        <v>0</v>
      </c>
      <c r="H141">
        <v>20176607</v>
      </c>
      <c r="I141">
        <v>-1008830</v>
      </c>
      <c r="J141">
        <v>0</v>
      </c>
      <c r="K141">
        <v>-1008830</v>
      </c>
      <c r="L141">
        <v>-2017661</v>
      </c>
      <c r="M141">
        <v>0</v>
      </c>
      <c r="N141">
        <v>-2017661</v>
      </c>
      <c r="O141">
        <v>17150116</v>
      </c>
      <c r="P141">
        <v>0</v>
      </c>
      <c r="Q141">
        <v>17150116</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s="661">
        <v>0</v>
      </c>
      <c r="AS141" t="s">
        <v>1792</v>
      </c>
    </row>
    <row r="142" spans="1:45" ht="12.75" x14ac:dyDescent="0.2">
      <c r="A142" s="605">
        <v>135</v>
      </c>
      <c r="B142" s="606" t="s">
        <v>154</v>
      </c>
      <c r="C142" s="607" t="s">
        <v>1185</v>
      </c>
      <c r="D142" s="608" t="s">
        <v>1189</v>
      </c>
      <c r="E142" s="609" t="s">
        <v>153</v>
      </c>
      <c r="F142">
        <v>57160593</v>
      </c>
      <c r="G142">
        <v>852909</v>
      </c>
      <c r="H142">
        <v>58013502</v>
      </c>
      <c r="I142">
        <v>-418416</v>
      </c>
      <c r="J142">
        <v>-6243</v>
      </c>
      <c r="K142">
        <v>-424659</v>
      </c>
      <c r="L142">
        <v>-1634917</v>
      </c>
      <c r="M142">
        <v>-13305</v>
      </c>
      <c r="N142">
        <v>-1648222</v>
      </c>
      <c r="O142">
        <v>55107260</v>
      </c>
      <c r="P142">
        <v>833361</v>
      </c>
      <c r="Q142">
        <v>55940621</v>
      </c>
      <c r="R142">
        <v>7694</v>
      </c>
      <c r="S142">
        <v>0</v>
      </c>
      <c r="T142">
        <v>7694</v>
      </c>
      <c r="U142">
        <v>0</v>
      </c>
      <c r="V142">
        <v>0</v>
      </c>
      <c r="W142">
        <v>0</v>
      </c>
      <c r="X142">
        <v>0</v>
      </c>
      <c r="Y142">
        <v>206194</v>
      </c>
      <c r="Z142">
        <v>627167</v>
      </c>
      <c r="AA142">
        <v>627167</v>
      </c>
      <c r="AB142">
        <v>0</v>
      </c>
      <c r="AC142">
        <v>0</v>
      </c>
      <c r="AD142">
        <v>0</v>
      </c>
      <c r="AE142">
        <v>0</v>
      </c>
      <c r="AF142">
        <v>177520</v>
      </c>
      <c r="AG142">
        <v>177520</v>
      </c>
      <c r="AH142">
        <v>0</v>
      </c>
      <c r="AI142">
        <v>0</v>
      </c>
      <c r="AJ142">
        <v>0</v>
      </c>
      <c r="AK142">
        <v>0</v>
      </c>
      <c r="AL142">
        <v>0</v>
      </c>
      <c r="AM142">
        <v>0</v>
      </c>
      <c r="AN142">
        <v>0</v>
      </c>
      <c r="AO142">
        <v>0</v>
      </c>
      <c r="AP142">
        <v>0</v>
      </c>
      <c r="AQ142">
        <v>177520</v>
      </c>
      <c r="AR142" s="661">
        <v>177520</v>
      </c>
      <c r="AS142" t="s">
        <v>1793</v>
      </c>
    </row>
    <row r="143" spans="1:45" ht="12.75" x14ac:dyDescent="0.2">
      <c r="A143" s="605">
        <v>136</v>
      </c>
      <c r="B143" s="606" t="s">
        <v>156</v>
      </c>
      <c r="C143" s="607" t="s">
        <v>524</v>
      </c>
      <c r="D143" s="608" t="s">
        <v>1186</v>
      </c>
      <c r="E143" s="609" t="s">
        <v>912</v>
      </c>
      <c r="F143">
        <v>41334900</v>
      </c>
      <c r="G143">
        <v>0</v>
      </c>
      <c r="H143">
        <v>41334900</v>
      </c>
      <c r="I143">
        <v>-420000</v>
      </c>
      <c r="J143">
        <v>0</v>
      </c>
      <c r="K143">
        <v>-420000</v>
      </c>
      <c r="L143">
        <v>-1861697</v>
      </c>
      <c r="M143">
        <v>0</v>
      </c>
      <c r="N143">
        <v>-1861697</v>
      </c>
      <c r="O143">
        <v>39053203</v>
      </c>
      <c r="P143">
        <v>0</v>
      </c>
      <c r="Q143">
        <v>39053203</v>
      </c>
      <c r="R143">
        <v>278294</v>
      </c>
      <c r="S143">
        <v>0</v>
      </c>
      <c r="T143">
        <v>278294</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s="661">
        <v>0</v>
      </c>
      <c r="AS143" t="s">
        <v>1794</v>
      </c>
    </row>
    <row r="144" spans="1:45" ht="12.75" x14ac:dyDescent="0.2">
      <c r="A144" s="605">
        <v>137</v>
      </c>
      <c r="B144" s="606" t="s">
        <v>158</v>
      </c>
      <c r="C144" s="607" t="s">
        <v>524</v>
      </c>
      <c r="D144" s="608" t="s">
        <v>1194</v>
      </c>
      <c r="E144" s="609" t="s">
        <v>913</v>
      </c>
      <c r="F144">
        <v>1542652</v>
      </c>
      <c r="G144">
        <v>0</v>
      </c>
      <c r="H144">
        <v>1542652</v>
      </c>
      <c r="I144">
        <v>0</v>
      </c>
      <c r="J144">
        <v>0</v>
      </c>
      <c r="K144">
        <v>0</v>
      </c>
      <c r="L144">
        <v>0</v>
      </c>
      <c r="M144">
        <v>0</v>
      </c>
      <c r="N144">
        <v>0</v>
      </c>
      <c r="O144">
        <v>1542652</v>
      </c>
      <c r="P144">
        <v>0</v>
      </c>
      <c r="Q144">
        <v>1542652</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s="661">
        <v>0</v>
      </c>
      <c r="AS144" t="s">
        <v>1795</v>
      </c>
    </row>
    <row r="145" spans="1:45" ht="12.75" x14ac:dyDescent="0.2">
      <c r="A145" s="605">
        <v>138</v>
      </c>
      <c r="B145" s="606" t="s">
        <v>160</v>
      </c>
      <c r="C145" s="607" t="s">
        <v>1196</v>
      </c>
      <c r="D145" s="608" t="s">
        <v>1191</v>
      </c>
      <c r="E145" s="609" t="s">
        <v>159</v>
      </c>
      <c r="F145">
        <v>303909135</v>
      </c>
      <c r="G145">
        <v>0</v>
      </c>
      <c r="H145">
        <v>303909135</v>
      </c>
      <c r="I145">
        <v>-4558637</v>
      </c>
      <c r="J145">
        <v>0</v>
      </c>
      <c r="K145">
        <v>-4558637</v>
      </c>
      <c r="L145">
        <v>-10757445</v>
      </c>
      <c r="M145">
        <v>0</v>
      </c>
      <c r="N145">
        <v>-10757445</v>
      </c>
      <c r="O145">
        <v>288593053</v>
      </c>
      <c r="P145">
        <v>0</v>
      </c>
      <c r="Q145">
        <v>288593053</v>
      </c>
      <c r="R145">
        <v>79278</v>
      </c>
      <c r="S145">
        <v>0</v>
      </c>
      <c r="T145">
        <v>79278</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s="661">
        <v>0</v>
      </c>
      <c r="AS145" t="s">
        <v>1796</v>
      </c>
    </row>
    <row r="146" spans="1:45" ht="12.75" x14ac:dyDescent="0.2">
      <c r="A146" s="605">
        <v>139</v>
      </c>
      <c r="B146" s="606" t="s">
        <v>162</v>
      </c>
      <c r="C146" s="607" t="s">
        <v>1196</v>
      </c>
      <c r="D146" s="608" t="s">
        <v>1191</v>
      </c>
      <c r="E146" s="609" t="s">
        <v>161</v>
      </c>
      <c r="F146">
        <v>365028171</v>
      </c>
      <c r="G146">
        <v>0</v>
      </c>
      <c r="H146">
        <v>365028171</v>
      </c>
      <c r="I146">
        <v>-1322342</v>
      </c>
      <c r="J146">
        <v>0</v>
      </c>
      <c r="K146">
        <v>-1322342</v>
      </c>
      <c r="L146">
        <v>-19308785</v>
      </c>
      <c r="M146">
        <v>0</v>
      </c>
      <c r="N146">
        <v>-19308785</v>
      </c>
      <c r="O146">
        <v>344397044</v>
      </c>
      <c r="P146">
        <v>0</v>
      </c>
      <c r="Q146">
        <v>344397044</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s="661">
        <v>0</v>
      </c>
      <c r="AS146" t="s">
        <v>1797</v>
      </c>
    </row>
    <row r="147" spans="1:45" ht="12.75" x14ac:dyDescent="0.2">
      <c r="A147" s="605">
        <v>140</v>
      </c>
      <c r="B147" s="606" t="s">
        <v>164</v>
      </c>
      <c r="C147" s="607" t="s">
        <v>1185</v>
      </c>
      <c r="D147" s="608" t="s">
        <v>1188</v>
      </c>
      <c r="E147" s="609" t="s">
        <v>163</v>
      </c>
      <c r="F147">
        <v>34068113</v>
      </c>
      <c r="G147">
        <v>0</v>
      </c>
      <c r="H147">
        <v>34068113</v>
      </c>
      <c r="I147">
        <v>-170000</v>
      </c>
      <c r="J147">
        <v>0</v>
      </c>
      <c r="K147">
        <v>-170000</v>
      </c>
      <c r="L147">
        <v>-920000</v>
      </c>
      <c r="M147">
        <v>0</v>
      </c>
      <c r="N147">
        <v>-920000</v>
      </c>
      <c r="O147">
        <v>32978113</v>
      </c>
      <c r="P147">
        <v>0</v>
      </c>
      <c r="Q147">
        <v>32978113</v>
      </c>
      <c r="R147">
        <v>348685</v>
      </c>
      <c r="S147">
        <v>0</v>
      </c>
      <c r="T147">
        <v>348685</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s="661">
        <v>0</v>
      </c>
      <c r="AS147" t="s">
        <v>1798</v>
      </c>
    </row>
    <row r="148" spans="1:45" ht="12.75" x14ac:dyDescent="0.2">
      <c r="A148" s="605">
        <v>141</v>
      </c>
      <c r="B148" s="606" t="s">
        <v>166</v>
      </c>
      <c r="C148" s="607" t="s">
        <v>1185</v>
      </c>
      <c r="D148" s="608" t="s">
        <v>1189</v>
      </c>
      <c r="E148" s="609" t="s">
        <v>915</v>
      </c>
      <c r="F148">
        <v>47657309</v>
      </c>
      <c r="G148">
        <v>14034</v>
      </c>
      <c r="H148">
        <v>47671343</v>
      </c>
      <c r="I148">
        <v>-200000</v>
      </c>
      <c r="J148">
        <v>0</v>
      </c>
      <c r="K148">
        <v>-200000</v>
      </c>
      <c r="L148">
        <v>-821760</v>
      </c>
      <c r="M148">
        <v>0</v>
      </c>
      <c r="N148">
        <v>-821760</v>
      </c>
      <c r="O148">
        <v>46635549</v>
      </c>
      <c r="P148">
        <v>14034</v>
      </c>
      <c r="Q148">
        <v>46649583</v>
      </c>
      <c r="R148">
        <v>2640263</v>
      </c>
      <c r="S148">
        <v>0</v>
      </c>
      <c r="T148">
        <v>2640263</v>
      </c>
      <c r="U148">
        <v>0</v>
      </c>
      <c r="V148">
        <v>0</v>
      </c>
      <c r="W148">
        <v>0</v>
      </c>
      <c r="X148">
        <v>0</v>
      </c>
      <c r="Y148">
        <v>0</v>
      </c>
      <c r="Z148">
        <v>14034</v>
      </c>
      <c r="AA148">
        <v>14034</v>
      </c>
      <c r="AB148">
        <v>0</v>
      </c>
      <c r="AC148">
        <v>0</v>
      </c>
      <c r="AD148">
        <v>0</v>
      </c>
      <c r="AE148">
        <v>0</v>
      </c>
      <c r="AF148">
        <v>57183</v>
      </c>
      <c r="AG148">
        <v>57183</v>
      </c>
      <c r="AH148">
        <v>0</v>
      </c>
      <c r="AI148">
        <v>0</v>
      </c>
      <c r="AJ148">
        <v>0</v>
      </c>
      <c r="AK148">
        <v>0</v>
      </c>
      <c r="AL148">
        <v>0</v>
      </c>
      <c r="AM148">
        <v>0</v>
      </c>
      <c r="AN148">
        <v>0</v>
      </c>
      <c r="AO148">
        <v>0</v>
      </c>
      <c r="AP148">
        <v>0</v>
      </c>
      <c r="AQ148">
        <v>57183</v>
      </c>
      <c r="AR148" s="661">
        <v>57183</v>
      </c>
      <c r="AS148" t="s">
        <v>1799</v>
      </c>
    </row>
    <row r="149" spans="1:45" ht="12.75" x14ac:dyDescent="0.2">
      <c r="A149" s="605">
        <v>142</v>
      </c>
      <c r="B149" s="606" t="s">
        <v>168</v>
      </c>
      <c r="C149" s="607" t="s">
        <v>524</v>
      </c>
      <c r="D149" s="608" t="s">
        <v>1193</v>
      </c>
      <c r="E149" s="609" t="s">
        <v>911</v>
      </c>
      <c r="F149">
        <v>89332642</v>
      </c>
      <c r="G149">
        <v>4974096</v>
      </c>
      <c r="H149">
        <v>94306738</v>
      </c>
      <c r="I149">
        <v>-1450000</v>
      </c>
      <c r="J149">
        <v>0</v>
      </c>
      <c r="K149">
        <v>-1450000</v>
      </c>
      <c r="L149">
        <v>-3600000</v>
      </c>
      <c r="M149">
        <v>0</v>
      </c>
      <c r="N149">
        <v>-3600000</v>
      </c>
      <c r="O149">
        <v>84282642</v>
      </c>
      <c r="P149">
        <v>4974096</v>
      </c>
      <c r="Q149">
        <v>89256738</v>
      </c>
      <c r="R149">
        <v>44920</v>
      </c>
      <c r="S149">
        <v>1390171</v>
      </c>
      <c r="T149">
        <v>1435091</v>
      </c>
      <c r="U149">
        <v>0</v>
      </c>
      <c r="V149">
        <v>0</v>
      </c>
      <c r="W149">
        <v>0</v>
      </c>
      <c r="X149">
        <v>0</v>
      </c>
      <c r="Y149">
        <v>358162</v>
      </c>
      <c r="Z149">
        <v>3315054</v>
      </c>
      <c r="AA149">
        <v>3315054</v>
      </c>
      <c r="AB149">
        <v>0</v>
      </c>
      <c r="AC149">
        <v>0</v>
      </c>
      <c r="AD149">
        <v>0</v>
      </c>
      <c r="AE149">
        <v>0</v>
      </c>
      <c r="AF149">
        <v>83928</v>
      </c>
      <c r="AG149">
        <v>83928</v>
      </c>
      <c r="AH149">
        <v>0</v>
      </c>
      <c r="AI149">
        <v>0</v>
      </c>
      <c r="AJ149">
        <v>0</v>
      </c>
      <c r="AK149">
        <v>0</v>
      </c>
      <c r="AL149">
        <v>0</v>
      </c>
      <c r="AM149">
        <v>0</v>
      </c>
      <c r="AN149">
        <v>0</v>
      </c>
      <c r="AO149">
        <v>0</v>
      </c>
      <c r="AP149">
        <v>0</v>
      </c>
      <c r="AQ149">
        <v>83928</v>
      </c>
      <c r="AR149" s="661">
        <v>83928</v>
      </c>
      <c r="AS149" t="s">
        <v>1800</v>
      </c>
    </row>
    <row r="150" spans="1:45" ht="12.75" x14ac:dyDescent="0.2">
      <c r="A150" s="605">
        <v>143</v>
      </c>
      <c r="B150" s="606" t="s">
        <v>170</v>
      </c>
      <c r="C150" s="607" t="s">
        <v>1190</v>
      </c>
      <c r="D150" s="608" t="s">
        <v>1191</v>
      </c>
      <c r="E150" s="609" t="s">
        <v>169</v>
      </c>
      <c r="F150">
        <v>87278000</v>
      </c>
      <c r="G150">
        <v>0</v>
      </c>
      <c r="H150">
        <v>87278000</v>
      </c>
      <c r="I150">
        <v>-619000</v>
      </c>
      <c r="J150">
        <v>0</v>
      </c>
      <c r="K150">
        <v>-619000</v>
      </c>
      <c r="L150">
        <v>-354000</v>
      </c>
      <c r="M150">
        <v>0</v>
      </c>
      <c r="N150">
        <v>-354000</v>
      </c>
      <c r="O150">
        <v>86305000</v>
      </c>
      <c r="P150">
        <v>0</v>
      </c>
      <c r="Q150">
        <v>86305000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s="661">
        <v>0</v>
      </c>
      <c r="AS150" t="s">
        <v>1801</v>
      </c>
    </row>
    <row r="151" spans="1:45" ht="12.75" x14ac:dyDescent="0.2">
      <c r="A151" s="605">
        <v>144</v>
      </c>
      <c r="B151" s="606" t="s">
        <v>172</v>
      </c>
      <c r="C151" s="607" t="s">
        <v>1192</v>
      </c>
      <c r="D151" s="608" t="s">
        <v>1193</v>
      </c>
      <c r="E151" s="609" t="s">
        <v>171</v>
      </c>
      <c r="F151">
        <v>108369271</v>
      </c>
      <c r="G151">
        <v>304170</v>
      </c>
      <c r="H151">
        <v>108673441</v>
      </c>
      <c r="I151">
        <v>-1500000</v>
      </c>
      <c r="J151">
        <v>0</v>
      </c>
      <c r="K151">
        <v>-1500000</v>
      </c>
      <c r="L151">
        <v>-850000</v>
      </c>
      <c r="M151">
        <v>0</v>
      </c>
      <c r="N151">
        <v>-850000</v>
      </c>
      <c r="O151">
        <v>106019271</v>
      </c>
      <c r="P151">
        <v>304170</v>
      </c>
      <c r="Q151">
        <v>106323441</v>
      </c>
      <c r="R151">
        <v>0</v>
      </c>
      <c r="S151">
        <v>0</v>
      </c>
      <c r="T151">
        <v>0</v>
      </c>
      <c r="U151">
        <v>0</v>
      </c>
      <c r="V151">
        <v>0</v>
      </c>
      <c r="W151">
        <v>0</v>
      </c>
      <c r="X151">
        <v>0</v>
      </c>
      <c r="Y151">
        <v>0</v>
      </c>
      <c r="Z151">
        <v>304170</v>
      </c>
      <c r="AA151">
        <v>304170</v>
      </c>
      <c r="AB151">
        <v>0</v>
      </c>
      <c r="AC151">
        <v>0</v>
      </c>
      <c r="AD151">
        <v>0</v>
      </c>
      <c r="AE151">
        <v>0</v>
      </c>
      <c r="AF151">
        <v>157655</v>
      </c>
      <c r="AG151">
        <v>157655</v>
      </c>
      <c r="AH151">
        <v>0</v>
      </c>
      <c r="AI151">
        <v>0</v>
      </c>
      <c r="AJ151">
        <v>0</v>
      </c>
      <c r="AK151">
        <v>0</v>
      </c>
      <c r="AL151">
        <v>0</v>
      </c>
      <c r="AM151">
        <v>0</v>
      </c>
      <c r="AN151">
        <v>0</v>
      </c>
      <c r="AO151">
        <v>0</v>
      </c>
      <c r="AP151">
        <v>0</v>
      </c>
      <c r="AQ151">
        <v>157655</v>
      </c>
      <c r="AR151" s="661">
        <v>157655</v>
      </c>
      <c r="AS151" t="s">
        <v>1802</v>
      </c>
    </row>
    <row r="152" spans="1:45" ht="12.75" x14ac:dyDescent="0.2">
      <c r="A152" s="605">
        <v>145</v>
      </c>
      <c r="B152" s="606" t="s">
        <v>174</v>
      </c>
      <c r="C152" s="607" t="s">
        <v>1192</v>
      </c>
      <c r="D152" s="608" t="s">
        <v>1187</v>
      </c>
      <c r="E152" s="609" t="s">
        <v>173</v>
      </c>
      <c r="F152">
        <v>47955155</v>
      </c>
      <c r="G152">
        <v>0</v>
      </c>
      <c r="H152">
        <v>47955155</v>
      </c>
      <c r="I152">
        <v>0</v>
      </c>
      <c r="J152">
        <v>0</v>
      </c>
      <c r="K152">
        <v>0</v>
      </c>
      <c r="L152">
        <v>-779992</v>
      </c>
      <c r="M152">
        <v>0</v>
      </c>
      <c r="N152">
        <v>-779992</v>
      </c>
      <c r="O152">
        <v>47175163</v>
      </c>
      <c r="P152">
        <v>0</v>
      </c>
      <c r="Q152">
        <v>47175163</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s="661">
        <v>0</v>
      </c>
      <c r="AS152" t="s">
        <v>1803</v>
      </c>
    </row>
    <row r="153" spans="1:45" ht="12.75" x14ac:dyDescent="0.2">
      <c r="A153" s="605">
        <v>146</v>
      </c>
      <c r="B153" s="606" t="s">
        <v>176</v>
      </c>
      <c r="C153" s="607" t="s">
        <v>1196</v>
      </c>
      <c r="D153" s="608" t="s">
        <v>1191</v>
      </c>
      <c r="E153" s="609" t="s">
        <v>175</v>
      </c>
      <c r="F153">
        <v>174369018</v>
      </c>
      <c r="G153">
        <v>1818173</v>
      </c>
      <c r="H153">
        <v>176187191</v>
      </c>
      <c r="I153">
        <v>-800000</v>
      </c>
      <c r="J153">
        <v>0</v>
      </c>
      <c r="K153">
        <v>-800000</v>
      </c>
      <c r="L153">
        <v>-4000000</v>
      </c>
      <c r="M153">
        <v>0</v>
      </c>
      <c r="N153">
        <v>-4000000</v>
      </c>
      <c r="O153">
        <v>169569018</v>
      </c>
      <c r="P153">
        <v>1818173</v>
      </c>
      <c r="Q153">
        <v>171387191</v>
      </c>
      <c r="R153">
        <v>0</v>
      </c>
      <c r="S153">
        <v>0</v>
      </c>
      <c r="T153">
        <v>0</v>
      </c>
      <c r="U153">
        <v>0</v>
      </c>
      <c r="V153">
        <v>0</v>
      </c>
      <c r="W153">
        <v>0</v>
      </c>
      <c r="X153">
        <v>0</v>
      </c>
      <c r="Y153">
        <v>1719253</v>
      </c>
      <c r="Z153">
        <v>98920</v>
      </c>
      <c r="AA153">
        <v>98920</v>
      </c>
      <c r="AB153">
        <v>0</v>
      </c>
      <c r="AC153">
        <v>0</v>
      </c>
      <c r="AD153">
        <v>0</v>
      </c>
      <c r="AE153">
        <v>0</v>
      </c>
      <c r="AF153">
        <v>0</v>
      </c>
      <c r="AG153">
        <v>0</v>
      </c>
      <c r="AH153">
        <v>0</v>
      </c>
      <c r="AI153">
        <v>0</v>
      </c>
      <c r="AJ153">
        <v>0</v>
      </c>
      <c r="AK153">
        <v>0</v>
      </c>
      <c r="AL153">
        <v>0</v>
      </c>
      <c r="AM153">
        <v>0</v>
      </c>
      <c r="AN153">
        <v>0</v>
      </c>
      <c r="AO153">
        <v>0</v>
      </c>
      <c r="AP153">
        <v>0</v>
      </c>
      <c r="AQ153">
        <v>0</v>
      </c>
      <c r="AR153" s="661">
        <v>0</v>
      </c>
      <c r="AS153" t="s">
        <v>1804</v>
      </c>
    </row>
    <row r="154" spans="1:45" ht="12.75" x14ac:dyDescent="0.2">
      <c r="A154" s="605">
        <v>147</v>
      </c>
      <c r="B154" s="606" t="s">
        <v>178</v>
      </c>
      <c r="C154" s="607" t="s">
        <v>1185</v>
      </c>
      <c r="D154" s="608" t="s">
        <v>1187</v>
      </c>
      <c r="E154" s="609" t="s">
        <v>177</v>
      </c>
      <c r="F154">
        <v>69099304</v>
      </c>
      <c r="G154">
        <v>0</v>
      </c>
      <c r="H154">
        <v>69099304</v>
      </c>
      <c r="I154">
        <v>-300000</v>
      </c>
      <c r="J154">
        <v>0</v>
      </c>
      <c r="K154">
        <v>-300000</v>
      </c>
      <c r="L154">
        <v>-3247667</v>
      </c>
      <c r="M154">
        <v>0</v>
      </c>
      <c r="N154">
        <v>-3247667</v>
      </c>
      <c r="O154">
        <v>65551637</v>
      </c>
      <c r="P154">
        <v>0</v>
      </c>
      <c r="Q154">
        <v>65551637</v>
      </c>
      <c r="R154">
        <v>922516</v>
      </c>
      <c r="S154">
        <v>0</v>
      </c>
      <c r="T154">
        <v>922516</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s="661">
        <v>0</v>
      </c>
      <c r="AS154" t="s">
        <v>1805</v>
      </c>
    </row>
    <row r="155" spans="1:45" ht="12.75" x14ac:dyDescent="0.2">
      <c r="A155" s="605">
        <v>148</v>
      </c>
      <c r="B155" s="606" t="s">
        <v>180</v>
      </c>
      <c r="C155" s="607" t="s">
        <v>1192</v>
      </c>
      <c r="D155" s="608" t="s">
        <v>1193</v>
      </c>
      <c r="E155" s="609" t="s">
        <v>179</v>
      </c>
      <c r="F155">
        <v>395331162</v>
      </c>
      <c r="G155">
        <v>3217896</v>
      </c>
      <c r="H155">
        <v>398549058</v>
      </c>
      <c r="I155">
        <v>-3536696</v>
      </c>
      <c r="J155">
        <v>0</v>
      </c>
      <c r="K155">
        <v>-3536696</v>
      </c>
      <c r="L155">
        <v>-13500000</v>
      </c>
      <c r="M155">
        <v>0</v>
      </c>
      <c r="N155">
        <v>-13500000</v>
      </c>
      <c r="O155">
        <v>378294466</v>
      </c>
      <c r="P155">
        <v>3217896</v>
      </c>
      <c r="Q155">
        <v>381512362</v>
      </c>
      <c r="R155">
        <v>210364</v>
      </c>
      <c r="S155">
        <v>0</v>
      </c>
      <c r="T155">
        <v>210364</v>
      </c>
      <c r="U155">
        <v>0</v>
      </c>
      <c r="V155">
        <v>0</v>
      </c>
      <c r="W155">
        <v>0</v>
      </c>
      <c r="X155">
        <v>0</v>
      </c>
      <c r="Y155">
        <v>1051544</v>
      </c>
      <c r="Z155">
        <v>2166352</v>
      </c>
      <c r="AA155">
        <v>2166352</v>
      </c>
      <c r="AB155">
        <v>0</v>
      </c>
      <c r="AC155">
        <v>0</v>
      </c>
      <c r="AD155">
        <v>0</v>
      </c>
      <c r="AE155">
        <v>0</v>
      </c>
      <c r="AF155">
        <v>223432</v>
      </c>
      <c r="AG155">
        <v>223432</v>
      </c>
      <c r="AH155">
        <v>0</v>
      </c>
      <c r="AI155">
        <v>0</v>
      </c>
      <c r="AJ155">
        <v>0</v>
      </c>
      <c r="AK155">
        <v>0</v>
      </c>
      <c r="AL155">
        <v>0</v>
      </c>
      <c r="AM155">
        <v>0</v>
      </c>
      <c r="AN155">
        <v>0</v>
      </c>
      <c r="AO155">
        <v>0</v>
      </c>
      <c r="AP155">
        <v>0</v>
      </c>
      <c r="AQ155">
        <v>223432</v>
      </c>
      <c r="AR155" s="661">
        <v>223432</v>
      </c>
      <c r="AS155" t="s">
        <v>1806</v>
      </c>
    </row>
    <row r="156" spans="1:45" ht="12.75" x14ac:dyDescent="0.2">
      <c r="A156" s="605">
        <v>149</v>
      </c>
      <c r="B156" s="606" t="s">
        <v>182</v>
      </c>
      <c r="C156" s="607" t="s">
        <v>524</v>
      </c>
      <c r="D156" s="608" t="s">
        <v>1188</v>
      </c>
      <c r="E156" s="609" t="s">
        <v>591</v>
      </c>
      <c r="F156">
        <v>114886489</v>
      </c>
      <c r="G156">
        <v>2303622</v>
      </c>
      <c r="H156">
        <v>117190111</v>
      </c>
      <c r="I156">
        <v>-1608411</v>
      </c>
      <c r="J156">
        <v>-32251</v>
      </c>
      <c r="K156">
        <v>-1640662</v>
      </c>
      <c r="L156">
        <v>-2984042</v>
      </c>
      <c r="M156">
        <v>-72654</v>
      </c>
      <c r="N156">
        <v>-3056696</v>
      </c>
      <c r="O156">
        <v>110294036</v>
      </c>
      <c r="P156">
        <v>2198717</v>
      </c>
      <c r="Q156">
        <v>112492753</v>
      </c>
      <c r="R156">
        <v>0</v>
      </c>
      <c r="S156">
        <v>0</v>
      </c>
      <c r="T156">
        <v>0</v>
      </c>
      <c r="U156">
        <v>0</v>
      </c>
      <c r="V156">
        <v>0</v>
      </c>
      <c r="W156">
        <v>0</v>
      </c>
      <c r="X156">
        <v>22115</v>
      </c>
      <c r="Y156">
        <v>2499363</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s="661">
        <v>0</v>
      </c>
      <c r="AS156" t="s">
        <v>1807</v>
      </c>
    </row>
    <row r="157" spans="1:45" ht="12.75" x14ac:dyDescent="0.2">
      <c r="A157" s="605">
        <v>150</v>
      </c>
      <c r="B157" s="606" t="s">
        <v>184</v>
      </c>
      <c r="C157" s="607" t="s">
        <v>1185</v>
      </c>
      <c r="D157" s="608" t="s">
        <v>1186</v>
      </c>
      <c r="E157" s="609" t="s">
        <v>183</v>
      </c>
      <c r="F157">
        <v>23259005</v>
      </c>
      <c r="G157">
        <v>2543704</v>
      </c>
      <c r="H157">
        <v>25802709</v>
      </c>
      <c r="I157">
        <v>-110000</v>
      </c>
      <c r="J157">
        <v>-14567</v>
      </c>
      <c r="K157">
        <v>-124567</v>
      </c>
      <c r="L157">
        <v>-369750</v>
      </c>
      <c r="M157">
        <v>-87000</v>
      </c>
      <c r="N157">
        <v>-456750</v>
      </c>
      <c r="O157">
        <v>22779255</v>
      </c>
      <c r="P157">
        <v>2442137</v>
      </c>
      <c r="Q157">
        <v>25221392</v>
      </c>
      <c r="R157">
        <v>0</v>
      </c>
      <c r="S157">
        <v>0</v>
      </c>
      <c r="T157">
        <v>0</v>
      </c>
      <c r="U157">
        <v>0</v>
      </c>
      <c r="V157">
        <v>0</v>
      </c>
      <c r="W157">
        <v>0</v>
      </c>
      <c r="X157">
        <v>-10896</v>
      </c>
      <c r="Y157">
        <v>2140934</v>
      </c>
      <c r="Z157">
        <v>304005</v>
      </c>
      <c r="AA157">
        <v>304005</v>
      </c>
      <c r="AB157">
        <v>0</v>
      </c>
      <c r="AC157">
        <v>0</v>
      </c>
      <c r="AD157">
        <v>0</v>
      </c>
      <c r="AE157">
        <v>0</v>
      </c>
      <c r="AF157">
        <v>416906</v>
      </c>
      <c r="AG157">
        <v>416906</v>
      </c>
      <c r="AH157">
        <v>0</v>
      </c>
      <c r="AI157">
        <v>0</v>
      </c>
      <c r="AJ157">
        <v>0</v>
      </c>
      <c r="AK157">
        <v>0</v>
      </c>
      <c r="AL157">
        <v>0</v>
      </c>
      <c r="AM157">
        <v>0</v>
      </c>
      <c r="AN157">
        <v>0</v>
      </c>
      <c r="AO157">
        <v>0</v>
      </c>
      <c r="AP157">
        <v>0</v>
      </c>
      <c r="AQ157">
        <v>416906</v>
      </c>
      <c r="AR157" s="661">
        <v>416906</v>
      </c>
      <c r="AS157" t="s">
        <v>1808</v>
      </c>
    </row>
    <row r="158" spans="1:45" ht="12.75" x14ac:dyDescent="0.2">
      <c r="A158" s="605">
        <v>151</v>
      </c>
      <c r="B158" s="606" t="s">
        <v>186</v>
      </c>
      <c r="C158" s="607" t="s">
        <v>1196</v>
      </c>
      <c r="D158" s="608" t="s">
        <v>1191</v>
      </c>
      <c r="E158" s="609" t="s">
        <v>185</v>
      </c>
      <c r="F158">
        <v>67801201</v>
      </c>
      <c r="G158">
        <v>0</v>
      </c>
      <c r="H158">
        <v>67801201</v>
      </c>
      <c r="I158">
        <v>-678012</v>
      </c>
      <c r="J158">
        <v>0</v>
      </c>
      <c r="K158">
        <v>-678012</v>
      </c>
      <c r="L158">
        <v>-3254458</v>
      </c>
      <c r="M158">
        <v>0</v>
      </c>
      <c r="N158">
        <v>-3254458</v>
      </c>
      <c r="O158">
        <v>63868731</v>
      </c>
      <c r="P158">
        <v>0</v>
      </c>
      <c r="Q158">
        <v>63868731</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s="661">
        <v>0</v>
      </c>
      <c r="AS158" t="s">
        <v>1809</v>
      </c>
    </row>
    <row r="159" spans="1:45" ht="12.75" x14ac:dyDescent="0.2">
      <c r="A159" s="605">
        <v>152</v>
      </c>
      <c r="B159" s="606" t="s">
        <v>188</v>
      </c>
      <c r="C159" s="607" t="s">
        <v>1185</v>
      </c>
      <c r="D159" s="608" t="s">
        <v>1195</v>
      </c>
      <c r="E159" s="609" t="s">
        <v>187</v>
      </c>
      <c r="F159">
        <v>36514825</v>
      </c>
      <c r="G159">
        <v>0</v>
      </c>
      <c r="H159">
        <v>36514825</v>
      </c>
      <c r="I159">
        <v>-321000</v>
      </c>
      <c r="J159">
        <v>0</v>
      </c>
      <c r="K159">
        <v>-321000</v>
      </c>
      <c r="L159">
        <v>-1707000</v>
      </c>
      <c r="M159">
        <v>0</v>
      </c>
      <c r="N159">
        <v>-1707000</v>
      </c>
      <c r="O159">
        <v>34486825</v>
      </c>
      <c r="P159">
        <v>0</v>
      </c>
      <c r="Q159">
        <v>34486825</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s="661">
        <v>0</v>
      </c>
      <c r="AS159" t="s">
        <v>1810</v>
      </c>
    </row>
    <row r="160" spans="1:45" ht="12.75" x14ac:dyDescent="0.2">
      <c r="A160" s="605">
        <v>153</v>
      </c>
      <c r="B160" s="606" t="s">
        <v>190</v>
      </c>
      <c r="C160" s="607" t="s">
        <v>1185</v>
      </c>
      <c r="D160" s="608" t="s">
        <v>1188</v>
      </c>
      <c r="E160" s="609" t="s">
        <v>189</v>
      </c>
      <c r="F160">
        <v>46169003</v>
      </c>
      <c r="G160">
        <v>0</v>
      </c>
      <c r="H160">
        <v>46169003</v>
      </c>
      <c r="I160">
        <v>-250000</v>
      </c>
      <c r="J160">
        <v>0</v>
      </c>
      <c r="K160">
        <v>-250000</v>
      </c>
      <c r="L160">
        <v>-1500000</v>
      </c>
      <c r="M160">
        <v>0</v>
      </c>
      <c r="N160">
        <v>-1500000</v>
      </c>
      <c r="O160">
        <v>44419003</v>
      </c>
      <c r="P160">
        <v>0</v>
      </c>
      <c r="Q160">
        <v>44419003</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s="661">
        <v>0</v>
      </c>
      <c r="AS160" t="s">
        <v>1811</v>
      </c>
    </row>
    <row r="161" spans="1:45" ht="12.75" x14ac:dyDescent="0.2">
      <c r="A161" s="605">
        <v>154</v>
      </c>
      <c r="B161" s="606" t="s">
        <v>192</v>
      </c>
      <c r="C161" s="607" t="s">
        <v>1192</v>
      </c>
      <c r="D161" s="608" t="s">
        <v>1187</v>
      </c>
      <c r="E161" s="609" t="s">
        <v>191</v>
      </c>
      <c r="F161">
        <v>194352748</v>
      </c>
      <c r="G161">
        <v>26963445</v>
      </c>
      <c r="H161">
        <v>221316193</v>
      </c>
      <c r="I161">
        <v>-5830602</v>
      </c>
      <c r="J161">
        <v>-808873</v>
      </c>
      <c r="K161">
        <v>-6639475</v>
      </c>
      <c r="L161">
        <v>-8080278</v>
      </c>
      <c r="M161">
        <v>-1442736</v>
      </c>
      <c r="N161">
        <v>-9523014</v>
      </c>
      <c r="O161">
        <v>180441868</v>
      </c>
      <c r="P161">
        <v>24711836</v>
      </c>
      <c r="Q161">
        <v>205153704</v>
      </c>
      <c r="R161">
        <v>0</v>
      </c>
      <c r="S161">
        <v>0</v>
      </c>
      <c r="T161">
        <v>0</v>
      </c>
      <c r="U161">
        <v>0</v>
      </c>
      <c r="V161">
        <v>0</v>
      </c>
      <c r="W161">
        <v>0</v>
      </c>
      <c r="X161">
        <v>-379138</v>
      </c>
      <c r="Y161">
        <v>35186132</v>
      </c>
      <c r="Z161">
        <v>0</v>
      </c>
      <c r="AA161">
        <v>0</v>
      </c>
      <c r="AB161">
        <v>0</v>
      </c>
      <c r="AC161">
        <v>84425</v>
      </c>
      <c r="AD161">
        <v>84425</v>
      </c>
      <c r="AE161">
        <v>0</v>
      </c>
      <c r="AF161">
        <v>0</v>
      </c>
      <c r="AG161">
        <v>0</v>
      </c>
      <c r="AH161">
        <v>0</v>
      </c>
      <c r="AI161">
        <v>0</v>
      </c>
      <c r="AJ161">
        <v>0</v>
      </c>
      <c r="AK161">
        <v>0</v>
      </c>
      <c r="AL161">
        <v>0</v>
      </c>
      <c r="AM161">
        <v>0</v>
      </c>
      <c r="AN161">
        <v>0</v>
      </c>
      <c r="AO161">
        <v>0</v>
      </c>
      <c r="AP161">
        <v>0</v>
      </c>
      <c r="AQ161">
        <v>0</v>
      </c>
      <c r="AR161" s="661">
        <v>0</v>
      </c>
      <c r="AS161" t="s">
        <v>1812</v>
      </c>
    </row>
    <row r="162" spans="1:45" ht="12.75" x14ac:dyDescent="0.2">
      <c r="A162" s="605">
        <v>155</v>
      </c>
      <c r="B162" s="606" t="s">
        <v>194</v>
      </c>
      <c r="C162" s="607" t="s">
        <v>524</v>
      </c>
      <c r="D162" s="608" t="s">
        <v>1189</v>
      </c>
      <c r="E162" s="609" t="s">
        <v>529</v>
      </c>
      <c r="F162">
        <v>68248155</v>
      </c>
      <c r="G162">
        <v>4713140</v>
      </c>
      <c r="H162">
        <v>72961295</v>
      </c>
      <c r="I162">
        <v>-1622062</v>
      </c>
      <c r="J162">
        <v>-111992</v>
      </c>
      <c r="K162">
        <v>-1734054</v>
      </c>
      <c r="L162">
        <v>-3366702</v>
      </c>
      <c r="M162">
        <v>-232448</v>
      </c>
      <c r="N162">
        <v>-3599150</v>
      </c>
      <c r="O162">
        <v>63259391</v>
      </c>
      <c r="P162">
        <v>4368700</v>
      </c>
      <c r="Q162">
        <v>67628091</v>
      </c>
      <c r="R162">
        <v>0</v>
      </c>
      <c r="S162">
        <v>0</v>
      </c>
      <c r="T162">
        <v>0</v>
      </c>
      <c r="U162">
        <v>0</v>
      </c>
      <c r="V162">
        <v>0</v>
      </c>
      <c r="W162">
        <v>0</v>
      </c>
      <c r="X162">
        <v>10922</v>
      </c>
      <c r="Y162">
        <v>4846502</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s="661">
        <v>0</v>
      </c>
      <c r="AS162" t="s">
        <v>1813</v>
      </c>
    </row>
    <row r="163" spans="1:45" ht="12.75" x14ac:dyDescent="0.2">
      <c r="A163" s="605">
        <v>156</v>
      </c>
      <c r="B163" s="606" t="s">
        <v>196</v>
      </c>
      <c r="C163" s="607" t="s">
        <v>1185</v>
      </c>
      <c r="D163" s="608" t="s">
        <v>1186</v>
      </c>
      <c r="E163" s="609" t="s">
        <v>195</v>
      </c>
      <c r="F163">
        <v>61589868</v>
      </c>
      <c r="G163">
        <v>107175</v>
      </c>
      <c r="H163">
        <v>61697043</v>
      </c>
      <c r="I163">
        <v>-624186</v>
      </c>
      <c r="J163">
        <v>-1072</v>
      </c>
      <c r="K163">
        <v>-625258</v>
      </c>
      <c r="L163">
        <v>-2668786</v>
      </c>
      <c r="M163">
        <v>0</v>
      </c>
      <c r="N163">
        <v>-2668786</v>
      </c>
      <c r="O163">
        <v>58296896</v>
      </c>
      <c r="P163">
        <v>106103</v>
      </c>
      <c r="Q163">
        <v>58402999</v>
      </c>
      <c r="R163">
        <v>38465</v>
      </c>
      <c r="S163">
        <v>0</v>
      </c>
      <c r="T163">
        <v>38465</v>
      </c>
      <c r="U163">
        <v>0</v>
      </c>
      <c r="V163">
        <v>0</v>
      </c>
      <c r="W163">
        <v>0</v>
      </c>
      <c r="X163">
        <v>0</v>
      </c>
      <c r="Y163">
        <v>0</v>
      </c>
      <c r="Z163">
        <v>106103</v>
      </c>
      <c r="AA163">
        <v>106103</v>
      </c>
      <c r="AB163">
        <v>0</v>
      </c>
      <c r="AC163">
        <v>0</v>
      </c>
      <c r="AD163">
        <v>0</v>
      </c>
      <c r="AE163">
        <v>0</v>
      </c>
      <c r="AF163">
        <v>55000</v>
      </c>
      <c r="AG163">
        <v>55000</v>
      </c>
      <c r="AH163">
        <v>0</v>
      </c>
      <c r="AI163">
        <v>0</v>
      </c>
      <c r="AJ163">
        <v>0</v>
      </c>
      <c r="AK163">
        <v>0</v>
      </c>
      <c r="AL163">
        <v>0</v>
      </c>
      <c r="AM163">
        <v>0</v>
      </c>
      <c r="AN163">
        <v>0</v>
      </c>
      <c r="AO163">
        <v>0</v>
      </c>
      <c r="AP163">
        <v>0</v>
      </c>
      <c r="AQ163">
        <v>55000</v>
      </c>
      <c r="AR163" s="661">
        <v>55000</v>
      </c>
      <c r="AS163" t="s">
        <v>1814</v>
      </c>
    </row>
    <row r="164" spans="1:45" ht="12.75" x14ac:dyDescent="0.2">
      <c r="A164" s="605">
        <v>157</v>
      </c>
      <c r="B164" s="606" t="s">
        <v>198</v>
      </c>
      <c r="C164" s="607" t="s">
        <v>1185</v>
      </c>
      <c r="D164" s="608" t="s">
        <v>1189</v>
      </c>
      <c r="E164" s="609" t="s">
        <v>197</v>
      </c>
      <c r="F164">
        <v>15486278</v>
      </c>
      <c r="G164">
        <v>0</v>
      </c>
      <c r="H164">
        <v>15486278</v>
      </c>
      <c r="I164">
        <v>-309726</v>
      </c>
      <c r="J164">
        <v>0</v>
      </c>
      <c r="K164">
        <v>-309726</v>
      </c>
      <c r="L164">
        <v>-459195</v>
      </c>
      <c r="M164">
        <v>0</v>
      </c>
      <c r="N164">
        <v>-459195</v>
      </c>
      <c r="O164">
        <v>14717357</v>
      </c>
      <c r="P164">
        <v>0</v>
      </c>
      <c r="Q164">
        <v>14717357</v>
      </c>
      <c r="R164">
        <v>746164</v>
      </c>
      <c r="S164">
        <v>0</v>
      </c>
      <c r="T164">
        <v>746164</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s="661">
        <v>0</v>
      </c>
      <c r="AS164" t="s">
        <v>1815</v>
      </c>
    </row>
    <row r="165" spans="1:45" ht="12.75" x14ac:dyDescent="0.2">
      <c r="A165" s="605">
        <v>158</v>
      </c>
      <c r="B165" s="606" t="s">
        <v>200</v>
      </c>
      <c r="C165" s="607" t="s">
        <v>1185</v>
      </c>
      <c r="D165" s="608" t="s">
        <v>1195</v>
      </c>
      <c r="E165" s="609" t="s">
        <v>199</v>
      </c>
      <c r="F165">
        <v>16374421</v>
      </c>
      <c r="G165">
        <v>0</v>
      </c>
      <c r="H165">
        <v>16374421</v>
      </c>
      <c r="I165">
        <v>-150000</v>
      </c>
      <c r="J165">
        <v>0</v>
      </c>
      <c r="K165">
        <v>-150000</v>
      </c>
      <c r="L165">
        <v>-491250</v>
      </c>
      <c r="M165">
        <v>0</v>
      </c>
      <c r="N165">
        <v>-491250</v>
      </c>
      <c r="O165">
        <v>15733171</v>
      </c>
      <c r="P165">
        <v>0</v>
      </c>
      <c r="Q165">
        <v>15733171</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s="661">
        <v>0</v>
      </c>
      <c r="AS165" t="s">
        <v>1816</v>
      </c>
    </row>
    <row r="166" spans="1:45" ht="12.75" x14ac:dyDescent="0.2">
      <c r="A166" s="605">
        <v>159</v>
      </c>
      <c r="B166" s="606" t="s">
        <v>202</v>
      </c>
      <c r="C166" s="607" t="s">
        <v>1192</v>
      </c>
      <c r="D166" s="608" t="s">
        <v>1187</v>
      </c>
      <c r="E166" s="609" t="s">
        <v>201</v>
      </c>
      <c r="F166">
        <v>370769377</v>
      </c>
      <c r="G166">
        <v>13541860</v>
      </c>
      <c r="H166">
        <v>384311237</v>
      </c>
      <c r="I166">
        <v>-11123081</v>
      </c>
      <c r="J166">
        <v>-406255</v>
      </c>
      <c r="K166">
        <v>-11529336</v>
      </c>
      <c r="L166">
        <v>-25916779</v>
      </c>
      <c r="M166">
        <v>-946576</v>
      </c>
      <c r="N166">
        <v>-26863355</v>
      </c>
      <c r="O166">
        <v>333729517</v>
      </c>
      <c r="P166">
        <v>12189029</v>
      </c>
      <c r="Q166">
        <v>345918546</v>
      </c>
      <c r="R166">
        <v>0</v>
      </c>
      <c r="S166">
        <v>0</v>
      </c>
      <c r="T166">
        <v>0</v>
      </c>
      <c r="U166">
        <v>0</v>
      </c>
      <c r="V166">
        <v>0</v>
      </c>
      <c r="W166">
        <v>0</v>
      </c>
      <c r="X166">
        <v>12211</v>
      </c>
      <c r="Y166">
        <v>12584742</v>
      </c>
      <c r="Z166">
        <v>576740</v>
      </c>
      <c r="AA166">
        <v>576740</v>
      </c>
      <c r="AB166">
        <v>0</v>
      </c>
      <c r="AC166">
        <v>1058176</v>
      </c>
      <c r="AD166">
        <v>1058176</v>
      </c>
      <c r="AE166">
        <v>0</v>
      </c>
      <c r="AF166">
        <v>0</v>
      </c>
      <c r="AG166">
        <v>0</v>
      </c>
      <c r="AH166">
        <v>0</v>
      </c>
      <c r="AI166">
        <v>0</v>
      </c>
      <c r="AJ166">
        <v>0</v>
      </c>
      <c r="AK166">
        <v>0</v>
      </c>
      <c r="AL166">
        <v>0</v>
      </c>
      <c r="AM166">
        <v>0</v>
      </c>
      <c r="AN166">
        <v>0</v>
      </c>
      <c r="AO166">
        <v>0</v>
      </c>
      <c r="AP166">
        <v>0</v>
      </c>
      <c r="AQ166">
        <v>0</v>
      </c>
      <c r="AR166" s="661">
        <v>0</v>
      </c>
      <c r="AS166" t="s">
        <v>1817</v>
      </c>
    </row>
    <row r="167" spans="1:45" ht="12.75" x14ac:dyDescent="0.2">
      <c r="A167" s="605">
        <v>160</v>
      </c>
      <c r="B167" s="606" t="s">
        <v>204</v>
      </c>
      <c r="C167" s="607" t="s">
        <v>1185</v>
      </c>
      <c r="D167" s="608" t="s">
        <v>1188</v>
      </c>
      <c r="E167" s="609" t="s">
        <v>203</v>
      </c>
      <c r="F167">
        <v>30779331</v>
      </c>
      <c r="G167">
        <v>0</v>
      </c>
      <c r="H167">
        <v>30779331</v>
      </c>
      <c r="I167">
        <v>-523300</v>
      </c>
      <c r="J167">
        <v>0</v>
      </c>
      <c r="K167">
        <v>-523300</v>
      </c>
      <c r="L167">
        <v>-1213360</v>
      </c>
      <c r="M167">
        <v>0</v>
      </c>
      <c r="N167">
        <v>-1213360</v>
      </c>
      <c r="O167">
        <v>29042671</v>
      </c>
      <c r="P167">
        <v>0</v>
      </c>
      <c r="Q167">
        <v>29042671</v>
      </c>
      <c r="R167">
        <v>73031</v>
      </c>
      <c r="S167">
        <v>0</v>
      </c>
      <c r="T167">
        <v>73031</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s="661">
        <v>0</v>
      </c>
      <c r="AS167" t="s">
        <v>1818</v>
      </c>
    </row>
    <row r="168" spans="1:45" ht="12.75" x14ac:dyDescent="0.2">
      <c r="A168" s="605">
        <v>161</v>
      </c>
      <c r="B168" s="606" t="s">
        <v>206</v>
      </c>
      <c r="C168" s="607" t="s">
        <v>524</v>
      </c>
      <c r="D168" s="608" t="s">
        <v>1186</v>
      </c>
      <c r="E168" s="609" t="s">
        <v>584</v>
      </c>
      <c r="F168">
        <v>99761389</v>
      </c>
      <c r="G168">
        <v>0</v>
      </c>
      <c r="H168">
        <v>99761389</v>
      </c>
      <c r="I168">
        <v>-1500000</v>
      </c>
      <c r="J168">
        <v>0</v>
      </c>
      <c r="K168">
        <v>-1500000</v>
      </c>
      <c r="L168">
        <v>-3842490</v>
      </c>
      <c r="M168">
        <v>0</v>
      </c>
      <c r="N168">
        <v>-3842490</v>
      </c>
      <c r="O168">
        <v>94418899</v>
      </c>
      <c r="P168">
        <v>0</v>
      </c>
      <c r="Q168">
        <v>94418899</v>
      </c>
      <c r="R168">
        <v>63271</v>
      </c>
      <c r="S168">
        <v>0</v>
      </c>
      <c r="T168">
        <v>63271</v>
      </c>
      <c r="U168">
        <v>0</v>
      </c>
      <c r="V168">
        <v>0</v>
      </c>
      <c r="W168">
        <v>0</v>
      </c>
      <c r="X168">
        <v>0</v>
      </c>
      <c r="Y168">
        <v>11661</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s="661">
        <v>0</v>
      </c>
      <c r="AS168" t="s">
        <v>1819</v>
      </c>
    </row>
    <row r="169" spans="1:45" ht="12.75" x14ac:dyDescent="0.2">
      <c r="A169" s="605">
        <v>162</v>
      </c>
      <c r="B169" s="606" t="s">
        <v>208</v>
      </c>
      <c r="C169" s="607" t="s">
        <v>1185</v>
      </c>
      <c r="D169" s="608" t="s">
        <v>1188</v>
      </c>
      <c r="E169" s="609" t="s">
        <v>207</v>
      </c>
      <c r="F169">
        <v>15079398</v>
      </c>
      <c r="G169">
        <v>0</v>
      </c>
      <c r="H169">
        <v>15079398</v>
      </c>
      <c r="I169">
        <v>-116683</v>
      </c>
      <c r="J169">
        <v>0</v>
      </c>
      <c r="K169">
        <v>-116683</v>
      </c>
      <c r="L169">
        <v>-250000</v>
      </c>
      <c r="M169">
        <v>0</v>
      </c>
      <c r="N169">
        <v>-250000</v>
      </c>
      <c r="O169">
        <v>14712715</v>
      </c>
      <c r="P169">
        <v>0</v>
      </c>
      <c r="Q169">
        <v>14712715</v>
      </c>
      <c r="R169">
        <v>140000</v>
      </c>
      <c r="S169">
        <v>0</v>
      </c>
      <c r="T169">
        <v>140000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s="661">
        <v>0</v>
      </c>
      <c r="AS169" t="s">
        <v>1820</v>
      </c>
    </row>
    <row r="170" spans="1:45" ht="12.75" x14ac:dyDescent="0.2">
      <c r="A170" s="605">
        <v>163</v>
      </c>
      <c r="B170" s="606" t="s">
        <v>210</v>
      </c>
      <c r="C170" s="607" t="s">
        <v>1185</v>
      </c>
      <c r="D170" s="608" t="s">
        <v>1194</v>
      </c>
      <c r="E170" s="609" t="s">
        <v>209</v>
      </c>
      <c r="F170">
        <v>36517340</v>
      </c>
      <c r="G170">
        <v>0</v>
      </c>
      <c r="H170">
        <v>36517340</v>
      </c>
      <c r="I170">
        <v>-77979</v>
      </c>
      <c r="J170">
        <v>0</v>
      </c>
      <c r="K170">
        <v>-77979</v>
      </c>
      <c r="L170">
        <v>-63924</v>
      </c>
      <c r="M170">
        <v>0</v>
      </c>
      <c r="N170">
        <v>-63924</v>
      </c>
      <c r="O170">
        <v>36375437</v>
      </c>
      <c r="P170">
        <v>0</v>
      </c>
      <c r="Q170">
        <v>36375437</v>
      </c>
      <c r="R170">
        <v>114618</v>
      </c>
      <c r="S170">
        <v>0</v>
      </c>
      <c r="T170">
        <v>114618</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s="661">
        <v>0</v>
      </c>
      <c r="AS170" t="s">
        <v>1821</v>
      </c>
    </row>
    <row r="171" spans="1:45" ht="12.75" x14ac:dyDescent="0.2">
      <c r="A171" s="605">
        <v>164</v>
      </c>
      <c r="B171" s="606" t="s">
        <v>212</v>
      </c>
      <c r="C171" s="607" t="s">
        <v>1190</v>
      </c>
      <c r="D171" s="608" t="s">
        <v>1191</v>
      </c>
      <c r="E171" s="609" t="s">
        <v>211</v>
      </c>
      <c r="F171">
        <v>91235147</v>
      </c>
      <c r="G171">
        <v>0</v>
      </c>
      <c r="H171">
        <v>91235147</v>
      </c>
      <c r="I171">
        <v>-692106</v>
      </c>
      <c r="J171">
        <v>0</v>
      </c>
      <c r="K171">
        <v>-692106</v>
      </c>
      <c r="L171">
        <v>-3064766</v>
      </c>
      <c r="M171">
        <v>0</v>
      </c>
      <c r="N171">
        <v>-3064766</v>
      </c>
      <c r="O171">
        <v>87478275</v>
      </c>
      <c r="P171">
        <v>0</v>
      </c>
      <c r="Q171">
        <v>87478275</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s="661">
        <v>0</v>
      </c>
      <c r="AS171" t="s">
        <v>1822</v>
      </c>
    </row>
    <row r="172" spans="1:45" ht="12.75" x14ac:dyDescent="0.2">
      <c r="A172" s="605">
        <v>165</v>
      </c>
      <c r="B172" s="606" t="s">
        <v>214</v>
      </c>
      <c r="C172" s="607" t="s">
        <v>1185</v>
      </c>
      <c r="D172" s="608" t="s">
        <v>1194</v>
      </c>
      <c r="E172" s="609" t="s">
        <v>213</v>
      </c>
      <c r="F172">
        <v>15895546</v>
      </c>
      <c r="G172">
        <v>0</v>
      </c>
      <c r="H172">
        <v>15895546</v>
      </c>
      <c r="I172">
        <v>-60000</v>
      </c>
      <c r="J172">
        <v>0</v>
      </c>
      <c r="K172">
        <v>-60000</v>
      </c>
      <c r="L172">
        <v>-200000</v>
      </c>
      <c r="M172">
        <v>0</v>
      </c>
      <c r="N172">
        <v>-200000</v>
      </c>
      <c r="O172">
        <v>15635546</v>
      </c>
      <c r="P172">
        <v>0</v>
      </c>
      <c r="Q172">
        <v>15635546</v>
      </c>
      <c r="R172">
        <v>166869</v>
      </c>
      <c r="S172">
        <v>0</v>
      </c>
      <c r="T172">
        <v>166869</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s="661">
        <v>0</v>
      </c>
      <c r="AS172" t="s">
        <v>1823</v>
      </c>
    </row>
    <row r="173" spans="1:45" ht="12.75" x14ac:dyDescent="0.2">
      <c r="A173" s="605">
        <v>166</v>
      </c>
      <c r="B173" s="606" t="s">
        <v>216</v>
      </c>
      <c r="C173" s="607" t="s">
        <v>1185</v>
      </c>
      <c r="D173" s="608" t="s">
        <v>1189</v>
      </c>
      <c r="E173" s="609" t="s">
        <v>215</v>
      </c>
      <c r="F173">
        <v>24655954</v>
      </c>
      <c r="G173">
        <v>0</v>
      </c>
      <c r="H173">
        <v>24655954</v>
      </c>
      <c r="I173">
        <v>-141500</v>
      </c>
      <c r="J173">
        <v>0</v>
      </c>
      <c r="K173">
        <v>-141500</v>
      </c>
      <c r="L173">
        <v>-869120</v>
      </c>
      <c r="M173">
        <v>0</v>
      </c>
      <c r="N173">
        <v>-869120</v>
      </c>
      <c r="O173">
        <v>23645334</v>
      </c>
      <c r="P173">
        <v>0</v>
      </c>
      <c r="Q173">
        <v>23645334</v>
      </c>
      <c r="R173">
        <v>338749</v>
      </c>
      <c r="S173">
        <v>0</v>
      </c>
      <c r="T173">
        <v>338749</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s="661">
        <v>0</v>
      </c>
      <c r="AS173" t="s">
        <v>1824</v>
      </c>
    </row>
    <row r="174" spans="1:45" ht="12.75" x14ac:dyDescent="0.2">
      <c r="A174" s="605">
        <v>167</v>
      </c>
      <c r="B174" s="606" t="s">
        <v>218</v>
      </c>
      <c r="C174" s="607" t="s">
        <v>1185</v>
      </c>
      <c r="D174" s="608" t="s">
        <v>1186</v>
      </c>
      <c r="E174" s="609" t="s">
        <v>217</v>
      </c>
      <c r="F174">
        <v>49155708</v>
      </c>
      <c r="G174">
        <v>0</v>
      </c>
      <c r="H174">
        <v>49155708</v>
      </c>
      <c r="I174">
        <v>-491557</v>
      </c>
      <c r="J174">
        <v>0</v>
      </c>
      <c r="K174">
        <v>-491557</v>
      </c>
      <c r="L174">
        <v>-2310318</v>
      </c>
      <c r="M174">
        <v>0</v>
      </c>
      <c r="N174">
        <v>-2310318</v>
      </c>
      <c r="O174">
        <v>46353833</v>
      </c>
      <c r="P174">
        <v>0</v>
      </c>
      <c r="Q174">
        <v>46353833</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s="661">
        <v>0</v>
      </c>
      <c r="AS174" t="s">
        <v>1825</v>
      </c>
    </row>
    <row r="175" spans="1:45" ht="12.75" x14ac:dyDescent="0.2">
      <c r="A175" s="605">
        <v>168</v>
      </c>
      <c r="B175" s="606" t="s">
        <v>220</v>
      </c>
      <c r="C175" s="607" t="s">
        <v>524</v>
      </c>
      <c r="D175" s="608" t="s">
        <v>1197</v>
      </c>
      <c r="E175" s="609" t="s">
        <v>549</v>
      </c>
      <c r="F175">
        <v>37334368</v>
      </c>
      <c r="G175">
        <v>2656963</v>
      </c>
      <c r="H175">
        <v>39991331</v>
      </c>
      <c r="I175">
        <v>-1160000</v>
      </c>
      <c r="J175">
        <v>-84000</v>
      </c>
      <c r="K175">
        <v>-1244000</v>
      </c>
      <c r="L175">
        <v>-975000</v>
      </c>
      <c r="M175">
        <v>-64000</v>
      </c>
      <c r="N175">
        <v>-1039000</v>
      </c>
      <c r="O175">
        <v>35199368</v>
      </c>
      <c r="P175">
        <v>2508963</v>
      </c>
      <c r="Q175">
        <v>37708331</v>
      </c>
      <c r="R175">
        <v>131376</v>
      </c>
      <c r="S175">
        <v>0</v>
      </c>
      <c r="T175">
        <v>131376</v>
      </c>
      <c r="U175">
        <v>0</v>
      </c>
      <c r="V175">
        <v>0</v>
      </c>
      <c r="W175">
        <v>0</v>
      </c>
      <c r="X175">
        <v>-57122</v>
      </c>
      <c r="Y175">
        <v>2978093</v>
      </c>
      <c r="Z175">
        <v>15144</v>
      </c>
      <c r="AA175">
        <v>15144</v>
      </c>
      <c r="AB175">
        <v>0</v>
      </c>
      <c r="AC175">
        <v>0</v>
      </c>
      <c r="AD175">
        <v>0</v>
      </c>
      <c r="AE175">
        <v>0</v>
      </c>
      <c r="AF175">
        <v>168111</v>
      </c>
      <c r="AG175">
        <v>168111</v>
      </c>
      <c r="AH175">
        <v>34611916</v>
      </c>
      <c r="AI175">
        <v>34611916</v>
      </c>
      <c r="AJ175">
        <v>40983897</v>
      </c>
      <c r="AK175">
        <v>40983897</v>
      </c>
      <c r="AL175">
        <v>0</v>
      </c>
      <c r="AM175">
        <v>0</v>
      </c>
      <c r="AN175">
        <v>0</v>
      </c>
      <c r="AO175">
        <v>0</v>
      </c>
      <c r="AP175">
        <v>0</v>
      </c>
      <c r="AQ175">
        <v>168111</v>
      </c>
      <c r="AR175" s="661">
        <v>168111</v>
      </c>
      <c r="AS175" t="s">
        <v>1826</v>
      </c>
    </row>
    <row r="176" spans="1:45" ht="12.75" x14ac:dyDescent="0.2">
      <c r="A176" s="605">
        <v>169</v>
      </c>
      <c r="B176" s="606" t="s">
        <v>222</v>
      </c>
      <c r="C176" s="607" t="s">
        <v>524</v>
      </c>
      <c r="D176" s="608" t="s">
        <v>1186</v>
      </c>
      <c r="E176" s="609" t="s">
        <v>537</v>
      </c>
      <c r="F176">
        <v>186296810</v>
      </c>
      <c r="G176">
        <v>0</v>
      </c>
      <c r="H176">
        <v>186296810</v>
      </c>
      <c r="I176">
        <v>-1800000</v>
      </c>
      <c r="J176">
        <v>0</v>
      </c>
      <c r="K176">
        <v>-1800000</v>
      </c>
      <c r="L176">
        <v>-21000000</v>
      </c>
      <c r="M176">
        <v>0</v>
      </c>
      <c r="N176">
        <v>-21000000</v>
      </c>
      <c r="O176">
        <v>163496810</v>
      </c>
      <c r="P176">
        <v>0</v>
      </c>
      <c r="Q176">
        <v>163496810</v>
      </c>
      <c r="R176">
        <v>160000</v>
      </c>
      <c r="S176">
        <v>0</v>
      </c>
      <c r="T176">
        <v>160000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s="661">
        <v>0</v>
      </c>
      <c r="AS176" t="s">
        <v>1827</v>
      </c>
    </row>
    <row r="177" spans="1:45" ht="12.75" x14ac:dyDescent="0.2">
      <c r="A177" s="605">
        <v>170</v>
      </c>
      <c r="B177" s="606" t="s">
        <v>224</v>
      </c>
      <c r="C177" s="607" t="s">
        <v>1185</v>
      </c>
      <c r="D177" s="608" t="s">
        <v>1186</v>
      </c>
      <c r="E177" s="609" t="s">
        <v>223</v>
      </c>
      <c r="F177">
        <v>44211092</v>
      </c>
      <c r="G177">
        <v>0</v>
      </c>
      <c r="H177">
        <v>44211092</v>
      </c>
      <c r="I177">
        <v>-176844</v>
      </c>
      <c r="J177">
        <v>0</v>
      </c>
      <c r="K177">
        <v>-176844</v>
      </c>
      <c r="L177">
        <v>-2037</v>
      </c>
      <c r="M177">
        <v>0</v>
      </c>
      <c r="N177">
        <v>-2037</v>
      </c>
      <c r="O177">
        <v>44032211</v>
      </c>
      <c r="P177">
        <v>0</v>
      </c>
      <c r="Q177">
        <v>44032211</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s="661">
        <v>0</v>
      </c>
      <c r="AS177" t="s">
        <v>1828</v>
      </c>
    </row>
    <row r="178" spans="1:45" ht="12.75" x14ac:dyDescent="0.2">
      <c r="A178" s="605">
        <v>171</v>
      </c>
      <c r="B178" s="606" t="s">
        <v>226</v>
      </c>
      <c r="C178" s="607" t="s">
        <v>1185</v>
      </c>
      <c r="D178" s="608" t="s">
        <v>1186</v>
      </c>
      <c r="E178" s="609" t="s">
        <v>225</v>
      </c>
      <c r="F178">
        <v>72039915</v>
      </c>
      <c r="G178">
        <v>0</v>
      </c>
      <c r="H178">
        <v>72039915</v>
      </c>
      <c r="I178">
        <v>-360200</v>
      </c>
      <c r="J178">
        <v>0</v>
      </c>
      <c r="K178">
        <v>-360200</v>
      </c>
      <c r="L178">
        <v>-2521072</v>
      </c>
      <c r="M178">
        <v>0</v>
      </c>
      <c r="N178">
        <v>-2521072</v>
      </c>
      <c r="O178">
        <v>69158643</v>
      </c>
      <c r="P178">
        <v>0</v>
      </c>
      <c r="Q178">
        <v>69158643</v>
      </c>
      <c r="R178">
        <v>10000</v>
      </c>
      <c r="S178">
        <v>0</v>
      </c>
      <c r="T178">
        <v>10000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s="661">
        <v>0</v>
      </c>
      <c r="AS178" t="s">
        <v>1829</v>
      </c>
    </row>
    <row r="179" spans="1:45" ht="12.75" x14ac:dyDescent="0.2">
      <c r="A179" s="605">
        <v>172</v>
      </c>
      <c r="B179" s="606" t="s">
        <v>228</v>
      </c>
      <c r="C179" s="607" t="s">
        <v>1185</v>
      </c>
      <c r="D179" s="608" t="s">
        <v>1188</v>
      </c>
      <c r="E179" s="609" t="s">
        <v>227</v>
      </c>
      <c r="F179">
        <v>45129170</v>
      </c>
      <c r="G179">
        <v>0</v>
      </c>
      <c r="H179">
        <v>45129170</v>
      </c>
      <c r="I179">
        <v>-250000</v>
      </c>
      <c r="J179">
        <v>0</v>
      </c>
      <c r="K179">
        <v>-250000</v>
      </c>
      <c r="L179">
        <v>-500000</v>
      </c>
      <c r="M179">
        <v>0</v>
      </c>
      <c r="N179">
        <v>-500000</v>
      </c>
      <c r="O179">
        <v>44379170</v>
      </c>
      <c r="P179">
        <v>0</v>
      </c>
      <c r="Q179">
        <v>44379170</v>
      </c>
      <c r="R179">
        <v>775515</v>
      </c>
      <c r="S179">
        <v>0</v>
      </c>
      <c r="T179">
        <v>775515</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s="661">
        <v>0</v>
      </c>
      <c r="AS179" t="s">
        <v>1830</v>
      </c>
    </row>
    <row r="180" spans="1:45" ht="12.75" x14ac:dyDescent="0.2">
      <c r="A180" s="605">
        <v>173</v>
      </c>
      <c r="B180" s="606" t="s">
        <v>229</v>
      </c>
      <c r="C180" s="607" t="s">
        <v>1192</v>
      </c>
      <c r="D180" s="608" t="s">
        <v>1197</v>
      </c>
      <c r="E180" s="609" t="s">
        <v>860</v>
      </c>
      <c r="F180">
        <v>142511289</v>
      </c>
      <c r="G180">
        <v>8423322</v>
      </c>
      <c r="H180">
        <v>150934611</v>
      </c>
      <c r="I180">
        <v>-2208925</v>
      </c>
      <c r="J180">
        <v>-130561</v>
      </c>
      <c r="K180">
        <v>-2339486</v>
      </c>
      <c r="L180">
        <v>-7125564</v>
      </c>
      <c r="M180">
        <v>-421166</v>
      </c>
      <c r="N180">
        <v>-7546730</v>
      </c>
      <c r="O180">
        <v>133176800</v>
      </c>
      <c r="P180">
        <v>7871595</v>
      </c>
      <c r="Q180">
        <v>141048395</v>
      </c>
      <c r="R180">
        <v>0</v>
      </c>
      <c r="S180">
        <v>0</v>
      </c>
      <c r="T180">
        <v>0</v>
      </c>
      <c r="U180">
        <v>0</v>
      </c>
      <c r="V180">
        <v>0</v>
      </c>
      <c r="W180">
        <v>0</v>
      </c>
      <c r="X180">
        <v>-229460</v>
      </c>
      <c r="Y180">
        <v>5641452</v>
      </c>
      <c r="Z180">
        <v>2000683</v>
      </c>
      <c r="AA180">
        <v>2000683</v>
      </c>
      <c r="AB180">
        <v>0</v>
      </c>
      <c r="AC180">
        <v>0</v>
      </c>
      <c r="AD180">
        <v>0</v>
      </c>
      <c r="AE180">
        <v>0</v>
      </c>
      <c r="AF180">
        <v>0</v>
      </c>
      <c r="AG180">
        <v>0</v>
      </c>
      <c r="AH180">
        <v>0</v>
      </c>
      <c r="AI180">
        <v>0</v>
      </c>
      <c r="AJ180">
        <v>0</v>
      </c>
      <c r="AK180">
        <v>0</v>
      </c>
      <c r="AL180">
        <v>0</v>
      </c>
      <c r="AM180">
        <v>0</v>
      </c>
      <c r="AN180">
        <v>0</v>
      </c>
      <c r="AO180">
        <v>0</v>
      </c>
      <c r="AP180">
        <v>0</v>
      </c>
      <c r="AQ180">
        <v>0</v>
      </c>
      <c r="AR180" s="661">
        <v>0</v>
      </c>
      <c r="AS180" t="s">
        <v>1831</v>
      </c>
    </row>
    <row r="181" spans="1:45" ht="12.75" x14ac:dyDescent="0.2">
      <c r="A181" s="605">
        <v>174</v>
      </c>
      <c r="B181" s="606" t="s">
        <v>231</v>
      </c>
      <c r="C181" s="607" t="s">
        <v>1185</v>
      </c>
      <c r="D181" s="608" t="s">
        <v>1195</v>
      </c>
      <c r="E181" s="609" t="s">
        <v>230</v>
      </c>
      <c r="F181">
        <v>36895638</v>
      </c>
      <c r="G181">
        <v>0</v>
      </c>
      <c r="H181">
        <v>36895638</v>
      </c>
      <c r="I181">
        <v>-250000</v>
      </c>
      <c r="J181">
        <v>0</v>
      </c>
      <c r="K181">
        <v>-250000</v>
      </c>
      <c r="L181">
        <v>-750000</v>
      </c>
      <c r="M181">
        <v>0</v>
      </c>
      <c r="N181">
        <v>-750000</v>
      </c>
      <c r="O181">
        <v>35895638</v>
      </c>
      <c r="P181">
        <v>0</v>
      </c>
      <c r="Q181">
        <v>35895638</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s="661">
        <v>0</v>
      </c>
      <c r="AS181" t="s">
        <v>1832</v>
      </c>
    </row>
    <row r="182" spans="1:45" ht="12.75" x14ac:dyDescent="0.2">
      <c r="A182" s="605">
        <v>175</v>
      </c>
      <c r="B182" s="606" t="s">
        <v>233</v>
      </c>
      <c r="C182" s="607" t="s">
        <v>1190</v>
      </c>
      <c r="D182" s="608" t="s">
        <v>1191</v>
      </c>
      <c r="E182" s="609" t="s">
        <v>232</v>
      </c>
      <c r="F182">
        <v>165657914</v>
      </c>
      <c r="G182">
        <v>2093024</v>
      </c>
      <c r="H182">
        <v>167750938</v>
      </c>
      <c r="I182">
        <v>-787622</v>
      </c>
      <c r="J182">
        <v>0</v>
      </c>
      <c r="K182">
        <v>-787622</v>
      </c>
      <c r="L182">
        <v>-11960479</v>
      </c>
      <c r="M182">
        <v>0</v>
      </c>
      <c r="N182">
        <v>-11960479</v>
      </c>
      <c r="O182">
        <v>152909813</v>
      </c>
      <c r="P182">
        <v>2093024</v>
      </c>
      <c r="Q182">
        <v>155002837</v>
      </c>
      <c r="R182">
        <v>0</v>
      </c>
      <c r="S182">
        <v>0</v>
      </c>
      <c r="T182">
        <v>0</v>
      </c>
      <c r="U182">
        <v>0</v>
      </c>
      <c r="V182">
        <v>0</v>
      </c>
      <c r="W182">
        <v>0</v>
      </c>
      <c r="X182">
        <v>5268</v>
      </c>
      <c r="Y182">
        <v>247182</v>
      </c>
      <c r="Z182">
        <v>1851110</v>
      </c>
      <c r="AA182">
        <v>1851110</v>
      </c>
      <c r="AB182">
        <v>0</v>
      </c>
      <c r="AC182">
        <v>0</v>
      </c>
      <c r="AD182">
        <v>0</v>
      </c>
      <c r="AE182">
        <v>0</v>
      </c>
      <c r="AF182">
        <v>331425</v>
      </c>
      <c r="AG182">
        <v>331425</v>
      </c>
      <c r="AH182">
        <v>0</v>
      </c>
      <c r="AI182">
        <v>0</v>
      </c>
      <c r="AJ182">
        <v>0</v>
      </c>
      <c r="AK182">
        <v>0</v>
      </c>
      <c r="AL182">
        <v>0</v>
      </c>
      <c r="AM182">
        <v>0</v>
      </c>
      <c r="AN182">
        <v>0</v>
      </c>
      <c r="AO182">
        <v>0</v>
      </c>
      <c r="AP182">
        <v>0</v>
      </c>
      <c r="AQ182">
        <v>331425</v>
      </c>
      <c r="AR182" s="661">
        <v>331425</v>
      </c>
      <c r="AS182" t="s">
        <v>1833</v>
      </c>
    </row>
    <row r="183" spans="1:45" ht="12.75" x14ac:dyDescent="0.2">
      <c r="A183" s="605">
        <v>176</v>
      </c>
      <c r="B183" s="606" t="s">
        <v>235</v>
      </c>
      <c r="C183" s="607" t="s">
        <v>1185</v>
      </c>
      <c r="D183" s="608" t="s">
        <v>1194</v>
      </c>
      <c r="E183" s="609" t="s">
        <v>234</v>
      </c>
      <c r="F183">
        <v>33462489</v>
      </c>
      <c r="G183">
        <v>0</v>
      </c>
      <c r="H183">
        <v>33462489</v>
      </c>
      <c r="I183">
        <v>-334625</v>
      </c>
      <c r="J183">
        <v>0</v>
      </c>
      <c r="K183">
        <v>-334625</v>
      </c>
      <c r="L183">
        <v>-401550</v>
      </c>
      <c r="M183">
        <v>0</v>
      </c>
      <c r="N183">
        <v>-401550</v>
      </c>
      <c r="O183">
        <v>32726314</v>
      </c>
      <c r="P183">
        <v>0</v>
      </c>
      <c r="Q183">
        <v>32726314</v>
      </c>
      <c r="R183">
        <v>390412</v>
      </c>
      <c r="S183">
        <v>0</v>
      </c>
      <c r="T183">
        <v>390412</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s="661">
        <v>0</v>
      </c>
      <c r="AS183" t="s">
        <v>1834</v>
      </c>
    </row>
    <row r="184" spans="1:45" ht="12.75" x14ac:dyDescent="0.2">
      <c r="A184" s="605">
        <v>177</v>
      </c>
      <c r="B184" s="606" t="s">
        <v>237</v>
      </c>
      <c r="C184" s="607" t="s">
        <v>1185</v>
      </c>
      <c r="D184" s="608" t="s">
        <v>1188</v>
      </c>
      <c r="E184" s="609" t="s">
        <v>236</v>
      </c>
      <c r="F184">
        <v>18225595</v>
      </c>
      <c r="G184">
        <v>0</v>
      </c>
      <c r="H184">
        <v>18225595</v>
      </c>
      <c r="I184">
        <v>-160000</v>
      </c>
      <c r="J184">
        <v>0</v>
      </c>
      <c r="K184">
        <v>-160000</v>
      </c>
      <c r="L184">
        <v>-720331</v>
      </c>
      <c r="M184">
        <v>0</v>
      </c>
      <c r="N184">
        <v>-720331</v>
      </c>
      <c r="O184">
        <v>17345264</v>
      </c>
      <c r="P184">
        <v>0</v>
      </c>
      <c r="Q184">
        <v>17345264</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s="661">
        <v>0</v>
      </c>
      <c r="AS184" t="s">
        <v>1835</v>
      </c>
    </row>
    <row r="185" spans="1:45" ht="12.75" x14ac:dyDescent="0.2">
      <c r="A185" s="605">
        <v>178</v>
      </c>
      <c r="B185" s="606" t="s">
        <v>239</v>
      </c>
      <c r="C185" s="607" t="s">
        <v>524</v>
      </c>
      <c r="D185" s="608" t="s">
        <v>1193</v>
      </c>
      <c r="E185" s="609" t="s">
        <v>582</v>
      </c>
      <c r="F185">
        <v>67477933</v>
      </c>
      <c r="G185">
        <v>51296</v>
      </c>
      <c r="H185">
        <v>67529229</v>
      </c>
      <c r="I185">
        <v>-670779</v>
      </c>
      <c r="J185">
        <v>0</v>
      </c>
      <c r="K185">
        <v>-670779</v>
      </c>
      <c r="L185">
        <v>-3152663</v>
      </c>
      <c r="M185">
        <v>0</v>
      </c>
      <c r="N185">
        <v>-3152663</v>
      </c>
      <c r="O185">
        <v>63654491</v>
      </c>
      <c r="P185">
        <v>51296</v>
      </c>
      <c r="Q185">
        <v>63705787</v>
      </c>
      <c r="R185">
        <v>166985</v>
      </c>
      <c r="S185">
        <v>0</v>
      </c>
      <c r="T185">
        <v>166985</v>
      </c>
      <c r="U185">
        <v>0</v>
      </c>
      <c r="V185">
        <v>0</v>
      </c>
      <c r="W185">
        <v>0</v>
      </c>
      <c r="X185">
        <v>0</v>
      </c>
      <c r="Y185">
        <v>0</v>
      </c>
      <c r="Z185">
        <v>51296</v>
      </c>
      <c r="AA185">
        <v>51296</v>
      </c>
      <c r="AB185">
        <v>0</v>
      </c>
      <c r="AC185">
        <v>0</v>
      </c>
      <c r="AD185">
        <v>0</v>
      </c>
      <c r="AE185">
        <v>0</v>
      </c>
      <c r="AF185">
        <v>103310</v>
      </c>
      <c r="AG185">
        <v>103310</v>
      </c>
      <c r="AH185">
        <v>0</v>
      </c>
      <c r="AI185">
        <v>0</v>
      </c>
      <c r="AJ185">
        <v>0</v>
      </c>
      <c r="AK185">
        <v>0</v>
      </c>
      <c r="AL185">
        <v>0</v>
      </c>
      <c r="AM185">
        <v>0</v>
      </c>
      <c r="AN185">
        <v>0</v>
      </c>
      <c r="AO185">
        <v>0</v>
      </c>
      <c r="AP185">
        <v>0</v>
      </c>
      <c r="AQ185">
        <v>103310</v>
      </c>
      <c r="AR185" s="661">
        <v>103310</v>
      </c>
      <c r="AS185" t="s">
        <v>1836</v>
      </c>
    </row>
    <row r="186" spans="1:45" ht="12.75" x14ac:dyDescent="0.2">
      <c r="A186" s="605">
        <v>179</v>
      </c>
      <c r="B186" s="606" t="s">
        <v>241</v>
      </c>
      <c r="C186" s="607" t="s">
        <v>1185</v>
      </c>
      <c r="D186" s="608" t="s">
        <v>1189</v>
      </c>
      <c r="E186" s="609" t="s">
        <v>240</v>
      </c>
      <c r="F186">
        <v>40813262</v>
      </c>
      <c r="G186">
        <v>0</v>
      </c>
      <c r="H186">
        <v>40813262</v>
      </c>
      <c r="I186">
        <v>-500000</v>
      </c>
      <c r="J186">
        <v>0</v>
      </c>
      <c r="K186">
        <v>-500000</v>
      </c>
      <c r="L186">
        <v>-850000</v>
      </c>
      <c r="M186">
        <v>0</v>
      </c>
      <c r="N186">
        <v>-850000</v>
      </c>
      <c r="O186">
        <v>39463262</v>
      </c>
      <c r="P186">
        <v>0</v>
      </c>
      <c r="Q186">
        <v>39463262</v>
      </c>
      <c r="R186">
        <v>32753</v>
      </c>
      <c r="S186">
        <v>0</v>
      </c>
      <c r="T186">
        <v>32753</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s="661">
        <v>0</v>
      </c>
      <c r="AS186" t="s">
        <v>1837</v>
      </c>
    </row>
    <row r="187" spans="1:45" ht="12.75" x14ac:dyDescent="0.2">
      <c r="A187" s="605">
        <v>180</v>
      </c>
      <c r="B187" s="606" t="s">
        <v>243</v>
      </c>
      <c r="C187" s="607" t="s">
        <v>1185</v>
      </c>
      <c r="D187" s="608" t="s">
        <v>1188</v>
      </c>
      <c r="E187" s="609" t="s">
        <v>242</v>
      </c>
      <c r="F187">
        <v>29780368</v>
      </c>
      <c r="G187">
        <v>0</v>
      </c>
      <c r="H187">
        <v>29780368</v>
      </c>
      <c r="I187">
        <v>-150000</v>
      </c>
      <c r="J187">
        <v>0</v>
      </c>
      <c r="K187">
        <v>-150000</v>
      </c>
      <c r="L187">
        <v>-830000</v>
      </c>
      <c r="M187">
        <v>0</v>
      </c>
      <c r="N187">
        <v>-830000</v>
      </c>
      <c r="O187">
        <v>28800368</v>
      </c>
      <c r="P187">
        <v>0</v>
      </c>
      <c r="Q187">
        <v>28800368</v>
      </c>
      <c r="R187">
        <v>1697225</v>
      </c>
      <c r="S187">
        <v>0</v>
      </c>
      <c r="T187">
        <v>1697225</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s="661">
        <v>0</v>
      </c>
      <c r="AS187" t="s">
        <v>1838</v>
      </c>
    </row>
    <row r="188" spans="1:45" ht="12.75" x14ac:dyDescent="0.2">
      <c r="A188" s="605">
        <v>181</v>
      </c>
      <c r="B188" s="606" t="s">
        <v>245</v>
      </c>
      <c r="C188" s="607" t="s">
        <v>524</v>
      </c>
      <c r="D188" s="608" t="s">
        <v>1193</v>
      </c>
      <c r="E188" s="609" t="s">
        <v>583</v>
      </c>
      <c r="F188">
        <v>86254672</v>
      </c>
      <c r="G188">
        <v>2977153</v>
      </c>
      <c r="H188">
        <v>89231825</v>
      </c>
      <c r="I188">
        <v>-1221313</v>
      </c>
      <c r="J188">
        <v>0</v>
      </c>
      <c r="K188">
        <v>-1221313</v>
      </c>
      <c r="L188">
        <v>-4195415</v>
      </c>
      <c r="M188">
        <v>0</v>
      </c>
      <c r="N188">
        <v>-4195415</v>
      </c>
      <c r="O188">
        <v>80837944</v>
      </c>
      <c r="P188">
        <v>2977153</v>
      </c>
      <c r="Q188">
        <v>83815097</v>
      </c>
      <c r="R188">
        <v>2898735</v>
      </c>
      <c r="S188">
        <v>0</v>
      </c>
      <c r="T188">
        <v>2898735</v>
      </c>
      <c r="U188">
        <v>0</v>
      </c>
      <c r="V188">
        <v>0</v>
      </c>
      <c r="W188">
        <v>0</v>
      </c>
      <c r="X188">
        <v>63</v>
      </c>
      <c r="Y188">
        <v>981915</v>
      </c>
      <c r="Z188">
        <v>1995301</v>
      </c>
      <c r="AA188">
        <v>1995301</v>
      </c>
      <c r="AB188">
        <v>0</v>
      </c>
      <c r="AC188">
        <v>0</v>
      </c>
      <c r="AD188">
        <v>0</v>
      </c>
      <c r="AE188">
        <v>0</v>
      </c>
      <c r="AF188">
        <v>85950</v>
      </c>
      <c r="AG188">
        <v>85950</v>
      </c>
      <c r="AH188">
        <v>0</v>
      </c>
      <c r="AI188">
        <v>0</v>
      </c>
      <c r="AJ188">
        <v>0</v>
      </c>
      <c r="AK188">
        <v>0</v>
      </c>
      <c r="AL188">
        <v>0</v>
      </c>
      <c r="AM188">
        <v>0</v>
      </c>
      <c r="AN188">
        <v>0</v>
      </c>
      <c r="AO188">
        <v>0</v>
      </c>
      <c r="AP188">
        <v>0</v>
      </c>
      <c r="AQ188">
        <v>85950</v>
      </c>
      <c r="AR188" s="661">
        <v>85950</v>
      </c>
      <c r="AS188" t="s">
        <v>1839</v>
      </c>
    </row>
    <row r="189" spans="1:45" ht="12.75" x14ac:dyDescent="0.2">
      <c r="A189" s="605">
        <v>182</v>
      </c>
      <c r="B189" s="606" t="s">
        <v>247</v>
      </c>
      <c r="C189" s="607" t="s">
        <v>1185</v>
      </c>
      <c r="D189" s="608" t="s">
        <v>1189</v>
      </c>
      <c r="E189" s="609" t="s">
        <v>246</v>
      </c>
      <c r="F189">
        <v>27485671</v>
      </c>
      <c r="G189">
        <v>0</v>
      </c>
      <c r="H189">
        <v>27485671</v>
      </c>
      <c r="I189">
        <v>-100000</v>
      </c>
      <c r="J189">
        <v>0</v>
      </c>
      <c r="K189">
        <v>-100000</v>
      </c>
      <c r="L189">
        <v>-864978</v>
      </c>
      <c r="M189">
        <v>0</v>
      </c>
      <c r="N189">
        <v>-864978</v>
      </c>
      <c r="O189">
        <v>26520693</v>
      </c>
      <c r="P189">
        <v>0</v>
      </c>
      <c r="Q189">
        <v>26520693</v>
      </c>
      <c r="R189">
        <v>652778</v>
      </c>
      <c r="S189">
        <v>0</v>
      </c>
      <c r="T189">
        <v>652778</v>
      </c>
      <c r="U189">
        <v>0</v>
      </c>
      <c r="V189">
        <v>0</v>
      </c>
      <c r="W189">
        <v>0</v>
      </c>
      <c r="X189">
        <v>0</v>
      </c>
      <c r="Y189">
        <v>0</v>
      </c>
      <c r="Z189">
        <v>0</v>
      </c>
      <c r="AA189">
        <v>0</v>
      </c>
      <c r="AB189">
        <v>0</v>
      </c>
      <c r="AC189">
        <v>0</v>
      </c>
      <c r="AD189">
        <v>0</v>
      </c>
      <c r="AE189">
        <v>0</v>
      </c>
      <c r="AF189">
        <v>314588</v>
      </c>
      <c r="AG189">
        <v>314588</v>
      </c>
      <c r="AH189">
        <v>0</v>
      </c>
      <c r="AI189">
        <v>0</v>
      </c>
      <c r="AJ189">
        <v>0</v>
      </c>
      <c r="AK189">
        <v>0</v>
      </c>
      <c r="AL189">
        <v>0</v>
      </c>
      <c r="AM189">
        <v>0</v>
      </c>
      <c r="AN189">
        <v>0</v>
      </c>
      <c r="AO189">
        <v>0</v>
      </c>
      <c r="AP189">
        <v>0</v>
      </c>
      <c r="AQ189">
        <v>314588</v>
      </c>
      <c r="AR189" s="661">
        <v>314588</v>
      </c>
      <c r="AS189" t="s">
        <v>1840</v>
      </c>
    </row>
    <row r="190" spans="1:45" ht="12.75" x14ac:dyDescent="0.2">
      <c r="A190" s="605">
        <v>183</v>
      </c>
      <c r="B190" s="606" t="s">
        <v>249</v>
      </c>
      <c r="C190" s="607" t="s">
        <v>524</v>
      </c>
      <c r="D190" s="608" t="s">
        <v>1194</v>
      </c>
      <c r="E190" s="609" t="s">
        <v>528</v>
      </c>
      <c r="F190">
        <v>62892826</v>
      </c>
      <c r="G190">
        <v>968893</v>
      </c>
      <c r="H190">
        <v>63861719</v>
      </c>
      <c r="I190">
        <v>-600000</v>
      </c>
      <c r="J190">
        <v>0</v>
      </c>
      <c r="K190">
        <v>-600000</v>
      </c>
      <c r="L190">
        <v>-3083793</v>
      </c>
      <c r="M190">
        <v>-46406</v>
      </c>
      <c r="N190">
        <v>-3130199</v>
      </c>
      <c r="O190">
        <v>59209033</v>
      </c>
      <c r="P190">
        <v>922487</v>
      </c>
      <c r="Q190">
        <v>60131520</v>
      </c>
      <c r="R190">
        <v>132224</v>
      </c>
      <c r="S190">
        <v>0</v>
      </c>
      <c r="T190">
        <v>132224</v>
      </c>
      <c r="U190">
        <v>0</v>
      </c>
      <c r="V190">
        <v>0</v>
      </c>
      <c r="W190">
        <v>0</v>
      </c>
      <c r="X190">
        <v>-42318</v>
      </c>
      <c r="Y190">
        <v>197047</v>
      </c>
      <c r="Z190">
        <v>683122</v>
      </c>
      <c r="AA190">
        <v>683122</v>
      </c>
      <c r="AB190">
        <v>0</v>
      </c>
      <c r="AC190">
        <v>0</v>
      </c>
      <c r="AD190">
        <v>0</v>
      </c>
      <c r="AE190">
        <v>0</v>
      </c>
      <c r="AF190">
        <v>0</v>
      </c>
      <c r="AG190">
        <v>0</v>
      </c>
      <c r="AH190">
        <v>0</v>
      </c>
      <c r="AI190">
        <v>0</v>
      </c>
      <c r="AJ190">
        <v>0</v>
      </c>
      <c r="AK190">
        <v>0</v>
      </c>
      <c r="AL190">
        <v>0</v>
      </c>
      <c r="AM190">
        <v>0</v>
      </c>
      <c r="AN190">
        <v>1367040</v>
      </c>
      <c r="AO190">
        <v>697190</v>
      </c>
      <c r="AP190">
        <v>697190</v>
      </c>
      <c r="AQ190">
        <v>0</v>
      </c>
      <c r="AR190" s="661">
        <v>697190</v>
      </c>
      <c r="AS190" t="s">
        <v>1841</v>
      </c>
    </row>
    <row r="191" spans="1:45" ht="12.75" x14ac:dyDescent="0.2">
      <c r="A191" s="605">
        <v>184</v>
      </c>
      <c r="B191" s="606" t="s">
        <v>251</v>
      </c>
      <c r="C191" s="607" t="s">
        <v>1192</v>
      </c>
      <c r="D191" s="608" t="s">
        <v>1197</v>
      </c>
      <c r="E191" s="609" t="s">
        <v>250</v>
      </c>
      <c r="F191">
        <v>59871647</v>
      </c>
      <c r="G191">
        <v>769398</v>
      </c>
      <c r="H191">
        <v>60641045</v>
      </c>
      <c r="I191">
        <v>-268000</v>
      </c>
      <c r="J191">
        <v>0</v>
      </c>
      <c r="K191">
        <v>-268000</v>
      </c>
      <c r="L191">
        <v>-1500000</v>
      </c>
      <c r="M191">
        <v>0</v>
      </c>
      <c r="N191">
        <v>-1500000</v>
      </c>
      <c r="O191">
        <v>58103647</v>
      </c>
      <c r="P191">
        <v>769398</v>
      </c>
      <c r="Q191">
        <v>58873045</v>
      </c>
      <c r="R191">
        <v>0</v>
      </c>
      <c r="S191">
        <v>0</v>
      </c>
      <c r="T191">
        <v>0</v>
      </c>
      <c r="U191">
        <v>0</v>
      </c>
      <c r="V191">
        <v>0</v>
      </c>
      <c r="W191">
        <v>0</v>
      </c>
      <c r="X191">
        <v>9735</v>
      </c>
      <c r="Y191">
        <v>623619</v>
      </c>
      <c r="Z191">
        <v>155514</v>
      </c>
      <c r="AA191">
        <v>155514</v>
      </c>
      <c r="AB191">
        <v>0</v>
      </c>
      <c r="AC191">
        <v>0</v>
      </c>
      <c r="AD191">
        <v>0</v>
      </c>
      <c r="AE191">
        <v>0</v>
      </c>
      <c r="AF191">
        <v>17000</v>
      </c>
      <c r="AG191">
        <v>17000</v>
      </c>
      <c r="AH191">
        <v>0</v>
      </c>
      <c r="AI191">
        <v>0</v>
      </c>
      <c r="AJ191">
        <v>0</v>
      </c>
      <c r="AK191">
        <v>0</v>
      </c>
      <c r="AL191">
        <v>0</v>
      </c>
      <c r="AM191">
        <v>0</v>
      </c>
      <c r="AN191">
        <v>0</v>
      </c>
      <c r="AO191">
        <v>0</v>
      </c>
      <c r="AP191">
        <v>0</v>
      </c>
      <c r="AQ191">
        <v>17000</v>
      </c>
      <c r="AR191" s="661">
        <v>17000</v>
      </c>
      <c r="AS191" t="s">
        <v>1842</v>
      </c>
    </row>
    <row r="192" spans="1:45" ht="12.75" x14ac:dyDescent="0.2">
      <c r="A192" s="605">
        <v>185</v>
      </c>
      <c r="B192" s="606" t="s">
        <v>253</v>
      </c>
      <c r="C192" s="607" t="s">
        <v>1185</v>
      </c>
      <c r="D192" s="608" t="s">
        <v>1195</v>
      </c>
      <c r="E192" s="609" t="s">
        <v>252</v>
      </c>
      <c r="F192">
        <v>55334981</v>
      </c>
      <c r="G192">
        <v>0</v>
      </c>
      <c r="H192">
        <v>55334981</v>
      </c>
      <c r="I192">
        <v>-200000</v>
      </c>
      <c r="J192">
        <v>0</v>
      </c>
      <c r="K192">
        <v>-200000</v>
      </c>
      <c r="L192">
        <v>-3350000</v>
      </c>
      <c r="M192">
        <v>0</v>
      </c>
      <c r="N192">
        <v>-3350000</v>
      </c>
      <c r="O192">
        <v>51784981</v>
      </c>
      <c r="P192">
        <v>0</v>
      </c>
      <c r="Q192">
        <v>51784981</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s="661">
        <v>0</v>
      </c>
      <c r="AS192" t="s">
        <v>1843</v>
      </c>
    </row>
    <row r="193" spans="1:45" ht="12.75" x14ac:dyDescent="0.2">
      <c r="A193" s="605">
        <v>186</v>
      </c>
      <c r="B193" s="606" t="s">
        <v>259</v>
      </c>
      <c r="C193" s="607" t="s">
        <v>1185</v>
      </c>
      <c r="D193" s="608" t="s">
        <v>1188</v>
      </c>
      <c r="E193" s="609" t="s">
        <v>258</v>
      </c>
      <c r="F193">
        <v>69945619</v>
      </c>
      <c r="G193">
        <v>0</v>
      </c>
      <c r="H193">
        <v>69945619</v>
      </c>
      <c r="I193">
        <v>-396420</v>
      </c>
      <c r="J193">
        <v>0</v>
      </c>
      <c r="K193">
        <v>-396420</v>
      </c>
      <c r="L193">
        <v>-397772</v>
      </c>
      <c r="M193">
        <v>0</v>
      </c>
      <c r="N193">
        <v>-397772</v>
      </c>
      <c r="O193">
        <v>69151427</v>
      </c>
      <c r="P193">
        <v>0</v>
      </c>
      <c r="Q193">
        <v>69151427</v>
      </c>
      <c r="R193">
        <v>173997</v>
      </c>
      <c r="S193">
        <v>0</v>
      </c>
      <c r="T193">
        <v>173997</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s="661">
        <v>0</v>
      </c>
      <c r="AS193" t="s">
        <v>1844</v>
      </c>
    </row>
    <row r="194" spans="1:45" ht="12.75" x14ac:dyDescent="0.2">
      <c r="A194" s="605">
        <v>187</v>
      </c>
      <c r="B194" s="606" t="s">
        <v>261</v>
      </c>
      <c r="C194" s="607" t="s">
        <v>1185</v>
      </c>
      <c r="D194" s="608" t="s">
        <v>1188</v>
      </c>
      <c r="E194" s="609" t="s">
        <v>260</v>
      </c>
      <c r="F194">
        <v>103252730</v>
      </c>
      <c r="G194">
        <v>5190530</v>
      </c>
      <c r="H194">
        <v>108443260</v>
      </c>
      <c r="I194">
        <v>-1328781</v>
      </c>
      <c r="J194">
        <v>-55782</v>
      </c>
      <c r="K194">
        <v>-1384563</v>
      </c>
      <c r="L194">
        <v>-3517521</v>
      </c>
      <c r="M194">
        <v>-126768</v>
      </c>
      <c r="N194">
        <v>-3644289</v>
      </c>
      <c r="O194">
        <v>98406428</v>
      </c>
      <c r="P194">
        <v>5007980</v>
      </c>
      <c r="Q194">
        <v>103414408</v>
      </c>
      <c r="R194">
        <v>0</v>
      </c>
      <c r="S194">
        <v>0</v>
      </c>
      <c r="T194">
        <v>0</v>
      </c>
      <c r="U194">
        <v>0</v>
      </c>
      <c r="V194">
        <v>0</v>
      </c>
      <c r="W194">
        <v>0</v>
      </c>
      <c r="X194">
        <v>-28594</v>
      </c>
      <c r="Y194">
        <v>3390005</v>
      </c>
      <c r="Z194">
        <v>1589381</v>
      </c>
      <c r="AA194">
        <v>1589381</v>
      </c>
      <c r="AB194">
        <v>0</v>
      </c>
      <c r="AC194">
        <v>0</v>
      </c>
      <c r="AD194">
        <v>0</v>
      </c>
      <c r="AE194">
        <v>0</v>
      </c>
      <c r="AF194">
        <v>388828</v>
      </c>
      <c r="AG194">
        <v>388828</v>
      </c>
      <c r="AH194">
        <v>0</v>
      </c>
      <c r="AI194">
        <v>0</v>
      </c>
      <c r="AJ194">
        <v>0</v>
      </c>
      <c r="AK194">
        <v>0</v>
      </c>
      <c r="AL194">
        <v>0</v>
      </c>
      <c r="AM194">
        <v>0</v>
      </c>
      <c r="AN194">
        <v>0</v>
      </c>
      <c r="AO194">
        <v>0</v>
      </c>
      <c r="AP194">
        <v>0</v>
      </c>
      <c r="AQ194">
        <v>388828</v>
      </c>
      <c r="AR194" s="661">
        <v>388828</v>
      </c>
      <c r="AS194" t="s">
        <v>1845</v>
      </c>
    </row>
    <row r="195" spans="1:45" ht="12.75" x14ac:dyDescent="0.2">
      <c r="A195" s="605">
        <v>188</v>
      </c>
      <c r="B195" s="606" t="s">
        <v>263</v>
      </c>
      <c r="C195" s="607" t="s">
        <v>524</v>
      </c>
      <c r="D195" s="608" t="s">
        <v>1197</v>
      </c>
      <c r="E195" s="609" t="s">
        <v>262</v>
      </c>
      <c r="F195">
        <v>86970730</v>
      </c>
      <c r="G195">
        <v>287110</v>
      </c>
      <c r="H195">
        <v>87257840</v>
      </c>
      <c r="I195">
        <v>-500000</v>
      </c>
      <c r="J195">
        <v>0</v>
      </c>
      <c r="K195">
        <v>-500000</v>
      </c>
      <c r="L195">
        <v>-3500000</v>
      </c>
      <c r="M195">
        <v>0</v>
      </c>
      <c r="N195">
        <v>-3500000</v>
      </c>
      <c r="O195">
        <v>82970730</v>
      </c>
      <c r="P195">
        <v>287110</v>
      </c>
      <c r="Q195">
        <v>83257840</v>
      </c>
      <c r="R195">
        <v>2783404</v>
      </c>
      <c r="S195">
        <v>0</v>
      </c>
      <c r="T195">
        <v>2783404</v>
      </c>
      <c r="U195">
        <v>0</v>
      </c>
      <c r="V195">
        <v>0</v>
      </c>
      <c r="W195">
        <v>0</v>
      </c>
      <c r="X195">
        <v>57</v>
      </c>
      <c r="Y195">
        <v>36804</v>
      </c>
      <c r="Z195">
        <v>265520</v>
      </c>
      <c r="AA195">
        <v>265520</v>
      </c>
      <c r="AB195">
        <v>0</v>
      </c>
      <c r="AC195">
        <v>0</v>
      </c>
      <c r="AD195">
        <v>0</v>
      </c>
      <c r="AE195">
        <v>0</v>
      </c>
      <c r="AF195">
        <v>83715</v>
      </c>
      <c r="AG195">
        <v>83715</v>
      </c>
      <c r="AH195">
        <v>0</v>
      </c>
      <c r="AI195">
        <v>0</v>
      </c>
      <c r="AJ195">
        <v>0</v>
      </c>
      <c r="AK195">
        <v>0</v>
      </c>
      <c r="AL195">
        <v>0</v>
      </c>
      <c r="AM195">
        <v>0</v>
      </c>
      <c r="AN195">
        <v>0</v>
      </c>
      <c r="AO195">
        <v>0</v>
      </c>
      <c r="AP195">
        <v>0</v>
      </c>
      <c r="AQ195">
        <v>83715</v>
      </c>
      <c r="AR195" s="661">
        <v>83715</v>
      </c>
      <c r="AS195" t="s">
        <v>1846</v>
      </c>
    </row>
    <row r="196" spans="1:45" ht="12.75" x14ac:dyDescent="0.2">
      <c r="A196" s="605">
        <v>189</v>
      </c>
      <c r="B196" s="606" t="s">
        <v>265</v>
      </c>
      <c r="C196" s="607" t="s">
        <v>1185</v>
      </c>
      <c r="D196" s="608" t="s">
        <v>1189</v>
      </c>
      <c r="E196" s="609" t="s">
        <v>264</v>
      </c>
      <c r="F196">
        <v>78182763</v>
      </c>
      <c r="G196">
        <v>0</v>
      </c>
      <c r="H196">
        <v>78182763</v>
      </c>
      <c r="I196">
        <v>-781828</v>
      </c>
      <c r="J196">
        <v>0</v>
      </c>
      <c r="K196">
        <v>-781828</v>
      </c>
      <c r="L196">
        <v>-977285</v>
      </c>
      <c r="M196">
        <v>0</v>
      </c>
      <c r="N196">
        <v>-977285</v>
      </c>
      <c r="O196">
        <v>76423650</v>
      </c>
      <c r="P196">
        <v>0</v>
      </c>
      <c r="Q196">
        <v>76423650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s="661">
        <v>0</v>
      </c>
      <c r="AS196" t="s">
        <v>1847</v>
      </c>
    </row>
    <row r="197" spans="1:45" ht="12.75" x14ac:dyDescent="0.2">
      <c r="A197" s="605">
        <v>190</v>
      </c>
      <c r="B197" s="606" t="s">
        <v>267</v>
      </c>
      <c r="C197" s="607" t="s">
        <v>524</v>
      </c>
      <c r="D197" s="608" t="s">
        <v>1188</v>
      </c>
      <c r="E197" s="609" t="s">
        <v>601</v>
      </c>
      <c r="F197">
        <v>133355261</v>
      </c>
      <c r="G197">
        <v>11091469</v>
      </c>
      <c r="H197">
        <v>144446730</v>
      </c>
      <c r="I197">
        <v>-1395000</v>
      </c>
      <c r="J197">
        <v>-105000</v>
      </c>
      <c r="K197">
        <v>-1500000</v>
      </c>
      <c r="L197">
        <v>-5987348</v>
      </c>
      <c r="M197">
        <v>-450661</v>
      </c>
      <c r="N197">
        <v>-6438009</v>
      </c>
      <c r="O197">
        <v>125972913</v>
      </c>
      <c r="P197">
        <v>10535808</v>
      </c>
      <c r="Q197">
        <v>136508721</v>
      </c>
      <c r="R197">
        <v>0</v>
      </c>
      <c r="S197">
        <v>0</v>
      </c>
      <c r="T197">
        <v>0</v>
      </c>
      <c r="U197">
        <v>0</v>
      </c>
      <c r="V197">
        <v>0</v>
      </c>
      <c r="W197">
        <v>0</v>
      </c>
      <c r="X197">
        <v>46828</v>
      </c>
      <c r="Y197">
        <v>11710736</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s="661">
        <v>0</v>
      </c>
      <c r="AS197" t="s">
        <v>1848</v>
      </c>
    </row>
    <row r="198" spans="1:45" ht="12.75" x14ac:dyDescent="0.2">
      <c r="A198" s="605">
        <v>191</v>
      </c>
      <c r="B198" s="606" t="s">
        <v>269</v>
      </c>
      <c r="C198" s="607" t="s">
        <v>1185</v>
      </c>
      <c r="D198" s="608" t="s">
        <v>1195</v>
      </c>
      <c r="E198" s="609" t="s">
        <v>268</v>
      </c>
      <c r="F198">
        <v>36735060</v>
      </c>
      <c r="G198">
        <v>0</v>
      </c>
      <c r="H198">
        <v>36735060</v>
      </c>
      <c r="I198">
        <v>-350000</v>
      </c>
      <c r="J198">
        <v>0</v>
      </c>
      <c r="K198">
        <v>-350000</v>
      </c>
      <c r="L198">
        <v>-1726548</v>
      </c>
      <c r="M198">
        <v>0</v>
      </c>
      <c r="N198">
        <v>-1726548</v>
      </c>
      <c r="O198">
        <v>34658512</v>
      </c>
      <c r="P198">
        <v>0</v>
      </c>
      <c r="Q198">
        <v>34658512</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s="661">
        <v>0</v>
      </c>
      <c r="AS198" t="s">
        <v>1849</v>
      </c>
    </row>
    <row r="199" spans="1:45" ht="12.75" x14ac:dyDescent="0.2">
      <c r="A199" s="605">
        <v>192</v>
      </c>
      <c r="B199" s="606" t="s">
        <v>271</v>
      </c>
      <c r="C199" s="607" t="s">
        <v>1185</v>
      </c>
      <c r="D199" s="608" t="s">
        <v>1188</v>
      </c>
      <c r="E199" s="609" t="s">
        <v>270</v>
      </c>
      <c r="F199">
        <v>13206242</v>
      </c>
      <c r="G199">
        <v>0</v>
      </c>
      <c r="H199">
        <v>13206242</v>
      </c>
      <c r="I199">
        <v>-90000</v>
      </c>
      <c r="J199">
        <v>0</v>
      </c>
      <c r="K199">
        <v>-90000</v>
      </c>
      <c r="L199">
        <v>-376326</v>
      </c>
      <c r="M199">
        <v>0</v>
      </c>
      <c r="N199">
        <v>-376326</v>
      </c>
      <c r="O199">
        <v>12739916</v>
      </c>
      <c r="P199">
        <v>0</v>
      </c>
      <c r="Q199">
        <v>12739916</v>
      </c>
      <c r="R199">
        <v>8446</v>
      </c>
      <c r="S199">
        <v>0</v>
      </c>
      <c r="T199">
        <v>8446</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s="661">
        <v>0</v>
      </c>
      <c r="AS199" t="s">
        <v>1850</v>
      </c>
    </row>
    <row r="200" spans="1:45" ht="12.75" x14ac:dyDescent="0.2">
      <c r="A200" s="605">
        <v>193</v>
      </c>
      <c r="B200" s="606" t="s">
        <v>273</v>
      </c>
      <c r="C200" s="607" t="s">
        <v>1192</v>
      </c>
      <c r="D200" s="608" t="s">
        <v>1187</v>
      </c>
      <c r="E200" s="609" t="s">
        <v>272</v>
      </c>
      <c r="F200">
        <v>57555652</v>
      </c>
      <c r="G200">
        <v>0</v>
      </c>
      <c r="H200">
        <v>57555652</v>
      </c>
      <c r="I200">
        <v>-1726670</v>
      </c>
      <c r="J200">
        <v>0</v>
      </c>
      <c r="K200">
        <v>-1726670</v>
      </c>
      <c r="L200">
        <v>-1117043</v>
      </c>
      <c r="M200">
        <v>0</v>
      </c>
      <c r="N200">
        <v>-1117043</v>
      </c>
      <c r="O200">
        <v>54711939</v>
      </c>
      <c r="P200">
        <v>0</v>
      </c>
      <c r="Q200">
        <v>54711939</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s="661">
        <v>0</v>
      </c>
      <c r="AS200" t="s">
        <v>1851</v>
      </c>
    </row>
    <row r="201" spans="1:45" ht="12.75" x14ac:dyDescent="0.2">
      <c r="A201" s="605">
        <v>194</v>
      </c>
      <c r="B201" s="606" t="s">
        <v>275</v>
      </c>
      <c r="C201" s="607" t="s">
        <v>1185</v>
      </c>
      <c r="D201" s="608" t="s">
        <v>1186</v>
      </c>
      <c r="E201" s="609" t="s">
        <v>274</v>
      </c>
      <c r="F201">
        <v>107950899</v>
      </c>
      <c r="G201">
        <v>0</v>
      </c>
      <c r="H201">
        <v>107950899</v>
      </c>
      <c r="I201">
        <v>-628946</v>
      </c>
      <c r="J201">
        <v>0</v>
      </c>
      <c r="K201">
        <v>-628946</v>
      </c>
      <c r="L201">
        <v>-4037364</v>
      </c>
      <c r="M201">
        <v>0</v>
      </c>
      <c r="N201">
        <v>-4037364</v>
      </c>
      <c r="O201">
        <v>103284589</v>
      </c>
      <c r="P201">
        <v>0</v>
      </c>
      <c r="Q201">
        <v>103284589</v>
      </c>
      <c r="R201">
        <v>10913</v>
      </c>
      <c r="S201">
        <v>0</v>
      </c>
      <c r="T201">
        <v>10913</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s="661">
        <v>0</v>
      </c>
      <c r="AS201" t="s">
        <v>1852</v>
      </c>
    </row>
    <row r="202" spans="1:45" ht="12.75" x14ac:dyDescent="0.2">
      <c r="A202" s="605">
        <v>195</v>
      </c>
      <c r="B202" s="606" t="s">
        <v>277</v>
      </c>
      <c r="C202" s="607" t="s">
        <v>1185</v>
      </c>
      <c r="D202" s="608" t="s">
        <v>1187</v>
      </c>
      <c r="E202" s="609" t="s">
        <v>276</v>
      </c>
      <c r="F202">
        <v>19702828</v>
      </c>
      <c r="G202">
        <v>0</v>
      </c>
      <c r="H202">
        <v>19702828</v>
      </c>
      <c r="I202">
        <v>-198336</v>
      </c>
      <c r="J202">
        <v>0</v>
      </c>
      <c r="K202">
        <v>-198336</v>
      </c>
      <c r="L202">
        <v>-622152</v>
      </c>
      <c r="M202">
        <v>0</v>
      </c>
      <c r="N202">
        <v>-622152</v>
      </c>
      <c r="O202">
        <v>18882340</v>
      </c>
      <c r="P202">
        <v>0</v>
      </c>
      <c r="Q202">
        <v>18882340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s="661">
        <v>0</v>
      </c>
      <c r="AS202" t="s">
        <v>1853</v>
      </c>
    </row>
    <row r="203" spans="1:45" ht="12.75" x14ac:dyDescent="0.2">
      <c r="A203" s="605">
        <v>196</v>
      </c>
      <c r="B203" s="606" t="s">
        <v>279</v>
      </c>
      <c r="C203" s="607" t="s">
        <v>524</v>
      </c>
      <c r="D203" s="608" t="s">
        <v>1189</v>
      </c>
      <c r="E203" s="609" t="s">
        <v>540</v>
      </c>
      <c r="F203">
        <v>103902558</v>
      </c>
      <c r="G203">
        <v>0</v>
      </c>
      <c r="H203">
        <v>103902558</v>
      </c>
      <c r="I203">
        <v>-1316000</v>
      </c>
      <c r="J203">
        <v>0</v>
      </c>
      <c r="K203">
        <v>-1316000</v>
      </c>
      <c r="L203">
        <v>-4336000</v>
      </c>
      <c r="M203">
        <v>0</v>
      </c>
      <c r="N203">
        <v>-4336000</v>
      </c>
      <c r="O203">
        <v>98250558</v>
      </c>
      <c r="P203">
        <v>0</v>
      </c>
      <c r="Q203">
        <v>98250558</v>
      </c>
      <c r="R203">
        <v>350000</v>
      </c>
      <c r="S203">
        <v>0</v>
      </c>
      <c r="T203">
        <v>350000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s="661">
        <v>0</v>
      </c>
      <c r="AS203" t="s">
        <v>1854</v>
      </c>
    </row>
    <row r="204" spans="1:45" ht="12.75" x14ac:dyDescent="0.2">
      <c r="A204" s="605">
        <v>197</v>
      </c>
      <c r="B204" s="606" t="s">
        <v>281</v>
      </c>
      <c r="C204" s="607" t="s">
        <v>524</v>
      </c>
      <c r="D204" s="608" t="s">
        <v>1194</v>
      </c>
      <c r="E204" s="609" t="s">
        <v>557</v>
      </c>
      <c r="F204">
        <v>94080741</v>
      </c>
      <c r="G204">
        <v>10218</v>
      </c>
      <c r="H204">
        <v>94090959</v>
      </c>
      <c r="I204">
        <v>-826000</v>
      </c>
      <c r="J204">
        <v>0</v>
      </c>
      <c r="K204">
        <v>-826000</v>
      </c>
      <c r="L204">
        <v>-1000000</v>
      </c>
      <c r="M204">
        <v>0</v>
      </c>
      <c r="N204">
        <v>-1000000</v>
      </c>
      <c r="O204">
        <v>92254741</v>
      </c>
      <c r="P204">
        <v>10218</v>
      </c>
      <c r="Q204">
        <v>92264959</v>
      </c>
      <c r="R204">
        <v>222217</v>
      </c>
      <c r="S204">
        <v>0</v>
      </c>
      <c r="T204">
        <v>222217</v>
      </c>
      <c r="U204">
        <v>0</v>
      </c>
      <c r="V204">
        <v>0</v>
      </c>
      <c r="W204">
        <v>0</v>
      </c>
      <c r="X204">
        <v>0</v>
      </c>
      <c r="Y204">
        <v>565889</v>
      </c>
      <c r="Z204">
        <v>0</v>
      </c>
      <c r="AA204">
        <v>0</v>
      </c>
      <c r="AB204">
        <v>0</v>
      </c>
      <c r="AC204">
        <v>0</v>
      </c>
      <c r="AD204">
        <v>0</v>
      </c>
      <c r="AE204">
        <v>0</v>
      </c>
      <c r="AF204">
        <v>10854</v>
      </c>
      <c r="AG204">
        <v>10854</v>
      </c>
      <c r="AH204">
        <v>0</v>
      </c>
      <c r="AI204">
        <v>0</v>
      </c>
      <c r="AJ204">
        <v>0</v>
      </c>
      <c r="AK204">
        <v>0</v>
      </c>
      <c r="AL204">
        <v>0</v>
      </c>
      <c r="AM204">
        <v>0</v>
      </c>
      <c r="AN204">
        <v>0</v>
      </c>
      <c r="AO204">
        <v>0</v>
      </c>
      <c r="AP204">
        <v>0</v>
      </c>
      <c r="AQ204">
        <v>10854</v>
      </c>
      <c r="AR204" s="661">
        <v>10854</v>
      </c>
      <c r="AS204" t="s">
        <v>1855</v>
      </c>
    </row>
    <row r="205" spans="1:45" ht="12.75" x14ac:dyDescent="0.2">
      <c r="A205" s="605">
        <v>198</v>
      </c>
      <c r="B205" s="606" t="s">
        <v>283</v>
      </c>
      <c r="C205" s="607" t="s">
        <v>524</v>
      </c>
      <c r="D205" s="608" t="s">
        <v>1186</v>
      </c>
      <c r="E205" s="609" t="s">
        <v>572</v>
      </c>
      <c r="F205">
        <v>90237168</v>
      </c>
      <c r="G205">
        <v>0</v>
      </c>
      <c r="H205">
        <v>90237168</v>
      </c>
      <c r="I205">
        <v>-1036400</v>
      </c>
      <c r="J205">
        <v>0</v>
      </c>
      <c r="K205">
        <v>-1036400</v>
      </c>
      <c r="L205">
        <v>-3868300</v>
      </c>
      <c r="M205">
        <v>0</v>
      </c>
      <c r="N205">
        <v>-3868300</v>
      </c>
      <c r="O205">
        <v>85332468</v>
      </c>
      <c r="P205">
        <v>0</v>
      </c>
      <c r="Q205">
        <v>85332468</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s="661">
        <v>0</v>
      </c>
      <c r="AS205" t="s">
        <v>1856</v>
      </c>
    </row>
    <row r="206" spans="1:45" ht="12.75" x14ac:dyDescent="0.2">
      <c r="A206" s="605">
        <v>199</v>
      </c>
      <c r="B206" s="606" t="s">
        <v>285</v>
      </c>
      <c r="C206" s="607" t="s">
        <v>1185</v>
      </c>
      <c r="D206" s="608" t="s">
        <v>1187</v>
      </c>
      <c r="E206" s="609" t="s">
        <v>284</v>
      </c>
      <c r="F206">
        <v>61185112</v>
      </c>
      <c r="G206">
        <v>0</v>
      </c>
      <c r="H206">
        <v>61185112</v>
      </c>
      <c r="I206">
        <v>-2056160</v>
      </c>
      <c r="J206">
        <v>0</v>
      </c>
      <c r="K206">
        <v>-2056160</v>
      </c>
      <c r="L206">
        <v>-2770100</v>
      </c>
      <c r="M206">
        <v>0</v>
      </c>
      <c r="N206">
        <v>-2770100</v>
      </c>
      <c r="O206">
        <v>56358852</v>
      </c>
      <c r="P206">
        <v>0</v>
      </c>
      <c r="Q206">
        <v>56358852</v>
      </c>
      <c r="R206">
        <v>22095</v>
      </c>
      <c r="S206">
        <v>0</v>
      </c>
      <c r="T206">
        <v>22095</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s="661">
        <v>0</v>
      </c>
      <c r="AS206" t="s">
        <v>1857</v>
      </c>
    </row>
    <row r="207" spans="1:45" ht="12.75" x14ac:dyDescent="0.2">
      <c r="A207" s="605">
        <v>200</v>
      </c>
      <c r="B207" s="606" t="s">
        <v>287</v>
      </c>
      <c r="C207" s="607" t="s">
        <v>524</v>
      </c>
      <c r="D207" s="608" t="s">
        <v>1186</v>
      </c>
      <c r="E207" s="609" t="s">
        <v>534</v>
      </c>
      <c r="F207">
        <v>145644767</v>
      </c>
      <c r="G207">
        <v>0</v>
      </c>
      <c r="H207">
        <v>145644767</v>
      </c>
      <c r="I207">
        <v>-1820000</v>
      </c>
      <c r="J207">
        <v>0</v>
      </c>
      <c r="K207">
        <v>-1820000</v>
      </c>
      <c r="L207">
        <v>-3813722</v>
      </c>
      <c r="M207">
        <v>0</v>
      </c>
      <c r="N207">
        <v>-3813722</v>
      </c>
      <c r="O207">
        <v>140011045</v>
      </c>
      <c r="P207">
        <v>0</v>
      </c>
      <c r="Q207">
        <v>140011045</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s="661">
        <v>0</v>
      </c>
      <c r="AS207" t="s">
        <v>1858</v>
      </c>
    </row>
    <row r="208" spans="1:45" ht="12.75" x14ac:dyDescent="0.2">
      <c r="A208" s="605">
        <v>201</v>
      </c>
      <c r="B208" s="606" t="s">
        <v>289</v>
      </c>
      <c r="C208" s="607" t="s">
        <v>1190</v>
      </c>
      <c r="D208" s="608" t="s">
        <v>1191</v>
      </c>
      <c r="E208" s="609" t="s">
        <v>288</v>
      </c>
      <c r="F208">
        <v>58724852</v>
      </c>
      <c r="G208">
        <v>0</v>
      </c>
      <c r="H208">
        <v>58724852</v>
      </c>
      <c r="I208">
        <v>-1156373</v>
      </c>
      <c r="J208">
        <v>0</v>
      </c>
      <c r="K208">
        <v>-1156373</v>
      </c>
      <c r="L208">
        <v>-2235535</v>
      </c>
      <c r="M208">
        <v>0</v>
      </c>
      <c r="N208">
        <v>-2235535</v>
      </c>
      <c r="O208">
        <v>55332944</v>
      </c>
      <c r="P208">
        <v>0</v>
      </c>
      <c r="Q208">
        <v>55332944</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s="661">
        <v>0</v>
      </c>
      <c r="AS208" t="s">
        <v>1859</v>
      </c>
    </row>
    <row r="209" spans="1:45" ht="12.75" x14ac:dyDescent="0.2">
      <c r="A209" s="605">
        <v>202</v>
      </c>
      <c r="B209" s="606" t="s">
        <v>291</v>
      </c>
      <c r="C209" s="607" t="s">
        <v>524</v>
      </c>
      <c r="D209" s="608" t="s">
        <v>1197</v>
      </c>
      <c r="E209" s="609" t="s">
        <v>910</v>
      </c>
      <c r="F209">
        <v>39725660</v>
      </c>
      <c r="G209">
        <v>1809920</v>
      </c>
      <c r="H209">
        <v>41535580</v>
      </c>
      <c r="I209">
        <v>-150000</v>
      </c>
      <c r="J209">
        <v>0</v>
      </c>
      <c r="K209">
        <v>-150000</v>
      </c>
      <c r="L209">
        <v>-834239</v>
      </c>
      <c r="M209">
        <v>-38008</v>
      </c>
      <c r="N209">
        <v>-872247</v>
      </c>
      <c r="O209">
        <v>38741421</v>
      </c>
      <c r="P209">
        <v>1771912</v>
      </c>
      <c r="Q209">
        <v>40513333</v>
      </c>
      <c r="R209">
        <v>320000</v>
      </c>
      <c r="S209">
        <v>0</v>
      </c>
      <c r="T209">
        <v>320000</v>
      </c>
      <c r="U209">
        <v>0</v>
      </c>
      <c r="V209">
        <v>0</v>
      </c>
      <c r="W209">
        <v>0</v>
      </c>
      <c r="X209">
        <v>0</v>
      </c>
      <c r="Y209">
        <v>0</v>
      </c>
      <c r="Z209">
        <v>1771912</v>
      </c>
      <c r="AA209">
        <v>1771912</v>
      </c>
      <c r="AB209">
        <v>0</v>
      </c>
      <c r="AC209">
        <v>0</v>
      </c>
      <c r="AD209">
        <v>0</v>
      </c>
      <c r="AE209">
        <v>0</v>
      </c>
      <c r="AF209">
        <v>0</v>
      </c>
      <c r="AG209">
        <v>0</v>
      </c>
      <c r="AH209">
        <v>39056804</v>
      </c>
      <c r="AI209">
        <v>39056804</v>
      </c>
      <c r="AJ209">
        <v>32982342</v>
      </c>
      <c r="AK209">
        <v>32982342</v>
      </c>
      <c r="AL209">
        <v>3037231</v>
      </c>
      <c r="AM209">
        <v>3037231</v>
      </c>
      <c r="AN209">
        <v>0</v>
      </c>
      <c r="AO209">
        <v>0</v>
      </c>
      <c r="AP209">
        <v>3037231</v>
      </c>
      <c r="AQ209">
        <v>0</v>
      </c>
      <c r="AR209" s="661">
        <v>3037231</v>
      </c>
      <c r="AS209" t="s">
        <v>1860</v>
      </c>
    </row>
    <row r="210" spans="1:45" ht="12.75" x14ac:dyDescent="0.2">
      <c r="A210" s="605">
        <v>203</v>
      </c>
      <c r="B210" s="606" t="s">
        <v>293</v>
      </c>
      <c r="C210" s="607" t="s">
        <v>1185</v>
      </c>
      <c r="D210" s="608" t="s">
        <v>1195</v>
      </c>
      <c r="E210" s="609" t="s">
        <v>292</v>
      </c>
      <c r="F210">
        <v>35273244</v>
      </c>
      <c r="G210">
        <v>0</v>
      </c>
      <c r="H210">
        <v>35273244</v>
      </c>
      <c r="I210">
        <v>-355232</v>
      </c>
      <c r="J210">
        <v>0</v>
      </c>
      <c r="K210">
        <v>-355232</v>
      </c>
      <c r="L210">
        <v>-1048610</v>
      </c>
      <c r="M210">
        <v>0</v>
      </c>
      <c r="N210">
        <v>-1048610</v>
      </c>
      <c r="O210">
        <v>33869402</v>
      </c>
      <c r="P210">
        <v>0</v>
      </c>
      <c r="Q210">
        <v>33869402</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s="661">
        <v>0</v>
      </c>
      <c r="AS210" t="s">
        <v>1861</v>
      </c>
    </row>
    <row r="211" spans="1:45" ht="12.75" x14ac:dyDescent="0.2">
      <c r="A211" s="605">
        <v>204</v>
      </c>
      <c r="B211" s="606" t="s">
        <v>295</v>
      </c>
      <c r="C211" s="607" t="s">
        <v>1185</v>
      </c>
      <c r="D211" s="608" t="s">
        <v>1186</v>
      </c>
      <c r="E211" s="609" t="s">
        <v>294</v>
      </c>
      <c r="F211">
        <v>54208909</v>
      </c>
      <c r="G211">
        <v>0</v>
      </c>
      <c r="H211">
        <v>54208909</v>
      </c>
      <c r="I211">
        <v>-108417</v>
      </c>
      <c r="J211">
        <v>0</v>
      </c>
      <c r="K211">
        <v>-108417</v>
      </c>
      <c r="L211">
        <v>-2082161</v>
      </c>
      <c r="M211">
        <v>0</v>
      </c>
      <c r="N211">
        <v>-2082161</v>
      </c>
      <c r="O211">
        <v>52018331</v>
      </c>
      <c r="P211">
        <v>0</v>
      </c>
      <c r="Q211">
        <v>52018331</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s="661">
        <v>0</v>
      </c>
      <c r="AS211" t="s">
        <v>1862</v>
      </c>
    </row>
    <row r="212" spans="1:45" ht="12.75" x14ac:dyDescent="0.2">
      <c r="A212" s="605">
        <v>205</v>
      </c>
      <c r="B212" s="606" t="s">
        <v>297</v>
      </c>
      <c r="C212" s="607" t="s">
        <v>1185</v>
      </c>
      <c r="D212" s="608" t="s">
        <v>1187</v>
      </c>
      <c r="E212" s="609" t="s">
        <v>296</v>
      </c>
      <c r="F212">
        <v>13901995</v>
      </c>
      <c r="G212">
        <v>2232320</v>
      </c>
      <c r="H212">
        <v>16134315</v>
      </c>
      <c r="I212">
        <v>-139020</v>
      </c>
      <c r="J212">
        <v>-22323</v>
      </c>
      <c r="K212">
        <v>-161343</v>
      </c>
      <c r="L212">
        <v>-417060</v>
      </c>
      <c r="M212">
        <v>-66969</v>
      </c>
      <c r="N212">
        <v>-484029</v>
      </c>
      <c r="O212">
        <v>13345915</v>
      </c>
      <c r="P212">
        <v>2143028</v>
      </c>
      <c r="Q212">
        <v>15488943</v>
      </c>
      <c r="R212">
        <v>46618</v>
      </c>
      <c r="S212">
        <v>49562</v>
      </c>
      <c r="T212">
        <v>96180</v>
      </c>
      <c r="U212">
        <v>0</v>
      </c>
      <c r="V212">
        <v>0</v>
      </c>
      <c r="W212">
        <v>0</v>
      </c>
      <c r="X212">
        <v>0</v>
      </c>
      <c r="Y212">
        <v>1970354</v>
      </c>
      <c r="Z212">
        <v>123112</v>
      </c>
      <c r="AA212">
        <v>123112</v>
      </c>
      <c r="AB212">
        <v>0</v>
      </c>
      <c r="AC212">
        <v>0</v>
      </c>
      <c r="AD212">
        <v>0</v>
      </c>
      <c r="AE212">
        <v>0</v>
      </c>
      <c r="AF212">
        <v>0</v>
      </c>
      <c r="AG212">
        <v>0</v>
      </c>
      <c r="AH212">
        <v>0</v>
      </c>
      <c r="AI212">
        <v>0</v>
      </c>
      <c r="AJ212">
        <v>0</v>
      </c>
      <c r="AK212">
        <v>0</v>
      </c>
      <c r="AL212">
        <v>0</v>
      </c>
      <c r="AM212">
        <v>0</v>
      </c>
      <c r="AN212">
        <v>0</v>
      </c>
      <c r="AO212">
        <v>0</v>
      </c>
      <c r="AP212">
        <v>0</v>
      </c>
      <c r="AQ212">
        <v>0</v>
      </c>
      <c r="AR212" s="661">
        <v>0</v>
      </c>
      <c r="AS212" t="s">
        <v>1863</v>
      </c>
    </row>
    <row r="213" spans="1:45" ht="12.75" x14ac:dyDescent="0.2">
      <c r="A213" s="605">
        <v>206</v>
      </c>
      <c r="B213" s="606" t="s">
        <v>299</v>
      </c>
      <c r="C213" s="607" t="s">
        <v>1190</v>
      </c>
      <c r="D213" s="608" t="s">
        <v>1191</v>
      </c>
      <c r="E213" s="609" t="s">
        <v>298</v>
      </c>
      <c r="F213">
        <v>92127356</v>
      </c>
      <c r="G213">
        <v>0</v>
      </c>
      <c r="H213">
        <v>92127356</v>
      </c>
      <c r="I213">
        <v>-600000</v>
      </c>
      <c r="J213">
        <v>0</v>
      </c>
      <c r="K213">
        <v>-600000</v>
      </c>
      <c r="L213">
        <v>0</v>
      </c>
      <c r="M213">
        <v>0</v>
      </c>
      <c r="N213">
        <v>0</v>
      </c>
      <c r="O213">
        <v>91527356</v>
      </c>
      <c r="P213">
        <v>0</v>
      </c>
      <c r="Q213">
        <v>91527356</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s="661">
        <v>0</v>
      </c>
      <c r="AS213" t="s">
        <v>1864</v>
      </c>
    </row>
    <row r="214" spans="1:45" ht="12.75" x14ac:dyDescent="0.2">
      <c r="A214" s="605">
        <v>207</v>
      </c>
      <c r="B214" s="606" t="s">
        <v>301</v>
      </c>
      <c r="C214" s="607" t="s">
        <v>1185</v>
      </c>
      <c r="D214" s="608" t="s">
        <v>1193</v>
      </c>
      <c r="E214" s="609" t="s">
        <v>300</v>
      </c>
      <c r="F214">
        <v>13667741</v>
      </c>
      <c r="G214">
        <v>0</v>
      </c>
      <c r="H214">
        <v>13667741</v>
      </c>
      <c r="I214">
        <v>0</v>
      </c>
      <c r="J214">
        <v>0</v>
      </c>
      <c r="K214">
        <v>0</v>
      </c>
      <c r="L214">
        <v>-200000</v>
      </c>
      <c r="M214">
        <v>0</v>
      </c>
      <c r="N214">
        <v>-200000</v>
      </c>
      <c r="O214">
        <v>13467741</v>
      </c>
      <c r="P214">
        <v>0</v>
      </c>
      <c r="Q214">
        <v>13467741</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s="661">
        <v>0</v>
      </c>
      <c r="AS214" t="s">
        <v>1865</v>
      </c>
    </row>
    <row r="215" spans="1:45" ht="12.75" x14ac:dyDescent="0.2">
      <c r="A215" s="605">
        <v>208</v>
      </c>
      <c r="B215" s="606" t="s">
        <v>303</v>
      </c>
      <c r="C215" s="607" t="s">
        <v>1192</v>
      </c>
      <c r="D215" s="608" t="s">
        <v>1187</v>
      </c>
      <c r="E215" s="609" t="s">
        <v>302</v>
      </c>
      <c r="F215">
        <v>69621794</v>
      </c>
      <c r="G215">
        <v>0</v>
      </c>
      <c r="H215">
        <v>69621794</v>
      </c>
      <c r="I215">
        <v>-800000</v>
      </c>
      <c r="J215">
        <v>0</v>
      </c>
      <c r="K215">
        <v>-800000</v>
      </c>
      <c r="L215">
        <v>-3932000</v>
      </c>
      <c r="M215">
        <v>0</v>
      </c>
      <c r="N215">
        <v>-3932000</v>
      </c>
      <c r="O215">
        <v>64889794</v>
      </c>
      <c r="P215">
        <v>0</v>
      </c>
      <c r="Q215">
        <v>64889794</v>
      </c>
      <c r="R215">
        <v>581628</v>
      </c>
      <c r="S215">
        <v>0</v>
      </c>
      <c r="T215">
        <v>581628</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s="661">
        <v>0</v>
      </c>
      <c r="AS215" t="s">
        <v>1866</v>
      </c>
    </row>
    <row r="216" spans="1:45" ht="12.75" x14ac:dyDescent="0.2">
      <c r="A216" s="605">
        <v>209</v>
      </c>
      <c r="B216" s="606" t="s">
        <v>305</v>
      </c>
      <c r="C216" s="607" t="s">
        <v>1185</v>
      </c>
      <c r="D216" s="608" t="s">
        <v>1189</v>
      </c>
      <c r="E216" s="609" t="s">
        <v>304</v>
      </c>
      <c r="F216">
        <v>17047467</v>
      </c>
      <c r="G216">
        <v>0</v>
      </c>
      <c r="H216">
        <v>17047467</v>
      </c>
      <c r="I216">
        <v>-51000</v>
      </c>
      <c r="J216">
        <v>0</v>
      </c>
      <c r="K216">
        <v>-51000</v>
      </c>
      <c r="L216">
        <v>-376000</v>
      </c>
      <c r="M216">
        <v>0</v>
      </c>
      <c r="N216">
        <v>-376000</v>
      </c>
      <c r="O216">
        <v>16620467</v>
      </c>
      <c r="P216">
        <v>0</v>
      </c>
      <c r="Q216">
        <v>16620467</v>
      </c>
      <c r="R216">
        <v>48920</v>
      </c>
      <c r="S216">
        <v>0</v>
      </c>
      <c r="T216">
        <v>48920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s="661">
        <v>0</v>
      </c>
      <c r="AS216" t="s">
        <v>1867</v>
      </c>
    </row>
    <row r="217" spans="1:45" ht="12.75" x14ac:dyDescent="0.2">
      <c r="A217" s="605">
        <v>210</v>
      </c>
      <c r="B217" s="606" t="s">
        <v>307</v>
      </c>
      <c r="C217" s="607" t="s">
        <v>1185</v>
      </c>
      <c r="D217" s="608" t="s">
        <v>1187</v>
      </c>
      <c r="E217" s="609" t="s">
        <v>306</v>
      </c>
      <c r="F217">
        <v>13320371</v>
      </c>
      <c r="G217">
        <v>0</v>
      </c>
      <c r="H217">
        <v>13320371</v>
      </c>
      <c r="I217">
        <v>-300000</v>
      </c>
      <c r="J217">
        <v>0</v>
      </c>
      <c r="K217">
        <v>-300000</v>
      </c>
      <c r="L217">
        <v>-530000</v>
      </c>
      <c r="M217">
        <v>0</v>
      </c>
      <c r="N217">
        <v>-530000</v>
      </c>
      <c r="O217">
        <v>12490371</v>
      </c>
      <c r="P217">
        <v>0</v>
      </c>
      <c r="Q217">
        <v>12490371</v>
      </c>
      <c r="R217">
        <v>173140</v>
      </c>
      <c r="S217">
        <v>0</v>
      </c>
      <c r="T217">
        <v>173140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s="661">
        <v>0</v>
      </c>
      <c r="AS217" t="s">
        <v>1868</v>
      </c>
    </row>
    <row r="218" spans="1:45" ht="12.75" x14ac:dyDescent="0.2">
      <c r="A218" s="605">
        <v>211</v>
      </c>
      <c r="B218" s="606" t="s">
        <v>309</v>
      </c>
      <c r="C218" s="607" t="s">
        <v>1185</v>
      </c>
      <c r="D218" s="608" t="s">
        <v>1186</v>
      </c>
      <c r="E218" s="609" t="s">
        <v>308</v>
      </c>
      <c r="F218">
        <v>19006586</v>
      </c>
      <c r="G218">
        <v>0</v>
      </c>
      <c r="H218">
        <v>19006586</v>
      </c>
      <c r="I218">
        <v>-190066</v>
      </c>
      <c r="J218">
        <v>0</v>
      </c>
      <c r="K218">
        <v>-190066</v>
      </c>
      <c r="L218">
        <v>-1001846</v>
      </c>
      <c r="M218">
        <v>0</v>
      </c>
      <c r="N218">
        <v>-1001846</v>
      </c>
      <c r="O218">
        <v>17814674</v>
      </c>
      <c r="P218">
        <v>0</v>
      </c>
      <c r="Q218">
        <v>17814674</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s="661">
        <v>0</v>
      </c>
      <c r="AS218" t="s">
        <v>1869</v>
      </c>
    </row>
    <row r="219" spans="1:45" ht="12.75" x14ac:dyDescent="0.2">
      <c r="A219" s="605">
        <v>212</v>
      </c>
      <c r="B219" s="606" t="s">
        <v>311</v>
      </c>
      <c r="C219" s="607" t="s">
        <v>1192</v>
      </c>
      <c r="D219" s="608" t="s">
        <v>1193</v>
      </c>
      <c r="E219" s="609" t="s">
        <v>310</v>
      </c>
      <c r="F219">
        <v>79924844</v>
      </c>
      <c r="G219">
        <v>861324</v>
      </c>
      <c r="H219">
        <v>80786168</v>
      </c>
      <c r="I219">
        <v>-1000000</v>
      </c>
      <c r="J219">
        <v>0</v>
      </c>
      <c r="K219">
        <v>-1000000</v>
      </c>
      <c r="L219">
        <v>-3224398</v>
      </c>
      <c r="M219">
        <v>0</v>
      </c>
      <c r="N219">
        <v>-3224398</v>
      </c>
      <c r="O219">
        <v>75700446</v>
      </c>
      <c r="P219">
        <v>861324</v>
      </c>
      <c r="Q219">
        <v>76561770</v>
      </c>
      <c r="R219">
        <v>204725</v>
      </c>
      <c r="S219">
        <v>2377</v>
      </c>
      <c r="T219">
        <v>207102</v>
      </c>
      <c r="U219">
        <v>0</v>
      </c>
      <c r="V219">
        <v>0</v>
      </c>
      <c r="W219">
        <v>0</v>
      </c>
      <c r="X219">
        <v>5607</v>
      </c>
      <c r="Y219">
        <v>344390</v>
      </c>
      <c r="Z219">
        <v>520164</v>
      </c>
      <c r="AA219">
        <v>520164</v>
      </c>
      <c r="AB219">
        <v>0</v>
      </c>
      <c r="AC219">
        <v>0</v>
      </c>
      <c r="AD219">
        <v>0</v>
      </c>
      <c r="AE219">
        <v>0</v>
      </c>
      <c r="AF219">
        <v>157410</v>
      </c>
      <c r="AG219">
        <v>157410</v>
      </c>
      <c r="AH219">
        <v>0</v>
      </c>
      <c r="AI219">
        <v>0</v>
      </c>
      <c r="AJ219">
        <v>0</v>
      </c>
      <c r="AK219">
        <v>0</v>
      </c>
      <c r="AL219">
        <v>0</v>
      </c>
      <c r="AM219">
        <v>0</v>
      </c>
      <c r="AN219">
        <v>0</v>
      </c>
      <c r="AO219">
        <v>0</v>
      </c>
      <c r="AP219">
        <v>0</v>
      </c>
      <c r="AQ219">
        <v>157410</v>
      </c>
      <c r="AR219" s="661">
        <v>157410</v>
      </c>
      <c r="AS219" t="s">
        <v>1870</v>
      </c>
    </row>
    <row r="220" spans="1:45" ht="12.75" x14ac:dyDescent="0.2">
      <c r="A220" s="605">
        <v>213</v>
      </c>
      <c r="B220" s="606" t="s">
        <v>313</v>
      </c>
      <c r="C220" s="607" t="s">
        <v>1185</v>
      </c>
      <c r="D220" s="608" t="s">
        <v>1195</v>
      </c>
      <c r="E220" s="609" t="s">
        <v>312</v>
      </c>
      <c r="F220">
        <v>56283557</v>
      </c>
      <c r="G220">
        <v>0</v>
      </c>
      <c r="H220">
        <v>56283557</v>
      </c>
      <c r="I220">
        <v>-160000</v>
      </c>
      <c r="J220">
        <v>0</v>
      </c>
      <c r="K220">
        <v>-160000</v>
      </c>
      <c r="L220">
        <v>-4013695</v>
      </c>
      <c r="M220">
        <v>0</v>
      </c>
      <c r="N220">
        <v>-4013695</v>
      </c>
      <c r="O220">
        <v>52109862</v>
      </c>
      <c r="P220">
        <v>0</v>
      </c>
      <c r="Q220">
        <v>52109862</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s="661">
        <v>0</v>
      </c>
      <c r="AS220" t="s">
        <v>1871</v>
      </c>
    </row>
    <row r="221" spans="1:45" ht="12.75" x14ac:dyDescent="0.2">
      <c r="A221" s="605">
        <v>214</v>
      </c>
      <c r="B221" s="606" t="s">
        <v>315</v>
      </c>
      <c r="C221" s="607" t="s">
        <v>1185</v>
      </c>
      <c r="D221" s="608" t="s">
        <v>1186</v>
      </c>
      <c r="E221" s="609" t="s">
        <v>314</v>
      </c>
      <c r="F221">
        <v>59501400</v>
      </c>
      <c r="G221">
        <v>814244</v>
      </c>
      <c r="H221">
        <v>60315644</v>
      </c>
      <c r="I221">
        <v>-285455</v>
      </c>
      <c r="J221">
        <v>0</v>
      </c>
      <c r="K221">
        <v>-285455</v>
      </c>
      <c r="L221">
        <v>-307559</v>
      </c>
      <c r="M221">
        <v>0</v>
      </c>
      <c r="N221">
        <v>-307559</v>
      </c>
      <c r="O221">
        <v>58908386</v>
      </c>
      <c r="P221">
        <v>814244</v>
      </c>
      <c r="Q221">
        <v>59722630</v>
      </c>
      <c r="R221">
        <v>0</v>
      </c>
      <c r="S221">
        <v>0</v>
      </c>
      <c r="T221">
        <v>0</v>
      </c>
      <c r="U221">
        <v>0</v>
      </c>
      <c r="V221">
        <v>0</v>
      </c>
      <c r="W221">
        <v>0</v>
      </c>
      <c r="X221">
        <v>873</v>
      </c>
      <c r="Y221">
        <v>645360</v>
      </c>
      <c r="Z221">
        <v>169757</v>
      </c>
      <c r="AA221">
        <v>169757</v>
      </c>
      <c r="AB221">
        <v>0</v>
      </c>
      <c r="AC221">
        <v>0</v>
      </c>
      <c r="AD221">
        <v>0</v>
      </c>
      <c r="AE221">
        <v>0</v>
      </c>
      <c r="AF221">
        <v>0</v>
      </c>
      <c r="AG221">
        <v>0</v>
      </c>
      <c r="AH221">
        <v>0</v>
      </c>
      <c r="AI221">
        <v>0</v>
      </c>
      <c r="AJ221">
        <v>0</v>
      </c>
      <c r="AK221">
        <v>0</v>
      </c>
      <c r="AL221">
        <v>0</v>
      </c>
      <c r="AM221">
        <v>0</v>
      </c>
      <c r="AN221">
        <v>0</v>
      </c>
      <c r="AO221">
        <v>0</v>
      </c>
      <c r="AP221">
        <v>0</v>
      </c>
      <c r="AQ221">
        <v>0</v>
      </c>
      <c r="AR221" s="661">
        <v>0</v>
      </c>
      <c r="AS221" t="s">
        <v>1872</v>
      </c>
    </row>
    <row r="222" spans="1:45" ht="12.75" x14ac:dyDescent="0.2">
      <c r="A222" s="605">
        <v>215</v>
      </c>
      <c r="B222" s="606" t="s">
        <v>317</v>
      </c>
      <c r="C222" s="607" t="s">
        <v>1185</v>
      </c>
      <c r="D222" s="608" t="s">
        <v>1188</v>
      </c>
      <c r="E222" s="609" t="s">
        <v>316</v>
      </c>
      <c r="F222">
        <v>30126991</v>
      </c>
      <c r="G222">
        <v>0</v>
      </c>
      <c r="H222">
        <v>30126991</v>
      </c>
      <c r="I222">
        <v>-123000</v>
      </c>
      <c r="J222">
        <v>0</v>
      </c>
      <c r="K222">
        <v>-123000</v>
      </c>
      <c r="L222">
        <v>-210000</v>
      </c>
      <c r="M222">
        <v>0</v>
      </c>
      <c r="N222">
        <v>-210000</v>
      </c>
      <c r="O222">
        <v>29793991</v>
      </c>
      <c r="P222">
        <v>0</v>
      </c>
      <c r="Q222">
        <v>29793991</v>
      </c>
      <c r="R222">
        <v>461315</v>
      </c>
      <c r="S222">
        <v>0</v>
      </c>
      <c r="T222">
        <v>461315</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s="661">
        <v>0</v>
      </c>
      <c r="AS222" t="s">
        <v>1873</v>
      </c>
    </row>
    <row r="223" spans="1:45" ht="12.75" x14ac:dyDescent="0.2">
      <c r="A223" s="605">
        <v>216</v>
      </c>
      <c r="B223" s="606" t="s">
        <v>319</v>
      </c>
      <c r="C223" s="607" t="s">
        <v>1185</v>
      </c>
      <c r="D223" s="608" t="s">
        <v>1186</v>
      </c>
      <c r="E223" s="609" t="s">
        <v>318</v>
      </c>
      <c r="F223">
        <v>54071735</v>
      </c>
      <c r="G223">
        <v>0</v>
      </c>
      <c r="H223">
        <v>54071735</v>
      </c>
      <c r="I223">
        <v>-390000</v>
      </c>
      <c r="J223">
        <v>0</v>
      </c>
      <c r="K223">
        <v>-390000</v>
      </c>
      <c r="L223">
        <v>-3492405</v>
      </c>
      <c r="M223">
        <v>0</v>
      </c>
      <c r="N223">
        <v>-3492405</v>
      </c>
      <c r="O223">
        <v>50189330</v>
      </c>
      <c r="P223">
        <v>0</v>
      </c>
      <c r="Q223">
        <v>50189330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s="661">
        <v>0</v>
      </c>
      <c r="AS223" t="s">
        <v>1874</v>
      </c>
    </row>
    <row r="224" spans="1:45" ht="12.75" x14ac:dyDescent="0.2">
      <c r="A224" s="605">
        <v>217</v>
      </c>
      <c r="B224" s="606" t="s">
        <v>321</v>
      </c>
      <c r="C224" s="607" t="s">
        <v>524</v>
      </c>
      <c r="D224" s="608" t="s">
        <v>1188</v>
      </c>
      <c r="E224" s="609" t="s">
        <v>593</v>
      </c>
      <c r="F224">
        <v>11981581</v>
      </c>
      <c r="G224">
        <v>0</v>
      </c>
      <c r="H224">
        <v>11981581</v>
      </c>
      <c r="I224">
        <v>-40000</v>
      </c>
      <c r="J224">
        <v>0</v>
      </c>
      <c r="K224">
        <v>-40000</v>
      </c>
      <c r="L224">
        <v>-757337</v>
      </c>
      <c r="M224">
        <v>0</v>
      </c>
      <c r="N224">
        <v>-757337</v>
      </c>
      <c r="O224">
        <v>11184244</v>
      </c>
      <c r="P224">
        <v>0</v>
      </c>
      <c r="Q224">
        <v>11184244</v>
      </c>
      <c r="R224">
        <v>35968</v>
      </c>
      <c r="S224">
        <v>0</v>
      </c>
      <c r="T224">
        <v>35968</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s="661">
        <v>0</v>
      </c>
      <c r="AS224" t="s">
        <v>1875</v>
      </c>
    </row>
    <row r="225" spans="1:45" ht="12.75" x14ac:dyDescent="0.2">
      <c r="A225" s="605">
        <v>218</v>
      </c>
      <c r="B225" s="606" t="s">
        <v>323</v>
      </c>
      <c r="C225" s="607" t="s">
        <v>1185</v>
      </c>
      <c r="D225" s="608" t="s">
        <v>1193</v>
      </c>
      <c r="E225" s="609" t="s">
        <v>322</v>
      </c>
      <c r="F225">
        <v>18317913</v>
      </c>
      <c r="G225">
        <v>0</v>
      </c>
      <c r="H225">
        <v>18317913</v>
      </c>
      <c r="I225">
        <v>-55000</v>
      </c>
      <c r="J225">
        <v>0</v>
      </c>
      <c r="K225">
        <v>-55000</v>
      </c>
      <c r="L225">
        <v>-807000</v>
      </c>
      <c r="M225">
        <v>0</v>
      </c>
      <c r="N225">
        <v>-807000</v>
      </c>
      <c r="O225">
        <v>17455913</v>
      </c>
      <c r="P225">
        <v>0</v>
      </c>
      <c r="Q225">
        <v>17455913</v>
      </c>
      <c r="R225">
        <v>22455</v>
      </c>
      <c r="S225">
        <v>0</v>
      </c>
      <c r="T225">
        <v>22455</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s="661">
        <v>0</v>
      </c>
      <c r="AS225" t="s">
        <v>1876</v>
      </c>
    </row>
    <row r="226" spans="1:45" ht="12.75" x14ac:dyDescent="0.2">
      <c r="A226" s="605">
        <v>219</v>
      </c>
      <c r="B226" s="606" t="s">
        <v>325</v>
      </c>
      <c r="C226" s="607" t="s">
        <v>1192</v>
      </c>
      <c r="D226" s="608" t="s">
        <v>1187</v>
      </c>
      <c r="E226" s="609" t="s">
        <v>324</v>
      </c>
      <c r="F226">
        <v>100837504</v>
      </c>
      <c r="G226">
        <v>0</v>
      </c>
      <c r="H226">
        <v>100837504</v>
      </c>
      <c r="I226">
        <v>-3529313</v>
      </c>
      <c r="J226">
        <v>0</v>
      </c>
      <c r="K226">
        <v>-3529313</v>
      </c>
      <c r="L226">
        <v>-5597027</v>
      </c>
      <c r="M226">
        <v>0</v>
      </c>
      <c r="N226">
        <v>-5597027</v>
      </c>
      <c r="O226">
        <v>91711164</v>
      </c>
      <c r="P226">
        <v>0</v>
      </c>
      <c r="Q226">
        <v>91711164</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s="661">
        <v>0</v>
      </c>
      <c r="AS226" t="s">
        <v>1877</v>
      </c>
    </row>
    <row r="227" spans="1:45" ht="12.75" x14ac:dyDescent="0.2">
      <c r="A227" s="605">
        <v>220</v>
      </c>
      <c r="B227" s="606" t="s">
        <v>327</v>
      </c>
      <c r="C227" s="607" t="s">
        <v>1192</v>
      </c>
      <c r="D227" s="608" t="s">
        <v>1195</v>
      </c>
      <c r="E227" s="609" t="s">
        <v>326</v>
      </c>
      <c r="F227">
        <v>104603812</v>
      </c>
      <c r="G227">
        <v>0</v>
      </c>
      <c r="H227">
        <v>104603812</v>
      </c>
      <c r="I227">
        <v>-1400000</v>
      </c>
      <c r="J227">
        <v>0</v>
      </c>
      <c r="K227">
        <v>-1400000</v>
      </c>
      <c r="L227">
        <v>-1800000</v>
      </c>
      <c r="M227">
        <v>0</v>
      </c>
      <c r="N227">
        <v>-1800000</v>
      </c>
      <c r="O227">
        <v>101403812</v>
      </c>
      <c r="P227">
        <v>0</v>
      </c>
      <c r="Q227">
        <v>101403812</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s="661">
        <v>0</v>
      </c>
      <c r="AS227" t="s">
        <v>1878</v>
      </c>
    </row>
    <row r="228" spans="1:45" ht="12.75" x14ac:dyDescent="0.2">
      <c r="A228" s="605">
        <v>221</v>
      </c>
      <c r="B228" s="606" t="s">
        <v>329</v>
      </c>
      <c r="C228" s="607" t="s">
        <v>1185</v>
      </c>
      <c r="D228" s="608" t="s">
        <v>1193</v>
      </c>
      <c r="E228" s="609" t="s">
        <v>328</v>
      </c>
      <c r="F228">
        <v>36255776</v>
      </c>
      <c r="G228">
        <v>0</v>
      </c>
      <c r="H228">
        <v>36255776</v>
      </c>
      <c r="I228">
        <v>-400000</v>
      </c>
      <c r="J228">
        <v>0</v>
      </c>
      <c r="K228">
        <v>-400000</v>
      </c>
      <c r="L228">
        <v>-1800000</v>
      </c>
      <c r="M228">
        <v>0</v>
      </c>
      <c r="N228">
        <v>-1800000</v>
      </c>
      <c r="O228">
        <v>34055776</v>
      </c>
      <c r="P228">
        <v>0</v>
      </c>
      <c r="Q228">
        <v>34055776</v>
      </c>
      <c r="R228">
        <v>5863</v>
      </c>
      <c r="S228">
        <v>0</v>
      </c>
      <c r="T228">
        <v>5863</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s="661">
        <v>0</v>
      </c>
      <c r="AS228" t="s">
        <v>1879</v>
      </c>
    </row>
    <row r="229" spans="1:45" ht="12.75" x14ac:dyDescent="0.2">
      <c r="A229" s="605">
        <v>222</v>
      </c>
      <c r="B229" s="606" t="s">
        <v>331</v>
      </c>
      <c r="C229" s="607" t="s">
        <v>1185</v>
      </c>
      <c r="D229" s="608" t="s">
        <v>1194</v>
      </c>
      <c r="E229" s="609" t="s">
        <v>330</v>
      </c>
      <c r="F229">
        <v>45112603</v>
      </c>
      <c r="G229">
        <v>18944</v>
      </c>
      <c r="H229">
        <v>45131547</v>
      </c>
      <c r="I229">
        <v>-225682</v>
      </c>
      <c r="J229">
        <v>0</v>
      </c>
      <c r="K229">
        <v>-225682</v>
      </c>
      <c r="L229">
        <v>-1051285</v>
      </c>
      <c r="M229">
        <v>0</v>
      </c>
      <c r="N229">
        <v>-1051285</v>
      </c>
      <c r="O229">
        <v>43835636</v>
      </c>
      <c r="P229">
        <v>18944</v>
      </c>
      <c r="Q229">
        <v>43854580</v>
      </c>
      <c r="R229">
        <v>231218</v>
      </c>
      <c r="S229">
        <v>0</v>
      </c>
      <c r="T229">
        <v>231218</v>
      </c>
      <c r="U229">
        <v>0</v>
      </c>
      <c r="V229">
        <v>0</v>
      </c>
      <c r="W229">
        <v>0</v>
      </c>
      <c r="X229">
        <v>0</v>
      </c>
      <c r="Y229">
        <v>22210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s="661">
        <v>0</v>
      </c>
      <c r="AS229" t="s">
        <v>1880</v>
      </c>
    </row>
    <row r="230" spans="1:45" ht="12.75" x14ac:dyDescent="0.2">
      <c r="A230" s="605">
        <v>223</v>
      </c>
      <c r="B230" s="606" t="s">
        <v>333</v>
      </c>
      <c r="C230" s="607" t="s">
        <v>1192</v>
      </c>
      <c r="D230" s="608" t="s">
        <v>1187</v>
      </c>
      <c r="E230" s="609" t="s">
        <v>332</v>
      </c>
      <c r="F230">
        <v>72481433</v>
      </c>
      <c r="G230">
        <v>0</v>
      </c>
      <c r="H230">
        <v>72481433</v>
      </c>
      <c r="I230">
        <v>-1400000</v>
      </c>
      <c r="J230">
        <v>0</v>
      </c>
      <c r="K230">
        <v>-1400000</v>
      </c>
      <c r="L230">
        <v>-4020000</v>
      </c>
      <c r="M230">
        <v>0</v>
      </c>
      <c r="N230">
        <v>-4020000</v>
      </c>
      <c r="O230">
        <v>67061433</v>
      </c>
      <c r="P230">
        <v>0</v>
      </c>
      <c r="Q230">
        <v>67061433</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s="661">
        <v>0</v>
      </c>
      <c r="AS230" t="s">
        <v>1881</v>
      </c>
    </row>
    <row r="231" spans="1:45" ht="12.75" x14ac:dyDescent="0.2">
      <c r="A231" s="605">
        <v>224</v>
      </c>
      <c r="B231" s="606" t="s">
        <v>335</v>
      </c>
      <c r="C231" s="607" t="s">
        <v>1185</v>
      </c>
      <c r="D231" s="608" t="s">
        <v>1193</v>
      </c>
      <c r="E231" s="609" t="s">
        <v>334</v>
      </c>
      <c r="F231">
        <v>39943797</v>
      </c>
      <c r="G231">
        <v>0</v>
      </c>
      <c r="H231">
        <v>39943797</v>
      </c>
      <c r="I231">
        <v>-211034</v>
      </c>
      <c r="J231">
        <v>0</v>
      </c>
      <c r="K231">
        <v>-211034</v>
      </c>
      <c r="L231">
        <v>-1877358</v>
      </c>
      <c r="M231">
        <v>0</v>
      </c>
      <c r="N231">
        <v>-1877358</v>
      </c>
      <c r="O231">
        <v>37855405</v>
      </c>
      <c r="P231">
        <v>0</v>
      </c>
      <c r="Q231">
        <v>37855405</v>
      </c>
      <c r="R231">
        <v>9019112</v>
      </c>
      <c r="S231">
        <v>0</v>
      </c>
      <c r="T231">
        <v>9019112</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s="661">
        <v>0</v>
      </c>
      <c r="AS231" t="s">
        <v>1882</v>
      </c>
    </row>
    <row r="232" spans="1:45" ht="12.75" x14ac:dyDescent="0.2">
      <c r="A232" s="605">
        <v>225</v>
      </c>
      <c r="B232" s="606" t="s">
        <v>337</v>
      </c>
      <c r="C232" s="607" t="s">
        <v>1185</v>
      </c>
      <c r="D232" s="608" t="s">
        <v>1186</v>
      </c>
      <c r="E232" s="609" t="s">
        <v>336</v>
      </c>
      <c r="F232">
        <v>37723613</v>
      </c>
      <c r="G232">
        <v>0</v>
      </c>
      <c r="H232">
        <v>37723613</v>
      </c>
      <c r="I232">
        <v>-100000</v>
      </c>
      <c r="J232">
        <v>0</v>
      </c>
      <c r="K232">
        <v>-100000</v>
      </c>
      <c r="L232">
        <v>-1665831</v>
      </c>
      <c r="M232">
        <v>0</v>
      </c>
      <c r="N232">
        <v>-1665831</v>
      </c>
      <c r="O232">
        <v>35957782</v>
      </c>
      <c r="P232">
        <v>0</v>
      </c>
      <c r="Q232">
        <v>35957782</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s="661">
        <v>0</v>
      </c>
      <c r="AS232" t="s">
        <v>1883</v>
      </c>
    </row>
    <row r="233" spans="1:45" ht="12.75" x14ac:dyDescent="0.2">
      <c r="A233" s="605">
        <v>226</v>
      </c>
      <c r="B233" s="606" t="s">
        <v>339</v>
      </c>
      <c r="C233" s="607" t="s">
        <v>1192</v>
      </c>
      <c r="D233" s="608" t="s">
        <v>1193</v>
      </c>
      <c r="E233" s="609" t="s">
        <v>338</v>
      </c>
      <c r="F233">
        <v>220266059</v>
      </c>
      <c r="G233">
        <v>5222003</v>
      </c>
      <c r="H233">
        <v>225488062</v>
      </c>
      <c r="I233">
        <v>-3668327</v>
      </c>
      <c r="J233">
        <v>-30000</v>
      </c>
      <c r="K233">
        <v>-3698327</v>
      </c>
      <c r="L233">
        <v>-7626000</v>
      </c>
      <c r="M233">
        <v>-40000</v>
      </c>
      <c r="N233">
        <v>-7666000</v>
      </c>
      <c r="O233">
        <v>208971732</v>
      </c>
      <c r="P233">
        <v>5152003</v>
      </c>
      <c r="Q233">
        <v>214123735</v>
      </c>
      <c r="R233">
        <v>1395777</v>
      </c>
      <c r="S233">
        <v>0</v>
      </c>
      <c r="T233">
        <v>1395777</v>
      </c>
      <c r="U233">
        <v>0</v>
      </c>
      <c r="V233">
        <v>0</v>
      </c>
      <c r="W233">
        <v>0</v>
      </c>
      <c r="X233">
        <v>0</v>
      </c>
      <c r="Y233">
        <v>3547894</v>
      </c>
      <c r="Z233">
        <v>1604109</v>
      </c>
      <c r="AA233">
        <v>1604109</v>
      </c>
      <c r="AB233">
        <v>0</v>
      </c>
      <c r="AC233">
        <v>0</v>
      </c>
      <c r="AD233">
        <v>0</v>
      </c>
      <c r="AE233">
        <v>0</v>
      </c>
      <c r="AF233">
        <v>0</v>
      </c>
      <c r="AG233">
        <v>0</v>
      </c>
      <c r="AH233">
        <v>0</v>
      </c>
      <c r="AI233">
        <v>0</v>
      </c>
      <c r="AJ233">
        <v>0</v>
      </c>
      <c r="AK233">
        <v>0</v>
      </c>
      <c r="AL233">
        <v>0</v>
      </c>
      <c r="AM233">
        <v>0</v>
      </c>
      <c r="AN233">
        <v>0</v>
      </c>
      <c r="AO233">
        <v>0</v>
      </c>
      <c r="AP233">
        <v>0</v>
      </c>
      <c r="AQ233">
        <v>0</v>
      </c>
      <c r="AR233" s="661">
        <v>0</v>
      </c>
      <c r="AS233" t="s">
        <v>1884</v>
      </c>
    </row>
    <row r="234" spans="1:45" ht="12.75" x14ac:dyDescent="0.2">
      <c r="A234" s="605">
        <v>227</v>
      </c>
      <c r="B234" s="606" t="s">
        <v>343</v>
      </c>
      <c r="C234" s="607" t="s">
        <v>524</v>
      </c>
      <c r="D234" s="608" t="s">
        <v>1195</v>
      </c>
      <c r="E234" s="609" t="s">
        <v>342</v>
      </c>
      <c r="F234">
        <v>89026684</v>
      </c>
      <c r="G234">
        <v>0</v>
      </c>
      <c r="H234">
        <v>89026684</v>
      </c>
      <c r="I234">
        <v>-890267</v>
      </c>
      <c r="J234">
        <v>0</v>
      </c>
      <c r="K234">
        <v>-890267</v>
      </c>
      <c r="L234">
        <v>-4822338</v>
      </c>
      <c r="M234">
        <v>0</v>
      </c>
      <c r="N234">
        <v>-4822338</v>
      </c>
      <c r="O234">
        <v>83314079</v>
      </c>
      <c r="P234">
        <v>0</v>
      </c>
      <c r="Q234">
        <v>83314079</v>
      </c>
      <c r="R234">
        <v>960474</v>
      </c>
      <c r="S234">
        <v>0</v>
      </c>
      <c r="T234">
        <v>960474</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s="661">
        <v>0</v>
      </c>
      <c r="AS234" t="s">
        <v>1885</v>
      </c>
    </row>
    <row r="235" spans="1:45" ht="12.75" x14ac:dyDescent="0.2">
      <c r="A235" s="605">
        <v>228</v>
      </c>
      <c r="B235" s="606" t="s">
        <v>345</v>
      </c>
      <c r="C235" s="607" t="s">
        <v>524</v>
      </c>
      <c r="D235" s="608" t="s">
        <v>1186</v>
      </c>
      <c r="E235" s="609" t="s">
        <v>535</v>
      </c>
      <c r="F235">
        <v>109948403</v>
      </c>
      <c r="G235">
        <v>0</v>
      </c>
      <c r="H235">
        <v>109948403</v>
      </c>
      <c r="I235">
        <v>-2475160</v>
      </c>
      <c r="J235">
        <v>0</v>
      </c>
      <c r="K235">
        <v>-2475160</v>
      </c>
      <c r="L235">
        <v>0</v>
      </c>
      <c r="M235">
        <v>0</v>
      </c>
      <c r="N235">
        <v>0</v>
      </c>
      <c r="O235">
        <v>107473243</v>
      </c>
      <c r="P235">
        <v>0</v>
      </c>
      <c r="Q235">
        <v>107473243</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s="661">
        <v>0</v>
      </c>
      <c r="AS235" t="s">
        <v>1886</v>
      </c>
    </row>
    <row r="236" spans="1:45" ht="12.75" x14ac:dyDescent="0.2">
      <c r="A236" s="605">
        <v>229</v>
      </c>
      <c r="B236" s="606" t="s">
        <v>347</v>
      </c>
      <c r="C236" s="607" t="s">
        <v>1192</v>
      </c>
      <c r="D236" s="608" t="s">
        <v>1195</v>
      </c>
      <c r="E236" s="609" t="s">
        <v>346</v>
      </c>
      <c r="F236">
        <v>124100943</v>
      </c>
      <c r="G236">
        <v>0</v>
      </c>
      <c r="H236">
        <v>124100943</v>
      </c>
      <c r="I236">
        <v>-865000</v>
      </c>
      <c r="J236">
        <v>0</v>
      </c>
      <c r="K236">
        <v>-865000</v>
      </c>
      <c r="L236">
        <v>-2600000</v>
      </c>
      <c r="M236">
        <v>0</v>
      </c>
      <c r="N236">
        <v>-2600000</v>
      </c>
      <c r="O236">
        <v>120635943</v>
      </c>
      <c r="P236">
        <v>0</v>
      </c>
      <c r="Q236">
        <v>120635943</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s="661">
        <v>0</v>
      </c>
      <c r="AS236" t="s">
        <v>1887</v>
      </c>
    </row>
    <row r="237" spans="1:45" ht="12.75" x14ac:dyDescent="0.2">
      <c r="A237" s="605">
        <v>230</v>
      </c>
      <c r="B237" s="606" t="s">
        <v>1130</v>
      </c>
      <c r="C237" s="607" t="s">
        <v>1185</v>
      </c>
      <c r="D237" s="608" t="s">
        <v>1194</v>
      </c>
      <c r="E237" s="609" t="s">
        <v>1129</v>
      </c>
      <c r="F237">
        <v>60510360</v>
      </c>
      <c r="G237">
        <v>0</v>
      </c>
      <c r="H237">
        <v>60510360</v>
      </c>
      <c r="I237">
        <v>0</v>
      </c>
      <c r="J237">
        <v>0</v>
      </c>
      <c r="K237">
        <v>0</v>
      </c>
      <c r="L237">
        <v>0</v>
      </c>
      <c r="M237">
        <v>0</v>
      </c>
      <c r="N237">
        <v>0</v>
      </c>
      <c r="O237">
        <v>60510360</v>
      </c>
      <c r="P237">
        <v>0</v>
      </c>
      <c r="Q237">
        <v>60510360</v>
      </c>
      <c r="R237">
        <v>206288</v>
      </c>
      <c r="S237">
        <v>0</v>
      </c>
      <c r="T237">
        <v>206288</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s="661">
        <v>0</v>
      </c>
      <c r="AS237" t="s">
        <v>1888</v>
      </c>
    </row>
    <row r="238" spans="1:45" ht="12.75" x14ac:dyDescent="0.2">
      <c r="A238" s="605">
        <v>231</v>
      </c>
      <c r="B238" s="606" t="s">
        <v>351</v>
      </c>
      <c r="C238" s="607" t="s">
        <v>1185</v>
      </c>
      <c r="D238" s="608" t="s">
        <v>1189</v>
      </c>
      <c r="E238" s="609" t="s">
        <v>350</v>
      </c>
      <c r="F238">
        <v>94992625</v>
      </c>
      <c r="G238">
        <v>955945</v>
      </c>
      <c r="H238">
        <v>95948570</v>
      </c>
      <c r="I238">
        <v>-230961</v>
      </c>
      <c r="J238">
        <v>0</v>
      </c>
      <c r="K238">
        <v>-230961</v>
      </c>
      <c r="L238">
        <v>-4399442</v>
      </c>
      <c r="M238">
        <v>0</v>
      </c>
      <c r="N238">
        <v>-4399442</v>
      </c>
      <c r="O238">
        <v>90362222</v>
      </c>
      <c r="P238">
        <v>955945</v>
      </c>
      <c r="Q238">
        <v>91318167</v>
      </c>
      <c r="R238">
        <v>782087</v>
      </c>
      <c r="S238">
        <v>0</v>
      </c>
      <c r="T238">
        <v>782087</v>
      </c>
      <c r="U238">
        <v>0</v>
      </c>
      <c r="V238">
        <v>0</v>
      </c>
      <c r="W238">
        <v>0</v>
      </c>
      <c r="X238">
        <v>0</v>
      </c>
      <c r="Y238">
        <v>0</v>
      </c>
      <c r="Z238">
        <v>955945</v>
      </c>
      <c r="AA238">
        <v>955945</v>
      </c>
      <c r="AB238">
        <v>0</v>
      </c>
      <c r="AC238">
        <v>0</v>
      </c>
      <c r="AD238">
        <v>0</v>
      </c>
      <c r="AE238">
        <v>0</v>
      </c>
      <c r="AF238">
        <v>172760</v>
      </c>
      <c r="AG238">
        <v>172760</v>
      </c>
      <c r="AH238">
        <v>0</v>
      </c>
      <c r="AI238">
        <v>0</v>
      </c>
      <c r="AJ238">
        <v>0</v>
      </c>
      <c r="AK238">
        <v>0</v>
      </c>
      <c r="AL238">
        <v>0</v>
      </c>
      <c r="AM238">
        <v>0</v>
      </c>
      <c r="AN238">
        <v>0</v>
      </c>
      <c r="AO238">
        <v>0</v>
      </c>
      <c r="AP238">
        <v>0</v>
      </c>
      <c r="AQ238">
        <v>172760</v>
      </c>
      <c r="AR238" s="661">
        <v>172760</v>
      </c>
      <c r="AS238" t="s">
        <v>1889</v>
      </c>
    </row>
    <row r="239" spans="1:45" ht="12.75" x14ac:dyDescent="0.2">
      <c r="A239" s="605">
        <v>232</v>
      </c>
      <c r="B239" s="606" t="s">
        <v>353</v>
      </c>
      <c r="C239" s="607" t="s">
        <v>1185</v>
      </c>
      <c r="D239" s="608" t="s">
        <v>1188</v>
      </c>
      <c r="E239" s="609" t="s">
        <v>352</v>
      </c>
      <c r="F239">
        <v>27756575</v>
      </c>
      <c r="G239">
        <v>0</v>
      </c>
      <c r="H239">
        <v>27756575</v>
      </c>
      <c r="I239">
        <v>-311358</v>
      </c>
      <c r="J239">
        <v>0</v>
      </c>
      <c r="K239">
        <v>-311358</v>
      </c>
      <c r="L239">
        <v>-85000</v>
      </c>
      <c r="M239">
        <v>0</v>
      </c>
      <c r="N239">
        <v>-85000</v>
      </c>
      <c r="O239">
        <v>27360217</v>
      </c>
      <c r="P239">
        <v>0</v>
      </c>
      <c r="Q239">
        <v>27360217</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s="661">
        <v>0</v>
      </c>
      <c r="AS239" t="s">
        <v>1890</v>
      </c>
    </row>
    <row r="240" spans="1:45" ht="12.75" x14ac:dyDescent="0.2">
      <c r="A240" s="605">
        <v>233</v>
      </c>
      <c r="B240" s="606" t="s">
        <v>355</v>
      </c>
      <c r="C240" s="607" t="s">
        <v>524</v>
      </c>
      <c r="D240" s="608" t="s">
        <v>1194</v>
      </c>
      <c r="E240" s="609" t="s">
        <v>527</v>
      </c>
      <c r="F240">
        <v>135290453</v>
      </c>
      <c r="G240">
        <v>18945553</v>
      </c>
      <c r="H240">
        <v>154236006</v>
      </c>
      <c r="I240">
        <v>-400000</v>
      </c>
      <c r="J240">
        <v>0</v>
      </c>
      <c r="K240">
        <v>-400000</v>
      </c>
      <c r="L240">
        <v>-6535208</v>
      </c>
      <c r="M240">
        <v>-890441</v>
      </c>
      <c r="N240">
        <v>-7425649</v>
      </c>
      <c r="O240">
        <v>128355245</v>
      </c>
      <c r="P240">
        <v>18055112</v>
      </c>
      <c r="Q240">
        <v>146410357</v>
      </c>
      <c r="R240">
        <v>235751</v>
      </c>
      <c r="S240">
        <v>275940</v>
      </c>
      <c r="T240">
        <v>511691</v>
      </c>
      <c r="U240">
        <v>0</v>
      </c>
      <c r="V240">
        <v>0</v>
      </c>
      <c r="W240">
        <v>0</v>
      </c>
      <c r="X240">
        <v>-13609</v>
      </c>
      <c r="Y240">
        <v>742522</v>
      </c>
      <c r="Z240">
        <v>17023041</v>
      </c>
      <c r="AA240">
        <v>17023041</v>
      </c>
      <c r="AB240">
        <v>0</v>
      </c>
      <c r="AC240">
        <v>0</v>
      </c>
      <c r="AD240">
        <v>0</v>
      </c>
      <c r="AE240">
        <v>0</v>
      </c>
      <c r="AF240">
        <v>0</v>
      </c>
      <c r="AG240">
        <v>0</v>
      </c>
      <c r="AH240">
        <v>0</v>
      </c>
      <c r="AI240">
        <v>0</v>
      </c>
      <c r="AJ240">
        <v>0</v>
      </c>
      <c r="AK240">
        <v>0</v>
      </c>
      <c r="AL240">
        <v>0</v>
      </c>
      <c r="AM240">
        <v>0</v>
      </c>
      <c r="AN240">
        <v>0</v>
      </c>
      <c r="AO240">
        <v>0</v>
      </c>
      <c r="AP240">
        <v>0</v>
      </c>
      <c r="AQ240">
        <v>0</v>
      </c>
      <c r="AR240" s="661">
        <v>0</v>
      </c>
      <c r="AS240" t="s">
        <v>1891</v>
      </c>
    </row>
    <row r="241" spans="1:45" ht="12.75" x14ac:dyDescent="0.2">
      <c r="A241" s="605">
        <v>234</v>
      </c>
      <c r="B241" s="606" t="s">
        <v>357</v>
      </c>
      <c r="C241" s="607" t="s">
        <v>1185</v>
      </c>
      <c r="D241" s="608" t="s">
        <v>1194</v>
      </c>
      <c r="E241" s="609" t="s">
        <v>356</v>
      </c>
      <c r="F241">
        <v>29870518</v>
      </c>
      <c r="G241">
        <v>0</v>
      </c>
      <c r="H241">
        <v>29870518</v>
      </c>
      <c r="I241">
        <v>-304459</v>
      </c>
      <c r="J241">
        <v>0</v>
      </c>
      <c r="K241">
        <v>-304459</v>
      </c>
      <c r="L241">
        <v>-1164034</v>
      </c>
      <c r="M241">
        <v>0</v>
      </c>
      <c r="N241">
        <v>-1164034</v>
      </c>
      <c r="O241">
        <v>28402025</v>
      </c>
      <c r="P241">
        <v>0</v>
      </c>
      <c r="Q241">
        <v>28402025</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s="661">
        <v>0</v>
      </c>
      <c r="AS241" t="s">
        <v>1892</v>
      </c>
    </row>
    <row r="242" spans="1:45" ht="12.75" x14ac:dyDescent="0.2">
      <c r="A242" s="605">
        <v>235</v>
      </c>
      <c r="B242" s="606" t="s">
        <v>359</v>
      </c>
      <c r="C242" s="607" t="s">
        <v>1185</v>
      </c>
      <c r="D242" s="608" t="s">
        <v>1188</v>
      </c>
      <c r="E242" s="609" t="s">
        <v>358</v>
      </c>
      <c r="F242">
        <v>27637146</v>
      </c>
      <c r="G242">
        <v>0</v>
      </c>
      <c r="H242">
        <v>27637146</v>
      </c>
      <c r="I242">
        <v>-138186</v>
      </c>
      <c r="J242">
        <v>0</v>
      </c>
      <c r="K242">
        <v>-138186</v>
      </c>
      <c r="L242">
        <v>-358386</v>
      </c>
      <c r="M242">
        <v>0</v>
      </c>
      <c r="N242">
        <v>-358386</v>
      </c>
      <c r="O242">
        <v>27140574</v>
      </c>
      <c r="P242">
        <v>0</v>
      </c>
      <c r="Q242">
        <v>27140574</v>
      </c>
      <c r="R242">
        <v>356532</v>
      </c>
      <c r="S242">
        <v>0</v>
      </c>
      <c r="T242">
        <v>356532</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s="661">
        <v>0</v>
      </c>
      <c r="AS242" t="s">
        <v>1893</v>
      </c>
    </row>
    <row r="243" spans="1:45" ht="12.75" x14ac:dyDescent="0.2">
      <c r="A243" s="605">
        <v>236</v>
      </c>
      <c r="B243" s="606" t="s">
        <v>361</v>
      </c>
      <c r="C243" s="607" t="s">
        <v>1185</v>
      </c>
      <c r="D243" s="608" t="s">
        <v>1188</v>
      </c>
      <c r="E243" s="609" t="s">
        <v>360</v>
      </c>
      <c r="F243">
        <v>44011975</v>
      </c>
      <c r="G243">
        <v>0</v>
      </c>
      <c r="H243">
        <v>44011975</v>
      </c>
      <c r="I243">
        <v>-300000</v>
      </c>
      <c r="J243">
        <v>0</v>
      </c>
      <c r="K243">
        <v>-300000</v>
      </c>
      <c r="L243">
        <v>-1760479</v>
      </c>
      <c r="M243">
        <v>0</v>
      </c>
      <c r="N243">
        <v>-1760479</v>
      </c>
      <c r="O243">
        <v>41951496</v>
      </c>
      <c r="P243">
        <v>0</v>
      </c>
      <c r="Q243">
        <v>41951496</v>
      </c>
      <c r="R243">
        <v>230305</v>
      </c>
      <c r="S243">
        <v>0</v>
      </c>
      <c r="T243">
        <v>230305</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s="661">
        <v>0</v>
      </c>
      <c r="AS243" t="s">
        <v>1894</v>
      </c>
    </row>
    <row r="244" spans="1:45" ht="12.75" x14ac:dyDescent="0.2">
      <c r="A244" s="605">
        <v>237</v>
      </c>
      <c r="B244" s="606" t="s">
        <v>363</v>
      </c>
      <c r="C244" s="607" t="s">
        <v>1185</v>
      </c>
      <c r="D244" s="608" t="s">
        <v>1187</v>
      </c>
      <c r="E244" s="609" t="s">
        <v>362</v>
      </c>
      <c r="F244">
        <v>44337747</v>
      </c>
      <c r="G244">
        <v>0</v>
      </c>
      <c r="H244">
        <v>44337747</v>
      </c>
      <c r="I244">
        <v>-443377</v>
      </c>
      <c r="J244">
        <v>0</v>
      </c>
      <c r="K244">
        <v>-443377</v>
      </c>
      <c r="L244">
        <v>-1330132</v>
      </c>
      <c r="M244">
        <v>0</v>
      </c>
      <c r="N244">
        <v>-1330132</v>
      </c>
      <c r="O244">
        <v>42564238</v>
      </c>
      <c r="P244">
        <v>0</v>
      </c>
      <c r="Q244">
        <v>42564238</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s="661">
        <v>0</v>
      </c>
      <c r="AS244" t="s">
        <v>1895</v>
      </c>
    </row>
    <row r="245" spans="1:45" ht="12.75" x14ac:dyDescent="0.2">
      <c r="A245" s="605">
        <v>238</v>
      </c>
      <c r="B245" s="606" t="s">
        <v>365</v>
      </c>
      <c r="C245" s="607" t="s">
        <v>1185</v>
      </c>
      <c r="D245" s="608" t="s">
        <v>1189</v>
      </c>
      <c r="E245" s="609" t="s">
        <v>364</v>
      </c>
      <c r="F245">
        <v>32782354</v>
      </c>
      <c r="G245">
        <v>174004</v>
      </c>
      <c r="H245">
        <v>32956358</v>
      </c>
      <c r="I245">
        <v>-180000</v>
      </c>
      <c r="J245">
        <v>0</v>
      </c>
      <c r="K245">
        <v>-180000</v>
      </c>
      <c r="L245">
        <v>-983471</v>
      </c>
      <c r="M245">
        <v>-5190</v>
      </c>
      <c r="N245">
        <v>-988661</v>
      </c>
      <c r="O245">
        <v>31618883</v>
      </c>
      <c r="P245">
        <v>168814</v>
      </c>
      <c r="Q245">
        <v>31787697</v>
      </c>
      <c r="R245">
        <v>154720</v>
      </c>
      <c r="S245">
        <v>102</v>
      </c>
      <c r="T245">
        <v>154822</v>
      </c>
      <c r="U245">
        <v>0</v>
      </c>
      <c r="V245">
        <v>0</v>
      </c>
      <c r="W245">
        <v>0</v>
      </c>
      <c r="X245">
        <v>0</v>
      </c>
      <c r="Y245">
        <v>211640</v>
      </c>
      <c r="Z245">
        <v>0</v>
      </c>
      <c r="AA245">
        <v>0</v>
      </c>
      <c r="AB245">
        <v>0</v>
      </c>
      <c r="AC245">
        <v>0</v>
      </c>
      <c r="AD245">
        <v>0</v>
      </c>
      <c r="AE245">
        <v>0</v>
      </c>
      <c r="AF245">
        <v>403523</v>
      </c>
      <c r="AG245">
        <v>403523</v>
      </c>
      <c r="AH245">
        <v>0</v>
      </c>
      <c r="AI245">
        <v>0</v>
      </c>
      <c r="AJ245">
        <v>0</v>
      </c>
      <c r="AK245">
        <v>0</v>
      </c>
      <c r="AL245">
        <v>0</v>
      </c>
      <c r="AM245">
        <v>0</v>
      </c>
      <c r="AN245">
        <v>0</v>
      </c>
      <c r="AO245">
        <v>0</v>
      </c>
      <c r="AP245">
        <v>0</v>
      </c>
      <c r="AQ245">
        <v>403523</v>
      </c>
      <c r="AR245" s="661">
        <v>403523</v>
      </c>
      <c r="AS245" t="s">
        <v>1896</v>
      </c>
    </row>
    <row r="246" spans="1:45" ht="12.75" x14ac:dyDescent="0.2">
      <c r="A246" s="605">
        <v>239</v>
      </c>
      <c r="B246" s="606" t="s">
        <v>367</v>
      </c>
      <c r="C246" s="607" t="s">
        <v>1185</v>
      </c>
      <c r="D246" s="608" t="s">
        <v>1188</v>
      </c>
      <c r="E246" s="609" t="s">
        <v>366</v>
      </c>
      <c r="F246">
        <v>25534579</v>
      </c>
      <c r="G246">
        <v>0</v>
      </c>
      <c r="H246">
        <v>25534579</v>
      </c>
      <c r="I246">
        <v>-127673</v>
      </c>
      <c r="J246">
        <v>0</v>
      </c>
      <c r="K246">
        <v>-127673</v>
      </c>
      <c r="L246">
        <v>-510692</v>
      </c>
      <c r="M246">
        <v>0</v>
      </c>
      <c r="N246">
        <v>-510692</v>
      </c>
      <c r="O246">
        <v>24896214</v>
      </c>
      <c r="P246">
        <v>0</v>
      </c>
      <c r="Q246">
        <v>24896214</v>
      </c>
      <c r="R246">
        <v>340711</v>
      </c>
      <c r="S246">
        <v>0</v>
      </c>
      <c r="T246">
        <v>340711</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s="661">
        <v>0</v>
      </c>
      <c r="AS246" t="s">
        <v>1897</v>
      </c>
    </row>
    <row r="247" spans="1:45" ht="12.75" x14ac:dyDescent="0.2">
      <c r="A247" s="605">
        <v>240</v>
      </c>
      <c r="B247" s="606" t="s">
        <v>369</v>
      </c>
      <c r="C247" s="607" t="s">
        <v>1185</v>
      </c>
      <c r="D247" s="608" t="s">
        <v>1186</v>
      </c>
      <c r="E247" s="609" t="s">
        <v>368</v>
      </c>
      <c r="F247">
        <v>46378356</v>
      </c>
      <c r="G247">
        <v>247296</v>
      </c>
      <c r="H247">
        <v>46625652</v>
      </c>
      <c r="I247">
        <v>-556540</v>
      </c>
      <c r="J247">
        <v>-2968</v>
      </c>
      <c r="K247">
        <v>-559508</v>
      </c>
      <c r="L247">
        <v>-2318918</v>
      </c>
      <c r="M247">
        <v>-12365</v>
      </c>
      <c r="N247">
        <v>-2331283</v>
      </c>
      <c r="O247">
        <v>43502898</v>
      </c>
      <c r="P247">
        <v>231963</v>
      </c>
      <c r="Q247">
        <v>43734861</v>
      </c>
      <c r="R247">
        <v>76894</v>
      </c>
      <c r="S247">
        <v>0</v>
      </c>
      <c r="T247">
        <v>76894</v>
      </c>
      <c r="U247">
        <v>0</v>
      </c>
      <c r="V247">
        <v>0</v>
      </c>
      <c r="W247">
        <v>0</v>
      </c>
      <c r="X247">
        <v>0</v>
      </c>
      <c r="Y247">
        <v>195868</v>
      </c>
      <c r="Z247">
        <v>39031</v>
      </c>
      <c r="AA247">
        <v>39031</v>
      </c>
      <c r="AB247">
        <v>0</v>
      </c>
      <c r="AC247">
        <v>0</v>
      </c>
      <c r="AD247">
        <v>0</v>
      </c>
      <c r="AE247">
        <v>0</v>
      </c>
      <c r="AF247">
        <v>0</v>
      </c>
      <c r="AG247">
        <v>0</v>
      </c>
      <c r="AH247">
        <v>0</v>
      </c>
      <c r="AI247">
        <v>0</v>
      </c>
      <c r="AJ247">
        <v>0</v>
      </c>
      <c r="AK247">
        <v>0</v>
      </c>
      <c r="AL247">
        <v>0</v>
      </c>
      <c r="AM247">
        <v>0</v>
      </c>
      <c r="AN247">
        <v>0</v>
      </c>
      <c r="AO247">
        <v>0</v>
      </c>
      <c r="AP247">
        <v>0</v>
      </c>
      <c r="AQ247">
        <v>0</v>
      </c>
      <c r="AR247" s="661">
        <v>0</v>
      </c>
      <c r="AS247" t="s">
        <v>1898</v>
      </c>
    </row>
    <row r="248" spans="1:45" ht="12.75" x14ac:dyDescent="0.2">
      <c r="A248" s="605">
        <v>241</v>
      </c>
      <c r="B248" s="606" t="s">
        <v>371</v>
      </c>
      <c r="C248" s="607" t="s">
        <v>1185</v>
      </c>
      <c r="D248" s="608" t="s">
        <v>1187</v>
      </c>
      <c r="E248" s="609" t="s">
        <v>370</v>
      </c>
      <c r="F248">
        <v>37630908</v>
      </c>
      <c r="G248">
        <v>170241</v>
      </c>
      <c r="H248">
        <v>37801149</v>
      </c>
      <c r="I248">
        <v>-378011</v>
      </c>
      <c r="J248">
        <v>0</v>
      </c>
      <c r="K248">
        <v>-378011</v>
      </c>
      <c r="L248">
        <v>-1776654</v>
      </c>
      <c r="M248">
        <v>0</v>
      </c>
      <c r="N248">
        <v>-1776654</v>
      </c>
      <c r="O248">
        <v>35476243</v>
      </c>
      <c r="P248">
        <v>170241</v>
      </c>
      <c r="Q248">
        <v>35646484</v>
      </c>
      <c r="R248">
        <v>78211</v>
      </c>
      <c r="S248">
        <v>0</v>
      </c>
      <c r="T248">
        <v>78211</v>
      </c>
      <c r="U248">
        <v>0</v>
      </c>
      <c r="V248">
        <v>0</v>
      </c>
      <c r="W248">
        <v>0</v>
      </c>
      <c r="X248">
        <v>0</v>
      </c>
      <c r="Y248">
        <v>0</v>
      </c>
      <c r="Z248">
        <v>170241</v>
      </c>
      <c r="AA248">
        <v>170241</v>
      </c>
      <c r="AB248">
        <v>0</v>
      </c>
      <c r="AC248">
        <v>0</v>
      </c>
      <c r="AD248">
        <v>0</v>
      </c>
      <c r="AE248">
        <v>0</v>
      </c>
      <c r="AF248">
        <v>0</v>
      </c>
      <c r="AG248">
        <v>0</v>
      </c>
      <c r="AH248">
        <v>0</v>
      </c>
      <c r="AI248">
        <v>0</v>
      </c>
      <c r="AJ248">
        <v>0</v>
      </c>
      <c r="AK248">
        <v>0</v>
      </c>
      <c r="AL248">
        <v>0</v>
      </c>
      <c r="AM248">
        <v>0</v>
      </c>
      <c r="AN248">
        <v>0</v>
      </c>
      <c r="AO248">
        <v>0</v>
      </c>
      <c r="AP248">
        <v>0</v>
      </c>
      <c r="AQ248">
        <v>0</v>
      </c>
      <c r="AR248" s="661">
        <v>0</v>
      </c>
      <c r="AS248" t="s">
        <v>1899</v>
      </c>
    </row>
    <row r="249" spans="1:45" ht="12.75" x14ac:dyDescent="0.2">
      <c r="A249" s="605">
        <v>242</v>
      </c>
      <c r="B249" s="606" t="s">
        <v>373</v>
      </c>
      <c r="C249" s="607" t="s">
        <v>1185</v>
      </c>
      <c r="D249" s="608" t="s">
        <v>1194</v>
      </c>
      <c r="E249" s="609" t="s">
        <v>372</v>
      </c>
      <c r="F249">
        <v>47969107</v>
      </c>
      <c r="G249">
        <v>0</v>
      </c>
      <c r="H249">
        <v>47969107</v>
      </c>
      <c r="I249">
        <v>-479691</v>
      </c>
      <c r="J249">
        <v>0</v>
      </c>
      <c r="K249">
        <v>-479691</v>
      </c>
      <c r="L249">
        <v>-953002</v>
      </c>
      <c r="M249">
        <v>0</v>
      </c>
      <c r="N249">
        <v>-953002</v>
      </c>
      <c r="O249">
        <v>46536414</v>
      </c>
      <c r="P249">
        <v>0</v>
      </c>
      <c r="Q249">
        <v>46536414</v>
      </c>
      <c r="R249">
        <v>504537</v>
      </c>
      <c r="S249">
        <v>0</v>
      </c>
      <c r="T249">
        <v>504537</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s="661">
        <v>0</v>
      </c>
      <c r="AS249" t="s">
        <v>1900</v>
      </c>
    </row>
    <row r="250" spans="1:45" ht="12.75" x14ac:dyDescent="0.2">
      <c r="A250" s="605">
        <v>243</v>
      </c>
      <c r="B250" s="606" t="s">
        <v>375</v>
      </c>
      <c r="C250" s="607" t="s">
        <v>1185</v>
      </c>
      <c r="D250" s="608" t="s">
        <v>1195</v>
      </c>
      <c r="E250" s="609" t="s">
        <v>374</v>
      </c>
      <c r="F250">
        <v>23281863</v>
      </c>
      <c r="G250">
        <v>4791560</v>
      </c>
      <c r="H250">
        <v>28073423</v>
      </c>
      <c r="I250">
        <v>-152652</v>
      </c>
      <c r="J250">
        <v>0</v>
      </c>
      <c r="K250">
        <v>-152652</v>
      </c>
      <c r="L250">
        <v>-777889</v>
      </c>
      <c r="M250">
        <v>0</v>
      </c>
      <c r="N250">
        <v>-777889</v>
      </c>
      <c r="O250">
        <v>22351322</v>
      </c>
      <c r="P250">
        <v>4791560</v>
      </c>
      <c r="Q250">
        <v>27142882</v>
      </c>
      <c r="R250">
        <v>239434</v>
      </c>
      <c r="S250">
        <v>0</v>
      </c>
      <c r="T250">
        <v>239434</v>
      </c>
      <c r="U250">
        <v>0</v>
      </c>
      <c r="V250">
        <v>0</v>
      </c>
      <c r="W250">
        <v>0</v>
      </c>
      <c r="X250">
        <v>0</v>
      </c>
      <c r="Y250">
        <v>0</v>
      </c>
      <c r="Z250">
        <v>4791560</v>
      </c>
      <c r="AA250">
        <v>4791560</v>
      </c>
      <c r="AB250">
        <v>0</v>
      </c>
      <c r="AC250">
        <v>0</v>
      </c>
      <c r="AD250">
        <v>0</v>
      </c>
      <c r="AE250">
        <v>0</v>
      </c>
      <c r="AF250">
        <v>162387</v>
      </c>
      <c r="AG250">
        <v>162387</v>
      </c>
      <c r="AH250">
        <v>0</v>
      </c>
      <c r="AI250">
        <v>0</v>
      </c>
      <c r="AJ250">
        <v>0</v>
      </c>
      <c r="AK250">
        <v>0</v>
      </c>
      <c r="AL250">
        <v>0</v>
      </c>
      <c r="AM250">
        <v>0</v>
      </c>
      <c r="AN250">
        <v>0</v>
      </c>
      <c r="AO250">
        <v>0</v>
      </c>
      <c r="AP250">
        <v>0</v>
      </c>
      <c r="AQ250">
        <v>162387</v>
      </c>
      <c r="AR250" s="661">
        <v>162387</v>
      </c>
      <c r="AS250" t="s">
        <v>1901</v>
      </c>
    </row>
    <row r="251" spans="1:45" ht="12.75" x14ac:dyDescent="0.2">
      <c r="A251" s="605">
        <v>244</v>
      </c>
      <c r="B251" s="606" t="s">
        <v>377</v>
      </c>
      <c r="C251" s="607" t="s">
        <v>1192</v>
      </c>
      <c r="D251" s="608" t="s">
        <v>1197</v>
      </c>
      <c r="E251" s="609" t="s">
        <v>376</v>
      </c>
      <c r="F251">
        <v>31584436</v>
      </c>
      <c r="G251">
        <v>0</v>
      </c>
      <c r="H251">
        <v>31584436</v>
      </c>
      <c r="I251">
        <v>-500000</v>
      </c>
      <c r="J251">
        <v>0</v>
      </c>
      <c r="K251">
        <v>-500000</v>
      </c>
      <c r="L251">
        <v>-1000000</v>
      </c>
      <c r="M251">
        <v>0</v>
      </c>
      <c r="N251">
        <v>-1000000</v>
      </c>
      <c r="O251">
        <v>30084436</v>
      </c>
      <c r="P251">
        <v>0</v>
      </c>
      <c r="Q251">
        <v>30084436</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s="661">
        <v>0</v>
      </c>
      <c r="AS251" t="s">
        <v>1902</v>
      </c>
    </row>
    <row r="252" spans="1:45" ht="12.75" x14ac:dyDescent="0.2">
      <c r="A252" s="605">
        <v>245</v>
      </c>
      <c r="B252" s="606" t="s">
        <v>379</v>
      </c>
      <c r="C252" s="607" t="s">
        <v>524</v>
      </c>
      <c r="D252" s="608" t="s">
        <v>1186</v>
      </c>
      <c r="E252" s="609" t="s">
        <v>574</v>
      </c>
      <c r="F252">
        <v>114808851</v>
      </c>
      <c r="G252">
        <v>0</v>
      </c>
      <c r="H252">
        <v>114808851</v>
      </c>
      <c r="I252">
        <v>-2296177</v>
      </c>
      <c r="J252">
        <v>0</v>
      </c>
      <c r="K252">
        <v>-2296177</v>
      </c>
      <c r="L252">
        <v>-5396016</v>
      </c>
      <c r="M252">
        <v>0</v>
      </c>
      <c r="N252">
        <v>-5396016</v>
      </c>
      <c r="O252">
        <v>107116658</v>
      </c>
      <c r="P252">
        <v>0</v>
      </c>
      <c r="Q252">
        <v>107116658</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s="661">
        <v>0</v>
      </c>
      <c r="AS252" t="s">
        <v>1903</v>
      </c>
    </row>
    <row r="253" spans="1:45" ht="12.75" x14ac:dyDescent="0.2">
      <c r="A253" s="605">
        <v>246</v>
      </c>
      <c r="B253" s="606" t="s">
        <v>381</v>
      </c>
      <c r="C253" s="607" t="s">
        <v>524</v>
      </c>
      <c r="D253" s="608" t="s">
        <v>1189</v>
      </c>
      <c r="E253" s="609" t="s">
        <v>567</v>
      </c>
      <c r="F253">
        <v>45367961</v>
      </c>
      <c r="G253">
        <v>0</v>
      </c>
      <c r="H253">
        <v>45367961</v>
      </c>
      <c r="I253">
        <v>-231377</v>
      </c>
      <c r="J253">
        <v>0</v>
      </c>
      <c r="K253">
        <v>-231377</v>
      </c>
      <c r="L253">
        <v>-1703832</v>
      </c>
      <c r="M253">
        <v>0</v>
      </c>
      <c r="N253">
        <v>-1703832</v>
      </c>
      <c r="O253">
        <v>43432752</v>
      </c>
      <c r="P253">
        <v>0</v>
      </c>
      <c r="Q253">
        <v>43432752</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s="661">
        <v>0</v>
      </c>
      <c r="AS253" t="s">
        <v>1904</v>
      </c>
    </row>
    <row r="254" spans="1:45" ht="12.75" x14ac:dyDescent="0.2">
      <c r="A254" s="605">
        <v>247</v>
      </c>
      <c r="B254" s="606" t="s">
        <v>383</v>
      </c>
      <c r="C254" s="607" t="s">
        <v>1196</v>
      </c>
      <c r="D254" s="608" t="s">
        <v>1191</v>
      </c>
      <c r="E254" s="609" t="s">
        <v>382</v>
      </c>
      <c r="F254">
        <v>334497974</v>
      </c>
      <c r="G254">
        <v>0</v>
      </c>
      <c r="H254">
        <v>334497974</v>
      </c>
      <c r="I254">
        <v>-500000</v>
      </c>
      <c r="J254">
        <v>0</v>
      </c>
      <c r="K254">
        <v>-500000</v>
      </c>
      <c r="L254">
        <v>-500000</v>
      </c>
      <c r="M254">
        <v>0</v>
      </c>
      <c r="N254">
        <v>-500000</v>
      </c>
      <c r="O254">
        <v>333497974</v>
      </c>
      <c r="P254">
        <v>0</v>
      </c>
      <c r="Q254">
        <v>333497974</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s="661">
        <v>0</v>
      </c>
      <c r="AS254" t="s">
        <v>1905</v>
      </c>
    </row>
    <row r="255" spans="1:45" ht="12.75" x14ac:dyDescent="0.2">
      <c r="A255" s="605">
        <v>248</v>
      </c>
      <c r="B255" s="606" t="s">
        <v>385</v>
      </c>
      <c r="C255" s="607" t="s">
        <v>1185</v>
      </c>
      <c r="D255" s="608" t="s">
        <v>1186</v>
      </c>
      <c r="E255" s="609" t="s">
        <v>384</v>
      </c>
      <c r="F255">
        <v>48410753</v>
      </c>
      <c r="G255">
        <v>0</v>
      </c>
      <c r="H255">
        <v>48410753</v>
      </c>
      <c r="I255">
        <v>-484000</v>
      </c>
      <c r="J255">
        <v>0</v>
      </c>
      <c r="K255">
        <v>-484000</v>
      </c>
      <c r="L255">
        <v>-500000</v>
      </c>
      <c r="M255">
        <v>0</v>
      </c>
      <c r="N255">
        <v>-500000</v>
      </c>
      <c r="O255">
        <v>47426753</v>
      </c>
      <c r="P255">
        <v>0</v>
      </c>
      <c r="Q255">
        <v>47426753</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s="661">
        <v>0</v>
      </c>
      <c r="AS255" t="s">
        <v>1906</v>
      </c>
    </row>
    <row r="256" spans="1:45" ht="12.75" x14ac:dyDescent="0.2">
      <c r="A256" s="605">
        <v>249</v>
      </c>
      <c r="B256" s="606" t="s">
        <v>387</v>
      </c>
      <c r="C256" s="607" t="s">
        <v>1185</v>
      </c>
      <c r="D256" s="608" t="s">
        <v>1189</v>
      </c>
      <c r="E256" s="609" t="s">
        <v>386</v>
      </c>
      <c r="F256">
        <v>60479482</v>
      </c>
      <c r="G256">
        <v>602028</v>
      </c>
      <c r="H256">
        <v>61081510</v>
      </c>
      <c r="I256">
        <v>-250000</v>
      </c>
      <c r="J256">
        <v>0</v>
      </c>
      <c r="K256">
        <v>-250000</v>
      </c>
      <c r="L256">
        <v>-1457842</v>
      </c>
      <c r="M256">
        <v>0</v>
      </c>
      <c r="N256">
        <v>-1457842</v>
      </c>
      <c r="O256">
        <v>58771640</v>
      </c>
      <c r="P256">
        <v>602028</v>
      </c>
      <c r="Q256">
        <v>59373668</v>
      </c>
      <c r="R256">
        <v>0</v>
      </c>
      <c r="S256">
        <v>0</v>
      </c>
      <c r="T256">
        <v>0</v>
      </c>
      <c r="U256">
        <v>0</v>
      </c>
      <c r="V256">
        <v>0</v>
      </c>
      <c r="W256">
        <v>0</v>
      </c>
      <c r="X256">
        <v>0</v>
      </c>
      <c r="Y256">
        <v>1067721</v>
      </c>
      <c r="Z256">
        <v>122018</v>
      </c>
      <c r="AA256">
        <v>122018</v>
      </c>
      <c r="AB256">
        <v>0</v>
      </c>
      <c r="AC256">
        <v>0</v>
      </c>
      <c r="AD256">
        <v>0</v>
      </c>
      <c r="AE256">
        <v>0</v>
      </c>
      <c r="AF256">
        <v>0</v>
      </c>
      <c r="AG256">
        <v>0</v>
      </c>
      <c r="AH256">
        <v>0</v>
      </c>
      <c r="AI256">
        <v>0</v>
      </c>
      <c r="AJ256">
        <v>0</v>
      </c>
      <c r="AK256">
        <v>0</v>
      </c>
      <c r="AL256">
        <v>0</v>
      </c>
      <c r="AM256">
        <v>0</v>
      </c>
      <c r="AN256">
        <v>0</v>
      </c>
      <c r="AO256">
        <v>0</v>
      </c>
      <c r="AP256">
        <v>0</v>
      </c>
      <c r="AQ256">
        <v>0</v>
      </c>
      <c r="AR256" s="661">
        <v>0</v>
      </c>
      <c r="AS256" t="s">
        <v>1907</v>
      </c>
    </row>
    <row r="257" spans="1:45" ht="12.75" x14ac:dyDescent="0.2">
      <c r="A257" s="605">
        <v>250</v>
      </c>
      <c r="B257" s="606" t="s">
        <v>389</v>
      </c>
      <c r="C257" s="607" t="s">
        <v>1192</v>
      </c>
      <c r="D257" s="608" t="s">
        <v>1187</v>
      </c>
      <c r="E257" s="609" t="s">
        <v>909</v>
      </c>
      <c r="F257">
        <v>55120258</v>
      </c>
      <c r="G257">
        <v>0</v>
      </c>
      <c r="H257">
        <v>55120258</v>
      </c>
      <c r="I257">
        <v>-1200000</v>
      </c>
      <c r="J257">
        <v>0</v>
      </c>
      <c r="K257">
        <v>-1200000</v>
      </c>
      <c r="L257">
        <v>-2055037</v>
      </c>
      <c r="M257">
        <v>0</v>
      </c>
      <c r="N257">
        <v>-2055037</v>
      </c>
      <c r="O257">
        <v>51865221</v>
      </c>
      <c r="P257">
        <v>0</v>
      </c>
      <c r="Q257">
        <v>51865221</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s="661">
        <v>0</v>
      </c>
      <c r="AS257" t="s">
        <v>1908</v>
      </c>
    </row>
    <row r="258" spans="1:45" ht="12.75" x14ac:dyDescent="0.2">
      <c r="A258" s="605">
        <v>251</v>
      </c>
      <c r="B258" s="606" t="s">
        <v>391</v>
      </c>
      <c r="C258" s="607" t="s">
        <v>1185</v>
      </c>
      <c r="D258" s="608" t="s">
        <v>1195</v>
      </c>
      <c r="E258" s="609" t="s">
        <v>390</v>
      </c>
      <c r="F258">
        <v>51220466</v>
      </c>
      <c r="G258">
        <v>0</v>
      </c>
      <c r="H258">
        <v>51220466</v>
      </c>
      <c r="I258">
        <v>-400000</v>
      </c>
      <c r="J258">
        <v>0</v>
      </c>
      <c r="K258">
        <v>-400000</v>
      </c>
      <c r="L258">
        <v>-1280094</v>
      </c>
      <c r="M258">
        <v>0</v>
      </c>
      <c r="N258">
        <v>-1280094</v>
      </c>
      <c r="O258">
        <v>49540372</v>
      </c>
      <c r="P258">
        <v>0</v>
      </c>
      <c r="Q258">
        <v>49540372</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s="661">
        <v>0</v>
      </c>
      <c r="AS258" t="s">
        <v>1909</v>
      </c>
    </row>
    <row r="259" spans="1:45" ht="12.75" x14ac:dyDescent="0.2">
      <c r="A259" s="605">
        <v>252</v>
      </c>
      <c r="B259" s="606" t="s">
        <v>393</v>
      </c>
      <c r="C259" s="607" t="s">
        <v>1185</v>
      </c>
      <c r="D259" s="608" t="s">
        <v>1195</v>
      </c>
      <c r="E259" s="609" t="s">
        <v>392</v>
      </c>
      <c r="F259">
        <v>20973486</v>
      </c>
      <c r="G259">
        <v>0</v>
      </c>
      <c r="H259">
        <v>20973486</v>
      </c>
      <c r="I259">
        <v>-125841</v>
      </c>
      <c r="J259">
        <v>0</v>
      </c>
      <c r="K259">
        <v>-125841</v>
      </c>
      <c r="L259">
        <v>-788603</v>
      </c>
      <c r="M259">
        <v>0</v>
      </c>
      <c r="N259">
        <v>-788603</v>
      </c>
      <c r="O259">
        <v>20059042</v>
      </c>
      <c r="P259">
        <v>0</v>
      </c>
      <c r="Q259">
        <v>20059042</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s="661">
        <v>0</v>
      </c>
      <c r="AS259" t="s">
        <v>1910</v>
      </c>
    </row>
    <row r="260" spans="1:45" ht="12.75" x14ac:dyDescent="0.2">
      <c r="A260" s="605">
        <v>253</v>
      </c>
      <c r="B260" s="606" t="s">
        <v>395</v>
      </c>
      <c r="C260" s="607" t="s">
        <v>1185</v>
      </c>
      <c r="D260" s="608" t="s">
        <v>1189</v>
      </c>
      <c r="E260" s="609" t="s">
        <v>394</v>
      </c>
      <c r="F260">
        <v>48077152</v>
      </c>
      <c r="G260">
        <v>0</v>
      </c>
      <c r="H260">
        <v>48077152</v>
      </c>
      <c r="I260">
        <v>-200000</v>
      </c>
      <c r="J260">
        <v>0</v>
      </c>
      <c r="K260">
        <v>-200000</v>
      </c>
      <c r="L260">
        <v>-1800000</v>
      </c>
      <c r="M260">
        <v>0</v>
      </c>
      <c r="N260">
        <v>-1800000</v>
      </c>
      <c r="O260">
        <v>46077152</v>
      </c>
      <c r="P260">
        <v>0</v>
      </c>
      <c r="Q260">
        <v>46077152</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s="661">
        <v>0</v>
      </c>
      <c r="AS260" t="s">
        <v>1911</v>
      </c>
    </row>
    <row r="261" spans="1:45" ht="12.75" x14ac:dyDescent="0.2">
      <c r="A261" s="605">
        <v>254</v>
      </c>
      <c r="B261" s="606" t="s">
        <v>397</v>
      </c>
      <c r="C261" s="607" t="s">
        <v>1192</v>
      </c>
      <c r="D261" s="608" t="s">
        <v>1187</v>
      </c>
      <c r="E261" s="609" t="s">
        <v>396</v>
      </c>
      <c r="F261">
        <v>90203502</v>
      </c>
      <c r="G261">
        <v>0</v>
      </c>
      <c r="H261">
        <v>90203502</v>
      </c>
      <c r="I261">
        <v>-2221000</v>
      </c>
      <c r="J261">
        <v>0</v>
      </c>
      <c r="K261">
        <v>-2221000</v>
      </c>
      <c r="L261">
        <v>-5084000</v>
      </c>
      <c r="M261">
        <v>0</v>
      </c>
      <c r="N261">
        <v>-5084000</v>
      </c>
      <c r="O261">
        <v>82898502</v>
      </c>
      <c r="P261">
        <v>0</v>
      </c>
      <c r="Q261">
        <v>82898502</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s="661">
        <v>0</v>
      </c>
      <c r="AS261" t="s">
        <v>1912</v>
      </c>
    </row>
    <row r="262" spans="1:45" ht="12.75" x14ac:dyDescent="0.2">
      <c r="A262" s="605">
        <v>255</v>
      </c>
      <c r="B262" s="606" t="s">
        <v>399</v>
      </c>
      <c r="C262" s="607" t="s">
        <v>524</v>
      </c>
      <c r="D262" s="608" t="s">
        <v>1197</v>
      </c>
      <c r="E262" s="609" t="s">
        <v>550</v>
      </c>
      <c r="F262">
        <v>87680951</v>
      </c>
      <c r="G262">
        <v>274587</v>
      </c>
      <c r="H262">
        <v>87955538</v>
      </c>
      <c r="I262">
        <v>-964490</v>
      </c>
      <c r="J262">
        <v>-3020</v>
      </c>
      <c r="K262">
        <v>-967510</v>
      </c>
      <c r="L262">
        <v>-4121005</v>
      </c>
      <c r="M262">
        <v>-12906</v>
      </c>
      <c r="N262">
        <v>-4133911</v>
      </c>
      <c r="O262">
        <v>82595456</v>
      </c>
      <c r="P262">
        <v>258661</v>
      </c>
      <c r="Q262">
        <v>82854117</v>
      </c>
      <c r="R262">
        <v>110637</v>
      </c>
      <c r="S262">
        <v>0</v>
      </c>
      <c r="T262">
        <v>110637</v>
      </c>
      <c r="U262">
        <v>0</v>
      </c>
      <c r="V262">
        <v>0</v>
      </c>
      <c r="W262">
        <v>0</v>
      </c>
      <c r="X262">
        <v>-36187</v>
      </c>
      <c r="Y262">
        <v>77591</v>
      </c>
      <c r="Z262">
        <v>158819</v>
      </c>
      <c r="AA262">
        <v>158819</v>
      </c>
      <c r="AB262">
        <v>0</v>
      </c>
      <c r="AC262">
        <v>0</v>
      </c>
      <c r="AD262">
        <v>0</v>
      </c>
      <c r="AE262">
        <v>14496</v>
      </c>
      <c r="AF262">
        <v>0</v>
      </c>
      <c r="AG262">
        <v>14496</v>
      </c>
      <c r="AH262">
        <v>85477680</v>
      </c>
      <c r="AI262">
        <v>85477680</v>
      </c>
      <c r="AJ262">
        <v>89139364</v>
      </c>
      <c r="AK262">
        <v>89139364</v>
      </c>
      <c r="AL262">
        <v>0</v>
      </c>
      <c r="AM262">
        <v>0</v>
      </c>
      <c r="AN262">
        <v>0</v>
      </c>
      <c r="AO262">
        <v>0</v>
      </c>
      <c r="AP262">
        <v>14496</v>
      </c>
      <c r="AQ262">
        <v>0</v>
      </c>
      <c r="AR262" s="661">
        <v>14496</v>
      </c>
      <c r="AS262" t="s">
        <v>1913</v>
      </c>
    </row>
    <row r="263" spans="1:45" ht="12.75" x14ac:dyDescent="0.2">
      <c r="A263" s="605">
        <v>256</v>
      </c>
      <c r="B263" s="606" t="s">
        <v>401</v>
      </c>
      <c r="C263" s="607" t="s">
        <v>524</v>
      </c>
      <c r="D263" s="608" t="s">
        <v>1195</v>
      </c>
      <c r="E263" s="609" t="s">
        <v>607</v>
      </c>
      <c r="F263">
        <v>94443063</v>
      </c>
      <c r="G263">
        <v>1403749</v>
      </c>
      <c r="H263">
        <v>95846812</v>
      </c>
      <c r="I263">
        <v>-944431</v>
      </c>
      <c r="J263">
        <v>0</v>
      </c>
      <c r="K263">
        <v>-944431</v>
      </c>
      <c r="L263">
        <v>-1000000</v>
      </c>
      <c r="M263">
        <v>0</v>
      </c>
      <c r="N263">
        <v>-1000000</v>
      </c>
      <c r="O263">
        <v>92498632</v>
      </c>
      <c r="P263">
        <v>1403749</v>
      </c>
      <c r="Q263">
        <v>93902381</v>
      </c>
      <c r="R263">
        <v>0</v>
      </c>
      <c r="S263">
        <v>0</v>
      </c>
      <c r="T263">
        <v>0</v>
      </c>
      <c r="U263">
        <v>0</v>
      </c>
      <c r="V263">
        <v>0</v>
      </c>
      <c r="W263">
        <v>0</v>
      </c>
      <c r="X263">
        <v>7124</v>
      </c>
      <c r="Y263">
        <v>395922</v>
      </c>
      <c r="Z263">
        <v>1076239</v>
      </c>
      <c r="AA263">
        <v>1076239</v>
      </c>
      <c r="AB263">
        <v>0</v>
      </c>
      <c r="AC263">
        <v>0</v>
      </c>
      <c r="AD263">
        <v>0</v>
      </c>
      <c r="AE263">
        <v>0</v>
      </c>
      <c r="AF263">
        <v>349535</v>
      </c>
      <c r="AG263">
        <v>349535</v>
      </c>
      <c r="AH263">
        <v>0</v>
      </c>
      <c r="AI263">
        <v>0</v>
      </c>
      <c r="AJ263">
        <v>0</v>
      </c>
      <c r="AK263">
        <v>0</v>
      </c>
      <c r="AL263">
        <v>0</v>
      </c>
      <c r="AM263">
        <v>0</v>
      </c>
      <c r="AN263">
        <v>0</v>
      </c>
      <c r="AO263">
        <v>0</v>
      </c>
      <c r="AP263">
        <v>0</v>
      </c>
      <c r="AQ263">
        <v>349535</v>
      </c>
      <c r="AR263" s="661">
        <v>349535</v>
      </c>
      <c r="AS263" t="s">
        <v>1914</v>
      </c>
    </row>
    <row r="264" spans="1:45" ht="12.75" x14ac:dyDescent="0.2">
      <c r="A264" s="605">
        <v>257</v>
      </c>
      <c r="B264" s="606" t="s">
        <v>403</v>
      </c>
      <c r="C264" s="607" t="s">
        <v>1185</v>
      </c>
      <c r="D264" s="608" t="s">
        <v>1195</v>
      </c>
      <c r="E264" s="609" t="s">
        <v>402</v>
      </c>
      <c r="F264">
        <v>60514444.700000003</v>
      </c>
      <c r="G264">
        <v>0</v>
      </c>
      <c r="H264">
        <v>60514444.700000003</v>
      </c>
      <c r="I264">
        <v>-586000</v>
      </c>
      <c r="J264">
        <v>0</v>
      </c>
      <c r="K264">
        <v>-586000</v>
      </c>
      <c r="L264">
        <v>-3800000</v>
      </c>
      <c r="M264">
        <v>0</v>
      </c>
      <c r="N264">
        <v>-3800000</v>
      </c>
      <c r="O264">
        <v>56128444.700000003</v>
      </c>
      <c r="P264">
        <v>0</v>
      </c>
      <c r="Q264">
        <v>56128444.700000003</v>
      </c>
      <c r="R264">
        <v>29696</v>
      </c>
      <c r="S264">
        <v>0</v>
      </c>
      <c r="T264">
        <v>29696</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s="661">
        <v>0</v>
      </c>
      <c r="AS264" t="s">
        <v>1915</v>
      </c>
    </row>
    <row r="265" spans="1:45" ht="12.75" x14ac:dyDescent="0.2">
      <c r="A265" s="605">
        <v>258</v>
      </c>
      <c r="B265" s="606" t="s">
        <v>405</v>
      </c>
      <c r="C265" s="607" t="s">
        <v>1185</v>
      </c>
      <c r="D265" s="608" t="s">
        <v>1194</v>
      </c>
      <c r="E265" s="609" t="s">
        <v>404</v>
      </c>
      <c r="F265">
        <v>30448509</v>
      </c>
      <c r="G265">
        <v>0</v>
      </c>
      <c r="H265">
        <v>30448509</v>
      </c>
      <c r="I265">
        <v>-304000</v>
      </c>
      <c r="J265">
        <v>0</v>
      </c>
      <c r="K265">
        <v>-304000</v>
      </c>
      <c r="L265">
        <v>-1000000</v>
      </c>
      <c r="M265">
        <v>0</v>
      </c>
      <c r="N265">
        <v>-1000000</v>
      </c>
      <c r="O265">
        <v>29144509</v>
      </c>
      <c r="P265">
        <v>0</v>
      </c>
      <c r="Q265">
        <v>29144509</v>
      </c>
      <c r="R265">
        <v>137224</v>
      </c>
      <c r="S265">
        <v>0</v>
      </c>
      <c r="T265">
        <v>137224</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s="661">
        <v>0</v>
      </c>
      <c r="AS265" t="s">
        <v>1916</v>
      </c>
    </row>
    <row r="266" spans="1:45" ht="12.75" x14ac:dyDescent="0.2">
      <c r="A266" s="605">
        <v>259</v>
      </c>
      <c r="B266" s="606" t="s">
        <v>407</v>
      </c>
      <c r="C266" s="607" t="s">
        <v>1192</v>
      </c>
      <c r="D266" s="608" t="s">
        <v>1197</v>
      </c>
      <c r="E266" s="609" t="s">
        <v>406</v>
      </c>
      <c r="F266">
        <v>95914993</v>
      </c>
      <c r="G266">
        <v>1866235</v>
      </c>
      <c r="H266">
        <v>97781228</v>
      </c>
      <c r="I266">
        <v>-2380298</v>
      </c>
      <c r="J266">
        <v>0</v>
      </c>
      <c r="K266">
        <v>-2380298</v>
      </c>
      <c r="L266">
        <v>-4474960</v>
      </c>
      <c r="M266">
        <v>0</v>
      </c>
      <c r="N266">
        <v>-4474960</v>
      </c>
      <c r="O266">
        <v>89059735</v>
      </c>
      <c r="P266">
        <v>1866235</v>
      </c>
      <c r="Q266">
        <v>90925970</v>
      </c>
      <c r="R266">
        <v>0</v>
      </c>
      <c r="S266">
        <v>0</v>
      </c>
      <c r="T266">
        <v>0</v>
      </c>
      <c r="U266">
        <v>0</v>
      </c>
      <c r="V266">
        <v>0</v>
      </c>
      <c r="W266">
        <v>0</v>
      </c>
      <c r="X266">
        <v>0</v>
      </c>
      <c r="Y266">
        <v>144320</v>
      </c>
      <c r="Z266">
        <v>1721915</v>
      </c>
      <c r="AA266">
        <v>1721915</v>
      </c>
      <c r="AB266">
        <v>0</v>
      </c>
      <c r="AC266">
        <v>0</v>
      </c>
      <c r="AD266">
        <v>0</v>
      </c>
      <c r="AE266">
        <v>0</v>
      </c>
      <c r="AF266">
        <v>0</v>
      </c>
      <c r="AG266">
        <v>0</v>
      </c>
      <c r="AH266">
        <v>0</v>
      </c>
      <c r="AI266">
        <v>0</v>
      </c>
      <c r="AJ266">
        <v>0</v>
      </c>
      <c r="AK266">
        <v>0</v>
      </c>
      <c r="AL266">
        <v>0</v>
      </c>
      <c r="AM266">
        <v>0</v>
      </c>
      <c r="AN266">
        <v>0</v>
      </c>
      <c r="AO266">
        <v>0</v>
      </c>
      <c r="AP266">
        <v>0</v>
      </c>
      <c r="AQ266">
        <v>0</v>
      </c>
      <c r="AR266" s="661">
        <v>0</v>
      </c>
      <c r="AS266" t="s">
        <v>1917</v>
      </c>
    </row>
    <row r="267" spans="1:45" ht="12.75" x14ac:dyDescent="0.2">
      <c r="A267" s="605">
        <v>260</v>
      </c>
      <c r="B267" s="606" t="s">
        <v>409</v>
      </c>
      <c r="C267" s="607" t="s">
        <v>1185</v>
      </c>
      <c r="D267" s="608" t="s">
        <v>1186</v>
      </c>
      <c r="E267" s="609" t="s">
        <v>408</v>
      </c>
      <c r="F267">
        <v>38407378</v>
      </c>
      <c r="G267">
        <v>0</v>
      </c>
      <c r="H267">
        <v>38407378</v>
      </c>
      <c r="I267">
        <v>-776388</v>
      </c>
      <c r="J267">
        <v>0</v>
      </c>
      <c r="K267">
        <v>-776388</v>
      </c>
      <c r="L267">
        <v>-500000</v>
      </c>
      <c r="M267">
        <v>0</v>
      </c>
      <c r="N267">
        <v>-500000</v>
      </c>
      <c r="O267">
        <v>37130990</v>
      </c>
      <c r="P267">
        <v>0</v>
      </c>
      <c r="Q267">
        <v>37130990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s="661">
        <v>0</v>
      </c>
      <c r="AS267" t="s">
        <v>1918</v>
      </c>
    </row>
    <row r="268" spans="1:45" ht="12.75" x14ac:dyDescent="0.2">
      <c r="A268" s="605">
        <v>261</v>
      </c>
      <c r="B268" s="606" t="s">
        <v>411</v>
      </c>
      <c r="C268" s="607" t="s">
        <v>1190</v>
      </c>
      <c r="D268" s="608" t="s">
        <v>1191</v>
      </c>
      <c r="E268" s="609" t="s">
        <v>410</v>
      </c>
      <c r="F268">
        <v>60679950</v>
      </c>
      <c r="G268">
        <v>0</v>
      </c>
      <c r="H268">
        <v>60679950</v>
      </c>
      <c r="I268">
        <v>-910195</v>
      </c>
      <c r="J268">
        <v>0</v>
      </c>
      <c r="K268">
        <v>-910195</v>
      </c>
      <c r="L268">
        <v>0</v>
      </c>
      <c r="M268">
        <v>0</v>
      </c>
      <c r="N268">
        <v>0</v>
      </c>
      <c r="O268">
        <v>59769755</v>
      </c>
      <c r="P268">
        <v>0</v>
      </c>
      <c r="Q268">
        <v>59769755</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s="661">
        <v>0</v>
      </c>
      <c r="AS268" t="s">
        <v>1919</v>
      </c>
    </row>
    <row r="269" spans="1:45" ht="12.75" x14ac:dyDescent="0.2">
      <c r="A269" s="605">
        <v>262</v>
      </c>
      <c r="B269" s="606" t="s">
        <v>413</v>
      </c>
      <c r="C269" s="607" t="s">
        <v>1185</v>
      </c>
      <c r="D269" s="608" t="s">
        <v>1186</v>
      </c>
      <c r="E269" s="609" t="s">
        <v>412</v>
      </c>
      <c r="F269">
        <v>53993618</v>
      </c>
      <c r="G269">
        <v>0</v>
      </c>
      <c r="H269">
        <v>53993618</v>
      </c>
      <c r="I269">
        <v>-570551</v>
      </c>
      <c r="J269">
        <v>0</v>
      </c>
      <c r="K269">
        <v>-570551</v>
      </c>
      <c r="L269">
        <v>-2532002</v>
      </c>
      <c r="M269">
        <v>0</v>
      </c>
      <c r="N269">
        <v>-2532002</v>
      </c>
      <c r="O269">
        <v>50891065</v>
      </c>
      <c r="P269">
        <v>0</v>
      </c>
      <c r="Q269">
        <v>50891065</v>
      </c>
      <c r="R269">
        <v>1497642</v>
      </c>
      <c r="S269">
        <v>0</v>
      </c>
      <c r="T269">
        <v>1497642</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s="661">
        <v>0</v>
      </c>
      <c r="AS269" t="s">
        <v>1920</v>
      </c>
    </row>
    <row r="270" spans="1:45" ht="12.75" x14ac:dyDescent="0.2">
      <c r="A270" s="605">
        <v>263</v>
      </c>
      <c r="B270" s="606" t="s">
        <v>415</v>
      </c>
      <c r="C270" s="607" t="s">
        <v>524</v>
      </c>
      <c r="D270" s="608" t="s">
        <v>1194</v>
      </c>
      <c r="E270" s="609" t="s">
        <v>614</v>
      </c>
      <c r="F270">
        <v>114889953</v>
      </c>
      <c r="G270">
        <v>0</v>
      </c>
      <c r="H270">
        <v>114889953</v>
      </c>
      <c r="I270">
        <v>-1493569</v>
      </c>
      <c r="J270">
        <v>0</v>
      </c>
      <c r="K270">
        <v>-1493569</v>
      </c>
      <c r="L270">
        <v>-4136851</v>
      </c>
      <c r="M270">
        <v>0</v>
      </c>
      <c r="N270">
        <v>-4136851</v>
      </c>
      <c r="O270">
        <v>109259533</v>
      </c>
      <c r="P270">
        <v>0</v>
      </c>
      <c r="Q270">
        <v>109259533</v>
      </c>
      <c r="R270">
        <v>594802</v>
      </c>
      <c r="S270">
        <v>0</v>
      </c>
      <c r="T270">
        <v>594802</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s="661">
        <v>0</v>
      </c>
      <c r="AS270" t="s">
        <v>1921</v>
      </c>
    </row>
    <row r="271" spans="1:45" ht="12.75" x14ac:dyDescent="0.2">
      <c r="A271" s="605">
        <v>264</v>
      </c>
      <c r="B271" s="606" t="s">
        <v>417</v>
      </c>
      <c r="C271" s="607" t="s">
        <v>1192</v>
      </c>
      <c r="D271" s="608" t="s">
        <v>1187</v>
      </c>
      <c r="E271" s="609" t="s">
        <v>416</v>
      </c>
      <c r="F271">
        <v>59391785</v>
      </c>
      <c r="G271">
        <v>0</v>
      </c>
      <c r="H271">
        <v>59391785</v>
      </c>
      <c r="I271">
        <v>-1187836</v>
      </c>
      <c r="J271">
        <v>0</v>
      </c>
      <c r="K271">
        <v>-1187836</v>
      </c>
      <c r="L271">
        <v>-2791414</v>
      </c>
      <c r="M271">
        <v>0</v>
      </c>
      <c r="N271">
        <v>-2791414</v>
      </c>
      <c r="O271">
        <v>55412535</v>
      </c>
      <c r="P271">
        <v>0</v>
      </c>
      <c r="Q271">
        <v>55412535</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s="661">
        <v>0</v>
      </c>
      <c r="AS271" t="s">
        <v>1922</v>
      </c>
    </row>
    <row r="272" spans="1:45" ht="12.75" x14ac:dyDescent="0.2">
      <c r="A272" s="605">
        <v>265</v>
      </c>
      <c r="B272" s="606" t="s">
        <v>419</v>
      </c>
      <c r="C272" s="607" t="s">
        <v>1185</v>
      </c>
      <c r="D272" s="608" t="s">
        <v>1195</v>
      </c>
      <c r="E272" s="609" t="s">
        <v>418</v>
      </c>
      <c r="F272">
        <v>36129860</v>
      </c>
      <c r="G272">
        <v>0</v>
      </c>
      <c r="H272">
        <v>36129860</v>
      </c>
      <c r="I272">
        <v>-144520</v>
      </c>
      <c r="J272">
        <v>0</v>
      </c>
      <c r="K272">
        <v>-144520</v>
      </c>
      <c r="L272">
        <v>-1181144</v>
      </c>
      <c r="M272">
        <v>0</v>
      </c>
      <c r="N272">
        <v>-1181144</v>
      </c>
      <c r="O272">
        <v>34804196</v>
      </c>
      <c r="P272">
        <v>0</v>
      </c>
      <c r="Q272">
        <v>34804196</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s="661">
        <v>0</v>
      </c>
      <c r="AS272" t="s">
        <v>1923</v>
      </c>
    </row>
    <row r="273" spans="1:45" ht="12.75" x14ac:dyDescent="0.2">
      <c r="A273" s="605">
        <v>266</v>
      </c>
      <c r="B273" s="606" t="s">
        <v>421</v>
      </c>
      <c r="C273" s="607" t="s">
        <v>1185</v>
      </c>
      <c r="D273" s="608" t="s">
        <v>1186</v>
      </c>
      <c r="E273" s="609" t="s">
        <v>420</v>
      </c>
      <c r="F273">
        <v>21762946</v>
      </c>
      <c r="G273">
        <v>0</v>
      </c>
      <c r="H273">
        <v>21762946</v>
      </c>
      <c r="I273">
        <v>0</v>
      </c>
      <c r="J273">
        <v>0</v>
      </c>
      <c r="K273">
        <v>0</v>
      </c>
      <c r="L273">
        <v>0</v>
      </c>
      <c r="M273">
        <v>0</v>
      </c>
      <c r="N273">
        <v>0</v>
      </c>
      <c r="O273">
        <v>21762946</v>
      </c>
      <c r="P273">
        <v>0</v>
      </c>
      <c r="Q273">
        <v>21762946</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s="661">
        <v>0</v>
      </c>
      <c r="AS273" t="s">
        <v>1924</v>
      </c>
    </row>
    <row r="274" spans="1:45" ht="12.75" x14ac:dyDescent="0.2">
      <c r="A274" s="605">
        <v>267</v>
      </c>
      <c r="B274" s="606" t="s">
        <v>423</v>
      </c>
      <c r="C274" s="607" t="s">
        <v>1185</v>
      </c>
      <c r="D274" s="608" t="s">
        <v>1194</v>
      </c>
      <c r="E274" s="609" t="s">
        <v>422</v>
      </c>
      <c r="F274">
        <v>32289163</v>
      </c>
      <c r="G274">
        <v>0</v>
      </c>
      <c r="H274">
        <v>32289163</v>
      </c>
      <c r="I274">
        <v>-100000</v>
      </c>
      <c r="J274">
        <v>0</v>
      </c>
      <c r="K274">
        <v>-100000</v>
      </c>
      <c r="L274">
        <v>-100000</v>
      </c>
      <c r="M274">
        <v>0</v>
      </c>
      <c r="N274">
        <v>-100000</v>
      </c>
      <c r="O274">
        <v>32089163</v>
      </c>
      <c r="P274">
        <v>0</v>
      </c>
      <c r="Q274">
        <v>32089163</v>
      </c>
      <c r="R274">
        <v>76246</v>
      </c>
      <c r="S274">
        <v>0</v>
      </c>
      <c r="T274">
        <v>76246</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s="661">
        <v>0</v>
      </c>
      <c r="AS274" t="s">
        <v>1925</v>
      </c>
    </row>
    <row r="275" spans="1:45" ht="12.75" x14ac:dyDescent="0.2">
      <c r="A275" s="605">
        <v>268</v>
      </c>
      <c r="B275" s="606" t="s">
        <v>425</v>
      </c>
      <c r="C275" s="607" t="s">
        <v>524</v>
      </c>
      <c r="D275" s="608" t="s">
        <v>1195</v>
      </c>
      <c r="E275" s="609" t="s">
        <v>919</v>
      </c>
      <c r="F275">
        <v>77163269</v>
      </c>
      <c r="G275">
        <v>0</v>
      </c>
      <c r="H275">
        <v>77163269</v>
      </c>
      <c r="I275">
        <v>-735681</v>
      </c>
      <c r="J275">
        <v>0</v>
      </c>
      <c r="K275">
        <v>-735681</v>
      </c>
      <c r="L275">
        <v>-2700720</v>
      </c>
      <c r="M275">
        <v>0</v>
      </c>
      <c r="N275">
        <v>-2700720</v>
      </c>
      <c r="O275">
        <v>73726868</v>
      </c>
      <c r="P275">
        <v>0</v>
      </c>
      <c r="Q275">
        <v>73726868</v>
      </c>
      <c r="R275">
        <v>94478</v>
      </c>
      <c r="S275">
        <v>0</v>
      </c>
      <c r="T275">
        <v>94478</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s="661">
        <v>0</v>
      </c>
      <c r="AS275" t="s">
        <v>1926</v>
      </c>
    </row>
    <row r="276" spans="1:45" ht="12.75" x14ac:dyDescent="0.2">
      <c r="A276" s="605">
        <v>269</v>
      </c>
      <c r="B276" s="606" t="s">
        <v>427</v>
      </c>
      <c r="C276" s="607" t="s">
        <v>1185</v>
      </c>
      <c r="D276" s="608" t="s">
        <v>1189</v>
      </c>
      <c r="E276" s="609" t="s">
        <v>426</v>
      </c>
      <c r="F276">
        <v>29711615</v>
      </c>
      <c r="G276">
        <v>0</v>
      </c>
      <c r="H276">
        <v>29711615</v>
      </c>
      <c r="I276">
        <v>-320000</v>
      </c>
      <c r="J276">
        <v>0</v>
      </c>
      <c r="K276">
        <v>-320000</v>
      </c>
      <c r="L276">
        <v>-1700000</v>
      </c>
      <c r="M276">
        <v>0</v>
      </c>
      <c r="N276">
        <v>-1700000</v>
      </c>
      <c r="O276">
        <v>27691615</v>
      </c>
      <c r="P276">
        <v>0</v>
      </c>
      <c r="Q276">
        <v>27691615</v>
      </c>
      <c r="R276">
        <v>252264</v>
      </c>
      <c r="S276">
        <v>0</v>
      </c>
      <c r="T276">
        <v>252264</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s="661">
        <v>0</v>
      </c>
      <c r="AS276" t="s">
        <v>1927</v>
      </c>
    </row>
    <row r="277" spans="1:45" ht="12.75" x14ac:dyDescent="0.2">
      <c r="A277" s="605">
        <v>270</v>
      </c>
      <c r="B277" s="606" t="s">
        <v>429</v>
      </c>
      <c r="C277" s="607" t="s">
        <v>1185</v>
      </c>
      <c r="D277" s="608" t="s">
        <v>1186</v>
      </c>
      <c r="E277" s="609" t="s">
        <v>428</v>
      </c>
      <c r="F277">
        <v>59136802</v>
      </c>
      <c r="G277">
        <v>0</v>
      </c>
      <c r="H277">
        <v>59136802</v>
      </c>
      <c r="I277">
        <v>-591368</v>
      </c>
      <c r="J277">
        <v>0</v>
      </c>
      <c r="K277">
        <v>-591368</v>
      </c>
      <c r="L277">
        <v>-2779430</v>
      </c>
      <c r="M277">
        <v>0</v>
      </c>
      <c r="N277">
        <v>-2779430</v>
      </c>
      <c r="O277">
        <v>55766004</v>
      </c>
      <c r="P277">
        <v>0</v>
      </c>
      <c r="Q277">
        <v>55766004</v>
      </c>
      <c r="R277">
        <v>419638</v>
      </c>
      <c r="S277">
        <v>0</v>
      </c>
      <c r="T277">
        <v>419638</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s="661">
        <v>0</v>
      </c>
      <c r="AS277" t="s">
        <v>1928</v>
      </c>
    </row>
    <row r="278" spans="1:45" ht="12.75" x14ac:dyDescent="0.2">
      <c r="A278" s="605">
        <v>271</v>
      </c>
      <c r="B278" s="606" t="s">
        <v>431</v>
      </c>
      <c r="C278" s="607" t="s">
        <v>1185</v>
      </c>
      <c r="D278" s="608" t="s">
        <v>1194</v>
      </c>
      <c r="E278" s="609" t="s">
        <v>430</v>
      </c>
      <c r="F278">
        <v>40567224</v>
      </c>
      <c r="G278">
        <v>0</v>
      </c>
      <c r="H278">
        <v>40567224</v>
      </c>
      <c r="I278">
        <v>-130000</v>
      </c>
      <c r="J278">
        <v>0</v>
      </c>
      <c r="K278">
        <v>-130000</v>
      </c>
      <c r="L278">
        <v>-2406138</v>
      </c>
      <c r="M278">
        <v>0</v>
      </c>
      <c r="N278">
        <v>-2406138</v>
      </c>
      <c r="O278">
        <v>38031086</v>
      </c>
      <c r="P278">
        <v>0</v>
      </c>
      <c r="Q278">
        <v>38031086</v>
      </c>
      <c r="R278">
        <v>251909</v>
      </c>
      <c r="S278">
        <v>0</v>
      </c>
      <c r="T278">
        <v>251909</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s="661">
        <v>0</v>
      </c>
      <c r="AS278" t="s">
        <v>1929</v>
      </c>
    </row>
    <row r="279" spans="1:45" ht="12.75" x14ac:dyDescent="0.2">
      <c r="A279" s="605">
        <v>272</v>
      </c>
      <c r="B279" s="606" t="s">
        <v>433</v>
      </c>
      <c r="C279" s="607" t="s">
        <v>1185</v>
      </c>
      <c r="D279" s="608" t="s">
        <v>1186</v>
      </c>
      <c r="E279" s="609" t="s">
        <v>432</v>
      </c>
      <c r="F279">
        <v>36148929</v>
      </c>
      <c r="G279">
        <v>0</v>
      </c>
      <c r="H279">
        <v>36148929</v>
      </c>
      <c r="I279">
        <v>-250000</v>
      </c>
      <c r="J279">
        <v>0</v>
      </c>
      <c r="K279">
        <v>-250000</v>
      </c>
      <c r="L279">
        <v>-1509042</v>
      </c>
      <c r="M279">
        <v>0</v>
      </c>
      <c r="N279">
        <v>-1509042</v>
      </c>
      <c r="O279">
        <v>34389887</v>
      </c>
      <c r="P279">
        <v>0</v>
      </c>
      <c r="Q279">
        <v>34389887</v>
      </c>
      <c r="R279">
        <v>5632</v>
      </c>
      <c r="S279">
        <v>0</v>
      </c>
      <c r="T279">
        <v>5632</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s="661">
        <v>0</v>
      </c>
      <c r="AS279" t="s">
        <v>1930</v>
      </c>
    </row>
    <row r="280" spans="1:45" ht="12.75" x14ac:dyDescent="0.2">
      <c r="A280" s="605">
        <v>273</v>
      </c>
      <c r="B280" s="606" t="s">
        <v>435</v>
      </c>
      <c r="C280" s="607" t="s">
        <v>1185</v>
      </c>
      <c r="D280" s="608" t="s">
        <v>1189</v>
      </c>
      <c r="E280" s="609" t="s">
        <v>434</v>
      </c>
      <c r="F280">
        <v>30008439</v>
      </c>
      <c r="G280">
        <v>0</v>
      </c>
      <c r="H280">
        <v>30008439</v>
      </c>
      <c r="I280">
        <v>-528479</v>
      </c>
      <c r="J280">
        <v>0</v>
      </c>
      <c r="K280">
        <v>-528479</v>
      </c>
      <c r="L280">
        <v>-540602</v>
      </c>
      <c r="M280">
        <v>0</v>
      </c>
      <c r="N280">
        <v>-540602</v>
      </c>
      <c r="O280">
        <v>28939358</v>
      </c>
      <c r="P280">
        <v>0</v>
      </c>
      <c r="Q280">
        <v>28939358</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s="661">
        <v>0</v>
      </c>
      <c r="AS280" t="s">
        <v>1931</v>
      </c>
    </row>
    <row r="281" spans="1:45" ht="12.75" x14ac:dyDescent="0.2">
      <c r="A281" s="605">
        <v>274</v>
      </c>
      <c r="B281" s="606" t="s">
        <v>437</v>
      </c>
      <c r="C281" s="607" t="s">
        <v>524</v>
      </c>
      <c r="D281" s="608" t="s">
        <v>1189</v>
      </c>
      <c r="E281" s="609" t="s">
        <v>569</v>
      </c>
      <c r="F281">
        <v>129181666</v>
      </c>
      <c r="G281">
        <v>0</v>
      </c>
      <c r="H281">
        <v>129181666</v>
      </c>
      <c r="I281">
        <v>-1033453.328</v>
      </c>
      <c r="J281">
        <v>0</v>
      </c>
      <c r="K281">
        <v>-1033453.328</v>
      </c>
      <c r="L281">
        <v>-6492596</v>
      </c>
      <c r="M281">
        <v>0</v>
      </c>
      <c r="N281">
        <v>-6492596</v>
      </c>
      <c r="O281">
        <v>121655616.67200001</v>
      </c>
      <c r="P281">
        <v>0</v>
      </c>
      <c r="Q281">
        <v>121655616.67200001</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s="661">
        <v>0</v>
      </c>
      <c r="AS281" t="s">
        <v>1932</v>
      </c>
    </row>
    <row r="282" spans="1:45" ht="12.75" x14ac:dyDescent="0.2">
      <c r="A282" s="605">
        <v>275</v>
      </c>
      <c r="B282" s="606" t="s">
        <v>439</v>
      </c>
      <c r="C282" s="607" t="s">
        <v>1185</v>
      </c>
      <c r="D282" s="608" t="s">
        <v>1186</v>
      </c>
      <c r="E282" s="609" t="s">
        <v>438</v>
      </c>
      <c r="F282">
        <v>60039538</v>
      </c>
      <c r="G282">
        <v>0</v>
      </c>
      <c r="H282">
        <v>60039538</v>
      </c>
      <c r="I282">
        <v>-400000</v>
      </c>
      <c r="J282">
        <v>0</v>
      </c>
      <c r="K282">
        <v>-400000</v>
      </c>
      <c r="L282">
        <v>-2417000</v>
      </c>
      <c r="M282">
        <v>0</v>
      </c>
      <c r="N282">
        <v>-2417000</v>
      </c>
      <c r="O282">
        <v>57222538</v>
      </c>
      <c r="P282">
        <v>0</v>
      </c>
      <c r="Q282">
        <v>57222538</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s="661">
        <v>0</v>
      </c>
      <c r="AS282" t="s">
        <v>1933</v>
      </c>
    </row>
    <row r="283" spans="1:45" ht="12.75" x14ac:dyDescent="0.2">
      <c r="A283" s="605">
        <v>276</v>
      </c>
      <c r="B283" s="606" t="s">
        <v>441</v>
      </c>
      <c r="C283" s="607" t="s">
        <v>524</v>
      </c>
      <c r="D283" s="608" t="s">
        <v>1194</v>
      </c>
      <c r="E283" s="609" t="s">
        <v>559</v>
      </c>
      <c r="F283">
        <v>34505354</v>
      </c>
      <c r="G283">
        <v>0</v>
      </c>
      <c r="H283">
        <v>34505354</v>
      </c>
      <c r="I283">
        <v>-600000</v>
      </c>
      <c r="J283">
        <v>0</v>
      </c>
      <c r="K283">
        <v>-600000</v>
      </c>
      <c r="L283">
        <v>-2253420</v>
      </c>
      <c r="M283">
        <v>0</v>
      </c>
      <c r="N283">
        <v>-2253420</v>
      </c>
      <c r="O283">
        <v>31651934</v>
      </c>
      <c r="P283">
        <v>0</v>
      </c>
      <c r="Q283">
        <v>31651934</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s="661">
        <v>0</v>
      </c>
      <c r="AS283" t="s">
        <v>1934</v>
      </c>
    </row>
    <row r="284" spans="1:45" ht="12.75" x14ac:dyDescent="0.2">
      <c r="A284" s="605">
        <v>277</v>
      </c>
      <c r="B284" s="606" t="s">
        <v>443</v>
      </c>
      <c r="C284" s="607" t="s">
        <v>1185</v>
      </c>
      <c r="D284" s="608" t="s">
        <v>1194</v>
      </c>
      <c r="E284" s="609" t="s">
        <v>442</v>
      </c>
      <c r="F284">
        <v>12398921</v>
      </c>
      <c r="G284">
        <v>0</v>
      </c>
      <c r="H284">
        <v>12398921</v>
      </c>
      <c r="I284">
        <v>-37000</v>
      </c>
      <c r="J284">
        <v>0</v>
      </c>
      <c r="K284">
        <v>-37000</v>
      </c>
      <c r="L284">
        <v>-238248</v>
      </c>
      <c r="M284">
        <v>0</v>
      </c>
      <c r="N284">
        <v>-238248</v>
      </c>
      <c r="O284">
        <v>12123673</v>
      </c>
      <c r="P284">
        <v>0</v>
      </c>
      <c r="Q284">
        <v>12123673</v>
      </c>
      <c r="R284">
        <v>552950</v>
      </c>
      <c r="S284">
        <v>0</v>
      </c>
      <c r="T284">
        <v>552950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s="661">
        <v>0</v>
      </c>
      <c r="AS284" t="s">
        <v>1935</v>
      </c>
    </row>
    <row r="285" spans="1:45" ht="12.75" x14ac:dyDescent="0.2">
      <c r="A285" s="605">
        <v>278</v>
      </c>
      <c r="B285" s="606" t="s">
        <v>445</v>
      </c>
      <c r="C285" s="607" t="s">
        <v>1196</v>
      </c>
      <c r="D285" s="608" t="s">
        <v>1191</v>
      </c>
      <c r="E285" s="609" t="s">
        <v>444</v>
      </c>
      <c r="F285">
        <v>472502465</v>
      </c>
      <c r="G285">
        <v>0</v>
      </c>
      <c r="H285">
        <v>472502465</v>
      </c>
      <c r="I285">
        <v>-2000000</v>
      </c>
      <c r="J285">
        <v>0</v>
      </c>
      <c r="K285">
        <v>-2000000</v>
      </c>
      <c r="L285">
        <v>-7555000</v>
      </c>
      <c r="M285">
        <v>0</v>
      </c>
      <c r="N285">
        <v>-7555000</v>
      </c>
      <c r="O285">
        <v>462947465</v>
      </c>
      <c r="P285">
        <v>0</v>
      </c>
      <c r="Q285">
        <v>462947465</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s="661">
        <v>0</v>
      </c>
      <c r="AS285" t="s">
        <v>1936</v>
      </c>
    </row>
    <row r="286" spans="1:45" ht="12.75" x14ac:dyDescent="0.2">
      <c r="A286" s="605">
        <v>279</v>
      </c>
      <c r="B286" s="606" t="s">
        <v>447</v>
      </c>
      <c r="C286" s="607" t="s">
        <v>1192</v>
      </c>
      <c r="D286" s="608" t="s">
        <v>1187</v>
      </c>
      <c r="E286" s="609" t="s">
        <v>446</v>
      </c>
      <c r="F286">
        <v>167323777.47000003</v>
      </c>
      <c r="G286">
        <v>0</v>
      </c>
      <c r="H286">
        <v>167323777.47000003</v>
      </c>
      <c r="I286">
        <v>-2200000</v>
      </c>
      <c r="J286">
        <v>0</v>
      </c>
      <c r="K286">
        <v>-2200000</v>
      </c>
      <c r="L286">
        <v>-7999209</v>
      </c>
      <c r="M286">
        <v>0</v>
      </c>
      <c r="N286">
        <v>-7999209</v>
      </c>
      <c r="O286">
        <v>157124568.47000003</v>
      </c>
      <c r="P286">
        <v>0</v>
      </c>
      <c r="Q286">
        <v>157124568.47000003</v>
      </c>
      <c r="R286">
        <v>82944</v>
      </c>
      <c r="S286">
        <v>0</v>
      </c>
      <c r="T286">
        <v>82944</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s="661">
        <v>0</v>
      </c>
      <c r="AS286" t="s">
        <v>1937</v>
      </c>
    </row>
    <row r="287" spans="1:45" ht="12.75" x14ac:dyDescent="0.2">
      <c r="A287" s="605">
        <v>280</v>
      </c>
      <c r="B287" s="606" t="s">
        <v>449</v>
      </c>
      <c r="C287" s="607" t="s">
        <v>1185</v>
      </c>
      <c r="D287" s="608" t="s">
        <v>1186</v>
      </c>
      <c r="E287" s="609" t="s">
        <v>448</v>
      </c>
      <c r="F287">
        <v>57606627</v>
      </c>
      <c r="G287">
        <v>0</v>
      </c>
      <c r="H287">
        <v>57606627</v>
      </c>
      <c r="I287">
        <v>-900000</v>
      </c>
      <c r="J287">
        <v>0</v>
      </c>
      <c r="K287">
        <v>-900000</v>
      </c>
      <c r="L287">
        <v>-2200000</v>
      </c>
      <c r="M287">
        <v>0</v>
      </c>
      <c r="N287">
        <v>-2200000</v>
      </c>
      <c r="O287">
        <v>54506627</v>
      </c>
      <c r="P287">
        <v>0</v>
      </c>
      <c r="Q287">
        <v>54506627</v>
      </c>
      <c r="R287">
        <v>122353</v>
      </c>
      <c r="S287">
        <v>0</v>
      </c>
      <c r="T287">
        <v>122353</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s="661">
        <v>0</v>
      </c>
      <c r="AS287" t="s">
        <v>1938</v>
      </c>
    </row>
    <row r="288" spans="1:45" ht="12.75" x14ac:dyDescent="0.2">
      <c r="A288" s="605">
        <v>281</v>
      </c>
      <c r="B288" s="606" t="s">
        <v>451</v>
      </c>
      <c r="C288" s="607" t="s">
        <v>1185</v>
      </c>
      <c r="D288" s="608" t="s">
        <v>1189</v>
      </c>
      <c r="E288" s="609" t="s">
        <v>450</v>
      </c>
      <c r="F288">
        <v>46784111</v>
      </c>
      <c r="G288">
        <v>0</v>
      </c>
      <c r="H288">
        <v>46784111</v>
      </c>
      <c r="I288">
        <v>-350881</v>
      </c>
      <c r="J288">
        <v>0</v>
      </c>
      <c r="K288">
        <v>-350881</v>
      </c>
      <c r="L288">
        <v>-1519326</v>
      </c>
      <c r="M288">
        <v>0</v>
      </c>
      <c r="N288">
        <v>-1519326</v>
      </c>
      <c r="O288">
        <v>44913904</v>
      </c>
      <c r="P288">
        <v>0</v>
      </c>
      <c r="Q288">
        <v>44913904</v>
      </c>
      <c r="R288">
        <v>107102</v>
      </c>
      <c r="S288">
        <v>0</v>
      </c>
      <c r="T288">
        <v>107102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s="661">
        <v>0</v>
      </c>
      <c r="AS288" t="s">
        <v>1939</v>
      </c>
    </row>
    <row r="289" spans="1:45" ht="12.75" x14ac:dyDescent="0.2">
      <c r="A289" s="605">
        <v>282</v>
      </c>
      <c r="B289" s="606" t="s">
        <v>453</v>
      </c>
      <c r="C289" s="607" t="s">
        <v>1185</v>
      </c>
      <c r="D289" s="608" t="s">
        <v>1186</v>
      </c>
      <c r="E289" s="609" t="s">
        <v>452</v>
      </c>
      <c r="F289">
        <v>59939684</v>
      </c>
      <c r="G289">
        <v>4525997</v>
      </c>
      <c r="H289">
        <v>64465681</v>
      </c>
      <c r="I289">
        <v>-599397</v>
      </c>
      <c r="J289">
        <v>-45260</v>
      </c>
      <c r="K289">
        <v>-644657</v>
      </c>
      <c r="L289">
        <v>-2996984</v>
      </c>
      <c r="M289">
        <v>-226300</v>
      </c>
      <c r="N289">
        <v>-3223284</v>
      </c>
      <c r="O289">
        <v>56343303</v>
      </c>
      <c r="P289">
        <v>4254437</v>
      </c>
      <c r="Q289">
        <v>60597740</v>
      </c>
      <c r="R289">
        <v>226304</v>
      </c>
      <c r="S289">
        <v>0</v>
      </c>
      <c r="T289">
        <v>226304</v>
      </c>
      <c r="U289">
        <v>0</v>
      </c>
      <c r="V289">
        <v>0</v>
      </c>
      <c r="W289">
        <v>0</v>
      </c>
      <c r="X289">
        <v>2882</v>
      </c>
      <c r="Y289">
        <v>2746810</v>
      </c>
      <c r="Z289">
        <v>2555566</v>
      </c>
      <c r="AA289">
        <v>2555566</v>
      </c>
      <c r="AB289">
        <v>0</v>
      </c>
      <c r="AC289">
        <v>0</v>
      </c>
      <c r="AD289">
        <v>0</v>
      </c>
      <c r="AE289">
        <v>0</v>
      </c>
      <c r="AF289">
        <v>581378</v>
      </c>
      <c r="AG289">
        <v>581378</v>
      </c>
      <c r="AH289">
        <v>0</v>
      </c>
      <c r="AI289">
        <v>0</v>
      </c>
      <c r="AJ289">
        <v>0</v>
      </c>
      <c r="AK289">
        <v>0</v>
      </c>
      <c r="AL289">
        <v>0</v>
      </c>
      <c r="AM289">
        <v>0</v>
      </c>
      <c r="AN289">
        <v>0</v>
      </c>
      <c r="AO289">
        <v>0</v>
      </c>
      <c r="AP289">
        <v>0</v>
      </c>
      <c r="AQ289">
        <v>581378</v>
      </c>
      <c r="AR289" s="661">
        <v>581378</v>
      </c>
      <c r="AS289" t="s">
        <v>1940</v>
      </c>
    </row>
    <row r="290" spans="1:45" ht="12.75" x14ac:dyDescent="0.2">
      <c r="A290" s="605">
        <v>283</v>
      </c>
      <c r="B290" s="606" t="s">
        <v>455</v>
      </c>
      <c r="C290" s="607" t="s">
        <v>1192</v>
      </c>
      <c r="D290" s="608" t="s">
        <v>1193</v>
      </c>
      <c r="E290" s="609" t="s">
        <v>454</v>
      </c>
      <c r="F290">
        <v>137692528</v>
      </c>
      <c r="G290">
        <v>21934</v>
      </c>
      <c r="H290">
        <v>137714462</v>
      </c>
      <c r="I290">
        <v>-1000000</v>
      </c>
      <c r="J290">
        <v>0</v>
      </c>
      <c r="K290">
        <v>-1000000</v>
      </c>
      <c r="L290">
        <v>0</v>
      </c>
      <c r="M290">
        <v>0</v>
      </c>
      <c r="N290">
        <v>0</v>
      </c>
      <c r="O290">
        <v>136692528</v>
      </c>
      <c r="P290">
        <v>21934</v>
      </c>
      <c r="Q290">
        <v>136714462</v>
      </c>
      <c r="R290">
        <v>1044374</v>
      </c>
      <c r="S290">
        <v>0</v>
      </c>
      <c r="T290">
        <v>1044374</v>
      </c>
      <c r="U290">
        <v>0</v>
      </c>
      <c r="V290">
        <v>0</v>
      </c>
      <c r="W290">
        <v>0</v>
      </c>
      <c r="X290">
        <v>0</v>
      </c>
      <c r="Y290">
        <v>0</v>
      </c>
      <c r="Z290">
        <v>21934</v>
      </c>
      <c r="AA290">
        <v>21934</v>
      </c>
      <c r="AB290">
        <v>0</v>
      </c>
      <c r="AC290">
        <v>0</v>
      </c>
      <c r="AD290">
        <v>0</v>
      </c>
      <c r="AE290">
        <v>0</v>
      </c>
      <c r="AF290">
        <v>112040</v>
      </c>
      <c r="AG290">
        <v>112040</v>
      </c>
      <c r="AH290">
        <v>0</v>
      </c>
      <c r="AI290">
        <v>0</v>
      </c>
      <c r="AJ290">
        <v>0</v>
      </c>
      <c r="AK290">
        <v>0</v>
      </c>
      <c r="AL290">
        <v>0</v>
      </c>
      <c r="AM290">
        <v>0</v>
      </c>
      <c r="AN290">
        <v>0</v>
      </c>
      <c r="AO290">
        <v>0</v>
      </c>
      <c r="AP290">
        <v>0</v>
      </c>
      <c r="AQ290">
        <v>112040</v>
      </c>
      <c r="AR290" s="661">
        <v>112040</v>
      </c>
      <c r="AS290" t="s">
        <v>1941</v>
      </c>
    </row>
    <row r="291" spans="1:45" ht="12.75" x14ac:dyDescent="0.2">
      <c r="A291" s="605">
        <v>284</v>
      </c>
      <c r="B291" s="606" t="s">
        <v>457</v>
      </c>
      <c r="C291" s="607" t="s">
        <v>1192</v>
      </c>
      <c r="D291" s="608" t="s">
        <v>1195</v>
      </c>
      <c r="E291" s="609" t="s">
        <v>456</v>
      </c>
      <c r="F291">
        <v>77585792</v>
      </c>
      <c r="G291">
        <v>202671</v>
      </c>
      <c r="H291">
        <v>77788463</v>
      </c>
      <c r="I291">
        <v>-1000000</v>
      </c>
      <c r="J291">
        <v>0</v>
      </c>
      <c r="K291">
        <v>-1000000</v>
      </c>
      <c r="L291">
        <v>-2000000</v>
      </c>
      <c r="M291">
        <v>0</v>
      </c>
      <c r="N291">
        <v>-2000000</v>
      </c>
      <c r="O291">
        <v>74585792</v>
      </c>
      <c r="P291">
        <v>202671</v>
      </c>
      <c r="Q291">
        <v>74788463</v>
      </c>
      <c r="R291">
        <v>0</v>
      </c>
      <c r="S291">
        <v>0</v>
      </c>
      <c r="T291">
        <v>0</v>
      </c>
      <c r="U291">
        <v>0</v>
      </c>
      <c r="V291">
        <v>0</v>
      </c>
      <c r="W291">
        <v>0</v>
      </c>
      <c r="X291">
        <v>1679</v>
      </c>
      <c r="Y291">
        <v>182097</v>
      </c>
      <c r="Z291">
        <v>22253</v>
      </c>
      <c r="AA291">
        <v>22253</v>
      </c>
      <c r="AB291">
        <v>0</v>
      </c>
      <c r="AC291">
        <v>18338</v>
      </c>
      <c r="AD291">
        <v>18338</v>
      </c>
      <c r="AE291">
        <v>0</v>
      </c>
      <c r="AF291">
        <v>0</v>
      </c>
      <c r="AG291">
        <v>0</v>
      </c>
      <c r="AH291">
        <v>0</v>
      </c>
      <c r="AI291">
        <v>0</v>
      </c>
      <c r="AJ291">
        <v>0</v>
      </c>
      <c r="AK291">
        <v>0</v>
      </c>
      <c r="AL291">
        <v>0</v>
      </c>
      <c r="AM291">
        <v>0</v>
      </c>
      <c r="AN291">
        <v>0</v>
      </c>
      <c r="AO291">
        <v>0</v>
      </c>
      <c r="AP291">
        <v>0</v>
      </c>
      <c r="AQ291">
        <v>0</v>
      </c>
      <c r="AR291" s="661">
        <v>0</v>
      </c>
      <c r="AS291" t="s">
        <v>1942</v>
      </c>
    </row>
    <row r="292" spans="1:45" ht="12.75" x14ac:dyDescent="0.2">
      <c r="A292" s="605">
        <v>285</v>
      </c>
      <c r="B292" s="606" t="s">
        <v>459</v>
      </c>
      <c r="C292" s="607" t="s">
        <v>1190</v>
      </c>
      <c r="D292" s="608" t="s">
        <v>1191</v>
      </c>
      <c r="E292" s="609" t="s">
        <v>458</v>
      </c>
      <c r="F292">
        <v>69319036</v>
      </c>
      <c r="G292">
        <v>0</v>
      </c>
      <c r="H292">
        <v>69319036</v>
      </c>
      <c r="I292">
        <v>-1386381</v>
      </c>
      <c r="J292">
        <v>0</v>
      </c>
      <c r="K292">
        <v>-1386381</v>
      </c>
      <c r="L292">
        <v>-2306611</v>
      </c>
      <c r="M292">
        <v>0</v>
      </c>
      <c r="N292">
        <v>-2306611</v>
      </c>
      <c r="O292">
        <v>65626044</v>
      </c>
      <c r="P292">
        <v>0</v>
      </c>
      <c r="Q292">
        <v>65626044</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s="661">
        <v>0</v>
      </c>
      <c r="AS292" t="s">
        <v>1943</v>
      </c>
    </row>
    <row r="293" spans="1:45" ht="12.75" x14ac:dyDescent="0.2">
      <c r="A293" s="605">
        <v>286</v>
      </c>
      <c r="B293" s="606" t="s">
        <v>461</v>
      </c>
      <c r="C293" s="607" t="s">
        <v>1196</v>
      </c>
      <c r="D293" s="608" t="s">
        <v>1191</v>
      </c>
      <c r="E293" s="609" t="s">
        <v>460</v>
      </c>
      <c r="F293">
        <v>116600018</v>
      </c>
      <c r="G293">
        <v>10913249</v>
      </c>
      <c r="H293">
        <v>127513267</v>
      </c>
      <c r="I293">
        <v>-500000</v>
      </c>
      <c r="J293">
        <v>-50000</v>
      </c>
      <c r="K293">
        <v>-550000</v>
      </c>
      <c r="L293">
        <v>0</v>
      </c>
      <c r="M293">
        <v>0</v>
      </c>
      <c r="N293">
        <v>0</v>
      </c>
      <c r="O293">
        <v>116100018</v>
      </c>
      <c r="P293">
        <v>10863249</v>
      </c>
      <c r="Q293">
        <v>126963267</v>
      </c>
      <c r="R293">
        <v>0</v>
      </c>
      <c r="S293">
        <v>0</v>
      </c>
      <c r="T293">
        <v>0</v>
      </c>
      <c r="U293">
        <v>0</v>
      </c>
      <c r="V293">
        <v>0</v>
      </c>
      <c r="W293">
        <v>0</v>
      </c>
      <c r="X293">
        <v>56539</v>
      </c>
      <c r="Y293">
        <v>4504332</v>
      </c>
      <c r="Z293">
        <v>6415456</v>
      </c>
      <c r="AA293">
        <v>6415456</v>
      </c>
      <c r="AB293">
        <v>0</v>
      </c>
      <c r="AC293">
        <v>0</v>
      </c>
      <c r="AD293">
        <v>0</v>
      </c>
      <c r="AE293">
        <v>0</v>
      </c>
      <c r="AF293">
        <v>0</v>
      </c>
      <c r="AG293">
        <v>0</v>
      </c>
      <c r="AH293">
        <v>0</v>
      </c>
      <c r="AI293">
        <v>0</v>
      </c>
      <c r="AJ293">
        <v>0</v>
      </c>
      <c r="AK293">
        <v>0</v>
      </c>
      <c r="AL293">
        <v>0</v>
      </c>
      <c r="AM293">
        <v>0</v>
      </c>
      <c r="AN293">
        <v>0</v>
      </c>
      <c r="AO293">
        <v>0</v>
      </c>
      <c r="AP293">
        <v>0</v>
      </c>
      <c r="AQ293">
        <v>0</v>
      </c>
      <c r="AR293" s="661">
        <v>0</v>
      </c>
      <c r="AS293" t="s">
        <v>1944</v>
      </c>
    </row>
    <row r="294" spans="1:45" ht="12.75" x14ac:dyDescent="0.2">
      <c r="A294" s="605">
        <v>287</v>
      </c>
      <c r="B294" s="606" t="s">
        <v>463</v>
      </c>
      <c r="C294" s="607" t="s">
        <v>524</v>
      </c>
      <c r="D294" s="608" t="s">
        <v>1187</v>
      </c>
      <c r="E294" s="609" t="s">
        <v>545</v>
      </c>
      <c r="F294">
        <v>111560490</v>
      </c>
      <c r="G294">
        <v>1094239</v>
      </c>
      <c r="H294">
        <v>112654729</v>
      </c>
      <c r="I294">
        <v>-297086</v>
      </c>
      <c r="J294">
        <v>-2914</v>
      </c>
      <c r="K294">
        <v>-300000</v>
      </c>
      <c r="L294">
        <v>-1287372</v>
      </c>
      <c r="M294">
        <v>-12628</v>
      </c>
      <c r="N294">
        <v>-1300000</v>
      </c>
      <c r="O294">
        <v>109976032</v>
      </c>
      <c r="P294">
        <v>1078697</v>
      </c>
      <c r="Q294">
        <v>111054729</v>
      </c>
      <c r="R294">
        <v>15344</v>
      </c>
      <c r="S294">
        <v>0</v>
      </c>
      <c r="T294">
        <v>15344</v>
      </c>
      <c r="U294">
        <v>0</v>
      </c>
      <c r="V294">
        <v>0</v>
      </c>
      <c r="W294">
        <v>0</v>
      </c>
      <c r="X294">
        <v>-4699</v>
      </c>
      <c r="Y294">
        <v>992156</v>
      </c>
      <c r="Z294">
        <v>81842</v>
      </c>
      <c r="AA294">
        <v>81842</v>
      </c>
      <c r="AB294">
        <v>0</v>
      </c>
      <c r="AC294">
        <v>0</v>
      </c>
      <c r="AD294">
        <v>0</v>
      </c>
      <c r="AE294">
        <v>0</v>
      </c>
      <c r="AF294">
        <v>298789</v>
      </c>
      <c r="AG294">
        <v>298789</v>
      </c>
      <c r="AH294">
        <v>0</v>
      </c>
      <c r="AI294">
        <v>0</v>
      </c>
      <c r="AJ294">
        <v>0</v>
      </c>
      <c r="AK294">
        <v>0</v>
      </c>
      <c r="AL294">
        <v>0</v>
      </c>
      <c r="AM294">
        <v>0</v>
      </c>
      <c r="AN294">
        <v>0</v>
      </c>
      <c r="AO294">
        <v>0</v>
      </c>
      <c r="AP294">
        <v>0</v>
      </c>
      <c r="AQ294">
        <v>298789</v>
      </c>
      <c r="AR294" s="661">
        <v>298789</v>
      </c>
      <c r="AS294" t="s">
        <v>1945</v>
      </c>
    </row>
    <row r="295" spans="1:45" ht="12.75" x14ac:dyDescent="0.2">
      <c r="A295" s="605">
        <v>288</v>
      </c>
      <c r="B295" s="606" t="s">
        <v>465</v>
      </c>
      <c r="C295" s="607" t="s">
        <v>1185</v>
      </c>
      <c r="D295" s="608" t="s">
        <v>1195</v>
      </c>
      <c r="E295" s="609" t="s">
        <v>464</v>
      </c>
      <c r="F295">
        <v>72304150</v>
      </c>
      <c r="G295">
        <v>0</v>
      </c>
      <c r="H295">
        <v>72304150</v>
      </c>
      <c r="I295">
        <v>-850000</v>
      </c>
      <c r="J295">
        <v>0</v>
      </c>
      <c r="K295">
        <v>-850000</v>
      </c>
      <c r="L295">
        <v>-4006029</v>
      </c>
      <c r="M295">
        <v>0</v>
      </c>
      <c r="N295">
        <v>-4006029</v>
      </c>
      <c r="O295">
        <v>67448121</v>
      </c>
      <c r="P295">
        <v>0</v>
      </c>
      <c r="Q295">
        <v>67448121</v>
      </c>
      <c r="R295">
        <v>17220</v>
      </c>
      <c r="S295">
        <v>0</v>
      </c>
      <c r="T295">
        <v>17220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s="661">
        <v>0</v>
      </c>
      <c r="AS295" t="s">
        <v>1946</v>
      </c>
    </row>
    <row r="296" spans="1:45" ht="12.75" x14ac:dyDescent="0.2">
      <c r="A296" s="605">
        <v>289</v>
      </c>
      <c r="B296" s="606" t="s">
        <v>467</v>
      </c>
      <c r="C296" s="607" t="s">
        <v>1185</v>
      </c>
      <c r="D296" s="608" t="s">
        <v>1189</v>
      </c>
      <c r="E296" s="609" t="s">
        <v>466</v>
      </c>
      <c r="F296">
        <v>67575821</v>
      </c>
      <c r="G296">
        <v>0</v>
      </c>
      <c r="H296">
        <v>67575821</v>
      </c>
      <c r="I296">
        <v>-858270</v>
      </c>
      <c r="J296">
        <v>0</v>
      </c>
      <c r="K296">
        <v>-858270</v>
      </c>
      <c r="L296">
        <v>-1527731</v>
      </c>
      <c r="M296">
        <v>0</v>
      </c>
      <c r="N296">
        <v>-1527731</v>
      </c>
      <c r="O296">
        <v>65189820</v>
      </c>
      <c r="P296">
        <v>0</v>
      </c>
      <c r="Q296">
        <v>65189820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s="661">
        <v>0</v>
      </c>
      <c r="AS296" t="s">
        <v>1947</v>
      </c>
    </row>
    <row r="297" spans="1:45" ht="12.75" x14ac:dyDescent="0.2">
      <c r="A297" s="605">
        <v>290</v>
      </c>
      <c r="B297" s="606" t="s">
        <v>469</v>
      </c>
      <c r="C297" s="607" t="s">
        <v>1185</v>
      </c>
      <c r="D297" s="608" t="s">
        <v>1186</v>
      </c>
      <c r="E297" s="609" t="s">
        <v>468</v>
      </c>
      <c r="F297">
        <v>38251888</v>
      </c>
      <c r="G297">
        <v>0</v>
      </c>
      <c r="H297">
        <v>38251888</v>
      </c>
      <c r="I297">
        <v>-190000</v>
      </c>
      <c r="J297">
        <v>0</v>
      </c>
      <c r="K297">
        <v>-190000</v>
      </c>
      <c r="L297">
        <v>-1413646</v>
      </c>
      <c r="M297">
        <v>0</v>
      </c>
      <c r="N297">
        <v>-1413646</v>
      </c>
      <c r="O297">
        <v>36648242</v>
      </c>
      <c r="P297">
        <v>0</v>
      </c>
      <c r="Q297">
        <v>36648242</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s="661">
        <v>0</v>
      </c>
      <c r="AS297" t="s">
        <v>1948</v>
      </c>
    </row>
    <row r="298" spans="1:45" ht="12.75" x14ac:dyDescent="0.2">
      <c r="A298" s="605">
        <v>291</v>
      </c>
      <c r="B298" s="606" t="s">
        <v>471</v>
      </c>
      <c r="C298" s="607" t="s">
        <v>1185</v>
      </c>
      <c r="D298" s="608" t="s">
        <v>1186</v>
      </c>
      <c r="E298" s="609" t="s">
        <v>470</v>
      </c>
      <c r="F298">
        <v>33520314</v>
      </c>
      <c r="G298">
        <v>0</v>
      </c>
      <c r="H298">
        <v>33520314</v>
      </c>
      <c r="I298">
        <v>-200000</v>
      </c>
      <c r="J298">
        <v>0</v>
      </c>
      <c r="K298">
        <v>-200000</v>
      </c>
      <c r="L298">
        <v>-187000</v>
      </c>
      <c r="M298">
        <v>0</v>
      </c>
      <c r="N298">
        <v>-187000</v>
      </c>
      <c r="O298">
        <v>33133314</v>
      </c>
      <c r="P298">
        <v>0</v>
      </c>
      <c r="Q298">
        <v>33133314</v>
      </c>
      <c r="R298">
        <v>191220</v>
      </c>
      <c r="S298">
        <v>0</v>
      </c>
      <c r="T298">
        <v>191220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s="661">
        <v>0</v>
      </c>
      <c r="AS298" t="s">
        <v>1949</v>
      </c>
    </row>
    <row r="299" spans="1:45" ht="12.75" x14ac:dyDescent="0.2">
      <c r="A299" s="605">
        <v>292</v>
      </c>
      <c r="B299" s="606" t="s">
        <v>473</v>
      </c>
      <c r="C299" s="607" t="s">
        <v>1185</v>
      </c>
      <c r="D299" s="608" t="s">
        <v>1188</v>
      </c>
      <c r="E299" s="609" t="s">
        <v>472</v>
      </c>
      <c r="F299">
        <v>29603875</v>
      </c>
      <c r="G299">
        <v>0</v>
      </c>
      <c r="H299">
        <v>29603875</v>
      </c>
      <c r="I299">
        <v>-300000</v>
      </c>
      <c r="J299">
        <v>0</v>
      </c>
      <c r="K299">
        <v>-300000</v>
      </c>
      <c r="L299">
        <v>-291000</v>
      </c>
      <c r="M299">
        <v>0</v>
      </c>
      <c r="N299">
        <v>-291000</v>
      </c>
      <c r="O299">
        <v>29012875</v>
      </c>
      <c r="P299">
        <v>0</v>
      </c>
      <c r="Q299">
        <v>29012875</v>
      </c>
      <c r="R299">
        <v>38666</v>
      </c>
      <c r="S299">
        <v>0</v>
      </c>
      <c r="T299">
        <v>38666</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s="661">
        <v>0</v>
      </c>
      <c r="AS299" t="s">
        <v>1950</v>
      </c>
    </row>
    <row r="300" spans="1:45" ht="12.75" x14ac:dyDescent="0.2">
      <c r="A300" s="605">
        <v>293</v>
      </c>
      <c r="B300" s="606" t="s">
        <v>475</v>
      </c>
      <c r="C300" s="607" t="s">
        <v>1185</v>
      </c>
      <c r="D300" s="608" t="s">
        <v>1189</v>
      </c>
      <c r="E300" s="609" t="s">
        <v>474</v>
      </c>
      <c r="F300">
        <v>60821039</v>
      </c>
      <c r="G300">
        <v>0</v>
      </c>
      <c r="H300">
        <v>60821039</v>
      </c>
      <c r="I300">
        <v>-182496</v>
      </c>
      <c r="J300">
        <v>0</v>
      </c>
      <c r="K300">
        <v>-182496</v>
      </c>
      <c r="L300">
        <v>-1642350</v>
      </c>
      <c r="M300">
        <v>0</v>
      </c>
      <c r="N300">
        <v>-1642350</v>
      </c>
      <c r="O300">
        <v>58996193</v>
      </c>
      <c r="P300">
        <v>0</v>
      </c>
      <c r="Q300">
        <v>58996193</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s="661">
        <v>0</v>
      </c>
      <c r="AS300" t="s">
        <v>1951</v>
      </c>
    </row>
    <row r="301" spans="1:45" ht="12.75" x14ac:dyDescent="0.2">
      <c r="A301" s="605">
        <v>294</v>
      </c>
      <c r="B301" s="606" t="s">
        <v>477</v>
      </c>
      <c r="C301" s="607" t="s">
        <v>524</v>
      </c>
      <c r="D301" s="608" t="s">
        <v>1186</v>
      </c>
      <c r="E301" s="609" t="s">
        <v>533</v>
      </c>
      <c r="F301">
        <v>90296251</v>
      </c>
      <c r="G301">
        <v>0</v>
      </c>
      <c r="H301">
        <v>90296251</v>
      </c>
      <c r="I301">
        <v>-400000</v>
      </c>
      <c r="J301">
        <v>0</v>
      </c>
      <c r="K301">
        <v>-400000</v>
      </c>
      <c r="L301">
        <v>-1788000</v>
      </c>
      <c r="M301">
        <v>0</v>
      </c>
      <c r="N301">
        <v>-1788000</v>
      </c>
      <c r="O301">
        <v>88108251</v>
      </c>
      <c r="P301">
        <v>0</v>
      </c>
      <c r="Q301">
        <v>88108251</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s="661">
        <v>0</v>
      </c>
      <c r="AS301" t="s">
        <v>1952</v>
      </c>
    </row>
    <row r="302" spans="1:45" ht="12.75" x14ac:dyDescent="0.2">
      <c r="A302" s="605">
        <v>295</v>
      </c>
      <c r="B302" s="606" t="s">
        <v>479</v>
      </c>
      <c r="C302" s="607" t="s">
        <v>1185</v>
      </c>
      <c r="D302" s="608" t="s">
        <v>1194</v>
      </c>
      <c r="E302" s="609" t="s">
        <v>478</v>
      </c>
      <c r="F302">
        <v>10641377</v>
      </c>
      <c r="G302">
        <v>0</v>
      </c>
      <c r="H302">
        <v>10641377</v>
      </c>
      <c r="I302">
        <v>-106414</v>
      </c>
      <c r="J302">
        <v>0</v>
      </c>
      <c r="K302">
        <v>-106414</v>
      </c>
      <c r="L302">
        <v>-448144</v>
      </c>
      <c r="M302">
        <v>0</v>
      </c>
      <c r="N302">
        <v>-448144</v>
      </c>
      <c r="O302">
        <v>10086819</v>
      </c>
      <c r="P302">
        <v>0</v>
      </c>
      <c r="Q302">
        <v>10086819</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s="661">
        <v>0</v>
      </c>
      <c r="AS302" t="s">
        <v>1953</v>
      </c>
    </row>
    <row r="303" spans="1:45" ht="12.75" x14ac:dyDescent="0.2">
      <c r="A303" s="605">
        <v>296</v>
      </c>
      <c r="B303" s="606" t="s">
        <v>481</v>
      </c>
      <c r="C303" s="607" t="s">
        <v>1185</v>
      </c>
      <c r="D303" s="608" t="s">
        <v>1187</v>
      </c>
      <c r="E303" s="609" t="s">
        <v>480</v>
      </c>
      <c r="F303">
        <v>32784231</v>
      </c>
      <c r="G303">
        <v>0</v>
      </c>
      <c r="H303">
        <v>32784231</v>
      </c>
      <c r="I303">
        <v>-1147448</v>
      </c>
      <c r="J303">
        <v>0</v>
      </c>
      <c r="K303">
        <v>-1147448</v>
      </c>
      <c r="L303">
        <v>-983527</v>
      </c>
      <c r="M303">
        <v>0</v>
      </c>
      <c r="N303">
        <v>-983527</v>
      </c>
      <c r="O303">
        <v>30653256</v>
      </c>
      <c r="P303">
        <v>0</v>
      </c>
      <c r="Q303">
        <v>30653256</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s="661">
        <v>0</v>
      </c>
      <c r="AS303" t="s">
        <v>1954</v>
      </c>
    </row>
    <row r="304" spans="1:45" ht="12.75" x14ac:dyDescent="0.2">
      <c r="A304" s="605">
        <v>297</v>
      </c>
      <c r="B304" s="606" t="s">
        <v>483</v>
      </c>
      <c r="C304" s="607" t="s">
        <v>1185</v>
      </c>
      <c r="D304" s="608" t="s">
        <v>1188</v>
      </c>
      <c r="E304" s="609" t="s">
        <v>482</v>
      </c>
      <c r="F304">
        <v>19005385</v>
      </c>
      <c r="G304">
        <v>0</v>
      </c>
      <c r="H304">
        <v>19005385</v>
      </c>
      <c r="I304">
        <v>-114000</v>
      </c>
      <c r="J304">
        <v>0</v>
      </c>
      <c r="K304">
        <v>-114000</v>
      </c>
      <c r="L304">
        <v>-533400</v>
      </c>
      <c r="M304">
        <v>0</v>
      </c>
      <c r="N304">
        <v>-533400</v>
      </c>
      <c r="O304">
        <v>18357985</v>
      </c>
      <c r="P304">
        <v>0</v>
      </c>
      <c r="Q304">
        <v>18357985</v>
      </c>
      <c r="R304">
        <v>205035</v>
      </c>
      <c r="S304">
        <v>0</v>
      </c>
      <c r="T304">
        <v>205035</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s="661">
        <v>0</v>
      </c>
      <c r="AS304" t="s">
        <v>1955</v>
      </c>
    </row>
    <row r="305" spans="1:45" ht="12.75" x14ac:dyDescent="0.2">
      <c r="A305" s="605">
        <v>298</v>
      </c>
      <c r="B305" s="606" t="s">
        <v>485</v>
      </c>
      <c r="C305" s="607" t="s">
        <v>1185</v>
      </c>
      <c r="D305" s="608" t="s">
        <v>1186</v>
      </c>
      <c r="E305" s="609" t="s">
        <v>484</v>
      </c>
      <c r="F305">
        <v>40281307</v>
      </c>
      <c r="G305">
        <v>0</v>
      </c>
      <c r="H305">
        <v>40281307</v>
      </c>
      <c r="I305">
        <v>-100000</v>
      </c>
      <c r="J305">
        <v>0</v>
      </c>
      <c r="K305">
        <v>-100000</v>
      </c>
      <c r="L305">
        <v>-1003542</v>
      </c>
      <c r="M305">
        <v>0</v>
      </c>
      <c r="N305">
        <v>-1003542</v>
      </c>
      <c r="O305">
        <v>39177765</v>
      </c>
      <c r="P305">
        <v>0</v>
      </c>
      <c r="Q305">
        <v>39177765</v>
      </c>
      <c r="R305">
        <v>209056</v>
      </c>
      <c r="S305">
        <v>0</v>
      </c>
      <c r="T305">
        <v>209056</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s="661">
        <v>0</v>
      </c>
      <c r="AS305" t="s">
        <v>1956</v>
      </c>
    </row>
    <row r="306" spans="1:45" ht="12.75" x14ac:dyDescent="0.2">
      <c r="A306" s="605">
        <v>299</v>
      </c>
      <c r="B306" s="606" t="s">
        <v>1132</v>
      </c>
      <c r="C306" s="607" t="s">
        <v>1185</v>
      </c>
      <c r="D306" s="608" t="s">
        <v>1194</v>
      </c>
      <c r="E306" s="609" t="s">
        <v>1131</v>
      </c>
      <c r="F306">
        <v>75553947</v>
      </c>
      <c r="G306">
        <v>368640</v>
      </c>
      <c r="H306">
        <v>75922587</v>
      </c>
      <c r="I306">
        <v>-382149</v>
      </c>
      <c r="J306">
        <v>0</v>
      </c>
      <c r="K306">
        <v>-382149</v>
      </c>
      <c r="L306">
        <v>-2374823</v>
      </c>
      <c r="M306">
        <v>0</v>
      </c>
      <c r="N306">
        <v>-2374823</v>
      </c>
      <c r="O306">
        <v>72796975</v>
      </c>
      <c r="P306">
        <v>368640</v>
      </c>
      <c r="Q306">
        <v>73165615</v>
      </c>
      <c r="R306">
        <v>512159</v>
      </c>
      <c r="S306">
        <v>0</v>
      </c>
      <c r="T306">
        <v>512159</v>
      </c>
      <c r="U306">
        <v>0</v>
      </c>
      <c r="V306">
        <v>0</v>
      </c>
      <c r="W306">
        <v>0</v>
      </c>
      <c r="X306">
        <v>0</v>
      </c>
      <c r="Y306">
        <v>0</v>
      </c>
      <c r="Z306">
        <v>368640</v>
      </c>
      <c r="AA306">
        <v>368640</v>
      </c>
      <c r="AB306">
        <v>0</v>
      </c>
      <c r="AC306">
        <v>0</v>
      </c>
      <c r="AD306">
        <v>0</v>
      </c>
      <c r="AE306">
        <v>0</v>
      </c>
      <c r="AF306">
        <v>0</v>
      </c>
      <c r="AG306">
        <v>0</v>
      </c>
      <c r="AH306">
        <v>0</v>
      </c>
      <c r="AI306">
        <v>0</v>
      </c>
      <c r="AJ306">
        <v>0</v>
      </c>
      <c r="AK306">
        <v>0</v>
      </c>
      <c r="AL306">
        <v>0</v>
      </c>
      <c r="AM306">
        <v>0</v>
      </c>
      <c r="AN306">
        <v>0</v>
      </c>
      <c r="AO306">
        <v>0</v>
      </c>
      <c r="AP306">
        <v>0</v>
      </c>
      <c r="AQ306">
        <v>0</v>
      </c>
      <c r="AR306" s="661">
        <v>0</v>
      </c>
      <c r="AS306" t="s">
        <v>1957</v>
      </c>
    </row>
    <row r="307" spans="1:45" ht="12.75" x14ac:dyDescent="0.2">
      <c r="A307" s="605">
        <v>300</v>
      </c>
      <c r="B307" s="606" t="s">
        <v>487</v>
      </c>
      <c r="C307" s="607" t="s">
        <v>1196</v>
      </c>
      <c r="D307" s="608" t="s">
        <v>1191</v>
      </c>
      <c r="E307" s="609" t="s">
        <v>486</v>
      </c>
      <c r="F307">
        <v>2384236901</v>
      </c>
      <c r="G307">
        <v>0</v>
      </c>
      <c r="H307">
        <v>2384236901</v>
      </c>
      <c r="I307">
        <v>-1192118</v>
      </c>
      <c r="J307">
        <v>0</v>
      </c>
      <c r="K307">
        <v>-1192118</v>
      </c>
      <c r="L307">
        <v>-53269000</v>
      </c>
      <c r="M307">
        <v>0</v>
      </c>
      <c r="N307">
        <v>-53269000</v>
      </c>
      <c r="O307">
        <v>2329775783</v>
      </c>
      <c r="P307">
        <v>0</v>
      </c>
      <c r="Q307">
        <v>2329775783</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s="661">
        <v>0</v>
      </c>
      <c r="AS307" t="s">
        <v>1958</v>
      </c>
    </row>
    <row r="308" spans="1:45" ht="12.75" x14ac:dyDescent="0.2">
      <c r="A308" s="605">
        <v>301</v>
      </c>
      <c r="B308" s="606" t="s">
        <v>489</v>
      </c>
      <c r="C308" s="611" t="s">
        <v>1192</v>
      </c>
      <c r="D308" s="612" t="s">
        <v>1187</v>
      </c>
      <c r="E308" s="609" t="s">
        <v>488</v>
      </c>
      <c r="F308">
        <v>86743992</v>
      </c>
      <c r="G308">
        <v>0</v>
      </c>
      <c r="H308">
        <v>86743992</v>
      </c>
      <c r="I308">
        <v>-867440</v>
      </c>
      <c r="J308">
        <v>0</v>
      </c>
      <c r="K308">
        <v>-867440</v>
      </c>
      <c r="L308">
        <v>-2015576</v>
      </c>
      <c r="M308">
        <v>0</v>
      </c>
      <c r="N308">
        <v>-2015576</v>
      </c>
      <c r="O308">
        <v>83860976</v>
      </c>
      <c r="P308">
        <v>0</v>
      </c>
      <c r="Q308">
        <v>83860976</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s="661">
        <v>0</v>
      </c>
      <c r="AS308" t="s">
        <v>1959</v>
      </c>
    </row>
    <row r="309" spans="1:45" ht="12.75" x14ac:dyDescent="0.2">
      <c r="A309" s="605">
        <v>302</v>
      </c>
      <c r="B309" s="606" t="s">
        <v>491</v>
      </c>
      <c r="C309" s="607" t="s">
        <v>524</v>
      </c>
      <c r="D309" s="608" t="s">
        <v>1194</v>
      </c>
      <c r="E309" s="609" t="s">
        <v>490</v>
      </c>
      <c r="F309">
        <v>157443813</v>
      </c>
      <c r="G309">
        <v>0</v>
      </c>
      <c r="H309">
        <v>157443813</v>
      </c>
      <c r="I309">
        <v>-811500</v>
      </c>
      <c r="J309">
        <v>0</v>
      </c>
      <c r="K309">
        <v>-811500</v>
      </c>
      <c r="L309">
        <v>-4057507</v>
      </c>
      <c r="M309">
        <v>0</v>
      </c>
      <c r="N309">
        <v>-4057507</v>
      </c>
      <c r="O309">
        <v>152574806</v>
      </c>
      <c r="P309">
        <v>0</v>
      </c>
      <c r="Q309">
        <v>152574806</v>
      </c>
      <c r="R309">
        <v>1549194</v>
      </c>
      <c r="S309">
        <v>0</v>
      </c>
      <c r="T309">
        <v>1549194</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s="661">
        <v>0</v>
      </c>
      <c r="AS309" t="s">
        <v>1960</v>
      </c>
    </row>
    <row r="310" spans="1:45" ht="12.75" x14ac:dyDescent="0.2">
      <c r="A310" s="605">
        <v>303</v>
      </c>
      <c r="B310" s="606" t="s">
        <v>493</v>
      </c>
      <c r="C310" s="607" t="s">
        <v>1185</v>
      </c>
      <c r="D310" s="608" t="s">
        <v>1186</v>
      </c>
      <c r="E310" s="609" t="s">
        <v>492</v>
      </c>
      <c r="F310">
        <v>66335939</v>
      </c>
      <c r="G310">
        <v>0</v>
      </c>
      <c r="H310">
        <v>66335939</v>
      </c>
      <c r="I310">
        <v>-332000</v>
      </c>
      <c r="J310">
        <v>0</v>
      </c>
      <c r="K310">
        <v>-332000</v>
      </c>
      <c r="L310">
        <v>-2786000</v>
      </c>
      <c r="M310">
        <v>0</v>
      </c>
      <c r="N310">
        <v>-2786000</v>
      </c>
      <c r="O310">
        <v>63217939</v>
      </c>
      <c r="P310">
        <v>0</v>
      </c>
      <c r="Q310">
        <v>63217939</v>
      </c>
      <c r="R310">
        <v>320000</v>
      </c>
      <c r="S310">
        <v>0</v>
      </c>
      <c r="T310">
        <v>320000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s="661">
        <v>0</v>
      </c>
      <c r="AS310" t="s">
        <v>1961</v>
      </c>
    </row>
    <row r="311" spans="1:45" ht="12.75" x14ac:dyDescent="0.2">
      <c r="A311" s="605">
        <v>304</v>
      </c>
      <c r="B311" s="606" t="s">
        <v>495</v>
      </c>
      <c r="C311" s="607" t="s">
        <v>524</v>
      </c>
      <c r="D311" s="608" t="s">
        <v>1186</v>
      </c>
      <c r="E311" s="609" t="s">
        <v>908</v>
      </c>
      <c r="F311">
        <v>90801068</v>
      </c>
      <c r="G311">
        <v>0</v>
      </c>
      <c r="H311">
        <v>90801068</v>
      </c>
      <c r="I311">
        <v>0</v>
      </c>
      <c r="J311">
        <v>0</v>
      </c>
      <c r="K311">
        <v>0</v>
      </c>
      <c r="L311">
        <v>0</v>
      </c>
      <c r="M311">
        <v>0</v>
      </c>
      <c r="N311">
        <v>0</v>
      </c>
      <c r="O311">
        <v>90801068</v>
      </c>
      <c r="P311">
        <v>0</v>
      </c>
      <c r="Q311">
        <v>90801068</v>
      </c>
      <c r="R311">
        <v>16748</v>
      </c>
      <c r="S311">
        <v>0</v>
      </c>
      <c r="T311">
        <v>16748</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s="661">
        <v>0</v>
      </c>
      <c r="AS311" t="s">
        <v>1962</v>
      </c>
    </row>
    <row r="312" spans="1:45" ht="12.75" x14ac:dyDescent="0.2">
      <c r="A312" s="605">
        <v>305</v>
      </c>
      <c r="B312" s="606" t="s">
        <v>497</v>
      </c>
      <c r="C312" s="607" t="s">
        <v>1192</v>
      </c>
      <c r="D312" s="608" t="s">
        <v>1187</v>
      </c>
      <c r="E312" s="609" t="s">
        <v>496</v>
      </c>
      <c r="F312">
        <v>74378299</v>
      </c>
      <c r="G312">
        <v>995737</v>
      </c>
      <c r="H312">
        <v>75374036</v>
      </c>
      <c r="I312">
        <v>-1100000</v>
      </c>
      <c r="J312">
        <v>0</v>
      </c>
      <c r="K312">
        <v>-1100000</v>
      </c>
      <c r="L312">
        <v>-1000000</v>
      </c>
      <c r="M312">
        <v>0</v>
      </c>
      <c r="N312">
        <v>-1000000</v>
      </c>
      <c r="O312">
        <v>72278299</v>
      </c>
      <c r="P312">
        <v>995737</v>
      </c>
      <c r="Q312">
        <v>73274036</v>
      </c>
      <c r="R312">
        <v>0</v>
      </c>
      <c r="S312">
        <v>0</v>
      </c>
      <c r="T312">
        <v>0</v>
      </c>
      <c r="U312">
        <v>0</v>
      </c>
      <c r="V312">
        <v>0</v>
      </c>
      <c r="W312">
        <v>0</v>
      </c>
      <c r="X312">
        <v>0</v>
      </c>
      <c r="Y312">
        <v>939847</v>
      </c>
      <c r="Z312">
        <v>55890</v>
      </c>
      <c r="AA312">
        <v>55890</v>
      </c>
      <c r="AB312">
        <v>0</v>
      </c>
      <c r="AC312">
        <v>0</v>
      </c>
      <c r="AD312">
        <v>0</v>
      </c>
      <c r="AE312">
        <v>0</v>
      </c>
      <c r="AF312">
        <v>0</v>
      </c>
      <c r="AG312">
        <v>0</v>
      </c>
      <c r="AH312">
        <v>0</v>
      </c>
      <c r="AI312">
        <v>0</v>
      </c>
      <c r="AJ312">
        <v>0</v>
      </c>
      <c r="AK312">
        <v>0</v>
      </c>
      <c r="AL312">
        <v>0</v>
      </c>
      <c r="AM312">
        <v>0</v>
      </c>
      <c r="AN312">
        <v>0</v>
      </c>
      <c r="AO312">
        <v>0</v>
      </c>
      <c r="AP312">
        <v>0</v>
      </c>
      <c r="AQ312">
        <v>0</v>
      </c>
      <c r="AR312" s="661">
        <v>0</v>
      </c>
      <c r="AS312" t="s">
        <v>1963</v>
      </c>
    </row>
    <row r="313" spans="1:45" ht="12.75" x14ac:dyDescent="0.2">
      <c r="A313" s="605">
        <v>306</v>
      </c>
      <c r="B313" s="606" t="s">
        <v>499</v>
      </c>
      <c r="C313" s="607" t="s">
        <v>1185</v>
      </c>
      <c r="D313" s="608" t="s">
        <v>1186</v>
      </c>
      <c r="E313" s="609" t="s">
        <v>498</v>
      </c>
      <c r="F313">
        <v>50557152</v>
      </c>
      <c r="G313">
        <v>0</v>
      </c>
      <c r="H313">
        <v>50557152</v>
      </c>
      <c r="I313">
        <v>-200000</v>
      </c>
      <c r="J313">
        <v>0</v>
      </c>
      <c r="K313">
        <v>-200000</v>
      </c>
      <c r="L313">
        <v>-2376186</v>
      </c>
      <c r="M313">
        <v>0</v>
      </c>
      <c r="N313">
        <v>-2376186</v>
      </c>
      <c r="O313">
        <v>47980966</v>
      </c>
      <c r="P313">
        <v>0</v>
      </c>
      <c r="Q313">
        <v>47980966</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s="661">
        <v>0</v>
      </c>
      <c r="AS313" t="s">
        <v>1964</v>
      </c>
    </row>
    <row r="314" spans="1:45" ht="12.75" x14ac:dyDescent="0.2">
      <c r="A314" s="605">
        <v>307</v>
      </c>
      <c r="B314" s="606" t="s">
        <v>501</v>
      </c>
      <c r="C314" s="607" t="s">
        <v>524</v>
      </c>
      <c r="D314" s="608" t="s">
        <v>1186</v>
      </c>
      <c r="E314" s="609" t="s">
        <v>536</v>
      </c>
      <c r="F314">
        <v>77129827</v>
      </c>
      <c r="G314">
        <v>0</v>
      </c>
      <c r="H314">
        <v>77129827</v>
      </c>
      <c r="I314">
        <v>-400000</v>
      </c>
      <c r="J314">
        <v>0</v>
      </c>
      <c r="K314">
        <v>-400000</v>
      </c>
      <c r="L314">
        <v>-3000000</v>
      </c>
      <c r="M314">
        <v>0</v>
      </c>
      <c r="N314">
        <v>-3000000</v>
      </c>
      <c r="O314">
        <v>73729827</v>
      </c>
      <c r="P314">
        <v>0</v>
      </c>
      <c r="Q314">
        <v>73729827</v>
      </c>
      <c r="R314">
        <v>12350</v>
      </c>
      <c r="S314">
        <v>0</v>
      </c>
      <c r="T314">
        <v>12350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s="661">
        <v>0</v>
      </c>
      <c r="AS314" t="s">
        <v>1965</v>
      </c>
    </row>
    <row r="315" spans="1:45" ht="12.75" x14ac:dyDescent="0.2">
      <c r="A315" s="605">
        <v>308</v>
      </c>
      <c r="B315" s="606" t="s">
        <v>503</v>
      </c>
      <c r="C315" s="607" t="s">
        <v>1192</v>
      </c>
      <c r="D315" s="608" t="s">
        <v>1195</v>
      </c>
      <c r="E315" s="609" t="s">
        <v>502</v>
      </c>
      <c r="F315">
        <v>76914528.632981285</v>
      </c>
      <c r="G315">
        <v>390093</v>
      </c>
      <c r="H315">
        <v>77304621.632981285</v>
      </c>
      <c r="I315">
        <v>-1242000</v>
      </c>
      <c r="J315">
        <v>0</v>
      </c>
      <c r="K315">
        <v>-1242000</v>
      </c>
      <c r="L315">
        <v>-1255657</v>
      </c>
      <c r="M315">
        <v>0</v>
      </c>
      <c r="N315">
        <v>-1255657</v>
      </c>
      <c r="O315">
        <v>74416871.632981285</v>
      </c>
      <c r="P315">
        <v>390093</v>
      </c>
      <c r="Q315">
        <v>74806964.632981285</v>
      </c>
      <c r="R315">
        <v>5115</v>
      </c>
      <c r="S315">
        <v>0</v>
      </c>
      <c r="T315">
        <v>5115</v>
      </c>
      <c r="U315">
        <v>0</v>
      </c>
      <c r="V315">
        <v>0</v>
      </c>
      <c r="W315">
        <v>0</v>
      </c>
      <c r="X315">
        <v>0</v>
      </c>
      <c r="Y315">
        <v>104664</v>
      </c>
      <c r="Z315">
        <v>285429</v>
      </c>
      <c r="AA315">
        <v>285429</v>
      </c>
      <c r="AB315">
        <v>0</v>
      </c>
      <c r="AC315">
        <v>0</v>
      </c>
      <c r="AD315">
        <v>0</v>
      </c>
      <c r="AE315">
        <v>0</v>
      </c>
      <c r="AF315">
        <v>0</v>
      </c>
      <c r="AG315">
        <v>0</v>
      </c>
      <c r="AH315">
        <v>0</v>
      </c>
      <c r="AI315">
        <v>0</v>
      </c>
      <c r="AJ315">
        <v>0</v>
      </c>
      <c r="AK315">
        <v>0</v>
      </c>
      <c r="AL315">
        <v>0</v>
      </c>
      <c r="AM315">
        <v>0</v>
      </c>
      <c r="AN315">
        <v>0</v>
      </c>
      <c r="AO315">
        <v>0</v>
      </c>
      <c r="AP315">
        <v>0</v>
      </c>
      <c r="AQ315">
        <v>0</v>
      </c>
      <c r="AR315" s="661">
        <v>0</v>
      </c>
      <c r="AS315" t="s">
        <v>1966</v>
      </c>
    </row>
    <row r="316" spans="1:45" ht="12.75" x14ac:dyDescent="0.2">
      <c r="A316" s="605">
        <v>309</v>
      </c>
      <c r="B316" s="606" t="s">
        <v>505</v>
      </c>
      <c r="C316" s="607" t="s">
        <v>1185</v>
      </c>
      <c r="D316" s="608" t="s">
        <v>1195</v>
      </c>
      <c r="E316" s="609" t="s">
        <v>504</v>
      </c>
      <c r="F316">
        <v>41875819</v>
      </c>
      <c r="G316">
        <v>0</v>
      </c>
      <c r="H316">
        <v>41875819</v>
      </c>
      <c r="I316">
        <v>-418758</v>
      </c>
      <c r="J316">
        <v>0</v>
      </c>
      <c r="K316">
        <v>-418758</v>
      </c>
      <c r="L316">
        <v>-1256275</v>
      </c>
      <c r="M316">
        <v>0</v>
      </c>
      <c r="N316">
        <v>-1256275</v>
      </c>
      <c r="O316">
        <v>40200786</v>
      </c>
      <c r="P316">
        <v>0</v>
      </c>
      <c r="Q316">
        <v>40200786</v>
      </c>
      <c r="R316">
        <v>4506</v>
      </c>
      <c r="S316">
        <v>0</v>
      </c>
      <c r="T316">
        <v>4506</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s="661">
        <v>0</v>
      </c>
      <c r="AS316" t="s">
        <v>1967</v>
      </c>
    </row>
    <row r="317" spans="1:45" ht="12.75" x14ac:dyDescent="0.2">
      <c r="A317" s="605">
        <v>310</v>
      </c>
      <c r="B317" s="610" t="s">
        <v>507</v>
      </c>
      <c r="C317" s="607" t="s">
        <v>1185</v>
      </c>
      <c r="D317" s="608" t="s">
        <v>1186</v>
      </c>
      <c r="E317" s="613" t="s">
        <v>506</v>
      </c>
      <c r="F317">
        <v>31855061</v>
      </c>
      <c r="G317">
        <v>0</v>
      </c>
      <c r="H317">
        <v>31855061</v>
      </c>
      <c r="I317">
        <v>-100000</v>
      </c>
      <c r="J317">
        <v>0</v>
      </c>
      <c r="K317">
        <v>-100000</v>
      </c>
      <c r="L317">
        <v>-500000</v>
      </c>
      <c r="M317">
        <v>0</v>
      </c>
      <c r="N317">
        <v>-500000</v>
      </c>
      <c r="O317">
        <v>31255061</v>
      </c>
      <c r="P317">
        <v>0</v>
      </c>
      <c r="Q317">
        <v>31255061</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s="661">
        <v>0</v>
      </c>
      <c r="AS317" t="s">
        <v>1968</v>
      </c>
    </row>
    <row r="318" spans="1:45" ht="12.75" x14ac:dyDescent="0.2">
      <c r="A318" s="605">
        <v>311</v>
      </c>
      <c r="B318" s="606" t="s">
        <v>509</v>
      </c>
      <c r="C318" s="607" t="s">
        <v>1185</v>
      </c>
      <c r="D318" s="608" t="s">
        <v>1195</v>
      </c>
      <c r="E318" s="609" t="s">
        <v>508</v>
      </c>
      <c r="F318">
        <v>45389469</v>
      </c>
      <c r="G318">
        <v>0</v>
      </c>
      <c r="H318">
        <v>45389469</v>
      </c>
      <c r="I318">
        <v>-453895</v>
      </c>
      <c r="J318">
        <v>0</v>
      </c>
      <c r="K318">
        <v>-453895</v>
      </c>
      <c r="L318">
        <v>-1361684</v>
      </c>
      <c r="M318">
        <v>0</v>
      </c>
      <c r="N318">
        <v>-1361684</v>
      </c>
      <c r="O318">
        <v>43573890</v>
      </c>
      <c r="P318">
        <v>0</v>
      </c>
      <c r="Q318">
        <v>43573890</v>
      </c>
      <c r="R318">
        <v>380305</v>
      </c>
      <c r="S318">
        <v>0</v>
      </c>
      <c r="T318">
        <v>380305</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s="661">
        <v>0</v>
      </c>
      <c r="AS318" t="s">
        <v>1969</v>
      </c>
    </row>
    <row r="319" spans="1:45" ht="12.75" x14ac:dyDescent="0.2">
      <c r="A319" s="605">
        <v>312</v>
      </c>
      <c r="B319" s="606" t="s">
        <v>513</v>
      </c>
      <c r="C319" s="607" t="s">
        <v>1185</v>
      </c>
      <c r="D319" s="608" t="s">
        <v>1187</v>
      </c>
      <c r="E319" s="609" t="s">
        <v>512</v>
      </c>
      <c r="F319">
        <v>24682158</v>
      </c>
      <c r="G319">
        <v>2824391</v>
      </c>
      <c r="H319">
        <v>27506549</v>
      </c>
      <c r="I319">
        <v>-213140</v>
      </c>
      <c r="J319">
        <v>-6860</v>
      </c>
      <c r="K319">
        <v>-220000</v>
      </c>
      <c r="L319">
        <v>-1116196</v>
      </c>
      <c r="M319">
        <v>-187446</v>
      </c>
      <c r="N319">
        <v>-1303642</v>
      </c>
      <c r="O319">
        <v>23352822</v>
      </c>
      <c r="P319">
        <v>2630085</v>
      </c>
      <c r="Q319">
        <v>25982907</v>
      </c>
      <c r="R319">
        <v>0</v>
      </c>
      <c r="S319">
        <v>0</v>
      </c>
      <c r="T319">
        <v>0</v>
      </c>
      <c r="U319">
        <v>0</v>
      </c>
      <c r="V319">
        <v>0</v>
      </c>
      <c r="W319">
        <v>0</v>
      </c>
      <c r="X319">
        <v>256</v>
      </c>
      <c r="Y319">
        <v>2583352</v>
      </c>
      <c r="Z319">
        <v>46989</v>
      </c>
      <c r="AA319">
        <v>46989</v>
      </c>
      <c r="AB319">
        <v>0</v>
      </c>
      <c r="AC319">
        <v>0</v>
      </c>
      <c r="AD319">
        <v>0</v>
      </c>
      <c r="AE319">
        <v>0</v>
      </c>
      <c r="AF319">
        <v>0</v>
      </c>
      <c r="AG319">
        <v>0</v>
      </c>
      <c r="AH319">
        <v>0</v>
      </c>
      <c r="AI319">
        <v>0</v>
      </c>
      <c r="AJ319">
        <v>0</v>
      </c>
      <c r="AK319">
        <v>0</v>
      </c>
      <c r="AL319">
        <v>0</v>
      </c>
      <c r="AM319">
        <v>0</v>
      </c>
      <c r="AN319">
        <v>0</v>
      </c>
      <c r="AO319">
        <v>0</v>
      </c>
      <c r="AP319">
        <v>0</v>
      </c>
      <c r="AQ319">
        <v>0</v>
      </c>
      <c r="AR319" s="661">
        <v>0</v>
      </c>
      <c r="AS319" t="s">
        <v>1970</v>
      </c>
    </row>
    <row r="320" spans="1:45" ht="12.75" x14ac:dyDescent="0.2">
      <c r="A320" s="605">
        <v>313</v>
      </c>
      <c r="B320" s="606" t="s">
        <v>515</v>
      </c>
      <c r="C320" s="607" t="s">
        <v>1185</v>
      </c>
      <c r="D320" s="608" t="s">
        <v>1195</v>
      </c>
      <c r="E320" s="609" t="s">
        <v>514</v>
      </c>
      <c r="F320">
        <v>28734734</v>
      </c>
      <c r="G320">
        <v>0</v>
      </c>
      <c r="H320">
        <v>28734734</v>
      </c>
      <c r="I320">
        <v>-287347</v>
      </c>
      <c r="J320">
        <v>0</v>
      </c>
      <c r="K320">
        <v>-287347</v>
      </c>
      <c r="L320">
        <v>-862041</v>
      </c>
      <c r="M320">
        <v>0</v>
      </c>
      <c r="N320">
        <v>-862041</v>
      </c>
      <c r="O320">
        <v>27585346</v>
      </c>
      <c r="P320">
        <v>0</v>
      </c>
      <c r="Q320">
        <v>27585346</v>
      </c>
      <c r="R320">
        <v>5239</v>
      </c>
      <c r="S320">
        <v>0</v>
      </c>
      <c r="T320">
        <v>5239</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s="661">
        <v>0</v>
      </c>
      <c r="AS320" t="s">
        <v>1971</v>
      </c>
    </row>
    <row r="321" spans="1:45" ht="13.5" thickBot="1" x14ac:dyDescent="0.25">
      <c r="A321" s="605">
        <v>314</v>
      </c>
      <c r="B321" s="606" t="s">
        <v>517</v>
      </c>
      <c r="C321" s="607" t="s">
        <v>524</v>
      </c>
      <c r="D321" s="608" t="s">
        <v>1193</v>
      </c>
      <c r="E321" s="609" t="s">
        <v>597</v>
      </c>
      <c r="F321">
        <v>105835727</v>
      </c>
      <c r="G321">
        <v>1031339</v>
      </c>
      <c r="H321">
        <v>106867066</v>
      </c>
      <c r="I321">
        <v>-394000</v>
      </c>
      <c r="J321">
        <v>-6000</v>
      </c>
      <c r="K321">
        <v>-400000</v>
      </c>
      <c r="L321">
        <v>-1000000</v>
      </c>
      <c r="M321">
        <v>0</v>
      </c>
      <c r="N321">
        <v>-1000000</v>
      </c>
      <c r="O321">
        <v>104441727</v>
      </c>
      <c r="P321">
        <v>1025339</v>
      </c>
      <c r="Q321">
        <v>105467066</v>
      </c>
      <c r="R321">
        <v>0</v>
      </c>
      <c r="S321">
        <v>0</v>
      </c>
      <c r="T321">
        <v>0</v>
      </c>
      <c r="U321">
        <v>0</v>
      </c>
      <c r="V321">
        <v>0</v>
      </c>
      <c r="W321">
        <v>0</v>
      </c>
      <c r="X321">
        <v>56675</v>
      </c>
      <c r="Y321">
        <v>798671</v>
      </c>
      <c r="Z321">
        <v>283343</v>
      </c>
      <c r="AA321">
        <v>283343</v>
      </c>
      <c r="AB321">
        <v>0</v>
      </c>
      <c r="AC321">
        <v>0</v>
      </c>
      <c r="AD321">
        <v>0</v>
      </c>
      <c r="AE321">
        <v>0</v>
      </c>
      <c r="AF321">
        <v>0</v>
      </c>
      <c r="AG321">
        <v>0</v>
      </c>
      <c r="AH321">
        <v>0</v>
      </c>
      <c r="AI321">
        <v>0</v>
      </c>
      <c r="AJ321">
        <v>0</v>
      </c>
      <c r="AK321">
        <v>0</v>
      </c>
      <c r="AL321">
        <v>0</v>
      </c>
      <c r="AM321">
        <v>0</v>
      </c>
      <c r="AN321">
        <v>0</v>
      </c>
      <c r="AO321">
        <v>0</v>
      </c>
      <c r="AP321">
        <v>0</v>
      </c>
      <c r="AQ321">
        <v>0</v>
      </c>
      <c r="AR321" s="661">
        <v>0</v>
      </c>
      <c r="AS321" t="s">
        <v>1972</v>
      </c>
    </row>
    <row r="322" spans="1:45" s="320" customFormat="1" ht="13.5" thickBot="1" x14ac:dyDescent="0.25">
      <c r="A322" s="614">
        <v>315</v>
      </c>
      <c r="B322" s="765" t="s">
        <v>518</v>
      </c>
      <c r="C322" s="615"/>
      <c r="D322" s="766" t="s">
        <v>1189</v>
      </c>
      <c r="E322" s="616" t="s">
        <v>1198</v>
      </c>
      <c r="F322" s="774">
        <v>26813726333.962982</v>
      </c>
      <c r="G322" s="767">
        <v>301820040.5</v>
      </c>
      <c r="H322" s="767">
        <v>27115546374.462982</v>
      </c>
      <c r="I322" s="767">
        <v>-262456756.32800001</v>
      </c>
      <c r="J322" s="767">
        <v>-3746597.81</v>
      </c>
      <c r="K322" s="767">
        <v>-266203354.13800001</v>
      </c>
      <c r="L322" s="767">
        <v>-916195752</v>
      </c>
      <c r="M322" s="767">
        <v>-10734817</v>
      </c>
      <c r="N322" s="767">
        <v>-926930569</v>
      </c>
      <c r="O322" s="767">
        <v>25635073825.634983</v>
      </c>
      <c r="P322" s="767">
        <v>287338625.69</v>
      </c>
      <c r="Q322" s="767">
        <v>25922412451.324982</v>
      </c>
      <c r="R322" s="767">
        <v>70761382</v>
      </c>
      <c r="S322" s="767">
        <v>1876716</v>
      </c>
      <c r="T322" s="767">
        <v>72638098</v>
      </c>
      <c r="U322" s="767">
        <v>26368</v>
      </c>
      <c r="V322" s="767">
        <v>0</v>
      </c>
      <c r="W322" s="767">
        <v>26368</v>
      </c>
      <c r="X322" s="767">
        <v>-1294480</v>
      </c>
      <c r="Y322" s="767">
        <v>217498586</v>
      </c>
      <c r="Z322" s="767">
        <v>88279269.349999994</v>
      </c>
      <c r="AA322" s="767">
        <v>88279269.349999994</v>
      </c>
      <c r="AB322" s="767">
        <v>210670</v>
      </c>
      <c r="AC322" s="767">
        <v>4401955</v>
      </c>
      <c r="AD322" s="767">
        <v>4612625</v>
      </c>
      <c r="AE322" s="767">
        <v>860077</v>
      </c>
      <c r="AF322" s="767">
        <v>10106434</v>
      </c>
      <c r="AG322" s="767">
        <v>10966511</v>
      </c>
      <c r="AH322" s="767">
        <v>228219391.78999999</v>
      </c>
      <c r="AI322" s="767">
        <v>228219391.78999999</v>
      </c>
      <c r="AJ322" s="767">
        <v>229577588</v>
      </c>
      <c r="AK322" s="767">
        <v>229577588</v>
      </c>
      <c r="AL322" s="767">
        <v>4979351</v>
      </c>
      <c r="AM322" s="767">
        <v>4979351</v>
      </c>
      <c r="AN322" s="767">
        <v>1367040</v>
      </c>
      <c r="AO322" s="767">
        <v>697190</v>
      </c>
      <c r="AP322" s="767">
        <v>6536618</v>
      </c>
      <c r="AQ322" s="767">
        <v>10106434</v>
      </c>
      <c r="AR322" s="768">
        <v>16643052</v>
      </c>
    </row>
    <row r="323" spans="1:45" x14ac:dyDescent="0.2">
      <c r="D323" s="618"/>
      <c r="E323" s="619"/>
    </row>
    <row r="324" spans="1:45" x14ac:dyDescent="0.2">
      <c r="D324" s="618"/>
      <c r="E324" s="619"/>
    </row>
    <row r="325" spans="1:45" x14ac:dyDescent="0.2">
      <c r="A325" s="621"/>
      <c r="D325" s="618"/>
      <c r="E325" s="619"/>
    </row>
    <row r="326" spans="1:45" x14ac:dyDescent="0.2">
      <c r="D326" s="618"/>
      <c r="E326" s="619"/>
    </row>
    <row r="327" spans="1:45" x14ac:dyDescent="0.2">
      <c r="D327" s="618"/>
      <c r="E327" s="619"/>
    </row>
  </sheetData>
  <mergeCells count="27">
    <mergeCell ref="Z1:AA1"/>
    <mergeCell ref="F1:H1"/>
    <mergeCell ref="I1:K1"/>
    <mergeCell ref="L1:N1"/>
    <mergeCell ref="O1:Q1"/>
    <mergeCell ref="R1:T1"/>
    <mergeCell ref="AP1:AR1"/>
    <mergeCell ref="F2:H2"/>
    <mergeCell ref="I2:K2"/>
    <mergeCell ref="L2:N2"/>
    <mergeCell ref="O2:Q2"/>
    <mergeCell ref="R2:T2"/>
    <mergeCell ref="Z2:AA2"/>
    <mergeCell ref="AB2:AD2"/>
    <mergeCell ref="AE2:AG2"/>
    <mergeCell ref="AH2:AI2"/>
    <mergeCell ref="AB1:AD1"/>
    <mergeCell ref="AE1:AG1"/>
    <mergeCell ref="AH1:AI1"/>
    <mergeCell ref="AJ1:AK1"/>
    <mergeCell ref="AL1:AM1"/>
    <mergeCell ref="AN1:AO1"/>
    <mergeCell ref="AJ2:AK2"/>
    <mergeCell ref="AL2:AM2"/>
    <mergeCell ref="AN2:AO2"/>
    <mergeCell ref="AP2:AR2"/>
    <mergeCell ref="U2:W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4847510-1053-48BE-9A64-804BC77526D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Metadata</vt:lpstr>
      <vt:lpstr>Part 1</vt:lpstr>
      <vt:lpstr>Part 2</vt:lpstr>
      <vt:lpstr>Part 3</vt:lpstr>
      <vt:lpstr>Part 3 DA summary</vt:lpstr>
      <vt:lpstr>Part 4</vt:lpstr>
      <vt:lpstr>DataSheet1</vt:lpstr>
      <vt:lpstr>DataSheet2</vt:lpstr>
      <vt:lpstr>DataSheet3</vt:lpstr>
      <vt:lpstr>DataSheetDA</vt:lpstr>
      <vt:lpstr>DataSheet4</vt:lpstr>
      <vt:lpstr>LA List</vt:lpstr>
      <vt:lpstr>Data</vt:lpstr>
      <vt:lpstr>LA_info</vt:lpstr>
      <vt:lpstr>CONTACT</vt:lpstr>
      <vt:lpstr>'Part 3 DA summary'!CTRprint1</vt:lpstr>
      <vt:lpstr>'Part 3 DA summary'!CTRprint2</vt:lpstr>
      <vt:lpstr>datar</vt:lpstr>
      <vt:lpstr>Import_LA_Name</vt:lpstr>
      <vt:lpstr>Data!Print_Area</vt:lpstr>
      <vt:lpstr>'Part 1'!Print_Area</vt:lpstr>
      <vt:lpstr>'Part 2'!Print_Area</vt:lpstr>
      <vt:lpstr>'Part 3'!Print_Area</vt:lpstr>
      <vt:lpstr>'Part 3 DA summary'!Print_Area</vt:lpstr>
      <vt:lpstr>'Part 4'!Print_Area</vt:lpstr>
      <vt:lpstr>Data!Print_Titles</vt:lpstr>
      <vt:lpstr>'Part 1'!Print_Titles</vt:lpstr>
      <vt:lpstr>'Part 2'!Print_Titles</vt:lpstr>
      <vt:lpstr>'Part 3 DA summary'!Print_Titles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Joanna Coleman</cp:lastModifiedBy>
  <cp:lastPrinted>2020-03-05T12:48:32Z</cp:lastPrinted>
  <dcterms:created xsi:type="dcterms:W3CDTF">2013-07-12T16:47:25Z</dcterms:created>
  <dcterms:modified xsi:type="dcterms:W3CDTF">2020-03-05T14:48:40Z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c1c30ee4-8172-4514-b845-c0189339b63f</vt:lpwstr>
  </property>
  <property fmtid="{D5CDD505-2E9C-101B-9397-08002B2CF9AE}" pid="3" name="bjSaver">
    <vt:lpwstr>XePHT1A/4MVOnNF8mnysHX9hPqgb2QQL</vt:lpwstr>
  </property>
  <property fmtid="{D5CDD505-2E9C-101B-9397-08002B2CF9AE}" pid="4" name="bjDocumentSecurityLabel">
    <vt:lpwstr>No Marking</vt:lpwstr>
  </property>
</Properties>
</file>